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wy96\Downloads\"/>
    </mc:Choice>
  </mc:AlternateContent>
  <xr:revisionPtr revIDLastSave="0" documentId="13_ncr:1_{CFA45336-C185-433E-8FE6-5633B70F5A35}" xr6:coauthVersionLast="47" xr6:coauthVersionMax="47" xr10:uidLastSave="{00000000-0000-0000-0000-000000000000}"/>
  <bookViews>
    <workbookView xWindow="7185" yWindow="1905" windowWidth="25455" windowHeight="13785" activeTab="3" xr2:uid="{00000000-000D-0000-FFFF-FFFF00000000}"/>
  </bookViews>
  <sheets>
    <sheet name="Cover" sheetId="2" r:id="rId1"/>
    <sheet name="Incident" sheetId="1" r:id="rId2"/>
    <sheet name="Shooter" sheetId="3" r:id="rId3"/>
    <sheet name="Victim" sheetId="4" r:id="rId4"/>
    <sheet name="Weap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90" i="5" l="1"/>
  <c r="A2190" i="5"/>
  <c r="B2189" i="5"/>
  <c r="A2189" i="5"/>
  <c r="B2188" i="5"/>
  <c r="A2188" i="5"/>
  <c r="B2187" i="5"/>
  <c r="A2187" i="5"/>
  <c r="B2186" i="5"/>
  <c r="A2186" i="5"/>
  <c r="B2185" i="5"/>
  <c r="A2185" i="5"/>
  <c r="B2184" i="5"/>
  <c r="A2184" i="5"/>
  <c r="B2183" i="5"/>
  <c r="A2183" i="5"/>
  <c r="B2182" i="5"/>
  <c r="A2182" i="5"/>
  <c r="B2181" i="5"/>
  <c r="A2181" i="5"/>
  <c r="B2180" i="5"/>
  <c r="A2180" i="5"/>
  <c r="B2179" i="5"/>
  <c r="A2179" i="5"/>
  <c r="B2178" i="5"/>
  <c r="A2178" i="5"/>
  <c r="B2177" i="5"/>
  <c r="A2177" i="5"/>
  <c r="B2176" i="5"/>
  <c r="A2176" i="5"/>
  <c r="B2175" i="5"/>
  <c r="A2175" i="5"/>
  <c r="B2174" i="5"/>
  <c r="A2174" i="5"/>
  <c r="B2173" i="5"/>
  <c r="A2173" i="5"/>
  <c r="B2172" i="5"/>
  <c r="A2172" i="5"/>
  <c r="B2171" i="5"/>
  <c r="A2171" i="5"/>
  <c r="B2170" i="5"/>
  <c r="A2170" i="5"/>
  <c r="B2169" i="5"/>
  <c r="A2169" i="5"/>
  <c r="B2168" i="5"/>
  <c r="A2168" i="5"/>
  <c r="B2167" i="5"/>
  <c r="A2167" i="5"/>
  <c r="B2166" i="5"/>
  <c r="A2166" i="5"/>
  <c r="B2165" i="5"/>
  <c r="A2165" i="5"/>
  <c r="B2164" i="5"/>
  <c r="A2164" i="5"/>
  <c r="B2163" i="5"/>
  <c r="A2163" i="5"/>
  <c r="B2162" i="5"/>
  <c r="A2162" i="5"/>
  <c r="B2161" i="5"/>
  <c r="A2161" i="5"/>
  <c r="B2160" i="5"/>
  <c r="A2160" i="5"/>
  <c r="B2159" i="5"/>
  <c r="A2159" i="5"/>
  <c r="B2158" i="5"/>
  <c r="A2158" i="5"/>
  <c r="B2157" i="5"/>
  <c r="A2157" i="5"/>
  <c r="B2156" i="5"/>
  <c r="A2156" i="5"/>
  <c r="B2155" i="5"/>
  <c r="A2155" i="5"/>
  <c r="B2154" i="5"/>
  <c r="A2154" i="5"/>
  <c r="B2153" i="5"/>
  <c r="A2153" i="5"/>
  <c r="B2152" i="5"/>
  <c r="A2152" i="5"/>
  <c r="B2151" i="5"/>
  <c r="A2151" i="5"/>
  <c r="B2150" i="5"/>
  <c r="A2150" i="5"/>
  <c r="B2149" i="5"/>
  <c r="A2149" i="5"/>
  <c r="B2148" i="5"/>
  <c r="A2148" i="5"/>
  <c r="B2147" i="5"/>
  <c r="A2147" i="5"/>
  <c r="B2146" i="5"/>
  <c r="A2146" i="5"/>
  <c r="B2145" i="5"/>
  <c r="A2145" i="5"/>
  <c r="B2144" i="5"/>
  <c r="A2144" i="5"/>
  <c r="B2143" i="5"/>
  <c r="A2143" i="5"/>
  <c r="B2142" i="5"/>
  <c r="A2142" i="5"/>
  <c r="B2141" i="5"/>
  <c r="A2141" i="5"/>
  <c r="B2140" i="5"/>
  <c r="A2140" i="5"/>
  <c r="B2139" i="5"/>
  <c r="A2139" i="5"/>
  <c r="B2138" i="5"/>
  <c r="A2138" i="5"/>
  <c r="B2137" i="5"/>
  <c r="A2137" i="5"/>
  <c r="B2136" i="5"/>
  <c r="A2136" i="5"/>
  <c r="B2135" i="5"/>
  <c r="A2135" i="5"/>
  <c r="B2134" i="5"/>
  <c r="A2134" i="5"/>
  <c r="B2133" i="5"/>
  <c r="A2133" i="5"/>
  <c r="B2132" i="5"/>
  <c r="A2132" i="5"/>
  <c r="B2131" i="5"/>
  <c r="A2131" i="5"/>
  <c r="B2130" i="5"/>
  <c r="A2130" i="5"/>
  <c r="B2129" i="5"/>
  <c r="A2129" i="5"/>
  <c r="B2128" i="5"/>
  <c r="A2128" i="5"/>
  <c r="B2127" i="5"/>
  <c r="A2127" i="5"/>
  <c r="B2126" i="5"/>
  <c r="A2126" i="5"/>
  <c r="B2125" i="5"/>
  <c r="A2125" i="5"/>
  <c r="B2124" i="5"/>
  <c r="A2124" i="5"/>
  <c r="B2123" i="5"/>
  <c r="A2123" i="5"/>
  <c r="B2122" i="5"/>
  <c r="A2122" i="5"/>
  <c r="B2121" i="5"/>
  <c r="A2121" i="5"/>
  <c r="B2120" i="5"/>
  <c r="A2120" i="5"/>
  <c r="B2119" i="5"/>
  <c r="A2119" i="5"/>
  <c r="B2118" i="5"/>
  <c r="A2118" i="5"/>
  <c r="B2117" i="5"/>
  <c r="A2117" i="5"/>
  <c r="B2116" i="5"/>
  <c r="A2116" i="5"/>
  <c r="B2115" i="5"/>
  <c r="A2115" i="5"/>
  <c r="B2114" i="5"/>
  <c r="A2114" i="5"/>
  <c r="B2113" i="5"/>
  <c r="A2113" i="5"/>
  <c r="B2112" i="5"/>
  <c r="A2112" i="5"/>
  <c r="B2111" i="5"/>
  <c r="A2111" i="5"/>
  <c r="B2110" i="5"/>
  <c r="A2110" i="5"/>
  <c r="B2109" i="5"/>
  <c r="A2109" i="5"/>
  <c r="B2108" i="5"/>
  <c r="A2108" i="5"/>
  <c r="B2107" i="5"/>
  <c r="A2107" i="5"/>
  <c r="B2106" i="5"/>
  <c r="A2106" i="5"/>
  <c r="B2105" i="5"/>
  <c r="A2105" i="5"/>
  <c r="B2104" i="5"/>
  <c r="A2104" i="5"/>
  <c r="B2103" i="5"/>
  <c r="A2103" i="5"/>
  <c r="B2102" i="5"/>
  <c r="A2102" i="5"/>
  <c r="B2101" i="5"/>
  <c r="A2101" i="5"/>
  <c r="B2100" i="5"/>
  <c r="A2100" i="5"/>
  <c r="B2099" i="5"/>
  <c r="A2099" i="5"/>
  <c r="B2098" i="5"/>
  <c r="A2098" i="5"/>
  <c r="B2097" i="5"/>
  <c r="A2097" i="5"/>
  <c r="B2096" i="5"/>
  <c r="A2096" i="5"/>
  <c r="B2095" i="5"/>
  <c r="A2095" i="5"/>
  <c r="B2094" i="5"/>
  <c r="A2094" i="5"/>
  <c r="B2093" i="5"/>
  <c r="A2093" i="5"/>
  <c r="B2092" i="5"/>
  <c r="A2092" i="5"/>
  <c r="B2091" i="5"/>
  <c r="A2091" i="5"/>
  <c r="B2090" i="5"/>
  <c r="A2090" i="5"/>
  <c r="B2089" i="5"/>
  <c r="A2089" i="5"/>
  <c r="B2088" i="5"/>
  <c r="A2088" i="5"/>
  <c r="B2087" i="5"/>
  <c r="A2087" i="5"/>
  <c r="B2086" i="5"/>
  <c r="A2086" i="5"/>
  <c r="B2085" i="5"/>
  <c r="A2085" i="5"/>
  <c r="B2084" i="5"/>
  <c r="A2084" i="5"/>
  <c r="B2083" i="5"/>
  <c r="A2083" i="5"/>
  <c r="B2082" i="5"/>
  <c r="A2082" i="5"/>
  <c r="B2081" i="5"/>
  <c r="A2081" i="5"/>
  <c r="B2080" i="5"/>
  <c r="A2080" i="5"/>
  <c r="B2079" i="5"/>
  <c r="A2079" i="5"/>
  <c r="B2078" i="5"/>
  <c r="A2078" i="5"/>
  <c r="B2077" i="5"/>
  <c r="A2077" i="5"/>
  <c r="B2076" i="5"/>
  <c r="A2076" i="5"/>
  <c r="B2075" i="5"/>
  <c r="A2075" i="5"/>
  <c r="B2074" i="5"/>
  <c r="A2074" i="5"/>
  <c r="B2073" i="5"/>
  <c r="A2073" i="5"/>
  <c r="B2072" i="5"/>
  <c r="A2072" i="5"/>
  <c r="B2071" i="5"/>
  <c r="A2071" i="5"/>
  <c r="B2070" i="5"/>
  <c r="A2070" i="5"/>
  <c r="B2069" i="5"/>
  <c r="A2069" i="5"/>
  <c r="B2068" i="5"/>
  <c r="A2068" i="5"/>
  <c r="B2067" i="5"/>
  <c r="A2067" i="5"/>
  <c r="B2066" i="5"/>
  <c r="A2066" i="5"/>
  <c r="B2065" i="5"/>
  <c r="A2065" i="5"/>
  <c r="B2064" i="5"/>
  <c r="A2064" i="5"/>
  <c r="B2063" i="5"/>
  <c r="A2063" i="5"/>
  <c r="B2062" i="5"/>
  <c r="A2062" i="5"/>
  <c r="B2061" i="5"/>
  <c r="A2061" i="5"/>
  <c r="B2060" i="5"/>
  <c r="A2060" i="5"/>
  <c r="B2059" i="5"/>
  <c r="A2059" i="5"/>
  <c r="B2058" i="5"/>
  <c r="A2058" i="5"/>
  <c r="B2057" i="5"/>
  <c r="A2057" i="5"/>
  <c r="B2056" i="5"/>
  <c r="A2056" i="5"/>
  <c r="B2055" i="5"/>
  <c r="A2055" i="5"/>
  <c r="B2054" i="5"/>
  <c r="A2054" i="5"/>
  <c r="B2053" i="5"/>
  <c r="A2053" i="5"/>
  <c r="B2052" i="5"/>
  <c r="A2052" i="5"/>
  <c r="B2051" i="5"/>
  <c r="A2051" i="5"/>
  <c r="B2050" i="5"/>
  <c r="A2050" i="5"/>
  <c r="B2049" i="5"/>
  <c r="A2049" i="5"/>
  <c r="B2048" i="5"/>
  <c r="A2048" i="5"/>
  <c r="B2047" i="5"/>
  <c r="A2047" i="5"/>
  <c r="B2046" i="5"/>
  <c r="A2046" i="5"/>
  <c r="B2045" i="5"/>
  <c r="A2045" i="5"/>
  <c r="B2044" i="5"/>
  <c r="A2044" i="5"/>
  <c r="B2043" i="5"/>
  <c r="A2043" i="5"/>
  <c r="B2042" i="5"/>
  <c r="A2042" i="5"/>
  <c r="B2041" i="5"/>
  <c r="A2041" i="5"/>
  <c r="B2040" i="5"/>
  <c r="A2040" i="5"/>
  <c r="B2039" i="5"/>
  <c r="A2039" i="5"/>
  <c r="B2038" i="5"/>
  <c r="A2038" i="5"/>
  <c r="B2037" i="5"/>
  <c r="A2037" i="5"/>
  <c r="B2036" i="5"/>
  <c r="A2036" i="5"/>
  <c r="B2035" i="5"/>
  <c r="A2035" i="5"/>
  <c r="B2034" i="5"/>
  <c r="A2034" i="5"/>
  <c r="B2033" i="5"/>
  <c r="A2033" i="5"/>
  <c r="B2032" i="5"/>
  <c r="A2032" i="5"/>
  <c r="B2031" i="5"/>
  <c r="A2031" i="5"/>
  <c r="B2030" i="5"/>
  <c r="A2030" i="5"/>
  <c r="B2029" i="5"/>
  <c r="A2029" i="5"/>
  <c r="B2028" i="5"/>
  <c r="A2028" i="5"/>
  <c r="B2027" i="5"/>
  <c r="A2027" i="5"/>
  <c r="B2026" i="5"/>
  <c r="A2026" i="5"/>
  <c r="B2025" i="5"/>
  <c r="A2025" i="5"/>
  <c r="B2024" i="5"/>
  <c r="A2024" i="5"/>
  <c r="B2023" i="5"/>
  <c r="A2023" i="5"/>
  <c r="B2022" i="5"/>
  <c r="A2022" i="5"/>
  <c r="B2021" i="5"/>
  <c r="A2021" i="5"/>
  <c r="B2020" i="5"/>
  <c r="A2020" i="5"/>
  <c r="B2019" i="5"/>
  <c r="A2019" i="5"/>
  <c r="B2018" i="5"/>
  <c r="A2018" i="5"/>
  <c r="B2017" i="5"/>
  <c r="A2017" i="5"/>
  <c r="B2016" i="5"/>
  <c r="A2016" i="5"/>
  <c r="B2015" i="5"/>
  <c r="A2015" i="5"/>
  <c r="B2014" i="5"/>
  <c r="A2014" i="5"/>
  <c r="B2013" i="5"/>
  <c r="A2013" i="5"/>
  <c r="B2012" i="5"/>
  <c r="A2012" i="5"/>
  <c r="B2011" i="5"/>
  <c r="A2011" i="5"/>
  <c r="B2010" i="5"/>
  <c r="A2010" i="5"/>
  <c r="B2009" i="5"/>
  <c r="A2009" i="5"/>
  <c r="B2008" i="5"/>
  <c r="A2008" i="5"/>
  <c r="B2007" i="5"/>
  <c r="A2007" i="5"/>
  <c r="B2006" i="5"/>
  <c r="A2006" i="5"/>
  <c r="B2005" i="5"/>
  <c r="A2005" i="5"/>
  <c r="B2004" i="5"/>
  <c r="A2004" i="5"/>
  <c r="B2003" i="5"/>
  <c r="A2003" i="5"/>
  <c r="B2002" i="5"/>
  <c r="A2002" i="5"/>
  <c r="B2001" i="5"/>
  <c r="A2001" i="5"/>
  <c r="B2000" i="5"/>
  <c r="A2000" i="5"/>
  <c r="B1999" i="5"/>
  <c r="A1999" i="5"/>
  <c r="B1998" i="5"/>
  <c r="A1998" i="5"/>
  <c r="B1997" i="5"/>
  <c r="A1997" i="5"/>
  <c r="B1996" i="5"/>
  <c r="A1996" i="5"/>
  <c r="B1995" i="5"/>
  <c r="A1995" i="5"/>
  <c r="B1994" i="5"/>
  <c r="A1994" i="5"/>
  <c r="B1993" i="5"/>
  <c r="A1993" i="5"/>
  <c r="B1992" i="5"/>
  <c r="A1992" i="5"/>
  <c r="B1991" i="5"/>
  <c r="A1991" i="5"/>
  <c r="B1990" i="5"/>
  <c r="A1990" i="5"/>
  <c r="B1989" i="5"/>
  <c r="A1989" i="5"/>
  <c r="B1988" i="5"/>
  <c r="A1988" i="5"/>
  <c r="B1987" i="5"/>
  <c r="A1987" i="5"/>
  <c r="B1986" i="5"/>
  <c r="A1986" i="5"/>
  <c r="B1985" i="5"/>
  <c r="A1985" i="5"/>
  <c r="B1984" i="5"/>
  <c r="A1984" i="5"/>
  <c r="B1983" i="5"/>
  <c r="A1983" i="5"/>
  <c r="B1982" i="5"/>
  <c r="A1982" i="5"/>
  <c r="B1981" i="5"/>
  <c r="A1981" i="5"/>
  <c r="B1980" i="5"/>
  <c r="A1980" i="5"/>
  <c r="B1979" i="5"/>
  <c r="A1979" i="5"/>
  <c r="B1978" i="5"/>
  <c r="A1978" i="5"/>
  <c r="B1977" i="5"/>
  <c r="A1977" i="5"/>
  <c r="B1976" i="5"/>
  <c r="A1976" i="5"/>
  <c r="B1975" i="5"/>
  <c r="A1975" i="5"/>
  <c r="B1974" i="5"/>
  <c r="A1974" i="5"/>
  <c r="B1973" i="5"/>
  <c r="A1973" i="5"/>
  <c r="B1972" i="5"/>
  <c r="A1972" i="5"/>
  <c r="B1971" i="5"/>
  <c r="A1971" i="5"/>
  <c r="B1970" i="5"/>
  <c r="A1970" i="5"/>
  <c r="B1969" i="5"/>
  <c r="A1969" i="5"/>
  <c r="B1968" i="5"/>
  <c r="A1968" i="5"/>
  <c r="B1967" i="5"/>
  <c r="A1967" i="5"/>
  <c r="B1966" i="5"/>
  <c r="A1966" i="5"/>
  <c r="B1965" i="5"/>
  <c r="A1965" i="5"/>
  <c r="B1964" i="5"/>
  <c r="A1964" i="5"/>
  <c r="B1963" i="5"/>
  <c r="A1963" i="5"/>
  <c r="B1962" i="5"/>
  <c r="A1962" i="5"/>
  <c r="B1961" i="5"/>
  <c r="A1961" i="5"/>
  <c r="B1960" i="5"/>
  <c r="A1960" i="5"/>
  <c r="B1959" i="5"/>
  <c r="A1959" i="5"/>
  <c r="B1958" i="5"/>
  <c r="A1958" i="5"/>
  <c r="B1957" i="5"/>
  <c r="A1957" i="5"/>
  <c r="B1956" i="5"/>
  <c r="A1956" i="5"/>
  <c r="B1955" i="5"/>
  <c r="A1955" i="5"/>
  <c r="B1954" i="5"/>
  <c r="A1954" i="5"/>
  <c r="B1953" i="5"/>
  <c r="A1953" i="5"/>
  <c r="B1952" i="5"/>
  <c r="A1952" i="5"/>
  <c r="B1951" i="5"/>
  <c r="A1951" i="5"/>
  <c r="B1950" i="5"/>
  <c r="A1950" i="5"/>
  <c r="B1949" i="5"/>
  <c r="A1949" i="5"/>
  <c r="B1948" i="5"/>
  <c r="A1948" i="5"/>
  <c r="B1947" i="5"/>
  <c r="A1947" i="5"/>
  <c r="B1946" i="5"/>
  <c r="A1946" i="5"/>
  <c r="B1945" i="5"/>
  <c r="A1945" i="5"/>
  <c r="B1944" i="5"/>
  <c r="A1944" i="5"/>
  <c r="B1943" i="5"/>
  <c r="A1943" i="5"/>
  <c r="B1942" i="5"/>
  <c r="A1942" i="5"/>
  <c r="B1941" i="5"/>
  <c r="A1941" i="5"/>
  <c r="B1940" i="5"/>
  <c r="A1940" i="5"/>
  <c r="B1939" i="5"/>
  <c r="A1939" i="5"/>
  <c r="B1938" i="5"/>
  <c r="A1938" i="5"/>
  <c r="B1937" i="5"/>
  <c r="A1937" i="5"/>
  <c r="B1936" i="5"/>
  <c r="A1936" i="5"/>
  <c r="B1935" i="5"/>
  <c r="A1935" i="5"/>
  <c r="B1934" i="5"/>
  <c r="A1934" i="5"/>
  <c r="B1933" i="5"/>
  <c r="A1933" i="5"/>
  <c r="B1932" i="5"/>
  <c r="A1932" i="5"/>
  <c r="B1931" i="5"/>
  <c r="A1931" i="5"/>
  <c r="B1930" i="5"/>
  <c r="A1930" i="5"/>
  <c r="B1929" i="5"/>
  <c r="A1929" i="5"/>
  <c r="B1928" i="5"/>
  <c r="A1928" i="5"/>
  <c r="B1927" i="5"/>
  <c r="A1927" i="5"/>
  <c r="B1926" i="5"/>
  <c r="A1926" i="5"/>
  <c r="B1925" i="5"/>
  <c r="A1925" i="5"/>
  <c r="B1924" i="5"/>
  <c r="A1924" i="5"/>
  <c r="B1923" i="5"/>
  <c r="A1923" i="5"/>
  <c r="B1922" i="5"/>
  <c r="A1922" i="5"/>
  <c r="B1921" i="5"/>
  <c r="A1921" i="5"/>
  <c r="B1920" i="5"/>
  <c r="A1920" i="5"/>
  <c r="B1919" i="5"/>
  <c r="A1919" i="5"/>
  <c r="B1918" i="5"/>
  <c r="A1918" i="5"/>
  <c r="B1917" i="5"/>
  <c r="A1917" i="5"/>
  <c r="B1916" i="5"/>
  <c r="A1916" i="5"/>
  <c r="B1915" i="5"/>
  <c r="A1915" i="5"/>
  <c r="B1914" i="5"/>
  <c r="A1914" i="5"/>
  <c r="B1913" i="5"/>
  <c r="A1913" i="5"/>
  <c r="B1912" i="5"/>
  <c r="A1912" i="5"/>
  <c r="B1911" i="5"/>
  <c r="A1911" i="5"/>
  <c r="B1910" i="5"/>
  <c r="A1910" i="5"/>
  <c r="B1909" i="5"/>
  <c r="A1909" i="5"/>
  <c r="B1908" i="5"/>
  <c r="A1908" i="5"/>
  <c r="B1907" i="5"/>
  <c r="A1907" i="5"/>
  <c r="B1906" i="5"/>
  <c r="A1906" i="5"/>
  <c r="B1905" i="5"/>
  <c r="A1905" i="5"/>
  <c r="B1904" i="5"/>
  <c r="A1904" i="5"/>
  <c r="B1903" i="5"/>
  <c r="A1903" i="5"/>
  <c r="B1902" i="5"/>
  <c r="A1902" i="5"/>
  <c r="B1901" i="5"/>
  <c r="A1901" i="5"/>
  <c r="B1900" i="5"/>
  <c r="A1900" i="5"/>
  <c r="B1899" i="5"/>
  <c r="A1899" i="5"/>
  <c r="B1898" i="5"/>
  <c r="A1898" i="5"/>
  <c r="B1897" i="5"/>
  <c r="A1897" i="5"/>
  <c r="B1896" i="5"/>
  <c r="A1896" i="5"/>
  <c r="B1895" i="5"/>
  <c r="A1895" i="5"/>
  <c r="B1894" i="5"/>
  <c r="A1894" i="5"/>
  <c r="B1893" i="5"/>
  <c r="A1893" i="5"/>
  <c r="B1892" i="5"/>
  <c r="A1892" i="5"/>
  <c r="B1891" i="5"/>
  <c r="A1891" i="5"/>
  <c r="B1890" i="5"/>
  <c r="A1890" i="5"/>
  <c r="B1889" i="5"/>
  <c r="A1889" i="5"/>
  <c r="B1888" i="5"/>
  <c r="A1888" i="5"/>
  <c r="B1887" i="5"/>
  <c r="A1887" i="5"/>
  <c r="B1886" i="5"/>
  <c r="A1886" i="5"/>
  <c r="B1885" i="5"/>
  <c r="A1885" i="5"/>
  <c r="B1884" i="5"/>
  <c r="A1884" i="5"/>
  <c r="B1883" i="5"/>
  <c r="A1883" i="5"/>
  <c r="B1882" i="5"/>
  <c r="A1882" i="5"/>
  <c r="B1881" i="5"/>
  <c r="A1881" i="5"/>
  <c r="B1880" i="5"/>
  <c r="A1880" i="5"/>
  <c r="B1879" i="5"/>
  <c r="A1879" i="5"/>
  <c r="B1878" i="5"/>
  <c r="A1878" i="5"/>
  <c r="B1877" i="5"/>
  <c r="A1877" i="5"/>
  <c r="B1876" i="5"/>
  <c r="A1876" i="5"/>
  <c r="B1875" i="5"/>
  <c r="A1875" i="5"/>
  <c r="B1874" i="5"/>
  <c r="A1874" i="5"/>
  <c r="B1873" i="5"/>
  <c r="A1873" i="5"/>
  <c r="B1872" i="5"/>
  <c r="A1872" i="5"/>
  <c r="B1871" i="5"/>
  <c r="A1871" i="5"/>
  <c r="B1870" i="5"/>
  <c r="A1870" i="5"/>
  <c r="B1869" i="5"/>
  <c r="A1869" i="5"/>
  <c r="B1868" i="5"/>
  <c r="A1868" i="5"/>
  <c r="B1867" i="5"/>
  <c r="A1867" i="5"/>
  <c r="B1866" i="5"/>
  <c r="A1866" i="5"/>
  <c r="B1865" i="5"/>
  <c r="A1865" i="5"/>
  <c r="B1864" i="5"/>
  <c r="A1864" i="5"/>
  <c r="B1863" i="5"/>
  <c r="A1863" i="5"/>
  <c r="B1862" i="5"/>
  <c r="A1862" i="5"/>
  <c r="B1861" i="5"/>
  <c r="A1861" i="5"/>
  <c r="B1860" i="5"/>
  <c r="A1860" i="5"/>
  <c r="B1859" i="5"/>
  <c r="A1859" i="5"/>
  <c r="B1858" i="5"/>
  <c r="A1858" i="5"/>
  <c r="B1857" i="5"/>
  <c r="A1857" i="5"/>
  <c r="B1856" i="5"/>
  <c r="A1856" i="5"/>
  <c r="B1855" i="5"/>
  <c r="A1855" i="5"/>
  <c r="B1854" i="5"/>
  <c r="A1854" i="5"/>
  <c r="B1853" i="5"/>
  <c r="A1853" i="5"/>
  <c r="B1852" i="5"/>
  <c r="A1852" i="5"/>
  <c r="B1851" i="5"/>
  <c r="A1851" i="5"/>
  <c r="B1850" i="5"/>
  <c r="A1850" i="5"/>
  <c r="B1849" i="5"/>
  <c r="A1849" i="5"/>
  <c r="B1848" i="5"/>
  <c r="A1848" i="5"/>
  <c r="B1847" i="5"/>
  <c r="A1847" i="5"/>
  <c r="B1846" i="5"/>
  <c r="A1846" i="5"/>
  <c r="B1845" i="5"/>
  <c r="A1845" i="5"/>
  <c r="B1844" i="5"/>
  <c r="A1844" i="5"/>
  <c r="B1843" i="5"/>
  <c r="A1843" i="5"/>
  <c r="B1842" i="5"/>
  <c r="A1842" i="5"/>
  <c r="B1841" i="5"/>
  <c r="A1841" i="5"/>
  <c r="B1840" i="5"/>
  <c r="A1840" i="5"/>
  <c r="B1839" i="5"/>
  <c r="A1839" i="5"/>
  <c r="B1838" i="5"/>
  <c r="A1838" i="5"/>
  <c r="B1837" i="5"/>
  <c r="A1837" i="5"/>
  <c r="B1836" i="5"/>
  <c r="A1836" i="5"/>
  <c r="B1835" i="5"/>
  <c r="A1835" i="5"/>
  <c r="B1834" i="5"/>
  <c r="A1834" i="5"/>
  <c r="B1833" i="5"/>
  <c r="A1833" i="5"/>
  <c r="B1832" i="5"/>
  <c r="A1832" i="5"/>
  <c r="B1831" i="5"/>
  <c r="A1831" i="5"/>
  <c r="B1830" i="5"/>
  <c r="A1830" i="5"/>
  <c r="B1829" i="5"/>
  <c r="A1829" i="5"/>
  <c r="B1828" i="5"/>
  <c r="A1828" i="5"/>
  <c r="B1827" i="5"/>
  <c r="A1827" i="5"/>
  <c r="B1826" i="5"/>
  <c r="A1826" i="5"/>
  <c r="B1825" i="5"/>
  <c r="A1825" i="5"/>
  <c r="B1824" i="5"/>
  <c r="A1824" i="5"/>
  <c r="B1823" i="5"/>
  <c r="A1823" i="5"/>
  <c r="B1822" i="5"/>
  <c r="A1822" i="5"/>
  <c r="B1821" i="5"/>
  <c r="A1821" i="5"/>
  <c r="B1820" i="5"/>
  <c r="A1820" i="5"/>
  <c r="B1819" i="5"/>
  <c r="A1819" i="5"/>
  <c r="B1818" i="5"/>
  <c r="A1818" i="5"/>
  <c r="B1817" i="5"/>
  <c r="A1817" i="5"/>
  <c r="B1816" i="5"/>
  <c r="A1816" i="5"/>
  <c r="B1815" i="5"/>
  <c r="A1815" i="5"/>
  <c r="B1814" i="5"/>
  <c r="A1814" i="5"/>
  <c r="B1813" i="5"/>
  <c r="A1813" i="5"/>
  <c r="B1812" i="5"/>
  <c r="A1812" i="5"/>
  <c r="B1811" i="5"/>
  <c r="A1811" i="5"/>
  <c r="B1810" i="5"/>
  <c r="A1810" i="5"/>
  <c r="B1809" i="5"/>
  <c r="A1809" i="5"/>
  <c r="B1808" i="5"/>
  <c r="A1808" i="5"/>
  <c r="B1807" i="5"/>
  <c r="A1807" i="5"/>
  <c r="B1806" i="5"/>
  <c r="A1806" i="5"/>
  <c r="B1805" i="5"/>
  <c r="A1805" i="5"/>
  <c r="B1804" i="5"/>
  <c r="A1804" i="5"/>
  <c r="B1803" i="5"/>
  <c r="A1803" i="5"/>
  <c r="B1802" i="5"/>
  <c r="A1802" i="5"/>
  <c r="B1801" i="5"/>
  <c r="A1801" i="5"/>
  <c r="B1800" i="5"/>
  <c r="A1800" i="5"/>
  <c r="B1799" i="5"/>
  <c r="A1799" i="5"/>
  <c r="B1798" i="5"/>
  <c r="A1798" i="5"/>
  <c r="B1797" i="5"/>
  <c r="A1797" i="5"/>
  <c r="B1796" i="5"/>
  <c r="A1796" i="5"/>
  <c r="B1795" i="5"/>
  <c r="A1795" i="5"/>
  <c r="B1794" i="5"/>
  <c r="A1794" i="5"/>
  <c r="B1793" i="5"/>
  <c r="A1793" i="5"/>
  <c r="B1792" i="5"/>
  <c r="A1792" i="5"/>
  <c r="B1791" i="5"/>
  <c r="A1791" i="5"/>
  <c r="B1790" i="5"/>
  <c r="A1790" i="5"/>
  <c r="B1789" i="5"/>
  <c r="A1789" i="5"/>
  <c r="B1788" i="5"/>
  <c r="A1788" i="5"/>
  <c r="B1787" i="5"/>
  <c r="A1787" i="5"/>
  <c r="B1786" i="5"/>
  <c r="A1786" i="5"/>
  <c r="B1785" i="5"/>
  <c r="A1785" i="5"/>
  <c r="B1784" i="5"/>
  <c r="A1784" i="5"/>
  <c r="B1783" i="5"/>
  <c r="A1783" i="5"/>
  <c r="B1782" i="5"/>
  <c r="A1782" i="5"/>
  <c r="B1781" i="5"/>
  <c r="A1781" i="5"/>
  <c r="B1780" i="5"/>
  <c r="A1780" i="5"/>
  <c r="B1779" i="5"/>
  <c r="A1779" i="5"/>
  <c r="B1778" i="5"/>
  <c r="A1778" i="5"/>
  <c r="B1777" i="5"/>
  <c r="A1777" i="5"/>
  <c r="B1776" i="5"/>
  <c r="A1776" i="5"/>
  <c r="B1775" i="5"/>
  <c r="A1775" i="5"/>
  <c r="B1774" i="5"/>
  <c r="A1774" i="5"/>
  <c r="B1773" i="5"/>
  <c r="A1773" i="5"/>
  <c r="B1772" i="5"/>
  <c r="A1772" i="5"/>
  <c r="B1771" i="5"/>
  <c r="A1771" i="5"/>
  <c r="B1770" i="5"/>
  <c r="A1770" i="5"/>
  <c r="B1769" i="5"/>
  <c r="A1769" i="5"/>
  <c r="B1768" i="5"/>
  <c r="A1768" i="5"/>
  <c r="B1767" i="5"/>
  <c r="A1767" i="5"/>
  <c r="B1766" i="5"/>
  <c r="A1766" i="5"/>
  <c r="B1765" i="5"/>
  <c r="A1765" i="5"/>
  <c r="B1764" i="5"/>
  <c r="A1764" i="5"/>
  <c r="B1763" i="5"/>
  <c r="A1763" i="5"/>
  <c r="B1762" i="5"/>
  <c r="A1762" i="5"/>
  <c r="B1761" i="5"/>
  <c r="A1761" i="5"/>
  <c r="B1760" i="5"/>
  <c r="A1760" i="5"/>
  <c r="B1759" i="5"/>
  <c r="A1759" i="5"/>
  <c r="B1758" i="5"/>
  <c r="A1758" i="5"/>
  <c r="B1757" i="5"/>
  <c r="A1757" i="5"/>
  <c r="B1756" i="5"/>
  <c r="A1756" i="5"/>
  <c r="B1755" i="5"/>
  <c r="A1755" i="5"/>
  <c r="B1754" i="5"/>
  <c r="A1754" i="5"/>
  <c r="B1753" i="5"/>
  <c r="A1753" i="5"/>
  <c r="B1752" i="5"/>
  <c r="A1752" i="5"/>
  <c r="B1751" i="5"/>
  <c r="A1751" i="5"/>
  <c r="B1750" i="5"/>
  <c r="A1750" i="5"/>
  <c r="B1749" i="5"/>
  <c r="A1749" i="5"/>
  <c r="B1748" i="5"/>
  <c r="A1748" i="5"/>
  <c r="B1747" i="5"/>
  <c r="A1747" i="5"/>
  <c r="B1746" i="5"/>
  <c r="A1746" i="5"/>
  <c r="B1745" i="5"/>
  <c r="A1745" i="5"/>
  <c r="B1744" i="5"/>
  <c r="A1744" i="5"/>
  <c r="B1743" i="5"/>
  <c r="A1743" i="5"/>
  <c r="B1742" i="5"/>
  <c r="A1742" i="5"/>
  <c r="B1741" i="5"/>
  <c r="A1741" i="5"/>
  <c r="B1740" i="5"/>
  <c r="A1740" i="5"/>
  <c r="B1739" i="5"/>
  <c r="A1739" i="5"/>
  <c r="B1738" i="5"/>
  <c r="A1738" i="5"/>
  <c r="B1737" i="5"/>
  <c r="A1737" i="5"/>
  <c r="B1736" i="5"/>
  <c r="A1736" i="5"/>
  <c r="B1735" i="5"/>
  <c r="A1735" i="5"/>
  <c r="B1734" i="5"/>
  <c r="A1734" i="5"/>
  <c r="B1733" i="5"/>
  <c r="A1733" i="5"/>
  <c r="B1732" i="5"/>
  <c r="A1732" i="5"/>
  <c r="B1731" i="5"/>
  <c r="A1731" i="5"/>
  <c r="B1730" i="5"/>
  <c r="A1730" i="5"/>
  <c r="B1729" i="5"/>
  <c r="A1729" i="5"/>
  <c r="B1728" i="5"/>
  <c r="A1728" i="5"/>
  <c r="B1727" i="5"/>
  <c r="A1727" i="5"/>
  <c r="B1726" i="5"/>
  <c r="A1726" i="5"/>
  <c r="B1725" i="5"/>
  <c r="A1725" i="5"/>
  <c r="B1724" i="5"/>
  <c r="A1724" i="5"/>
  <c r="B1723" i="5"/>
  <c r="A1723" i="5"/>
  <c r="B1722" i="5"/>
  <c r="A1722" i="5"/>
  <c r="B1721" i="5"/>
  <c r="A1721" i="5"/>
  <c r="B1720" i="5"/>
  <c r="A1720" i="5"/>
  <c r="B1719" i="5"/>
  <c r="A1719" i="5"/>
  <c r="B1718" i="5"/>
  <c r="A1718" i="5"/>
  <c r="B1717" i="5"/>
  <c r="A1717" i="5"/>
  <c r="B1716" i="5"/>
  <c r="A1716" i="5"/>
  <c r="B1715" i="5"/>
  <c r="A1715" i="5"/>
  <c r="B1714" i="5"/>
  <c r="A1714" i="5"/>
  <c r="B1713" i="5"/>
  <c r="A1713" i="5"/>
  <c r="B1712" i="5"/>
  <c r="A1712" i="5"/>
  <c r="B1711" i="5"/>
  <c r="A1711" i="5"/>
  <c r="B1710" i="5"/>
  <c r="A1710" i="5"/>
  <c r="B1709" i="5"/>
  <c r="A1709" i="5"/>
  <c r="B1708" i="5"/>
  <c r="A1708" i="5"/>
  <c r="B1707" i="5"/>
  <c r="A1707" i="5"/>
  <c r="B1706" i="5"/>
  <c r="A1706" i="5"/>
  <c r="B1705" i="5"/>
  <c r="A1705" i="5"/>
  <c r="B1704" i="5"/>
  <c r="A1704" i="5"/>
  <c r="B1703" i="5"/>
  <c r="A1703" i="5"/>
  <c r="B1702" i="5"/>
  <c r="A1702" i="5"/>
  <c r="B1701" i="5"/>
  <c r="A1701" i="5"/>
  <c r="B1700" i="5"/>
  <c r="A1700" i="5"/>
  <c r="B1699" i="5"/>
  <c r="A1699" i="5"/>
  <c r="B1698" i="5"/>
  <c r="A1698" i="5"/>
  <c r="B1697" i="5"/>
  <c r="A1697" i="5"/>
  <c r="B1696" i="5"/>
  <c r="A1696" i="5"/>
  <c r="B1695" i="5"/>
  <c r="A1695" i="5"/>
  <c r="B1694" i="5"/>
  <c r="A1694" i="5"/>
  <c r="B1693" i="5"/>
  <c r="A1693" i="5"/>
  <c r="B1692" i="5"/>
  <c r="A1692" i="5"/>
  <c r="B1691" i="5"/>
  <c r="A1691" i="5"/>
  <c r="B1690" i="5"/>
  <c r="A1690" i="5"/>
  <c r="B1689" i="5"/>
  <c r="A1689" i="5"/>
  <c r="B1688" i="5"/>
  <c r="A1688" i="5"/>
  <c r="B1687" i="5"/>
  <c r="A1687" i="5"/>
  <c r="B1686" i="5"/>
  <c r="A1686" i="5"/>
  <c r="B1685" i="5"/>
  <c r="A1685" i="5"/>
  <c r="B1684" i="5"/>
  <c r="A1684" i="5"/>
  <c r="B1683" i="5"/>
  <c r="A1683" i="5"/>
  <c r="B1682" i="5"/>
  <c r="A1682" i="5"/>
  <c r="B1681" i="5"/>
  <c r="A1681" i="5"/>
  <c r="B1680" i="5"/>
  <c r="A1680" i="5"/>
  <c r="B1679" i="5"/>
  <c r="A1679" i="5"/>
  <c r="B1678" i="5"/>
  <c r="A1678" i="5"/>
  <c r="B1677" i="5"/>
  <c r="A1677" i="5"/>
  <c r="B1676" i="5"/>
  <c r="A1676" i="5"/>
  <c r="B1675" i="5"/>
  <c r="A1675" i="5"/>
  <c r="B1674" i="5"/>
  <c r="A1674" i="5"/>
  <c r="B1673" i="5"/>
  <c r="A1673" i="5"/>
  <c r="B1672" i="5"/>
  <c r="A1672" i="5"/>
  <c r="B1671" i="5"/>
  <c r="A1671" i="5"/>
  <c r="B1670" i="5"/>
  <c r="A1670" i="5"/>
  <c r="B1669" i="5"/>
  <c r="A1669" i="5"/>
  <c r="B1668" i="5"/>
  <c r="A1668" i="5"/>
  <c r="B1667" i="5"/>
  <c r="A1667" i="5"/>
  <c r="B1666" i="5"/>
  <c r="A1666" i="5"/>
  <c r="B1665" i="5"/>
  <c r="A1665" i="5"/>
  <c r="B1664" i="5"/>
  <c r="A1664" i="5"/>
  <c r="B1663" i="5"/>
  <c r="A1663" i="5"/>
  <c r="B1662" i="5"/>
  <c r="A1662" i="5"/>
  <c r="B1661" i="5"/>
  <c r="A1661" i="5"/>
  <c r="B1660" i="5"/>
  <c r="A1660" i="5"/>
  <c r="B1659" i="5"/>
  <c r="A1659" i="5"/>
  <c r="B1658" i="5"/>
  <c r="A1658" i="5"/>
  <c r="B1657" i="5"/>
  <c r="A1657" i="5"/>
  <c r="B1656" i="5"/>
  <c r="A1656" i="5"/>
  <c r="B1655" i="5"/>
  <c r="A1655" i="5"/>
  <c r="B1654" i="5"/>
  <c r="A1654" i="5"/>
  <c r="B1653" i="5"/>
  <c r="A1653" i="5"/>
  <c r="B1652" i="5"/>
  <c r="A1652" i="5"/>
  <c r="B1651" i="5"/>
  <c r="A1651" i="5"/>
  <c r="B1650" i="5"/>
  <c r="A1650" i="5"/>
  <c r="B1649" i="5"/>
  <c r="A1649" i="5"/>
  <c r="B1648" i="5"/>
  <c r="A1648" i="5"/>
  <c r="B1647" i="5"/>
  <c r="A1647" i="5"/>
  <c r="B1646" i="5"/>
  <c r="A1646" i="5"/>
  <c r="B1645" i="5"/>
  <c r="A1645" i="5"/>
  <c r="B1644" i="5"/>
  <c r="A1644" i="5"/>
  <c r="B1643" i="5"/>
  <c r="A1643" i="5"/>
  <c r="B1642" i="5"/>
  <c r="A1642" i="5"/>
  <c r="B1641" i="5"/>
  <c r="A1641" i="5"/>
  <c r="B1640" i="5"/>
  <c r="A1640" i="5"/>
  <c r="B1639" i="5"/>
  <c r="A1639" i="5"/>
  <c r="B1638" i="5"/>
  <c r="A1638" i="5"/>
  <c r="B1637" i="5"/>
  <c r="A1637" i="5"/>
  <c r="B1636" i="5"/>
  <c r="A1636" i="5"/>
  <c r="B1635" i="5"/>
  <c r="A1635" i="5"/>
  <c r="B1634" i="5"/>
  <c r="A1634" i="5"/>
  <c r="B1633" i="5"/>
  <c r="A1633" i="5"/>
  <c r="B1632" i="5"/>
  <c r="A1632" i="5"/>
  <c r="B1631" i="5"/>
  <c r="A1631" i="5"/>
  <c r="B1630" i="5"/>
  <c r="A1630" i="5"/>
  <c r="B1629" i="5"/>
  <c r="A1629" i="5"/>
  <c r="B1628" i="5"/>
  <c r="A1628" i="5"/>
  <c r="B1627" i="5"/>
  <c r="A1627" i="5"/>
  <c r="B1626" i="5"/>
  <c r="A1626" i="5"/>
  <c r="B1625" i="5"/>
  <c r="A1625" i="5"/>
  <c r="B1624" i="5"/>
  <c r="A1624" i="5"/>
  <c r="B1623" i="5"/>
  <c r="A1623" i="5"/>
  <c r="B1622" i="5"/>
  <c r="A1622" i="5"/>
  <c r="B1621" i="5"/>
  <c r="A1621" i="5"/>
  <c r="B1620" i="5"/>
  <c r="A1620" i="5"/>
  <c r="B1619" i="5"/>
  <c r="A1619" i="5"/>
  <c r="B1618" i="5"/>
  <c r="A1618" i="5"/>
  <c r="B1617" i="5"/>
  <c r="A1617" i="5"/>
  <c r="B1616" i="5"/>
  <c r="A1616" i="5"/>
  <c r="B1615" i="5"/>
  <c r="A1615" i="5"/>
  <c r="B1614" i="5"/>
  <c r="A1614" i="5"/>
  <c r="B1613" i="5"/>
  <c r="A1613" i="5"/>
  <c r="B1612" i="5"/>
  <c r="A1612" i="5"/>
  <c r="B1611" i="5"/>
  <c r="A1611" i="5"/>
  <c r="B1610" i="5"/>
  <c r="A1610" i="5"/>
  <c r="B1609" i="5"/>
  <c r="A1609" i="5"/>
  <c r="B1608" i="5"/>
  <c r="A1608" i="5"/>
  <c r="B1607" i="5"/>
  <c r="A1607" i="5"/>
  <c r="B1606" i="5"/>
  <c r="A1606" i="5"/>
  <c r="B1605" i="5"/>
  <c r="A1605" i="5"/>
  <c r="B1604" i="5"/>
  <c r="A1604" i="5"/>
  <c r="B1603" i="5"/>
  <c r="A1603" i="5"/>
  <c r="B1602" i="5"/>
  <c r="A1602" i="5"/>
  <c r="B1601" i="5"/>
  <c r="A1601" i="5"/>
  <c r="B1600" i="5"/>
  <c r="A1600" i="5"/>
  <c r="B1599" i="5"/>
  <c r="A1599" i="5"/>
  <c r="B1598" i="5"/>
  <c r="A1598" i="5"/>
  <c r="B1597" i="5"/>
  <c r="A1597" i="5"/>
  <c r="B1596" i="5"/>
  <c r="A1596" i="5"/>
  <c r="B1595" i="5"/>
  <c r="A1595" i="5"/>
  <c r="B1594" i="5"/>
  <c r="A1594" i="5"/>
  <c r="B1593" i="5"/>
  <c r="A1593" i="5"/>
  <c r="B1592" i="5"/>
  <c r="A1592" i="5"/>
  <c r="B1591" i="5"/>
  <c r="A1591" i="5"/>
  <c r="B1590" i="5"/>
  <c r="A1590" i="5"/>
  <c r="B1589" i="5"/>
  <c r="A1589" i="5"/>
  <c r="B1588" i="5"/>
  <c r="A1588" i="5"/>
  <c r="B1587" i="5"/>
  <c r="A1587" i="5"/>
  <c r="B1586" i="5"/>
  <c r="A1586" i="5"/>
  <c r="B1585" i="5"/>
  <c r="A1585" i="5"/>
  <c r="B1584" i="5"/>
  <c r="A1584" i="5"/>
  <c r="B1583" i="5"/>
  <c r="A1583" i="5"/>
  <c r="B1582" i="5"/>
  <c r="A1582" i="5"/>
  <c r="B1581" i="5"/>
  <c r="A1581" i="5"/>
  <c r="B1580" i="5"/>
  <c r="A1580" i="5"/>
  <c r="B1579" i="5"/>
  <c r="A1579" i="5"/>
  <c r="B1578" i="5"/>
  <c r="A1578" i="5"/>
  <c r="B1577" i="5"/>
  <c r="A1577" i="5"/>
  <c r="B1576" i="5"/>
  <c r="A1576" i="5"/>
  <c r="B1575" i="5"/>
  <c r="A1575" i="5"/>
  <c r="B1574" i="5"/>
  <c r="A1574" i="5"/>
  <c r="B1573" i="5"/>
  <c r="A1573" i="5"/>
  <c r="B1572" i="5"/>
  <c r="A1572" i="5"/>
  <c r="B1571" i="5"/>
  <c r="A1571" i="5"/>
  <c r="B1570" i="5"/>
  <c r="A1570" i="5"/>
  <c r="B1569" i="5"/>
  <c r="A1569" i="5"/>
  <c r="B1568" i="5"/>
  <c r="A1568" i="5"/>
  <c r="B1567" i="5"/>
  <c r="A1567" i="5"/>
  <c r="B1566" i="5"/>
  <c r="A1566" i="5"/>
  <c r="B1565" i="5"/>
  <c r="A1565" i="5"/>
  <c r="B1564" i="5"/>
  <c r="A1564" i="5"/>
  <c r="B1563" i="5"/>
  <c r="A1563" i="5"/>
  <c r="B1562" i="5"/>
  <c r="A1562" i="5"/>
  <c r="B1561" i="5"/>
  <c r="A1561" i="5"/>
  <c r="B1560" i="5"/>
  <c r="A1560" i="5"/>
  <c r="B1559" i="5"/>
  <c r="A1559" i="5"/>
  <c r="B1558" i="5"/>
  <c r="A1558" i="5"/>
  <c r="B1557" i="5"/>
  <c r="A1557" i="5"/>
  <c r="B1556" i="5"/>
  <c r="A1556" i="5"/>
  <c r="B1555" i="5"/>
  <c r="A1555" i="5"/>
  <c r="B1554" i="5"/>
  <c r="A1554" i="5"/>
  <c r="B1553" i="5"/>
  <c r="A1553" i="5"/>
  <c r="B1552" i="5"/>
  <c r="A1552" i="5"/>
  <c r="B1551" i="5"/>
  <c r="A1551" i="5"/>
  <c r="B1550" i="5"/>
  <c r="A1550" i="5"/>
  <c r="B1549" i="5"/>
  <c r="A1549" i="5"/>
  <c r="B1548" i="5"/>
  <c r="A1548" i="5"/>
  <c r="B1547" i="5"/>
  <c r="A1547" i="5"/>
  <c r="B1546" i="5"/>
  <c r="A1546" i="5"/>
  <c r="B1545" i="5"/>
  <c r="A1545" i="5"/>
  <c r="B1544" i="5"/>
  <c r="A1544" i="5"/>
  <c r="B1543" i="5"/>
  <c r="A1543" i="5"/>
  <c r="B1542" i="5"/>
  <c r="A1542" i="5"/>
  <c r="B1541" i="5"/>
  <c r="A1541" i="5"/>
  <c r="B1540" i="5"/>
  <c r="A1540" i="5"/>
  <c r="B1539" i="5"/>
  <c r="A1539" i="5"/>
  <c r="B1538" i="5"/>
  <c r="A1538" i="5"/>
  <c r="B1537" i="5"/>
  <c r="A1537" i="5"/>
  <c r="B1536" i="5"/>
  <c r="A1536" i="5"/>
  <c r="B1535" i="5"/>
  <c r="A1535" i="5"/>
  <c r="B1534" i="5"/>
  <c r="A1534" i="5"/>
  <c r="B1533" i="5"/>
  <c r="A1533" i="5"/>
  <c r="B1532" i="5"/>
  <c r="A1532" i="5"/>
  <c r="B1531" i="5"/>
  <c r="A1531" i="5"/>
  <c r="B1530" i="5"/>
  <c r="A1530" i="5"/>
  <c r="B1529" i="5"/>
  <c r="A1529" i="5"/>
  <c r="B1528" i="5"/>
  <c r="A1528" i="5"/>
  <c r="B1527" i="5"/>
  <c r="A1527" i="5"/>
  <c r="B1526" i="5"/>
  <c r="A1526" i="5"/>
  <c r="B1525" i="5"/>
  <c r="A1525" i="5"/>
  <c r="B1524" i="5"/>
  <c r="A1524" i="5"/>
  <c r="B1523" i="5"/>
  <c r="A1523" i="5"/>
  <c r="B1522" i="5"/>
  <c r="A1522" i="5"/>
  <c r="B1521" i="5"/>
  <c r="A1521" i="5"/>
  <c r="B1520" i="5"/>
  <c r="A1520" i="5"/>
  <c r="B1519" i="5"/>
  <c r="A1519" i="5"/>
  <c r="B1518" i="5"/>
  <c r="A1518" i="5"/>
  <c r="B1517" i="5"/>
  <c r="A1517" i="5"/>
  <c r="B1516" i="5"/>
  <c r="A1516" i="5"/>
  <c r="B1515" i="5"/>
  <c r="A1515" i="5"/>
  <c r="B1514" i="5"/>
  <c r="A1514" i="5"/>
  <c r="B1513" i="5"/>
  <c r="A1513" i="5"/>
  <c r="B1512" i="5"/>
  <c r="A1512" i="5"/>
  <c r="B1511" i="5"/>
  <c r="A1511" i="5"/>
  <c r="B1510" i="5"/>
  <c r="A1510" i="5"/>
  <c r="B1509" i="5"/>
  <c r="A1509" i="5"/>
  <c r="B1508" i="5"/>
  <c r="A1508" i="5"/>
  <c r="B1507" i="5"/>
  <c r="A1507" i="5"/>
  <c r="B1506" i="5"/>
  <c r="A1506" i="5"/>
  <c r="B1505" i="5"/>
  <c r="A1505" i="5"/>
  <c r="B1504" i="5"/>
  <c r="A1504" i="5"/>
  <c r="B1503" i="5"/>
  <c r="A1503" i="5"/>
  <c r="B1502" i="5"/>
  <c r="A1502" i="5"/>
  <c r="B1501" i="5"/>
  <c r="A1501" i="5"/>
  <c r="B1500" i="5"/>
  <c r="A1500" i="5"/>
  <c r="B1499" i="5"/>
  <c r="A1499" i="5"/>
  <c r="B1498" i="5"/>
  <c r="A1498" i="5"/>
  <c r="B1497" i="5"/>
  <c r="A1497" i="5"/>
  <c r="B1496" i="5"/>
  <c r="A1496" i="5"/>
  <c r="B1495" i="5"/>
  <c r="A1495" i="5"/>
  <c r="B1494" i="5"/>
  <c r="A1494" i="5"/>
  <c r="B1493" i="5"/>
  <c r="A1493" i="5"/>
  <c r="B1492" i="5"/>
  <c r="A1492" i="5"/>
  <c r="B1491" i="5"/>
  <c r="A1491" i="5"/>
  <c r="B1490" i="5"/>
  <c r="A1490" i="5"/>
  <c r="B1489" i="5"/>
  <c r="A1489" i="5"/>
  <c r="B1488" i="5"/>
  <c r="A1488" i="5"/>
  <c r="B1487" i="5"/>
  <c r="A1487" i="5"/>
  <c r="B1486" i="5"/>
  <c r="A1486" i="5"/>
  <c r="B1485" i="5"/>
  <c r="A1485" i="5"/>
  <c r="B1484" i="5"/>
  <c r="A1484" i="5"/>
  <c r="B1483" i="5"/>
  <c r="A1483" i="5"/>
  <c r="B1482" i="5"/>
  <c r="A1482" i="5"/>
  <c r="B1481" i="5"/>
  <c r="A1481" i="5"/>
  <c r="B1480" i="5"/>
  <c r="A1480" i="5"/>
  <c r="B1479" i="5"/>
  <c r="A1479" i="5"/>
  <c r="B1478" i="5"/>
  <c r="A1478" i="5"/>
  <c r="B1477" i="5"/>
  <c r="A1477" i="5"/>
  <c r="B1476" i="5"/>
  <c r="A1476" i="5"/>
  <c r="B1475" i="5"/>
  <c r="A1475" i="5"/>
  <c r="B1474" i="5"/>
  <c r="A1474" i="5"/>
  <c r="B1473" i="5"/>
  <c r="A1473" i="5"/>
  <c r="B1472" i="5"/>
  <c r="A1472" i="5"/>
  <c r="B1471" i="5"/>
  <c r="A1471" i="5"/>
  <c r="B1470" i="5"/>
  <c r="A1470" i="5"/>
  <c r="B1469" i="5"/>
  <c r="A1469" i="5"/>
  <c r="B1468" i="5"/>
  <c r="A1468" i="5"/>
  <c r="B1467" i="5"/>
  <c r="A1467" i="5"/>
  <c r="B1466" i="5"/>
  <c r="A1466" i="5"/>
  <c r="B1465" i="5"/>
  <c r="A1465" i="5"/>
  <c r="B1464" i="5"/>
  <c r="A1464" i="5"/>
  <c r="B1463" i="5"/>
  <c r="A1463" i="5"/>
  <c r="B1462" i="5"/>
  <c r="A1462" i="5"/>
  <c r="B1461" i="5"/>
  <c r="A1461" i="5"/>
  <c r="B1460" i="5"/>
  <c r="A1460" i="5"/>
  <c r="B1459" i="5"/>
  <c r="A1459" i="5"/>
  <c r="B1458" i="5"/>
  <c r="A1458" i="5"/>
  <c r="B1457" i="5"/>
  <c r="A1457" i="5"/>
  <c r="B1456" i="5"/>
  <c r="A1456" i="5"/>
  <c r="B1455" i="5"/>
  <c r="A1455" i="5"/>
  <c r="B1454" i="5"/>
  <c r="A1454" i="5"/>
  <c r="B1453" i="5"/>
  <c r="A1453" i="5"/>
  <c r="B1452" i="5"/>
  <c r="A1452" i="5"/>
  <c r="B1451" i="5"/>
  <c r="A1451" i="5"/>
  <c r="B1450" i="5"/>
  <c r="A1450" i="5"/>
  <c r="B1449" i="5"/>
  <c r="A1449" i="5"/>
  <c r="B1448" i="5"/>
  <c r="A1448" i="5"/>
  <c r="B1447" i="5"/>
  <c r="A1447" i="5"/>
  <c r="B1446" i="5"/>
  <c r="A1446" i="5"/>
  <c r="B1445" i="5"/>
  <c r="A1445" i="5"/>
  <c r="B1444" i="5"/>
  <c r="A1444" i="5"/>
  <c r="B1443" i="5"/>
  <c r="A1443" i="5"/>
  <c r="B1442" i="5"/>
  <c r="A1442" i="5"/>
  <c r="B1441" i="5"/>
  <c r="A1441" i="5"/>
  <c r="B1440" i="5"/>
  <c r="A1440" i="5"/>
  <c r="B1439" i="5"/>
  <c r="A1439" i="5"/>
  <c r="B1438" i="5"/>
  <c r="A1438" i="5"/>
  <c r="B1437" i="5"/>
  <c r="A1437" i="5"/>
  <c r="B1436" i="5"/>
  <c r="A1436" i="5"/>
  <c r="B1435" i="5"/>
  <c r="A1435" i="5"/>
  <c r="B1434" i="5"/>
  <c r="A1434" i="5"/>
  <c r="B1433" i="5"/>
  <c r="A1433" i="5"/>
  <c r="B1432" i="5"/>
  <c r="A1432" i="5"/>
  <c r="B1431" i="5"/>
  <c r="A1431" i="5"/>
  <c r="B1430" i="5"/>
  <c r="A1430" i="5"/>
  <c r="B1429" i="5"/>
  <c r="A1429" i="5"/>
  <c r="B1428" i="5"/>
  <c r="A1428" i="5"/>
  <c r="B1427" i="5"/>
  <c r="A1427" i="5"/>
  <c r="B1426" i="5"/>
  <c r="A1426" i="5"/>
  <c r="B1425" i="5"/>
  <c r="A1425" i="5"/>
  <c r="B1424" i="5"/>
  <c r="A1424" i="5"/>
  <c r="B1423" i="5"/>
  <c r="A1423" i="5"/>
  <c r="B1422" i="5"/>
  <c r="A1422" i="5"/>
  <c r="B1421" i="5"/>
  <c r="A1421" i="5"/>
  <c r="B1420" i="5"/>
  <c r="A1420" i="5"/>
  <c r="B1419" i="5"/>
  <c r="A1419" i="5"/>
  <c r="B1418" i="5"/>
  <c r="A1418" i="5"/>
  <c r="B1417" i="5"/>
  <c r="A1417" i="5"/>
  <c r="B1416" i="5"/>
  <c r="A1416" i="5"/>
  <c r="B1415" i="5"/>
  <c r="A1415" i="5"/>
  <c r="B1414" i="5"/>
  <c r="A1414" i="5"/>
  <c r="B1413" i="5"/>
  <c r="A1413" i="5"/>
  <c r="B1412" i="5"/>
  <c r="A1412" i="5"/>
  <c r="B1411" i="5"/>
  <c r="A1411" i="5"/>
  <c r="B1410" i="5"/>
  <c r="A1410" i="5"/>
  <c r="B1409" i="5"/>
  <c r="A1409" i="5"/>
  <c r="B1408" i="5"/>
  <c r="A1408" i="5"/>
  <c r="B1407" i="5"/>
  <c r="A1407" i="5"/>
  <c r="B1406" i="5"/>
  <c r="A1406" i="5"/>
  <c r="B1405" i="5"/>
  <c r="A1405" i="5"/>
  <c r="B1404" i="5"/>
  <c r="A1404" i="5"/>
  <c r="B1403" i="5"/>
  <c r="A1403" i="5"/>
  <c r="B1402" i="5"/>
  <c r="A1402" i="5"/>
  <c r="B1401" i="5"/>
  <c r="A1401" i="5"/>
  <c r="B1400" i="5"/>
  <c r="A1400" i="5"/>
  <c r="B1399" i="5"/>
  <c r="A1399" i="5"/>
  <c r="B1398" i="5"/>
  <c r="A1398" i="5"/>
  <c r="B1397" i="5"/>
  <c r="A1397" i="5"/>
  <c r="B1396" i="5"/>
  <c r="A1396" i="5"/>
  <c r="B1395" i="5"/>
  <c r="A1395" i="5"/>
  <c r="B1394" i="5"/>
  <c r="A1394" i="5"/>
  <c r="B1393" i="5"/>
  <c r="A1393" i="5"/>
  <c r="B1392" i="5"/>
  <c r="A1392" i="5"/>
  <c r="B1391" i="5"/>
  <c r="A1391" i="5"/>
  <c r="B1390" i="5"/>
  <c r="A1390" i="5"/>
  <c r="B1389" i="5"/>
  <c r="A1389" i="5"/>
  <c r="B1388" i="5"/>
  <c r="A1388" i="5"/>
  <c r="B1387" i="5"/>
  <c r="A1387" i="5"/>
  <c r="B1386" i="5"/>
  <c r="A1386" i="5"/>
  <c r="B1385" i="5"/>
  <c r="A1385" i="5"/>
  <c r="B1384" i="5"/>
  <c r="A1384" i="5"/>
  <c r="B1383" i="5"/>
  <c r="A1383" i="5"/>
  <c r="B1382" i="5"/>
  <c r="A1382" i="5"/>
  <c r="B1381" i="5"/>
  <c r="A1381" i="5"/>
  <c r="B1380" i="5"/>
  <c r="A1380" i="5"/>
  <c r="B1379" i="5"/>
  <c r="A1379" i="5"/>
  <c r="B1378" i="5"/>
  <c r="A1378" i="5"/>
  <c r="B1377" i="5"/>
  <c r="A1377" i="5"/>
  <c r="B1376" i="5"/>
  <c r="A1376" i="5"/>
  <c r="B1375" i="5"/>
  <c r="A1375" i="5"/>
  <c r="B1374" i="5"/>
  <c r="A1374" i="5"/>
  <c r="B1373" i="5"/>
  <c r="A1373" i="5"/>
  <c r="B1372" i="5"/>
  <c r="A1372" i="5"/>
  <c r="B1371" i="5"/>
  <c r="A1371" i="5"/>
  <c r="B1370" i="5"/>
  <c r="A1370" i="5"/>
  <c r="B1369" i="5"/>
  <c r="A1369" i="5"/>
  <c r="B1368" i="5"/>
  <c r="A1368" i="5"/>
  <c r="B1367" i="5"/>
  <c r="A1367" i="5"/>
  <c r="B1366" i="5"/>
  <c r="A1366" i="5"/>
  <c r="B1365" i="5"/>
  <c r="A1365" i="5"/>
  <c r="B1364" i="5"/>
  <c r="A1364" i="5"/>
  <c r="B1363" i="5"/>
  <c r="A1363" i="5"/>
  <c r="B1362" i="5"/>
  <c r="A1362" i="5"/>
  <c r="B1361" i="5"/>
  <c r="A1361" i="5"/>
  <c r="B1360" i="5"/>
  <c r="A1360" i="5"/>
  <c r="B1359" i="5"/>
  <c r="A1359" i="5"/>
  <c r="B1358" i="5"/>
  <c r="A1358" i="5"/>
  <c r="B1357" i="5"/>
  <c r="A1357" i="5"/>
  <c r="B1356" i="5"/>
  <c r="A1356" i="5"/>
  <c r="B1355" i="5"/>
  <c r="A1355" i="5"/>
  <c r="B1354" i="5"/>
  <c r="A1354" i="5"/>
  <c r="B1353" i="5"/>
  <c r="A1353" i="5"/>
  <c r="B1352" i="5"/>
  <c r="A1352" i="5"/>
  <c r="B1351" i="5"/>
  <c r="A1351" i="5"/>
  <c r="B1350" i="5"/>
  <c r="A1350" i="5"/>
  <c r="B1349" i="5"/>
  <c r="A1349" i="5"/>
  <c r="B1348" i="5"/>
  <c r="A1348" i="5"/>
  <c r="B1347" i="5"/>
  <c r="A1347" i="5"/>
  <c r="B1346" i="5"/>
  <c r="A1346" i="5"/>
  <c r="B1345" i="5"/>
  <c r="A1345" i="5"/>
  <c r="B1344" i="5"/>
  <c r="A1344" i="5"/>
  <c r="B1343" i="5"/>
  <c r="A1343" i="5"/>
  <c r="B1342" i="5"/>
  <c r="A1342" i="5"/>
  <c r="B1341" i="5"/>
  <c r="A1341" i="5"/>
  <c r="B1340" i="5"/>
  <c r="A1340" i="5"/>
  <c r="B1339" i="5"/>
  <c r="A1339" i="5"/>
  <c r="B1338" i="5"/>
  <c r="A1338" i="5"/>
  <c r="B1337" i="5"/>
  <c r="A1337" i="5"/>
  <c r="B1336" i="5"/>
  <c r="A1336" i="5"/>
  <c r="B1335" i="5"/>
  <c r="A1335" i="5"/>
  <c r="B1334" i="5"/>
  <c r="A1334" i="5"/>
  <c r="B1333" i="5"/>
  <c r="A1333" i="5"/>
  <c r="B1332" i="5"/>
  <c r="A1332" i="5"/>
  <c r="B1331" i="5"/>
  <c r="A1331" i="5"/>
  <c r="B1330" i="5"/>
  <c r="A1330" i="5"/>
  <c r="B1329" i="5"/>
  <c r="A1329" i="5"/>
  <c r="B1328" i="5"/>
  <c r="A1328" i="5"/>
  <c r="B1327" i="5"/>
  <c r="A1327" i="5"/>
  <c r="B1326" i="5"/>
  <c r="A1326" i="5"/>
  <c r="B1325" i="5"/>
  <c r="A1325" i="5"/>
  <c r="B1324" i="5"/>
  <c r="A1324" i="5"/>
  <c r="B1323" i="5"/>
  <c r="A1323" i="5"/>
  <c r="B1322" i="5"/>
  <c r="A1322" i="5"/>
  <c r="B1321" i="5"/>
  <c r="A1321" i="5"/>
  <c r="B1320" i="5"/>
  <c r="A1320" i="5"/>
  <c r="B1319" i="5"/>
  <c r="A1319" i="5"/>
  <c r="B1318" i="5"/>
  <c r="A1318" i="5"/>
  <c r="B1317" i="5"/>
  <c r="A1317" i="5"/>
  <c r="B1316" i="5"/>
  <c r="A1316" i="5"/>
  <c r="B1315" i="5"/>
  <c r="A1315" i="5"/>
  <c r="B1314" i="5"/>
  <c r="A1314" i="5"/>
  <c r="B1313" i="5"/>
  <c r="A1313" i="5"/>
  <c r="B1312" i="5"/>
  <c r="A1312" i="5"/>
  <c r="B1311" i="5"/>
  <c r="A1311" i="5"/>
  <c r="B1310" i="5"/>
  <c r="A1310" i="5"/>
  <c r="B1309" i="5"/>
  <c r="A1309" i="5"/>
  <c r="B1308" i="5"/>
  <c r="A1308" i="5"/>
  <c r="B1307" i="5"/>
  <c r="A1307" i="5"/>
  <c r="B1306" i="5"/>
  <c r="A1306" i="5"/>
  <c r="B1305" i="5"/>
  <c r="A1305" i="5"/>
  <c r="B1304" i="5"/>
  <c r="A1304" i="5"/>
  <c r="B1303" i="5"/>
  <c r="A1303" i="5"/>
  <c r="B1302" i="5"/>
  <c r="A1302" i="5"/>
  <c r="B1301" i="5"/>
  <c r="A1301" i="5"/>
  <c r="B1300" i="5"/>
  <c r="A1300" i="5"/>
  <c r="B1299" i="5"/>
  <c r="A1299" i="5"/>
  <c r="B1298" i="5"/>
  <c r="A1298" i="5"/>
  <c r="B1297" i="5"/>
  <c r="A1297" i="5"/>
  <c r="B1296" i="5"/>
  <c r="A1296" i="5"/>
  <c r="B1295" i="5"/>
  <c r="A1295" i="5"/>
  <c r="B1294" i="5"/>
  <c r="A1294" i="5"/>
  <c r="B1293" i="5"/>
  <c r="A1293" i="5"/>
  <c r="B1292" i="5"/>
  <c r="A1292" i="5"/>
  <c r="B1291" i="5"/>
  <c r="A1291" i="5"/>
  <c r="B1290" i="5"/>
  <c r="A1290" i="5"/>
  <c r="B1289" i="5"/>
  <c r="A1289" i="5"/>
  <c r="B1288" i="5"/>
  <c r="A1288" i="5"/>
  <c r="B1287" i="5"/>
  <c r="A1287" i="5"/>
  <c r="B1286" i="5"/>
  <c r="A1286" i="5"/>
  <c r="B1285" i="5"/>
  <c r="A1285" i="5"/>
  <c r="B1284" i="5"/>
  <c r="A1284" i="5"/>
  <c r="B1283" i="5"/>
  <c r="A1283" i="5"/>
  <c r="B1282" i="5"/>
  <c r="A1282" i="5"/>
  <c r="B1281" i="5"/>
  <c r="A1281" i="5"/>
  <c r="B1280" i="5"/>
  <c r="A1280" i="5"/>
  <c r="B1279" i="5"/>
  <c r="A1279" i="5"/>
  <c r="B1278" i="5"/>
  <c r="A1278" i="5"/>
  <c r="B1277" i="5"/>
  <c r="A1277" i="5"/>
  <c r="B1276" i="5"/>
  <c r="A1276" i="5"/>
  <c r="B1275" i="5"/>
  <c r="A1275" i="5"/>
  <c r="B1274" i="5"/>
  <c r="A1274" i="5"/>
  <c r="B1273" i="5"/>
  <c r="A1273" i="5"/>
  <c r="B1272" i="5"/>
  <c r="A1272" i="5"/>
  <c r="B1271" i="5"/>
  <c r="A1271" i="5"/>
  <c r="B1270" i="5"/>
  <c r="A1270" i="5"/>
  <c r="B1269" i="5"/>
  <c r="A1269" i="5"/>
  <c r="B1268" i="5"/>
  <c r="A1268" i="5"/>
  <c r="B1267" i="5"/>
  <c r="A1267" i="5"/>
  <c r="B1266" i="5"/>
  <c r="A1266" i="5"/>
  <c r="B1265" i="5"/>
  <c r="A1265" i="5"/>
  <c r="B1264" i="5"/>
  <c r="A1264" i="5"/>
  <c r="B1263" i="5"/>
  <c r="A1263" i="5"/>
  <c r="B1262" i="5"/>
  <c r="A1262" i="5"/>
  <c r="B1261" i="5"/>
  <c r="A1261" i="5"/>
  <c r="B1260" i="5"/>
  <c r="A1260" i="5"/>
  <c r="B1259" i="5"/>
  <c r="A1259" i="5"/>
  <c r="B1258" i="5"/>
  <c r="A1258" i="5"/>
  <c r="B1257" i="5"/>
  <c r="A1257" i="5"/>
  <c r="B1256" i="5"/>
  <c r="A1256" i="5"/>
  <c r="B1255" i="5"/>
  <c r="A1255" i="5"/>
  <c r="B1254" i="5"/>
  <c r="A1254" i="5"/>
  <c r="B1253" i="5"/>
  <c r="A1253" i="5"/>
  <c r="B1252" i="5"/>
  <c r="A1252" i="5"/>
  <c r="B1251" i="5"/>
  <c r="A1251" i="5"/>
  <c r="B1250" i="5"/>
  <c r="A1250" i="5"/>
  <c r="B1249" i="5"/>
  <c r="A1249" i="5"/>
  <c r="B1248" i="5"/>
  <c r="A1248" i="5"/>
  <c r="B1247" i="5"/>
  <c r="A1247" i="5"/>
  <c r="B1246" i="5"/>
  <c r="A1246" i="5"/>
  <c r="B1245" i="5"/>
  <c r="A1245" i="5"/>
  <c r="B1244" i="5"/>
  <c r="A1244" i="5"/>
  <c r="B1243" i="5"/>
  <c r="A1243" i="5"/>
  <c r="B1242" i="5"/>
  <c r="A1242" i="5"/>
  <c r="B1241" i="5"/>
  <c r="A1241" i="5"/>
  <c r="B1240" i="5"/>
  <c r="A1240" i="5"/>
  <c r="B1239" i="5"/>
  <c r="A1239" i="5"/>
  <c r="B1238" i="5"/>
  <c r="A1238" i="5"/>
  <c r="B1237" i="5"/>
  <c r="A1237" i="5"/>
  <c r="B1236" i="5"/>
  <c r="A1236" i="5"/>
  <c r="B1235" i="5"/>
  <c r="A1235" i="5"/>
  <c r="B1234" i="5"/>
  <c r="A1234" i="5"/>
  <c r="B1233" i="5"/>
  <c r="A1233" i="5"/>
  <c r="B1232" i="5"/>
  <c r="A1232" i="5"/>
  <c r="B1231" i="5"/>
  <c r="A1231" i="5"/>
  <c r="B1230" i="5"/>
  <c r="A1230" i="5"/>
  <c r="B1229" i="5"/>
  <c r="A1229" i="5"/>
  <c r="B1228" i="5"/>
  <c r="A1228" i="5"/>
  <c r="B1227" i="5"/>
  <c r="A1227" i="5"/>
  <c r="B1226" i="5"/>
  <c r="A1226" i="5"/>
  <c r="B1225" i="5"/>
  <c r="A1225" i="5"/>
  <c r="B1224" i="5"/>
  <c r="A1224" i="5"/>
  <c r="B1223" i="5"/>
  <c r="A1223" i="5"/>
  <c r="B1222" i="5"/>
  <c r="A1222" i="5"/>
  <c r="B1221" i="5"/>
  <c r="A1221" i="5"/>
  <c r="B1220" i="5"/>
  <c r="A1220" i="5"/>
  <c r="B1219" i="5"/>
  <c r="A1219" i="5"/>
  <c r="B1218" i="5"/>
  <c r="A1218" i="5"/>
  <c r="B1217" i="5"/>
  <c r="A1217" i="5"/>
  <c r="B1216" i="5"/>
  <c r="A1216" i="5"/>
  <c r="B1215" i="5"/>
  <c r="A1215" i="5"/>
  <c r="B1214" i="5"/>
  <c r="A1214" i="5"/>
  <c r="B1213" i="5"/>
  <c r="A1213" i="5"/>
  <c r="B1212" i="5"/>
  <c r="A1212" i="5"/>
  <c r="B1211" i="5"/>
  <c r="A1211" i="5"/>
  <c r="B1210" i="5"/>
  <c r="A1210" i="5"/>
  <c r="B1209" i="5"/>
  <c r="A1209" i="5"/>
  <c r="B1208" i="5"/>
  <c r="A1208" i="5"/>
  <c r="B1207" i="5"/>
  <c r="A1207" i="5"/>
  <c r="B1206" i="5"/>
  <c r="A1206" i="5"/>
  <c r="B1205" i="5"/>
  <c r="A1205" i="5"/>
  <c r="B1204" i="5"/>
  <c r="A1204" i="5"/>
  <c r="B1203" i="5"/>
  <c r="A1203" i="5"/>
  <c r="B1202" i="5"/>
  <c r="A1202" i="5"/>
  <c r="B1201" i="5"/>
  <c r="A1201" i="5"/>
  <c r="B1200" i="5"/>
  <c r="A1200" i="5"/>
  <c r="B1199" i="5"/>
  <c r="A1199" i="5"/>
  <c r="B1198" i="5"/>
  <c r="A1198" i="5"/>
  <c r="B1197" i="5"/>
  <c r="A1197" i="5"/>
  <c r="B1196" i="5"/>
  <c r="A1196" i="5"/>
  <c r="B1195" i="5"/>
  <c r="A1195" i="5"/>
  <c r="B1194" i="5"/>
  <c r="A1194" i="5"/>
  <c r="B1193" i="5"/>
  <c r="A1193" i="5"/>
  <c r="B1192" i="5"/>
  <c r="A1192" i="5"/>
  <c r="B1191" i="5"/>
  <c r="A1191" i="5"/>
  <c r="B1190" i="5"/>
  <c r="A1190" i="5"/>
  <c r="B1189" i="5"/>
  <c r="A1189" i="5"/>
  <c r="B1188" i="5"/>
  <c r="A1188" i="5"/>
  <c r="B1187" i="5"/>
  <c r="A1187" i="5"/>
  <c r="B1186" i="5"/>
  <c r="A1186" i="5"/>
  <c r="B1185" i="5"/>
  <c r="A1185" i="5"/>
  <c r="B1184" i="5"/>
  <c r="A1184" i="5"/>
  <c r="B1183" i="5"/>
  <c r="A1183" i="5"/>
  <c r="B1182" i="5"/>
  <c r="A1182" i="5"/>
  <c r="B1181" i="5"/>
  <c r="A1181" i="5"/>
  <c r="B1180" i="5"/>
  <c r="A1180" i="5"/>
  <c r="B1179" i="5"/>
  <c r="A1179" i="5"/>
  <c r="B1178" i="5"/>
  <c r="A1178" i="5"/>
  <c r="B1177" i="5"/>
  <c r="A1177" i="5"/>
  <c r="B1176" i="5"/>
  <c r="A1176" i="5"/>
  <c r="B1175" i="5"/>
  <c r="A1175" i="5"/>
  <c r="B1174" i="5"/>
  <c r="A1174" i="5"/>
  <c r="B1173" i="5"/>
  <c r="A1173" i="5"/>
  <c r="B1172" i="5"/>
  <c r="A1172" i="5"/>
  <c r="B1171" i="5"/>
  <c r="A1171" i="5"/>
  <c r="B1170" i="5"/>
  <c r="A1170" i="5"/>
  <c r="B1169" i="5"/>
  <c r="A1169" i="5"/>
  <c r="B1168" i="5"/>
  <c r="A1168" i="5"/>
  <c r="B1167" i="5"/>
  <c r="A1167" i="5"/>
  <c r="B1166" i="5"/>
  <c r="A1166" i="5"/>
  <c r="B1165" i="5"/>
  <c r="A1165" i="5"/>
  <c r="B1164" i="5"/>
  <c r="A1164" i="5"/>
  <c r="B1163" i="5"/>
  <c r="A1163" i="5"/>
  <c r="B1162" i="5"/>
  <c r="A1162" i="5"/>
  <c r="B1161" i="5"/>
  <c r="A1161" i="5"/>
  <c r="B1160" i="5"/>
  <c r="A1160" i="5"/>
  <c r="B1159" i="5"/>
  <c r="A1159" i="5"/>
  <c r="B1158" i="5"/>
  <c r="A1158" i="5"/>
  <c r="B1157" i="5"/>
  <c r="A1157" i="5"/>
  <c r="B1156" i="5"/>
  <c r="A1156" i="5"/>
  <c r="B1155" i="5"/>
  <c r="A1155" i="5"/>
  <c r="B1154" i="5"/>
  <c r="A1154" i="5"/>
  <c r="B1153" i="5"/>
  <c r="A1153" i="5"/>
  <c r="B1152" i="5"/>
  <c r="A1152" i="5"/>
  <c r="B1151" i="5"/>
  <c r="A1151" i="5"/>
  <c r="B1150" i="5"/>
  <c r="A1150" i="5"/>
  <c r="B1149" i="5"/>
  <c r="A1149" i="5"/>
  <c r="B1148" i="5"/>
  <c r="A1148" i="5"/>
  <c r="B1147" i="5"/>
  <c r="A1147" i="5"/>
  <c r="B1146" i="5"/>
  <c r="A1146" i="5"/>
  <c r="B1145" i="5"/>
  <c r="A1145" i="5"/>
  <c r="B1144" i="5"/>
  <c r="A1144" i="5"/>
  <c r="B1143" i="5"/>
  <c r="A1143" i="5"/>
  <c r="B1142" i="5"/>
  <c r="A1142" i="5"/>
  <c r="B1141" i="5"/>
  <c r="A1141" i="5"/>
  <c r="B1140" i="5"/>
  <c r="A1140" i="5"/>
  <c r="B1139" i="5"/>
  <c r="A1139" i="5"/>
  <c r="B1138" i="5"/>
  <c r="A1138" i="5"/>
  <c r="B1137" i="5"/>
  <c r="A1137" i="5"/>
  <c r="B1136" i="5"/>
  <c r="A1136" i="5"/>
  <c r="B1135" i="5"/>
  <c r="A1135" i="5"/>
  <c r="B1134" i="5"/>
  <c r="A1134" i="5"/>
  <c r="B1133" i="5"/>
  <c r="A1133" i="5"/>
  <c r="B1132" i="5"/>
  <c r="A1132" i="5"/>
  <c r="B1131" i="5"/>
  <c r="A1131" i="5"/>
  <c r="B1130" i="5"/>
  <c r="A1130" i="5"/>
  <c r="B1129" i="5"/>
  <c r="A1129" i="5"/>
  <c r="B1128" i="5"/>
  <c r="A1128" i="5"/>
  <c r="B1127" i="5"/>
  <c r="A1127" i="5"/>
  <c r="B1126" i="5"/>
  <c r="A1126" i="5"/>
  <c r="B1125" i="5"/>
  <c r="A1125" i="5"/>
  <c r="B1124" i="5"/>
  <c r="A1124" i="5"/>
  <c r="B1123" i="5"/>
  <c r="A1123" i="5"/>
  <c r="B1122" i="5"/>
  <c r="A1122" i="5"/>
  <c r="B1121" i="5"/>
  <c r="A1121" i="5"/>
  <c r="B1120" i="5"/>
  <c r="A1120" i="5"/>
  <c r="B1119" i="5"/>
  <c r="A1119" i="5"/>
  <c r="B1118" i="5"/>
  <c r="A1118" i="5"/>
  <c r="B1117" i="5"/>
  <c r="A1117" i="5"/>
  <c r="B1116" i="5"/>
  <c r="A1116" i="5"/>
  <c r="B1115" i="5"/>
  <c r="A1115" i="5"/>
  <c r="B1114" i="5"/>
  <c r="A1114" i="5"/>
  <c r="B1113" i="5"/>
  <c r="A1113" i="5"/>
  <c r="B1112" i="5"/>
  <c r="A1112" i="5"/>
  <c r="B1111" i="5"/>
  <c r="A1111" i="5"/>
  <c r="B1110" i="5"/>
  <c r="A1110" i="5"/>
  <c r="B1109" i="5"/>
  <c r="A1109" i="5"/>
  <c r="B1108" i="5"/>
  <c r="A1108" i="5"/>
  <c r="B1107" i="5"/>
  <c r="A1107" i="5"/>
  <c r="B1106" i="5"/>
  <c r="A1106" i="5"/>
  <c r="B1105" i="5"/>
  <c r="A1105" i="5"/>
  <c r="B1104" i="5"/>
  <c r="A1104" i="5"/>
  <c r="B1103" i="5"/>
  <c r="A1103" i="5"/>
  <c r="B1102" i="5"/>
  <c r="A1102" i="5"/>
  <c r="B1101" i="5"/>
  <c r="A1101" i="5"/>
  <c r="B1100" i="5"/>
  <c r="A1100" i="5"/>
  <c r="B1099" i="5"/>
  <c r="A1099" i="5"/>
  <c r="B1098" i="5"/>
  <c r="A1098" i="5"/>
  <c r="B1097" i="5"/>
  <c r="A1097" i="5"/>
  <c r="B1096" i="5"/>
  <c r="A1096" i="5"/>
  <c r="B1095" i="5"/>
  <c r="A1095" i="5"/>
  <c r="B1094" i="5"/>
  <c r="A1094" i="5"/>
  <c r="B1093" i="5"/>
  <c r="A1093" i="5"/>
  <c r="B1092" i="5"/>
  <c r="A1092" i="5"/>
  <c r="B1091" i="5"/>
  <c r="A1091" i="5"/>
  <c r="B1090" i="5"/>
  <c r="A1090" i="5"/>
  <c r="B1089" i="5"/>
  <c r="A1089" i="5"/>
  <c r="B1088" i="5"/>
  <c r="A1088" i="5"/>
  <c r="B1087" i="5"/>
  <c r="A1087" i="5"/>
  <c r="B1086" i="5"/>
  <c r="A1086" i="5"/>
  <c r="B1085" i="5"/>
  <c r="A1085" i="5"/>
  <c r="B1084" i="5"/>
  <c r="A1084" i="5"/>
  <c r="B1083" i="5"/>
  <c r="A1083" i="5"/>
  <c r="B1082" i="5"/>
  <c r="A1082" i="5"/>
  <c r="B1081" i="5"/>
  <c r="A1081" i="5"/>
  <c r="B1080" i="5"/>
  <c r="A1080" i="5"/>
  <c r="B1079" i="5"/>
  <c r="A1079" i="5"/>
  <c r="B1078" i="5"/>
  <c r="A1078" i="5"/>
  <c r="B1077" i="5"/>
  <c r="A1077" i="5"/>
  <c r="B1076" i="5"/>
  <c r="A1076" i="5"/>
  <c r="B1075" i="5"/>
  <c r="A1075" i="5"/>
  <c r="B1074" i="5"/>
  <c r="A1074" i="5"/>
  <c r="B1073" i="5"/>
  <c r="A1073" i="5"/>
  <c r="B1072" i="5"/>
  <c r="A1072" i="5"/>
  <c r="B1071" i="5"/>
  <c r="A1071" i="5"/>
  <c r="B1070" i="5"/>
  <c r="A1070" i="5"/>
  <c r="B1069" i="5"/>
  <c r="A1069" i="5"/>
  <c r="B1068" i="5"/>
  <c r="A1068" i="5"/>
  <c r="B1067" i="5"/>
  <c r="A1067" i="5"/>
  <c r="B1066" i="5"/>
  <c r="A1066" i="5"/>
  <c r="B1065" i="5"/>
  <c r="A1065" i="5"/>
  <c r="B1064" i="5"/>
  <c r="A1064" i="5"/>
  <c r="B1063" i="5"/>
  <c r="A1063" i="5"/>
  <c r="B1062" i="5"/>
  <c r="A1062" i="5"/>
  <c r="B1061" i="5"/>
  <c r="A1061" i="5"/>
  <c r="B1060" i="5"/>
  <c r="A1060" i="5"/>
  <c r="B1059" i="5"/>
  <c r="A1059" i="5"/>
  <c r="B1058" i="5"/>
  <c r="A1058" i="5"/>
  <c r="B1057" i="5"/>
  <c r="A1057" i="5"/>
  <c r="B1056" i="5"/>
  <c r="A1056" i="5"/>
  <c r="B1055" i="5"/>
  <c r="A1055" i="5"/>
  <c r="B1054" i="5"/>
  <c r="A1054" i="5"/>
  <c r="B1053" i="5"/>
  <c r="A1053" i="5"/>
  <c r="B1052" i="5"/>
  <c r="A1052" i="5"/>
  <c r="B1051" i="5"/>
  <c r="A1051" i="5"/>
  <c r="B1050" i="5"/>
  <c r="A1050" i="5"/>
  <c r="B1049" i="5"/>
  <c r="A1049" i="5"/>
  <c r="B1048" i="5"/>
  <c r="A1048" i="5"/>
  <c r="B1047" i="5"/>
  <c r="A1047" i="5"/>
  <c r="B1046" i="5"/>
  <c r="A1046" i="5"/>
  <c r="B1045" i="5"/>
  <c r="A1045" i="5"/>
  <c r="B1044" i="5"/>
  <c r="A1044" i="5"/>
  <c r="B1043" i="5"/>
  <c r="A1043" i="5"/>
  <c r="B1042" i="5"/>
  <c r="A1042" i="5"/>
  <c r="B1041" i="5"/>
  <c r="A1041" i="5"/>
  <c r="B1040" i="5"/>
  <c r="A1040" i="5"/>
  <c r="B1039" i="5"/>
  <c r="A1039" i="5"/>
  <c r="B1038" i="5"/>
  <c r="A1038" i="5"/>
  <c r="B1037" i="5"/>
  <c r="A1037" i="5"/>
  <c r="B1036" i="5"/>
  <c r="A1036" i="5"/>
  <c r="B1035" i="5"/>
  <c r="A1035" i="5"/>
  <c r="B1034" i="5"/>
  <c r="A1034" i="5"/>
  <c r="B1033" i="5"/>
  <c r="A1033" i="5"/>
  <c r="B1032" i="5"/>
  <c r="A1032" i="5"/>
  <c r="B1031" i="5"/>
  <c r="A1031" i="5"/>
  <c r="B1030" i="5"/>
  <c r="A1030" i="5"/>
  <c r="B1029" i="5"/>
  <c r="A1029" i="5"/>
  <c r="B1028" i="5"/>
  <c r="A1028" i="5"/>
  <c r="B1027" i="5"/>
  <c r="A1027" i="5"/>
  <c r="B1026" i="5"/>
  <c r="A1026" i="5"/>
  <c r="B1025" i="5"/>
  <c r="A1025" i="5"/>
  <c r="B1024" i="5"/>
  <c r="A1024" i="5"/>
  <c r="B1023" i="5"/>
  <c r="A1023" i="5"/>
  <c r="B1022" i="5"/>
  <c r="A1022" i="5"/>
  <c r="B1021" i="5"/>
  <c r="A1021" i="5"/>
  <c r="B1020" i="5"/>
  <c r="A1020" i="5"/>
  <c r="B1019" i="5"/>
  <c r="A1019" i="5"/>
  <c r="B1018" i="5"/>
  <c r="A1018" i="5"/>
  <c r="B1017" i="5"/>
  <c r="A1017" i="5"/>
  <c r="B1016" i="5"/>
  <c r="A1016" i="5"/>
  <c r="B1015" i="5"/>
  <c r="A1015" i="5"/>
  <c r="B1014" i="5"/>
  <c r="A1014" i="5"/>
  <c r="B1013" i="5"/>
  <c r="A1013" i="5"/>
  <c r="B1012" i="5"/>
  <c r="A1012" i="5"/>
  <c r="B1011" i="5"/>
  <c r="A1011" i="5"/>
  <c r="B1010" i="5"/>
  <c r="A1010" i="5"/>
  <c r="B1009" i="5"/>
  <c r="A1009" i="5"/>
  <c r="B1008" i="5"/>
  <c r="A1008" i="5"/>
  <c r="B1007" i="5"/>
  <c r="A1007" i="5"/>
  <c r="B1006" i="5"/>
  <c r="A1006" i="5"/>
  <c r="B1005" i="5"/>
  <c r="A1005" i="5"/>
  <c r="B1004" i="5"/>
  <c r="A1004" i="5"/>
  <c r="B1003" i="5"/>
  <c r="A1003" i="5"/>
  <c r="B1002" i="5"/>
  <c r="A1002" i="5"/>
  <c r="B1001" i="5"/>
  <c r="A1001" i="5"/>
  <c r="B1000" i="5"/>
  <c r="A1000" i="5"/>
  <c r="B999" i="5"/>
  <c r="A999" i="5"/>
  <c r="B998" i="5"/>
  <c r="A998" i="5"/>
  <c r="B997" i="5"/>
  <c r="A997" i="5"/>
  <c r="B996" i="5"/>
  <c r="A996" i="5"/>
  <c r="B995" i="5"/>
  <c r="A995" i="5"/>
  <c r="B994" i="5"/>
  <c r="A994" i="5"/>
  <c r="B993" i="5"/>
  <c r="A993" i="5"/>
  <c r="B992" i="5"/>
  <c r="A992" i="5"/>
  <c r="B991" i="5"/>
  <c r="A991" i="5"/>
  <c r="B990" i="5"/>
  <c r="A990" i="5"/>
  <c r="B989" i="5"/>
  <c r="A989" i="5"/>
  <c r="B988" i="5"/>
  <c r="A988" i="5"/>
  <c r="B987" i="5"/>
  <c r="A987" i="5"/>
  <c r="B986" i="5"/>
  <c r="A986" i="5"/>
  <c r="B985" i="5"/>
  <c r="A985" i="5"/>
  <c r="B984" i="5"/>
  <c r="A984" i="5"/>
  <c r="B983" i="5"/>
  <c r="A983" i="5"/>
  <c r="B982" i="5"/>
  <c r="A982" i="5"/>
  <c r="B981" i="5"/>
  <c r="A981" i="5"/>
  <c r="B980" i="5"/>
  <c r="A980" i="5"/>
  <c r="B979" i="5"/>
  <c r="A979" i="5"/>
  <c r="B978" i="5"/>
  <c r="A978" i="5"/>
  <c r="B977" i="5"/>
  <c r="A977" i="5"/>
  <c r="B976" i="5"/>
  <c r="A976" i="5"/>
  <c r="B975" i="5"/>
  <c r="A975" i="5"/>
  <c r="B974" i="5"/>
  <c r="A974" i="5"/>
  <c r="B973" i="5"/>
  <c r="A973" i="5"/>
  <c r="B972" i="5"/>
  <c r="A972" i="5"/>
  <c r="B971" i="5"/>
  <c r="A971" i="5"/>
  <c r="B970" i="5"/>
  <c r="A970" i="5"/>
  <c r="B969" i="5"/>
  <c r="A969" i="5"/>
  <c r="B968" i="5"/>
  <c r="A968" i="5"/>
  <c r="B967" i="5"/>
  <c r="A967" i="5"/>
  <c r="B966" i="5"/>
  <c r="A966" i="5"/>
  <c r="B965" i="5"/>
  <c r="A965" i="5"/>
  <c r="B964" i="5"/>
  <c r="A964" i="5"/>
  <c r="B963" i="5"/>
  <c r="A963" i="5"/>
  <c r="B962" i="5"/>
  <c r="A962" i="5"/>
  <c r="B961" i="5"/>
  <c r="A961" i="5"/>
  <c r="B960" i="5"/>
  <c r="A960" i="5"/>
  <c r="B959" i="5"/>
  <c r="A959" i="5"/>
  <c r="B958" i="5"/>
  <c r="A958" i="5"/>
  <c r="B957" i="5"/>
  <c r="A957" i="5"/>
  <c r="B956" i="5"/>
  <c r="A956" i="5"/>
  <c r="B955" i="5"/>
  <c r="A955" i="5"/>
  <c r="B954" i="5"/>
  <c r="A954" i="5"/>
  <c r="B953" i="5"/>
  <c r="A953" i="5"/>
  <c r="B952" i="5"/>
  <c r="A952" i="5"/>
  <c r="B951" i="5"/>
  <c r="A951" i="5"/>
  <c r="B950" i="5"/>
  <c r="A950" i="5"/>
  <c r="B949" i="5"/>
  <c r="A949" i="5"/>
  <c r="B948" i="5"/>
  <c r="A948" i="5"/>
  <c r="B947" i="5"/>
  <c r="A947" i="5"/>
  <c r="B946" i="5"/>
  <c r="A946" i="5"/>
  <c r="B945" i="5"/>
  <c r="A945" i="5"/>
  <c r="B944" i="5"/>
  <c r="A944" i="5"/>
  <c r="B943" i="5"/>
  <c r="A943" i="5"/>
  <c r="B942" i="5"/>
  <c r="A942" i="5"/>
  <c r="B941" i="5"/>
  <c r="A941" i="5"/>
  <c r="B940" i="5"/>
  <c r="A940" i="5"/>
  <c r="B939" i="5"/>
  <c r="A939" i="5"/>
  <c r="B938" i="5"/>
  <c r="A938" i="5"/>
  <c r="B937" i="5"/>
  <c r="A937" i="5"/>
  <c r="B936" i="5"/>
  <c r="A936" i="5"/>
  <c r="B935" i="5"/>
  <c r="A935" i="5"/>
  <c r="B934" i="5"/>
  <c r="A934" i="5"/>
  <c r="B933" i="5"/>
  <c r="A933" i="5"/>
  <c r="B932" i="5"/>
  <c r="A932" i="5"/>
  <c r="B931" i="5"/>
  <c r="A931" i="5"/>
  <c r="B930" i="5"/>
  <c r="A930" i="5"/>
  <c r="B929" i="5"/>
  <c r="A929" i="5"/>
  <c r="B928" i="5"/>
  <c r="A928" i="5"/>
  <c r="B927" i="5"/>
  <c r="A927" i="5"/>
  <c r="B926" i="5"/>
  <c r="A926" i="5"/>
  <c r="B925" i="5"/>
  <c r="A925" i="5"/>
  <c r="B924" i="5"/>
  <c r="A924" i="5"/>
  <c r="B923" i="5"/>
  <c r="A923" i="5"/>
  <c r="B922" i="5"/>
  <c r="A922" i="5"/>
  <c r="B921" i="5"/>
  <c r="A921" i="5"/>
  <c r="B920" i="5"/>
  <c r="A920" i="5"/>
  <c r="B919" i="5"/>
  <c r="A919" i="5"/>
  <c r="B918" i="5"/>
  <c r="A918" i="5"/>
  <c r="B917" i="5"/>
  <c r="A917" i="5"/>
  <c r="B916" i="5"/>
  <c r="A916" i="5"/>
  <c r="B915" i="5"/>
  <c r="A915" i="5"/>
  <c r="B914" i="5"/>
  <c r="A914" i="5"/>
  <c r="B913" i="5"/>
  <c r="A913" i="5"/>
  <c r="B912" i="5"/>
  <c r="A912" i="5"/>
  <c r="B911" i="5"/>
  <c r="A911" i="5"/>
  <c r="B910" i="5"/>
  <c r="A910" i="5"/>
  <c r="B909" i="5"/>
  <c r="A909" i="5"/>
  <c r="B908" i="5"/>
  <c r="A908" i="5"/>
  <c r="B907" i="5"/>
  <c r="A907" i="5"/>
  <c r="B906" i="5"/>
  <c r="A906" i="5"/>
  <c r="B905" i="5"/>
  <c r="A905" i="5"/>
  <c r="B904" i="5"/>
  <c r="A904" i="5"/>
  <c r="B903" i="5"/>
  <c r="A903" i="5"/>
  <c r="B902" i="5"/>
  <c r="A902" i="5"/>
  <c r="B901" i="5"/>
  <c r="A901" i="5"/>
  <c r="B900" i="5"/>
  <c r="A900" i="5"/>
  <c r="B899" i="5"/>
  <c r="A899" i="5"/>
  <c r="B898" i="5"/>
  <c r="A898" i="5"/>
  <c r="B897" i="5"/>
  <c r="A897" i="5"/>
  <c r="B896" i="5"/>
  <c r="A896" i="5"/>
  <c r="B895" i="5"/>
  <c r="A895" i="5"/>
  <c r="B894" i="5"/>
  <c r="A894" i="5"/>
  <c r="B893" i="5"/>
  <c r="A893" i="5"/>
  <c r="B892" i="5"/>
  <c r="A892" i="5"/>
  <c r="B891" i="5"/>
  <c r="A891" i="5"/>
  <c r="B890" i="5"/>
  <c r="A890" i="5"/>
  <c r="B889" i="5"/>
  <c r="A889" i="5"/>
  <c r="B888" i="5"/>
  <c r="A888" i="5"/>
  <c r="B887" i="5"/>
  <c r="A887" i="5"/>
  <c r="B886" i="5"/>
  <c r="A886" i="5"/>
  <c r="A885" i="5"/>
  <c r="B884" i="5"/>
  <c r="A884" i="5"/>
  <c r="B883" i="5"/>
  <c r="A883" i="5"/>
  <c r="B882" i="5"/>
  <c r="A882" i="5"/>
  <c r="B881" i="5"/>
  <c r="A881" i="5"/>
  <c r="B880" i="5"/>
  <c r="A880" i="5"/>
  <c r="B879" i="5"/>
  <c r="A879" i="5"/>
  <c r="B878" i="5"/>
  <c r="A878" i="5"/>
  <c r="B877" i="5"/>
  <c r="A877" i="5"/>
  <c r="B876" i="5"/>
  <c r="A876" i="5"/>
  <c r="B875" i="5"/>
  <c r="A875" i="5"/>
  <c r="B874" i="5"/>
  <c r="A874" i="5"/>
  <c r="B873" i="5"/>
  <c r="A873" i="5"/>
  <c r="B872" i="5"/>
  <c r="A872" i="5"/>
  <c r="B871" i="5"/>
  <c r="A871" i="5"/>
  <c r="B870" i="5"/>
  <c r="A870" i="5"/>
  <c r="B869" i="5"/>
  <c r="A869" i="5"/>
  <c r="B868" i="5"/>
  <c r="A868" i="5"/>
  <c r="B867" i="5"/>
  <c r="A867" i="5"/>
  <c r="B866" i="5"/>
  <c r="A866" i="5"/>
  <c r="B865" i="5"/>
  <c r="A865" i="5"/>
  <c r="B864" i="5"/>
  <c r="A864" i="5"/>
  <c r="B863" i="5"/>
  <c r="A863" i="5"/>
  <c r="B862" i="5"/>
  <c r="A862" i="5"/>
  <c r="B861" i="5"/>
  <c r="A861" i="5"/>
  <c r="B860" i="5"/>
  <c r="A860" i="5"/>
  <c r="B859" i="5"/>
  <c r="A859" i="5"/>
  <c r="B858" i="5"/>
  <c r="A858" i="5"/>
  <c r="B857" i="5"/>
  <c r="A857" i="5"/>
  <c r="B856" i="5"/>
  <c r="A856" i="5"/>
  <c r="B855" i="5"/>
  <c r="A855" i="5"/>
  <c r="B854" i="5"/>
  <c r="A854" i="5"/>
  <c r="B853" i="5"/>
  <c r="A853" i="5"/>
  <c r="B852" i="5"/>
  <c r="A852" i="5"/>
  <c r="B851" i="5"/>
  <c r="A851" i="5"/>
  <c r="B850" i="5"/>
  <c r="A850" i="5"/>
  <c r="B849" i="5"/>
  <c r="A849" i="5"/>
  <c r="B848" i="5"/>
  <c r="A848" i="5"/>
  <c r="B847" i="5"/>
  <c r="A847" i="5"/>
  <c r="B846" i="5"/>
  <c r="A846" i="5"/>
  <c r="B845" i="5"/>
  <c r="A845" i="5"/>
  <c r="B844" i="5"/>
  <c r="A844" i="5"/>
  <c r="B843" i="5"/>
  <c r="A843" i="5"/>
  <c r="B842" i="5"/>
  <c r="A842" i="5"/>
  <c r="B841" i="5"/>
  <c r="A841" i="5"/>
  <c r="B840" i="5"/>
  <c r="A840" i="5"/>
  <c r="B839" i="5"/>
  <c r="A839" i="5"/>
  <c r="B838" i="5"/>
  <c r="A838" i="5"/>
  <c r="B837" i="5"/>
  <c r="A837" i="5"/>
  <c r="B836" i="5"/>
  <c r="A836" i="5"/>
  <c r="B835" i="5"/>
  <c r="A835" i="5"/>
  <c r="B834" i="5"/>
  <c r="A834" i="5"/>
  <c r="B833" i="5"/>
  <c r="A833" i="5"/>
  <c r="B832" i="5"/>
  <c r="A832" i="5"/>
  <c r="B831" i="5"/>
  <c r="A831" i="5"/>
  <c r="B830" i="5"/>
  <c r="A830" i="5"/>
  <c r="B829" i="5"/>
  <c r="A829" i="5"/>
  <c r="B828" i="5"/>
  <c r="A828" i="5"/>
  <c r="B827" i="5"/>
  <c r="A827" i="5"/>
  <c r="B826" i="5"/>
  <c r="A826" i="5"/>
  <c r="B825" i="5"/>
  <c r="A825" i="5"/>
  <c r="B824" i="5"/>
  <c r="A824" i="5"/>
  <c r="B823" i="5"/>
  <c r="A823" i="5"/>
  <c r="B822" i="5"/>
  <c r="A822" i="5"/>
  <c r="B821" i="5"/>
  <c r="A821" i="5"/>
  <c r="B820" i="5"/>
  <c r="A820" i="5"/>
  <c r="B819" i="5"/>
  <c r="A819" i="5"/>
  <c r="B818" i="5"/>
  <c r="A818" i="5"/>
  <c r="B817" i="5"/>
  <c r="A817" i="5"/>
  <c r="B816" i="5"/>
  <c r="A816" i="5"/>
  <c r="B815" i="5"/>
  <c r="A815" i="5"/>
  <c r="B814" i="5"/>
  <c r="A814" i="5"/>
  <c r="B813" i="5"/>
  <c r="A813" i="5"/>
  <c r="B812" i="5"/>
  <c r="A812" i="5"/>
  <c r="B811" i="5"/>
  <c r="A811" i="5"/>
  <c r="B810" i="5"/>
  <c r="A810" i="5"/>
  <c r="B809" i="5"/>
  <c r="A809" i="5"/>
  <c r="B808" i="5"/>
  <c r="A808" i="5"/>
  <c r="B807" i="5"/>
  <c r="A807" i="5"/>
  <c r="B806" i="5"/>
  <c r="A806" i="5"/>
  <c r="B805" i="5"/>
  <c r="A805" i="5"/>
  <c r="B804" i="5"/>
  <c r="A804" i="5"/>
  <c r="B803" i="5"/>
  <c r="A803" i="5"/>
  <c r="B802" i="5"/>
  <c r="A802" i="5"/>
  <c r="B801" i="5"/>
  <c r="A801" i="5"/>
  <c r="B800" i="5"/>
  <c r="A800" i="5"/>
  <c r="B799" i="5"/>
  <c r="A799" i="5"/>
  <c r="B798" i="5"/>
  <c r="A798" i="5"/>
  <c r="B797" i="5"/>
  <c r="A797" i="5"/>
  <c r="B796" i="5"/>
  <c r="A796" i="5"/>
  <c r="B795" i="5"/>
  <c r="A795" i="5"/>
  <c r="B794" i="5"/>
  <c r="A794" i="5"/>
  <c r="B793" i="5"/>
  <c r="A793" i="5"/>
  <c r="B792" i="5"/>
  <c r="A792" i="5"/>
  <c r="B791" i="5"/>
  <c r="A791" i="5"/>
  <c r="B790" i="5"/>
  <c r="A790" i="5"/>
  <c r="B789" i="5"/>
  <c r="A789" i="5"/>
  <c r="B788" i="5"/>
  <c r="A788" i="5"/>
  <c r="B787" i="5"/>
  <c r="A787" i="5"/>
  <c r="B786" i="5"/>
  <c r="A786" i="5"/>
  <c r="B785" i="5"/>
  <c r="A785" i="5"/>
  <c r="B784" i="5"/>
  <c r="A784" i="5"/>
  <c r="B783" i="5"/>
  <c r="A783" i="5"/>
  <c r="B782" i="5"/>
  <c r="A782" i="5"/>
  <c r="B781" i="5"/>
  <c r="A781" i="5"/>
  <c r="B780" i="5"/>
  <c r="A780" i="5"/>
  <c r="B779" i="5"/>
  <c r="A779" i="5"/>
  <c r="A778" i="5"/>
  <c r="B777" i="5"/>
  <c r="A777" i="5"/>
  <c r="B776" i="5"/>
  <c r="A776" i="5"/>
  <c r="B775" i="5"/>
  <c r="A775" i="5"/>
  <c r="B774" i="5"/>
  <c r="A774" i="5"/>
  <c r="B773" i="5"/>
  <c r="A773" i="5"/>
  <c r="B772" i="5"/>
  <c r="A772" i="5"/>
  <c r="B771" i="5"/>
  <c r="A771" i="5"/>
  <c r="B770" i="5"/>
  <c r="A770" i="5"/>
  <c r="B769" i="5"/>
  <c r="A769" i="5"/>
  <c r="B768" i="5"/>
  <c r="A768" i="5"/>
  <c r="B767" i="5"/>
  <c r="A767" i="5"/>
  <c r="B766" i="5"/>
  <c r="A766" i="5"/>
  <c r="B765" i="5"/>
  <c r="A765" i="5"/>
  <c r="B764" i="5"/>
  <c r="A764" i="5"/>
  <c r="B763" i="5"/>
  <c r="A763" i="5"/>
  <c r="B762" i="5"/>
  <c r="A762" i="5"/>
  <c r="B761" i="5"/>
  <c r="A761" i="5"/>
  <c r="B760" i="5"/>
  <c r="A760" i="5"/>
  <c r="B759" i="5"/>
  <c r="A759" i="5"/>
  <c r="B758" i="5"/>
  <c r="A758" i="5"/>
  <c r="B757" i="5"/>
  <c r="A757" i="5"/>
  <c r="B756" i="5"/>
  <c r="A756" i="5"/>
  <c r="B755" i="5"/>
  <c r="A755" i="5"/>
  <c r="B754" i="5"/>
  <c r="A754" i="5"/>
  <c r="B753" i="5"/>
  <c r="A753" i="5"/>
  <c r="B752" i="5"/>
  <c r="A752" i="5"/>
  <c r="B751" i="5"/>
  <c r="A751" i="5"/>
  <c r="B750" i="5"/>
  <c r="A750" i="5"/>
  <c r="B749" i="5"/>
  <c r="A749" i="5"/>
  <c r="B748" i="5"/>
  <c r="A748" i="5"/>
  <c r="B747" i="5"/>
  <c r="A747" i="5"/>
  <c r="B746" i="5"/>
  <c r="A746" i="5"/>
  <c r="B745" i="5"/>
  <c r="A745" i="5"/>
  <c r="B744" i="5"/>
  <c r="A744" i="5"/>
  <c r="B743" i="5"/>
  <c r="A743" i="5"/>
  <c r="B742" i="5"/>
  <c r="A742" i="5"/>
  <c r="B741" i="5"/>
  <c r="A741" i="5"/>
  <c r="B740" i="5"/>
  <c r="A740" i="5"/>
  <c r="B739" i="5"/>
  <c r="A739" i="5"/>
  <c r="B738" i="5"/>
  <c r="A738" i="5"/>
  <c r="B737" i="5"/>
  <c r="A737" i="5"/>
  <c r="B736" i="5"/>
  <c r="A736" i="5"/>
  <c r="B735" i="5"/>
  <c r="A735" i="5"/>
  <c r="B734" i="5"/>
  <c r="A734" i="5"/>
  <c r="B733" i="5"/>
  <c r="A733" i="5"/>
  <c r="B732" i="5"/>
  <c r="A732" i="5"/>
  <c r="B731" i="5"/>
  <c r="A731" i="5"/>
  <c r="B730" i="5"/>
  <c r="A730" i="5"/>
  <c r="B729" i="5"/>
  <c r="A729" i="5"/>
  <c r="B728" i="5"/>
  <c r="A728" i="5"/>
  <c r="B727" i="5"/>
  <c r="A727" i="5"/>
  <c r="B726" i="5"/>
  <c r="A726" i="5"/>
  <c r="B725" i="5"/>
  <c r="A725" i="5"/>
  <c r="B724" i="5"/>
  <c r="A724" i="5"/>
  <c r="B723" i="5"/>
  <c r="A723" i="5"/>
  <c r="B722" i="5"/>
  <c r="A722" i="5"/>
  <c r="B721" i="5"/>
  <c r="A721" i="5"/>
  <c r="B720" i="5"/>
  <c r="A720" i="5"/>
  <c r="B719" i="5"/>
  <c r="A719" i="5"/>
  <c r="B718" i="5"/>
  <c r="A718" i="5"/>
  <c r="B717" i="5"/>
  <c r="A717" i="5"/>
  <c r="B716" i="5"/>
  <c r="A716" i="5"/>
  <c r="B715" i="5"/>
  <c r="A715" i="5"/>
  <c r="B714" i="5"/>
  <c r="A714" i="5"/>
  <c r="B713" i="5"/>
  <c r="A713" i="5"/>
  <c r="B712" i="5"/>
  <c r="A712" i="5"/>
  <c r="B711" i="5"/>
  <c r="A711" i="5"/>
  <c r="B710" i="5"/>
  <c r="A710" i="5"/>
  <c r="B709" i="5"/>
  <c r="A709" i="5"/>
  <c r="B708" i="5"/>
  <c r="A708" i="5"/>
  <c r="B707" i="5"/>
  <c r="A707" i="5"/>
  <c r="B706" i="5"/>
  <c r="A706" i="5"/>
  <c r="B705" i="5"/>
  <c r="A705" i="5"/>
  <c r="B704" i="5"/>
  <c r="A704" i="5"/>
  <c r="B703" i="5"/>
  <c r="A703" i="5"/>
  <c r="B702" i="5"/>
  <c r="A702" i="5"/>
  <c r="B701" i="5"/>
  <c r="A701" i="5"/>
  <c r="B700" i="5"/>
  <c r="A700" i="5"/>
  <c r="B699" i="5"/>
  <c r="A699" i="5"/>
  <c r="B698" i="5"/>
  <c r="A698" i="5"/>
  <c r="B697" i="5"/>
  <c r="A697" i="5"/>
  <c r="B696" i="5"/>
  <c r="A696" i="5"/>
  <c r="B695" i="5"/>
  <c r="A695" i="5"/>
  <c r="B694" i="5"/>
  <c r="A694" i="5"/>
  <c r="B693" i="5"/>
  <c r="A693" i="5"/>
  <c r="B692" i="5"/>
  <c r="A692" i="5"/>
  <c r="B691" i="5"/>
  <c r="A691" i="5"/>
  <c r="B690" i="5"/>
  <c r="A690" i="5"/>
  <c r="B689" i="5"/>
  <c r="A689" i="5"/>
  <c r="B688" i="5"/>
  <c r="A688" i="5"/>
  <c r="B687" i="5"/>
  <c r="A687" i="5"/>
  <c r="B686" i="5"/>
  <c r="A686" i="5"/>
  <c r="B685" i="5"/>
  <c r="A685" i="5"/>
  <c r="B684" i="5"/>
  <c r="A684" i="5"/>
  <c r="B683" i="5"/>
  <c r="A683" i="5"/>
  <c r="B682" i="5"/>
  <c r="A682" i="5"/>
  <c r="B681" i="5"/>
  <c r="A681" i="5"/>
  <c r="B680" i="5"/>
  <c r="A680" i="5"/>
  <c r="B679" i="5"/>
  <c r="A679" i="5"/>
  <c r="B678" i="5"/>
  <c r="A678" i="5"/>
  <c r="B677" i="5"/>
  <c r="A677" i="5"/>
  <c r="B676" i="5"/>
  <c r="A676" i="5"/>
  <c r="B675" i="5"/>
  <c r="A675" i="5"/>
  <c r="B674" i="5"/>
  <c r="A674" i="5"/>
  <c r="B673" i="5"/>
  <c r="A673" i="5"/>
  <c r="B672" i="5"/>
  <c r="A672" i="5"/>
  <c r="B671" i="5"/>
  <c r="A671" i="5"/>
  <c r="B670" i="5"/>
  <c r="A670" i="5"/>
  <c r="B669" i="5"/>
  <c r="A669" i="5"/>
  <c r="B668" i="5"/>
  <c r="A668" i="5"/>
  <c r="B667" i="5"/>
  <c r="A667" i="5"/>
  <c r="B666" i="5"/>
  <c r="A666" i="5"/>
  <c r="B665" i="5"/>
  <c r="A665" i="5"/>
  <c r="B664" i="5"/>
  <c r="A664" i="5"/>
  <c r="B663" i="5"/>
  <c r="A663" i="5"/>
  <c r="B662" i="5"/>
  <c r="A662" i="5"/>
  <c r="B661" i="5"/>
  <c r="A661" i="5"/>
  <c r="B660" i="5"/>
  <c r="A660" i="5"/>
  <c r="B659" i="5"/>
  <c r="A659" i="5"/>
  <c r="B658" i="5"/>
  <c r="A658" i="5"/>
  <c r="B657" i="5"/>
  <c r="A657" i="5"/>
  <c r="B656" i="5"/>
  <c r="A656" i="5"/>
  <c r="B655" i="5"/>
  <c r="A655" i="5"/>
  <c r="B654" i="5"/>
  <c r="A654" i="5"/>
  <c r="B653" i="5"/>
  <c r="A653" i="5"/>
  <c r="B652" i="5"/>
  <c r="A652" i="5"/>
  <c r="B651" i="5"/>
  <c r="A651" i="5"/>
  <c r="B650" i="5"/>
  <c r="A650" i="5"/>
  <c r="B649" i="5"/>
  <c r="A649" i="5"/>
  <c r="B648" i="5"/>
  <c r="A648" i="5"/>
  <c r="B647" i="5"/>
  <c r="A647" i="5"/>
  <c r="B646" i="5"/>
  <c r="A646" i="5"/>
  <c r="B645" i="5"/>
  <c r="A645" i="5"/>
  <c r="B644" i="5"/>
  <c r="A644" i="5"/>
  <c r="B643" i="5"/>
  <c r="A643" i="5"/>
  <c r="B642" i="5"/>
  <c r="A642" i="5"/>
  <c r="B641" i="5"/>
  <c r="A641" i="5"/>
  <c r="B640" i="5"/>
  <c r="A640" i="5"/>
  <c r="B639" i="5"/>
  <c r="A639" i="5"/>
  <c r="B638" i="5"/>
  <c r="A638" i="5"/>
  <c r="B637" i="5"/>
  <c r="A637" i="5"/>
  <c r="B636" i="5"/>
  <c r="A636" i="5"/>
  <c r="B635" i="5"/>
  <c r="A635" i="5"/>
  <c r="B634" i="5"/>
  <c r="A634" i="5"/>
  <c r="B633" i="5"/>
  <c r="A633" i="5"/>
  <c r="B632" i="5"/>
  <c r="A632" i="5"/>
  <c r="B631" i="5"/>
  <c r="A631" i="5"/>
  <c r="B630" i="5"/>
  <c r="A630" i="5"/>
  <c r="B629" i="5"/>
  <c r="A629" i="5"/>
  <c r="B628" i="5"/>
  <c r="A628" i="5"/>
  <c r="B627" i="5"/>
  <c r="A627" i="5"/>
  <c r="B626" i="5"/>
  <c r="A626" i="5"/>
  <c r="B625" i="5"/>
  <c r="A625" i="5"/>
  <c r="B624" i="5"/>
  <c r="A624" i="5"/>
  <c r="B623" i="5"/>
  <c r="A623" i="5"/>
  <c r="B622" i="5"/>
  <c r="A622" i="5"/>
  <c r="B621" i="5"/>
  <c r="A621" i="5"/>
  <c r="B620" i="5"/>
  <c r="A620" i="5"/>
  <c r="B619" i="5"/>
  <c r="A619" i="5"/>
  <c r="B618" i="5"/>
  <c r="A618" i="5"/>
  <c r="B617" i="5"/>
  <c r="A617" i="5"/>
  <c r="B616" i="5"/>
  <c r="A616" i="5"/>
  <c r="B615" i="5"/>
  <c r="A615" i="5"/>
  <c r="B614" i="5"/>
  <c r="A614" i="5"/>
  <c r="B613" i="5"/>
  <c r="A613" i="5"/>
  <c r="B612" i="5"/>
  <c r="A612" i="5"/>
  <c r="B611" i="5"/>
  <c r="A611" i="5"/>
  <c r="B610" i="5"/>
  <c r="A610" i="5"/>
  <c r="B609" i="5"/>
  <c r="A609" i="5"/>
  <c r="B608" i="5"/>
  <c r="A608" i="5"/>
  <c r="B607" i="5"/>
  <c r="A607" i="5"/>
  <c r="B606" i="5"/>
  <c r="A606" i="5"/>
  <c r="B605" i="5"/>
  <c r="A605" i="5"/>
  <c r="B604" i="5"/>
  <c r="A604" i="5"/>
  <c r="B603" i="5"/>
  <c r="A603" i="5"/>
  <c r="B602" i="5"/>
  <c r="A602" i="5"/>
  <c r="B601" i="5"/>
  <c r="A601" i="5"/>
  <c r="B600" i="5"/>
  <c r="A600" i="5"/>
  <c r="B599" i="5"/>
  <c r="A599" i="5"/>
  <c r="B598" i="5"/>
  <c r="A598" i="5"/>
  <c r="B597" i="5"/>
  <c r="A597" i="5"/>
  <c r="B596" i="5"/>
  <c r="A596" i="5"/>
  <c r="B595" i="5"/>
  <c r="A595" i="5"/>
  <c r="B594" i="5"/>
  <c r="A594" i="5"/>
  <c r="B593" i="5"/>
  <c r="A593" i="5"/>
  <c r="B592" i="5"/>
  <c r="A592" i="5"/>
  <c r="B591" i="5"/>
  <c r="A591" i="5"/>
  <c r="B590" i="5"/>
  <c r="A590" i="5"/>
  <c r="B589" i="5"/>
  <c r="A589" i="5"/>
  <c r="B588" i="5"/>
  <c r="A588" i="5"/>
  <c r="B587" i="5"/>
  <c r="A587" i="5"/>
  <c r="B586" i="5"/>
  <c r="A586" i="5"/>
  <c r="B585" i="5"/>
  <c r="A585" i="5"/>
  <c r="B584" i="5"/>
  <c r="A584" i="5"/>
  <c r="B583" i="5"/>
  <c r="A583" i="5"/>
  <c r="B582" i="5"/>
  <c r="A582" i="5"/>
  <c r="B581" i="5"/>
  <c r="A581" i="5"/>
  <c r="B580" i="5"/>
  <c r="A580" i="5"/>
  <c r="B579" i="5"/>
  <c r="A579" i="5"/>
  <c r="B578" i="5"/>
  <c r="A578" i="5"/>
  <c r="B577" i="5"/>
  <c r="A577" i="5"/>
  <c r="B576" i="5"/>
  <c r="A576" i="5"/>
  <c r="B575" i="5"/>
  <c r="A575" i="5"/>
  <c r="B574" i="5"/>
  <c r="A574" i="5"/>
  <c r="B573" i="5"/>
  <c r="A573" i="5"/>
  <c r="B572" i="5"/>
  <c r="A572" i="5"/>
  <c r="B571" i="5"/>
  <c r="A571" i="5"/>
  <c r="B570" i="5"/>
  <c r="A570" i="5"/>
  <c r="B569" i="5"/>
  <c r="A569" i="5"/>
  <c r="B568" i="5"/>
  <c r="A568" i="5"/>
  <c r="B567" i="5"/>
  <c r="A567" i="5"/>
  <c r="B566" i="5"/>
  <c r="A566" i="5"/>
  <c r="B565" i="5"/>
  <c r="A565" i="5"/>
  <c r="B564" i="5"/>
  <c r="A564" i="5"/>
  <c r="B563" i="5"/>
  <c r="A563" i="5"/>
  <c r="B562" i="5"/>
  <c r="A562" i="5"/>
  <c r="B561" i="5"/>
  <c r="A561" i="5"/>
  <c r="B560" i="5"/>
  <c r="A560" i="5"/>
  <c r="B559" i="5"/>
  <c r="A559" i="5"/>
  <c r="B558" i="5"/>
  <c r="A558" i="5"/>
  <c r="B557" i="5"/>
  <c r="A557" i="5"/>
  <c r="B556" i="5"/>
  <c r="A556" i="5"/>
  <c r="B555" i="5"/>
  <c r="A555" i="5"/>
  <c r="B554" i="5"/>
  <c r="A554" i="5"/>
  <c r="B553" i="5"/>
  <c r="A553" i="5"/>
  <c r="B552" i="5"/>
  <c r="A552" i="5"/>
  <c r="B551" i="5"/>
  <c r="A551" i="5"/>
  <c r="B550" i="5"/>
  <c r="A550" i="5"/>
  <c r="B549" i="5"/>
  <c r="A549" i="5"/>
  <c r="B548" i="5"/>
  <c r="A548" i="5"/>
  <c r="B547" i="5"/>
  <c r="A547" i="5"/>
  <c r="B546" i="5"/>
  <c r="A546" i="5"/>
  <c r="B545" i="5"/>
  <c r="A545" i="5"/>
  <c r="B544" i="5"/>
  <c r="A544" i="5"/>
  <c r="B543" i="5"/>
  <c r="A543" i="5"/>
  <c r="B542" i="5"/>
  <c r="A542" i="5"/>
  <c r="B541" i="5"/>
  <c r="A541" i="5"/>
  <c r="B540" i="5"/>
  <c r="A540" i="5"/>
  <c r="B539" i="5"/>
  <c r="A539" i="5"/>
  <c r="B538" i="5"/>
  <c r="A538" i="5"/>
  <c r="B537" i="5"/>
  <c r="A537" i="5"/>
  <c r="B536" i="5"/>
  <c r="A536" i="5"/>
  <c r="B535" i="5"/>
  <c r="A535" i="5"/>
  <c r="B534" i="5"/>
  <c r="A534" i="5"/>
  <c r="B533" i="5"/>
  <c r="A533" i="5"/>
  <c r="B532" i="5"/>
  <c r="A532" i="5"/>
  <c r="B531" i="5"/>
  <c r="A531" i="5"/>
  <c r="B530" i="5"/>
  <c r="A530" i="5"/>
  <c r="B529" i="5"/>
  <c r="A529" i="5"/>
  <c r="B528" i="5"/>
  <c r="A528" i="5"/>
  <c r="B527" i="5"/>
  <c r="A527" i="5"/>
  <c r="B526" i="5"/>
  <c r="A526" i="5"/>
  <c r="B525" i="5"/>
  <c r="A525" i="5"/>
  <c r="A524" i="5"/>
  <c r="A523" i="5"/>
  <c r="B522" i="5"/>
  <c r="A522" i="5"/>
  <c r="B521" i="5"/>
  <c r="A521" i="5"/>
  <c r="B520" i="5"/>
  <c r="A520" i="5"/>
  <c r="B519" i="5"/>
  <c r="A519" i="5"/>
  <c r="B518" i="5"/>
  <c r="A518" i="5"/>
  <c r="A517" i="5"/>
  <c r="A516" i="5"/>
  <c r="A515" i="5"/>
  <c r="A514" i="5"/>
  <c r="A513" i="5"/>
  <c r="A512" i="5"/>
  <c r="B511" i="5"/>
  <c r="A511" i="5"/>
  <c r="A510" i="5"/>
  <c r="A509" i="5"/>
  <c r="A508" i="5"/>
  <c r="B507" i="5"/>
  <c r="A507" i="5"/>
  <c r="B506" i="5"/>
  <c r="A506" i="5"/>
  <c r="B505" i="5"/>
  <c r="A505" i="5"/>
  <c r="B504" i="5"/>
  <c r="A504" i="5"/>
  <c r="A503" i="5"/>
  <c r="B502" i="5"/>
  <c r="A502" i="5"/>
  <c r="A501" i="5"/>
  <c r="B500" i="5"/>
  <c r="A500" i="5"/>
  <c r="B499" i="5"/>
  <c r="A499" i="5"/>
  <c r="B498" i="5"/>
  <c r="A498" i="5"/>
  <c r="B497" i="5"/>
  <c r="A497" i="5"/>
  <c r="B496" i="5"/>
  <c r="A496" i="5"/>
  <c r="B495" i="5"/>
  <c r="A495" i="5"/>
  <c r="A494" i="5"/>
  <c r="B493" i="5"/>
  <c r="A493" i="5"/>
  <c r="B492" i="5"/>
  <c r="A492" i="5"/>
  <c r="B491" i="5"/>
  <c r="A491" i="5"/>
  <c r="B490" i="5"/>
  <c r="A490" i="5"/>
  <c r="B489" i="5"/>
  <c r="A489" i="5"/>
  <c r="B488" i="5"/>
  <c r="A488" i="5"/>
  <c r="B487" i="5"/>
  <c r="A487" i="5"/>
  <c r="A486" i="5"/>
  <c r="B485" i="5"/>
  <c r="A485" i="5"/>
  <c r="B484" i="5"/>
  <c r="A484" i="5"/>
  <c r="B483" i="5"/>
  <c r="A483" i="5"/>
  <c r="B482" i="5"/>
  <c r="A482" i="5"/>
  <c r="B481" i="5"/>
  <c r="A481" i="5"/>
  <c r="B480" i="5"/>
  <c r="A480" i="5"/>
  <c r="B479" i="5"/>
  <c r="A479" i="5"/>
  <c r="B478" i="5"/>
  <c r="A478" i="5"/>
  <c r="B477" i="5"/>
  <c r="A477" i="5"/>
  <c r="B476" i="5"/>
  <c r="A476" i="5"/>
  <c r="B475" i="5"/>
  <c r="A475" i="5"/>
  <c r="B474" i="5"/>
  <c r="A474" i="5"/>
  <c r="B473" i="5"/>
  <c r="A473" i="5"/>
  <c r="B472" i="5"/>
  <c r="A472" i="5"/>
  <c r="B471" i="5"/>
  <c r="A471" i="5"/>
  <c r="B470" i="5"/>
  <c r="A470" i="5"/>
  <c r="B469" i="5"/>
  <c r="A469" i="5"/>
  <c r="B468" i="5"/>
  <c r="A468" i="5"/>
  <c r="B467" i="5"/>
  <c r="A467" i="5"/>
  <c r="B466" i="5"/>
  <c r="A466" i="5"/>
  <c r="B465" i="5"/>
  <c r="A465" i="5"/>
  <c r="B464" i="5"/>
  <c r="A464" i="5"/>
  <c r="B463" i="5"/>
  <c r="A463" i="5"/>
  <c r="B462" i="5"/>
  <c r="A462" i="5"/>
  <c r="B461" i="5"/>
  <c r="A461" i="5"/>
  <c r="A460" i="5"/>
  <c r="B459" i="5"/>
  <c r="A459" i="5"/>
  <c r="B458" i="5"/>
  <c r="A458" i="5"/>
  <c r="B457" i="5"/>
  <c r="A457" i="5"/>
  <c r="B456" i="5"/>
  <c r="A456" i="5"/>
  <c r="B455" i="5"/>
  <c r="A455" i="5"/>
  <c r="A454" i="5"/>
  <c r="B453" i="5"/>
  <c r="A453" i="5"/>
  <c r="B452" i="5"/>
  <c r="A452" i="5"/>
  <c r="B451" i="5"/>
  <c r="A451" i="5"/>
  <c r="B450" i="5"/>
  <c r="A450" i="5"/>
  <c r="B449" i="5"/>
  <c r="A449" i="5"/>
  <c r="B448" i="5"/>
  <c r="A448" i="5"/>
  <c r="A447" i="5"/>
  <c r="A446" i="5"/>
  <c r="A445" i="5"/>
  <c r="B444" i="5"/>
  <c r="A444" i="5"/>
  <c r="B443" i="5"/>
  <c r="A443" i="5"/>
  <c r="B442" i="5"/>
  <c r="A442" i="5"/>
  <c r="B441" i="5"/>
  <c r="A441" i="5"/>
  <c r="A440" i="5"/>
  <c r="B439" i="5"/>
  <c r="A439" i="5"/>
  <c r="A438" i="5"/>
  <c r="B437" i="5"/>
  <c r="A437" i="5"/>
  <c r="A436" i="5"/>
  <c r="B435" i="5"/>
  <c r="A435" i="5"/>
  <c r="B434" i="5"/>
  <c r="A434" i="5"/>
  <c r="A433" i="5"/>
  <c r="B432" i="5"/>
  <c r="A432" i="5"/>
  <c r="B431" i="5"/>
  <c r="A431" i="5"/>
  <c r="B430" i="5"/>
  <c r="A430" i="5"/>
  <c r="B429" i="5"/>
  <c r="A429" i="5"/>
  <c r="A428" i="5"/>
  <c r="B427" i="5"/>
  <c r="A427" i="5"/>
  <c r="B426" i="5"/>
  <c r="A426" i="5"/>
  <c r="B425" i="5"/>
  <c r="A425" i="5"/>
  <c r="B424" i="5"/>
  <c r="A424" i="5"/>
  <c r="B423" i="5"/>
  <c r="A423" i="5"/>
  <c r="A422" i="5"/>
  <c r="B421" i="5"/>
  <c r="A421" i="5"/>
  <c r="B420" i="5"/>
  <c r="A420" i="5"/>
  <c r="B419" i="5"/>
  <c r="A419" i="5"/>
  <c r="B418" i="5"/>
  <c r="A418" i="5"/>
  <c r="B417" i="5"/>
  <c r="A417" i="5"/>
  <c r="B416" i="5"/>
  <c r="A416" i="5"/>
  <c r="B415" i="5"/>
  <c r="A415" i="5"/>
  <c r="B414" i="5"/>
  <c r="A414" i="5"/>
  <c r="B413" i="5"/>
  <c r="A413" i="5"/>
  <c r="B412" i="5"/>
  <c r="A412" i="5"/>
  <c r="B411" i="5"/>
  <c r="A411" i="5"/>
  <c r="B410" i="5"/>
  <c r="A410" i="5"/>
  <c r="B409" i="5"/>
  <c r="A409" i="5"/>
  <c r="B408" i="5"/>
  <c r="A408" i="5"/>
  <c r="B407" i="5"/>
  <c r="A407" i="5"/>
  <c r="B406" i="5"/>
  <c r="A406" i="5"/>
  <c r="B405" i="5"/>
  <c r="A405" i="5"/>
  <c r="B404" i="5"/>
  <c r="A404" i="5"/>
  <c r="B403" i="5"/>
  <c r="A403" i="5"/>
  <c r="B402" i="5"/>
  <c r="A402" i="5"/>
  <c r="B401" i="5"/>
  <c r="A401" i="5"/>
  <c r="B400" i="5"/>
  <c r="A400" i="5"/>
  <c r="B399" i="5"/>
  <c r="A399" i="5"/>
  <c r="B398" i="5"/>
  <c r="A398" i="5"/>
  <c r="B397" i="5"/>
  <c r="A397" i="5"/>
  <c r="B396" i="5"/>
  <c r="A396" i="5"/>
  <c r="B395" i="5"/>
  <c r="A395" i="5"/>
  <c r="B394" i="5"/>
  <c r="A394" i="5"/>
  <c r="B393" i="5"/>
  <c r="A393" i="5"/>
  <c r="B392" i="5"/>
  <c r="A392" i="5"/>
  <c r="B391" i="5"/>
  <c r="A391" i="5"/>
  <c r="B390" i="5"/>
  <c r="A390" i="5"/>
  <c r="B389" i="5"/>
  <c r="A389" i="5"/>
  <c r="A388" i="5"/>
  <c r="B387" i="5"/>
  <c r="A387" i="5"/>
  <c r="B386" i="5"/>
  <c r="A386" i="5"/>
  <c r="B385" i="5"/>
  <c r="A385" i="5"/>
  <c r="B384" i="5"/>
  <c r="A384" i="5"/>
  <c r="B383" i="5"/>
  <c r="A383" i="5"/>
  <c r="B382" i="5"/>
  <c r="A382" i="5"/>
  <c r="B381" i="5"/>
  <c r="A381" i="5"/>
  <c r="B380" i="5"/>
  <c r="A380" i="5"/>
  <c r="B379" i="5"/>
  <c r="A379" i="5"/>
  <c r="B378" i="5"/>
  <c r="A378" i="5"/>
  <c r="B377" i="5"/>
  <c r="A377" i="5"/>
  <c r="B376" i="5"/>
  <c r="A376" i="5"/>
  <c r="B375" i="5"/>
  <c r="A375" i="5"/>
  <c r="B374" i="5"/>
  <c r="A374" i="5"/>
  <c r="B373" i="5"/>
  <c r="A373" i="5"/>
  <c r="B372" i="5"/>
  <c r="A372" i="5"/>
  <c r="B371" i="5"/>
  <c r="A371" i="5"/>
  <c r="B370" i="5"/>
  <c r="A370" i="5"/>
  <c r="B369" i="5"/>
  <c r="A369" i="5"/>
  <c r="B368" i="5"/>
  <c r="A368" i="5"/>
  <c r="B367" i="5"/>
  <c r="A367" i="5"/>
  <c r="B366" i="5"/>
  <c r="A366" i="5"/>
  <c r="B365" i="5"/>
  <c r="A365" i="5"/>
  <c r="B364" i="5"/>
  <c r="A364" i="5"/>
  <c r="A363" i="5"/>
  <c r="B362" i="5"/>
  <c r="A362" i="5"/>
  <c r="B361" i="5"/>
  <c r="A361" i="5"/>
  <c r="A360" i="5"/>
  <c r="B359" i="5"/>
  <c r="A359" i="5"/>
  <c r="B358" i="5"/>
  <c r="A358" i="5"/>
  <c r="B357" i="5"/>
  <c r="A357" i="5"/>
  <c r="B356" i="5"/>
  <c r="A356" i="5"/>
  <c r="B355" i="5"/>
  <c r="A355" i="5"/>
  <c r="B354" i="5"/>
  <c r="A354" i="5"/>
  <c r="B353" i="5"/>
  <c r="A353" i="5"/>
  <c r="B352" i="5"/>
  <c r="A352" i="5"/>
  <c r="B351" i="5"/>
  <c r="A351" i="5"/>
  <c r="B350" i="5"/>
  <c r="A350" i="5"/>
  <c r="B349" i="5"/>
  <c r="A349" i="5"/>
  <c r="B348" i="5"/>
  <c r="A348" i="5"/>
  <c r="B347" i="5"/>
  <c r="A347" i="5"/>
  <c r="B346" i="5"/>
  <c r="A346" i="5"/>
  <c r="B345" i="5"/>
  <c r="A345" i="5"/>
  <c r="B344" i="5"/>
  <c r="A344" i="5"/>
  <c r="B343" i="5"/>
  <c r="A343" i="5"/>
  <c r="B342" i="5"/>
  <c r="A342" i="5"/>
  <c r="B341" i="5"/>
  <c r="A341" i="5"/>
  <c r="B340" i="5"/>
  <c r="A340" i="5"/>
  <c r="B339" i="5"/>
  <c r="A339" i="5"/>
  <c r="B338" i="5"/>
  <c r="A338" i="5"/>
  <c r="B337" i="5"/>
  <c r="A337" i="5"/>
  <c r="A336" i="5"/>
  <c r="B335" i="5"/>
  <c r="A335" i="5"/>
  <c r="A334" i="5"/>
  <c r="B333" i="5"/>
  <c r="A333" i="5"/>
  <c r="A332" i="5"/>
  <c r="B331" i="5"/>
  <c r="A331" i="5"/>
  <c r="B330" i="5"/>
  <c r="A330" i="5"/>
  <c r="B329" i="5"/>
  <c r="A329" i="5"/>
  <c r="A328" i="5"/>
  <c r="B327" i="5"/>
  <c r="A327" i="5"/>
  <c r="A326" i="5"/>
  <c r="B325" i="5"/>
  <c r="A325" i="5"/>
  <c r="B324" i="5"/>
  <c r="A324" i="5"/>
  <c r="B323" i="5"/>
  <c r="A323" i="5"/>
  <c r="B322" i="5"/>
  <c r="A322" i="5"/>
  <c r="A321" i="5"/>
  <c r="B320" i="5"/>
  <c r="A320" i="5"/>
  <c r="B319" i="5"/>
  <c r="A319" i="5"/>
  <c r="B318" i="5"/>
  <c r="A318" i="5"/>
  <c r="B317" i="5"/>
  <c r="A317" i="5"/>
  <c r="B316" i="5"/>
  <c r="A316" i="5"/>
  <c r="B315" i="5"/>
  <c r="A315" i="5"/>
  <c r="B314" i="5"/>
  <c r="A314" i="5"/>
  <c r="B313" i="5"/>
  <c r="A313" i="5"/>
  <c r="B312" i="5"/>
  <c r="A312" i="5"/>
  <c r="B311" i="5"/>
  <c r="A311" i="5"/>
  <c r="A310" i="5"/>
  <c r="B309" i="5"/>
  <c r="A309" i="5"/>
  <c r="A308" i="5"/>
  <c r="B307" i="5"/>
  <c r="A307" i="5"/>
  <c r="B306" i="5"/>
  <c r="A306" i="5"/>
  <c r="A305" i="5"/>
  <c r="B304" i="5"/>
  <c r="A304" i="5"/>
  <c r="A303" i="5"/>
  <c r="A302" i="5"/>
  <c r="B301" i="5"/>
  <c r="A301" i="5"/>
  <c r="B300" i="5"/>
  <c r="A300" i="5"/>
  <c r="B299" i="5"/>
  <c r="A299" i="5"/>
  <c r="B298" i="5"/>
  <c r="A298" i="5"/>
  <c r="B297" i="5"/>
  <c r="A297" i="5"/>
  <c r="B296" i="5"/>
  <c r="A296" i="5"/>
  <c r="B295" i="5"/>
  <c r="A295" i="5"/>
  <c r="B294" i="5"/>
  <c r="A294" i="5"/>
  <c r="B293" i="5"/>
  <c r="A293" i="5"/>
  <c r="B292" i="5"/>
  <c r="A292" i="5"/>
  <c r="B291" i="5"/>
  <c r="A291" i="5"/>
  <c r="B290" i="5"/>
  <c r="A290" i="5"/>
  <c r="A289" i="5"/>
  <c r="B288" i="5"/>
  <c r="A288" i="5"/>
  <c r="B287" i="5"/>
  <c r="A287" i="5"/>
  <c r="A286" i="5"/>
  <c r="B285" i="5"/>
  <c r="A285" i="5"/>
  <c r="B284" i="5"/>
  <c r="A284" i="5"/>
  <c r="B283" i="5"/>
  <c r="A283" i="5"/>
  <c r="B282" i="5"/>
  <c r="A282" i="5"/>
  <c r="B281" i="5"/>
  <c r="A281" i="5"/>
  <c r="B280" i="5"/>
  <c r="A280" i="5"/>
  <c r="B279" i="5"/>
  <c r="A279" i="5"/>
  <c r="B278" i="5"/>
  <c r="A278" i="5"/>
  <c r="B277" i="5"/>
  <c r="A277" i="5"/>
  <c r="B276" i="5"/>
  <c r="A276" i="5"/>
  <c r="B275" i="5"/>
  <c r="A275" i="5"/>
  <c r="B274" i="5"/>
  <c r="A274" i="5"/>
  <c r="A273" i="5"/>
  <c r="B272" i="5"/>
  <c r="A272" i="5"/>
  <c r="B271" i="5"/>
  <c r="A271" i="5"/>
  <c r="B270" i="5"/>
  <c r="A270" i="5"/>
  <c r="A269" i="5"/>
  <c r="B268" i="5"/>
  <c r="A268" i="5"/>
  <c r="B267" i="5"/>
  <c r="A267" i="5"/>
  <c r="B266" i="5"/>
  <c r="A266" i="5"/>
  <c r="B265" i="5"/>
  <c r="A265" i="5"/>
  <c r="B264" i="5"/>
  <c r="A264" i="5"/>
  <c r="B263" i="5"/>
  <c r="A263" i="5"/>
  <c r="A262" i="5"/>
  <c r="B261" i="5"/>
  <c r="A261" i="5"/>
  <c r="A260" i="5"/>
  <c r="B259" i="5"/>
  <c r="A259" i="5"/>
  <c r="B258" i="5"/>
  <c r="A258" i="5"/>
  <c r="B257" i="5"/>
  <c r="A257" i="5"/>
  <c r="B256" i="5"/>
  <c r="A256" i="5"/>
  <c r="B255" i="5"/>
  <c r="A255" i="5"/>
  <c r="A254" i="5"/>
  <c r="B253" i="5"/>
  <c r="A253" i="5"/>
  <c r="B252" i="5"/>
  <c r="A252" i="5"/>
  <c r="A251" i="5"/>
  <c r="A250" i="5"/>
  <c r="B249" i="5"/>
  <c r="A249" i="5"/>
  <c r="B248" i="5"/>
  <c r="A248" i="5"/>
  <c r="B247" i="5"/>
  <c r="A247" i="5"/>
  <c r="B246" i="5"/>
  <c r="A246" i="5"/>
  <c r="A245" i="5"/>
  <c r="B244" i="5"/>
  <c r="A244" i="5"/>
  <c r="B243" i="5"/>
  <c r="A243" i="5"/>
  <c r="B242" i="5"/>
  <c r="A242" i="5"/>
  <c r="B241" i="5"/>
  <c r="A241" i="5"/>
  <c r="B240" i="5"/>
  <c r="A240" i="5"/>
  <c r="A239" i="5"/>
  <c r="A238" i="5"/>
  <c r="B237" i="5"/>
  <c r="A237" i="5"/>
  <c r="B236" i="5"/>
  <c r="A236" i="5"/>
  <c r="B235" i="5"/>
  <c r="A235" i="5"/>
  <c r="B234" i="5"/>
  <c r="A234" i="5"/>
  <c r="B233" i="5"/>
  <c r="A233" i="5"/>
  <c r="B232" i="5"/>
  <c r="A232" i="5"/>
  <c r="B231" i="5"/>
  <c r="A231" i="5"/>
  <c r="B230" i="5"/>
  <c r="A230" i="5"/>
  <c r="B229" i="5"/>
  <c r="A229" i="5"/>
  <c r="B228" i="5"/>
  <c r="A228" i="5"/>
  <c r="B227" i="5"/>
  <c r="A227" i="5"/>
  <c r="B226" i="5"/>
  <c r="A226" i="5"/>
  <c r="B225" i="5"/>
  <c r="A225" i="5"/>
  <c r="B224" i="5"/>
  <c r="A224" i="5"/>
  <c r="B223" i="5"/>
  <c r="A223" i="5"/>
  <c r="B222" i="5"/>
  <c r="A222" i="5"/>
  <c r="B221" i="5"/>
  <c r="A221" i="5"/>
  <c r="B220" i="5"/>
  <c r="A220" i="5"/>
  <c r="B219" i="5"/>
  <c r="A219" i="5"/>
  <c r="B218" i="5"/>
  <c r="A218" i="5"/>
  <c r="B217" i="5"/>
  <c r="A217" i="5"/>
  <c r="A216" i="5"/>
  <c r="B215" i="5"/>
  <c r="A215" i="5"/>
  <c r="A214" i="5"/>
  <c r="A213" i="5"/>
  <c r="B212" i="5"/>
  <c r="A212" i="5"/>
  <c r="B211" i="5"/>
  <c r="A211" i="5"/>
  <c r="B210" i="5"/>
  <c r="A210" i="5"/>
  <c r="B209" i="5"/>
  <c r="A209" i="5"/>
  <c r="B208" i="5"/>
  <c r="A208" i="5"/>
  <c r="B207" i="5"/>
  <c r="A207" i="5"/>
  <c r="B206" i="5"/>
  <c r="A206" i="5"/>
  <c r="B205" i="5"/>
  <c r="A205" i="5"/>
  <c r="B204" i="5"/>
  <c r="A204" i="5"/>
  <c r="B203" i="5"/>
  <c r="A203" i="5"/>
  <c r="B202" i="5"/>
  <c r="A202" i="5"/>
  <c r="B201" i="5"/>
  <c r="A201" i="5"/>
  <c r="A200" i="5"/>
  <c r="B199" i="5"/>
  <c r="A199" i="5"/>
  <c r="B198" i="5"/>
  <c r="A198" i="5"/>
  <c r="B197" i="5"/>
  <c r="A197" i="5"/>
  <c r="B196" i="5"/>
  <c r="A196" i="5"/>
  <c r="B195" i="5"/>
  <c r="A195" i="5"/>
  <c r="B194" i="5"/>
  <c r="A194" i="5"/>
  <c r="B193" i="5"/>
  <c r="A193" i="5"/>
  <c r="B192" i="5"/>
  <c r="A192" i="5"/>
  <c r="B191" i="5"/>
  <c r="A191" i="5"/>
  <c r="B190" i="5"/>
  <c r="A190" i="5"/>
  <c r="B189" i="5"/>
  <c r="A189" i="5"/>
  <c r="B188" i="5"/>
  <c r="A188" i="5"/>
  <c r="B187" i="5"/>
  <c r="A187" i="5"/>
  <c r="B186" i="5"/>
  <c r="A186" i="5"/>
  <c r="B185" i="5"/>
  <c r="A185" i="5"/>
  <c r="B184" i="5"/>
  <c r="A184" i="5"/>
  <c r="B183" i="5"/>
  <c r="A183" i="5"/>
  <c r="B182" i="5"/>
  <c r="A182" i="5"/>
  <c r="B181" i="5"/>
  <c r="A181" i="5"/>
  <c r="B180" i="5"/>
  <c r="A180" i="5"/>
  <c r="B179" i="5"/>
  <c r="A179" i="5"/>
  <c r="B178" i="5"/>
  <c r="A178" i="5"/>
  <c r="B177" i="5"/>
  <c r="A177" i="5"/>
  <c r="B176" i="5"/>
  <c r="A176" i="5"/>
  <c r="B175" i="5"/>
  <c r="A175" i="5"/>
  <c r="B174" i="5"/>
  <c r="A174" i="5"/>
  <c r="B173" i="5"/>
  <c r="A173" i="5"/>
  <c r="B172" i="5"/>
  <c r="A172" i="5"/>
  <c r="B171"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A158" i="5"/>
  <c r="B157" i="5"/>
  <c r="A157" i="5"/>
  <c r="B156" i="5"/>
  <c r="A156" i="5"/>
  <c r="B155" i="5"/>
  <c r="A155" i="5"/>
  <c r="B154" i="5"/>
  <c r="A154" i="5"/>
  <c r="A153" i="5"/>
  <c r="B152" i="5"/>
  <c r="A152" i="5"/>
  <c r="A151" i="5"/>
  <c r="B150" i="5"/>
  <c r="A150" i="5"/>
  <c r="A149" i="5"/>
  <c r="B148" i="5"/>
  <c r="A148" i="5"/>
  <c r="B147" i="5"/>
  <c r="A147" i="5"/>
  <c r="B146" i="5"/>
  <c r="A146" i="5"/>
  <c r="A145" i="5"/>
  <c r="B144" i="5"/>
  <c r="A144" i="5"/>
  <c r="B143" i="5"/>
  <c r="A143" i="5"/>
  <c r="B142" i="5"/>
  <c r="A142" i="5"/>
  <c r="B141" i="5"/>
  <c r="A141" i="5"/>
  <c r="A140" i="5"/>
  <c r="A139" i="5"/>
  <c r="A138" i="5"/>
  <c r="B137" i="5"/>
  <c r="A137" i="5"/>
  <c r="B136" i="5"/>
  <c r="A136" i="5"/>
  <c r="A135" i="5"/>
  <c r="B134" i="5"/>
  <c r="A134" i="5"/>
  <c r="B133" i="5"/>
  <c r="A133" i="5"/>
  <c r="B132" i="5"/>
  <c r="A132" i="5"/>
  <c r="B131" i="5"/>
  <c r="A131" i="5"/>
  <c r="B130" i="5"/>
  <c r="A130" i="5"/>
  <c r="A129" i="5"/>
  <c r="A128" i="5"/>
  <c r="B127" i="5"/>
  <c r="A127" i="5"/>
  <c r="B126" i="5"/>
  <c r="A126" i="5"/>
  <c r="B125" i="5"/>
  <c r="A125" i="5"/>
  <c r="B124" i="5"/>
  <c r="A124" i="5"/>
  <c r="B123" i="5"/>
  <c r="A123" i="5"/>
  <c r="B122" i="5"/>
  <c r="A122" i="5"/>
  <c r="B121" i="5"/>
  <c r="A121" i="5"/>
  <c r="B120" i="5"/>
  <c r="A120" i="5"/>
  <c r="A119" i="5"/>
  <c r="B118" i="5"/>
  <c r="A118" i="5"/>
  <c r="B117" i="5"/>
  <c r="A117" i="5"/>
  <c r="B116" i="5"/>
  <c r="A116" i="5"/>
  <c r="A115" i="5"/>
  <c r="A114" i="5"/>
  <c r="B113" i="5"/>
  <c r="A113" i="5"/>
  <c r="B112" i="5"/>
  <c r="A112" i="5"/>
  <c r="B111" i="5"/>
  <c r="A111" i="5"/>
  <c r="B110" i="5"/>
  <c r="A110" i="5"/>
  <c r="B109" i="5"/>
  <c r="A109" i="5"/>
  <c r="A108" i="5"/>
  <c r="B107" i="5"/>
  <c r="A107" i="5"/>
  <c r="B106" i="5"/>
  <c r="A106" i="5"/>
  <c r="A105" i="5"/>
  <c r="B104" i="5"/>
  <c r="A104" i="5"/>
  <c r="B103" i="5"/>
  <c r="A103" i="5"/>
  <c r="B102" i="5"/>
  <c r="A102" i="5"/>
  <c r="B101" i="5"/>
  <c r="A101" i="5"/>
  <c r="B100" i="5"/>
  <c r="A100" i="5"/>
  <c r="B99" i="5"/>
  <c r="A99" i="5"/>
  <c r="A98" i="5"/>
  <c r="B97" i="5"/>
  <c r="A97" i="5"/>
  <c r="A96" i="5"/>
  <c r="B95" i="5"/>
  <c r="A95" i="5"/>
  <c r="B94" i="5"/>
  <c r="A94" i="5"/>
  <c r="B93" i="5"/>
  <c r="A93"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A73" i="5"/>
  <c r="A72" i="5"/>
  <c r="B71" i="5"/>
  <c r="A71" i="5"/>
  <c r="B70" i="5"/>
  <c r="A70" i="5"/>
  <c r="A69" i="5"/>
  <c r="A68" i="5"/>
  <c r="B67" i="5"/>
  <c r="A67" i="5"/>
  <c r="B66" i="5"/>
  <c r="A66" i="5"/>
  <c r="B65" i="5"/>
  <c r="A65" i="5"/>
  <c r="B64" i="5"/>
  <c r="A64" i="5"/>
  <c r="B63" i="5"/>
  <c r="A63" i="5"/>
  <c r="A62" i="5"/>
  <c r="B61" i="5"/>
  <c r="A61" i="5"/>
  <c r="B60" i="5"/>
  <c r="A60" i="5"/>
  <c r="B59" i="5"/>
  <c r="A59" i="5"/>
  <c r="B58" i="5"/>
  <c r="A58" i="5"/>
  <c r="B57" i="5"/>
  <c r="A57" i="5"/>
  <c r="B56" i="5"/>
  <c r="A56" i="5"/>
  <c r="B55" i="5"/>
  <c r="A55" i="5"/>
  <c r="B54" i="5"/>
  <c r="A54" i="5"/>
  <c r="B53" i="5"/>
  <c r="A53" i="5"/>
  <c r="A52" i="5"/>
  <c r="B51" i="5"/>
  <c r="A51" i="5"/>
  <c r="B50" i="5"/>
  <c r="A50" i="5"/>
  <c r="B49" i="5"/>
  <c r="A49" i="5"/>
  <c r="B48" i="5"/>
  <c r="A48" i="5"/>
  <c r="B47" i="5"/>
  <c r="A47" i="5"/>
  <c r="B46" i="5"/>
  <c r="A46" i="5"/>
  <c r="B45" i="5"/>
  <c r="A45"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A22" i="5"/>
  <c r="B21" i="5"/>
  <c r="A21" i="5"/>
  <c r="B20" i="5"/>
  <c r="A20" i="5"/>
  <c r="A19" i="5"/>
  <c r="A18" i="5"/>
  <c r="A17" i="5"/>
  <c r="B16" i="5"/>
  <c r="A16" i="5"/>
  <c r="B15" i="5"/>
  <c r="A15" i="5"/>
  <c r="B14" i="5"/>
  <c r="A14" i="5"/>
  <c r="B13" i="5"/>
  <c r="A13" i="5"/>
  <c r="A12" i="5"/>
  <c r="A11" i="5"/>
  <c r="B10" i="5"/>
  <c r="A10" i="5"/>
  <c r="B9" i="5"/>
  <c r="A9" i="5"/>
  <c r="B8" i="5"/>
  <c r="A8" i="5"/>
  <c r="B7" i="5"/>
  <c r="A7" i="5"/>
  <c r="B6" i="5"/>
  <c r="A6" i="5"/>
  <c r="B5" i="5"/>
  <c r="A5" i="5"/>
  <c r="B4" i="5"/>
  <c r="A4" i="5"/>
  <c r="B3" i="5"/>
  <c r="A3" i="5"/>
  <c r="B2" i="5"/>
  <c r="A2" i="5"/>
  <c r="B1" i="5"/>
  <c r="A1" i="5"/>
  <c r="F2500" i="4"/>
  <c r="E2500" i="4"/>
  <c r="C2500" i="4"/>
  <c r="B2500" i="4"/>
  <c r="F2499" i="4"/>
  <c r="E2499" i="4"/>
  <c r="C2499" i="4"/>
  <c r="B2499" i="4"/>
  <c r="F2498" i="4"/>
  <c r="E2498" i="4"/>
  <c r="D2498" i="4"/>
  <c r="C2498" i="4"/>
  <c r="B2498" i="4"/>
  <c r="F2497" i="4"/>
  <c r="E2497" i="4"/>
  <c r="C2497" i="4"/>
  <c r="B2497" i="4"/>
  <c r="F2496" i="4"/>
  <c r="E2496" i="4"/>
  <c r="D2496" i="4"/>
  <c r="C2496" i="4"/>
  <c r="B2496" i="4"/>
  <c r="F2495" i="4"/>
  <c r="E2495" i="4"/>
  <c r="D2495" i="4"/>
  <c r="C2495" i="4"/>
  <c r="B2495" i="4"/>
  <c r="F2494" i="4"/>
  <c r="E2494" i="4"/>
  <c r="D2494" i="4"/>
  <c r="C2494" i="4"/>
  <c r="B2494" i="4"/>
  <c r="F2493" i="4"/>
  <c r="E2493" i="4"/>
  <c r="D2493" i="4"/>
  <c r="C2493" i="4"/>
  <c r="B2493" i="4"/>
  <c r="F2492" i="4"/>
  <c r="E2492" i="4"/>
  <c r="D2492" i="4"/>
  <c r="C2492" i="4"/>
  <c r="B2492" i="4"/>
  <c r="F2491" i="4"/>
  <c r="E2491" i="4"/>
  <c r="C2491" i="4"/>
  <c r="B2491" i="4"/>
  <c r="F2490" i="4"/>
  <c r="E2490" i="4"/>
  <c r="C2490" i="4"/>
  <c r="B2490" i="4"/>
  <c r="F2489" i="4"/>
  <c r="E2489" i="4"/>
  <c r="D2489" i="4"/>
  <c r="C2489" i="4"/>
  <c r="B2489" i="4"/>
  <c r="F2488" i="4"/>
  <c r="E2488" i="4"/>
  <c r="D2488" i="4"/>
  <c r="C2488" i="4"/>
  <c r="B2488" i="4"/>
  <c r="F2487" i="4"/>
  <c r="E2487" i="4"/>
  <c r="D2487" i="4"/>
  <c r="C2487" i="4"/>
  <c r="B2487" i="4"/>
  <c r="F2486" i="4"/>
  <c r="E2486" i="4"/>
  <c r="D2486" i="4"/>
  <c r="C2486" i="4"/>
  <c r="B2486" i="4"/>
  <c r="F2485" i="4"/>
  <c r="E2485" i="4"/>
  <c r="D2485" i="4"/>
  <c r="C2485" i="4"/>
  <c r="B2485" i="4"/>
  <c r="F2484" i="4"/>
  <c r="E2484" i="4"/>
  <c r="D2484" i="4"/>
  <c r="C2484" i="4"/>
  <c r="B2484" i="4"/>
  <c r="C2483" i="4"/>
  <c r="B2483" i="4"/>
  <c r="F2482" i="4"/>
  <c r="E2482" i="4"/>
  <c r="D2482" i="4"/>
  <c r="C2482" i="4"/>
  <c r="B2482" i="4"/>
  <c r="F2481" i="4"/>
  <c r="E2481" i="4"/>
  <c r="D2481" i="4"/>
  <c r="C2481" i="4"/>
  <c r="B2481" i="4"/>
  <c r="F2480" i="4"/>
  <c r="E2480" i="4"/>
  <c r="D2480" i="4"/>
  <c r="C2480" i="4"/>
  <c r="B2480" i="4"/>
  <c r="F2479" i="4"/>
  <c r="E2479" i="4"/>
  <c r="D2479" i="4"/>
  <c r="C2479" i="4"/>
  <c r="B2479" i="4"/>
  <c r="F2478" i="4"/>
  <c r="E2478" i="4"/>
  <c r="D2478" i="4"/>
  <c r="C2478" i="4"/>
  <c r="B2478" i="4"/>
  <c r="F2477" i="4"/>
  <c r="E2477" i="4"/>
  <c r="D2477" i="4"/>
  <c r="C2477" i="4"/>
  <c r="B2477" i="4"/>
  <c r="F2476" i="4"/>
  <c r="E2476" i="4"/>
  <c r="D2476" i="4"/>
  <c r="C2476" i="4"/>
  <c r="B2476" i="4"/>
  <c r="F2475" i="4"/>
  <c r="E2475" i="4"/>
  <c r="D2475" i="4"/>
  <c r="C2475" i="4"/>
  <c r="B2475" i="4"/>
  <c r="F2474" i="4"/>
  <c r="E2474" i="4"/>
  <c r="D2474" i="4"/>
  <c r="C2474" i="4"/>
  <c r="B2474" i="4"/>
  <c r="F2473" i="4"/>
  <c r="E2473" i="4"/>
  <c r="D2473" i="4"/>
  <c r="C2473" i="4"/>
  <c r="B2473" i="4"/>
  <c r="F2472" i="4"/>
  <c r="E2472" i="4"/>
  <c r="D2472" i="4"/>
  <c r="C2472" i="4"/>
  <c r="B2472" i="4"/>
  <c r="F2471" i="4"/>
  <c r="E2471" i="4"/>
  <c r="D2471" i="4"/>
  <c r="C2471" i="4"/>
  <c r="B2471" i="4"/>
  <c r="F2470" i="4"/>
  <c r="E2470" i="4"/>
  <c r="D2470" i="4"/>
  <c r="C2470" i="4"/>
  <c r="B2470" i="4"/>
  <c r="F2469" i="4"/>
  <c r="E2469" i="4"/>
  <c r="D2469" i="4"/>
  <c r="C2469" i="4"/>
  <c r="B2469" i="4"/>
  <c r="F2468" i="4"/>
  <c r="E2468" i="4"/>
  <c r="D2468" i="4"/>
  <c r="C2468" i="4"/>
  <c r="B2468" i="4"/>
  <c r="F2467" i="4"/>
  <c r="E2467" i="4"/>
  <c r="D2467" i="4"/>
  <c r="C2467" i="4"/>
  <c r="B2467" i="4"/>
  <c r="F2466" i="4"/>
  <c r="E2466" i="4"/>
  <c r="D2466" i="4"/>
  <c r="C2466" i="4"/>
  <c r="B2466" i="4"/>
  <c r="F2465" i="4"/>
  <c r="E2465" i="4"/>
  <c r="D2465" i="4"/>
  <c r="C2465" i="4"/>
  <c r="B2465" i="4"/>
  <c r="F2464" i="4"/>
  <c r="E2464" i="4"/>
  <c r="D2464" i="4"/>
  <c r="C2464" i="4"/>
  <c r="B2464" i="4"/>
  <c r="F2463" i="4"/>
  <c r="E2463" i="4"/>
  <c r="D2463" i="4"/>
  <c r="C2463" i="4"/>
  <c r="B2463" i="4"/>
  <c r="F2462" i="4"/>
  <c r="E2462" i="4"/>
  <c r="D2462" i="4"/>
  <c r="C2462" i="4"/>
  <c r="B2462" i="4"/>
  <c r="F2461" i="4"/>
  <c r="E2461" i="4"/>
  <c r="C2461" i="4"/>
  <c r="B2461" i="4"/>
  <c r="F2460" i="4"/>
  <c r="E2460" i="4"/>
  <c r="D2460" i="4"/>
  <c r="C2460" i="4"/>
  <c r="B2460" i="4"/>
  <c r="F2459" i="4"/>
  <c r="E2459" i="4"/>
  <c r="D2459" i="4"/>
  <c r="C2459" i="4"/>
  <c r="B2459" i="4"/>
  <c r="F2458" i="4"/>
  <c r="E2458" i="4"/>
  <c r="D2458" i="4"/>
  <c r="C2458" i="4"/>
  <c r="B2458" i="4"/>
  <c r="F2457" i="4"/>
  <c r="E2457" i="4"/>
  <c r="D2457" i="4"/>
  <c r="C2457" i="4"/>
  <c r="B2457" i="4"/>
  <c r="F2456" i="4"/>
  <c r="E2456" i="4"/>
  <c r="D2456" i="4"/>
  <c r="C2456" i="4"/>
  <c r="B2456" i="4"/>
  <c r="F2455" i="4"/>
  <c r="E2455" i="4"/>
  <c r="D2455" i="4"/>
  <c r="C2455" i="4"/>
  <c r="B2455" i="4"/>
  <c r="C2454" i="4"/>
  <c r="B2454" i="4"/>
  <c r="F2453" i="4"/>
  <c r="E2453" i="4"/>
  <c r="D2453" i="4"/>
  <c r="C2453" i="4"/>
  <c r="B2453" i="4"/>
  <c r="F2452" i="4"/>
  <c r="E2452" i="4"/>
  <c r="D2452" i="4"/>
  <c r="C2452" i="4"/>
  <c r="B2452" i="4"/>
  <c r="C2451" i="4"/>
  <c r="B2451" i="4"/>
  <c r="F2450" i="4"/>
  <c r="E2450" i="4"/>
  <c r="D2450" i="4"/>
  <c r="C2450" i="4"/>
  <c r="B2450" i="4"/>
  <c r="F2449" i="4"/>
  <c r="E2449" i="4"/>
  <c r="D2449" i="4"/>
  <c r="C2449" i="4"/>
  <c r="B2449" i="4"/>
  <c r="F2448" i="4"/>
  <c r="E2448" i="4"/>
  <c r="D2448" i="4"/>
  <c r="C2448" i="4"/>
  <c r="B2448" i="4"/>
  <c r="F2447" i="4"/>
  <c r="E2447" i="4"/>
  <c r="D2447" i="4"/>
  <c r="C2447" i="4"/>
  <c r="B2447" i="4"/>
  <c r="F2446" i="4"/>
  <c r="E2446" i="4"/>
  <c r="D2446" i="4"/>
  <c r="C2446" i="4"/>
  <c r="B2446" i="4"/>
  <c r="F2445" i="4"/>
  <c r="E2445" i="4"/>
  <c r="D2445" i="4"/>
  <c r="C2445" i="4"/>
  <c r="B2445" i="4"/>
  <c r="F2444" i="4"/>
  <c r="E2444" i="4"/>
  <c r="D2444" i="4"/>
  <c r="C2444" i="4"/>
  <c r="B2444" i="4"/>
  <c r="F2443" i="4"/>
  <c r="E2443" i="4"/>
  <c r="D2443" i="4"/>
  <c r="C2443" i="4"/>
  <c r="B2443" i="4"/>
  <c r="F2442" i="4"/>
  <c r="E2442" i="4"/>
  <c r="D2442" i="4"/>
  <c r="C2442" i="4"/>
  <c r="B2442" i="4"/>
  <c r="F2441" i="4"/>
  <c r="E2441" i="4"/>
  <c r="D2441" i="4"/>
  <c r="C2441" i="4"/>
  <c r="B2441" i="4"/>
  <c r="F2440" i="4"/>
  <c r="E2440" i="4"/>
  <c r="D2440" i="4"/>
  <c r="C2440" i="4"/>
  <c r="B2440" i="4"/>
  <c r="F2439" i="4"/>
  <c r="E2439" i="4"/>
  <c r="D2439" i="4"/>
  <c r="C2439" i="4"/>
  <c r="B2439" i="4"/>
  <c r="F2438" i="4"/>
  <c r="E2438" i="4"/>
  <c r="D2438" i="4"/>
  <c r="C2438" i="4"/>
  <c r="B2438" i="4"/>
  <c r="F2437" i="4"/>
  <c r="E2437" i="4"/>
  <c r="D2437" i="4"/>
  <c r="C2437" i="4"/>
  <c r="B2437" i="4"/>
  <c r="F2436" i="4"/>
  <c r="E2436" i="4"/>
  <c r="D2436" i="4"/>
  <c r="C2436" i="4"/>
  <c r="B2436" i="4"/>
  <c r="F2435" i="4"/>
  <c r="E2435" i="4"/>
  <c r="D2435" i="4"/>
  <c r="C2435" i="4"/>
  <c r="B2435" i="4"/>
  <c r="F2434" i="4"/>
  <c r="E2434" i="4"/>
  <c r="D2434" i="4"/>
  <c r="C2434" i="4"/>
  <c r="B2434" i="4"/>
  <c r="F2433" i="4"/>
  <c r="E2433" i="4"/>
  <c r="D2433" i="4"/>
  <c r="C2433" i="4"/>
  <c r="B2433" i="4"/>
  <c r="F2432" i="4"/>
  <c r="E2432" i="4"/>
  <c r="D2432" i="4"/>
  <c r="C2432" i="4"/>
  <c r="B2432" i="4"/>
  <c r="F2431" i="4"/>
  <c r="E2431" i="4"/>
  <c r="D2431" i="4"/>
  <c r="C2431" i="4"/>
  <c r="B2431" i="4"/>
  <c r="F2430" i="4"/>
  <c r="E2430" i="4"/>
  <c r="D2430" i="4"/>
  <c r="C2430" i="4"/>
  <c r="B2430" i="4"/>
  <c r="F2429" i="4"/>
  <c r="E2429" i="4"/>
  <c r="D2429" i="4"/>
  <c r="C2429" i="4"/>
  <c r="B2429" i="4"/>
  <c r="F2428" i="4"/>
  <c r="E2428" i="4"/>
  <c r="D2428" i="4"/>
  <c r="C2428" i="4"/>
  <c r="B2428" i="4"/>
  <c r="F2427" i="4"/>
  <c r="E2427" i="4"/>
  <c r="D2427" i="4"/>
  <c r="C2427" i="4"/>
  <c r="B2427" i="4"/>
  <c r="F2426" i="4"/>
  <c r="E2426" i="4"/>
  <c r="D2426" i="4"/>
  <c r="C2426" i="4"/>
  <c r="B2426" i="4"/>
  <c r="F2425" i="4"/>
  <c r="E2425" i="4"/>
  <c r="D2425" i="4"/>
  <c r="C2425" i="4"/>
  <c r="B2425" i="4"/>
  <c r="F2424" i="4"/>
  <c r="E2424" i="4"/>
  <c r="D2424" i="4"/>
  <c r="C2424" i="4"/>
  <c r="B2424" i="4"/>
  <c r="F2423" i="4"/>
  <c r="E2423" i="4"/>
  <c r="D2423" i="4"/>
  <c r="C2423" i="4"/>
  <c r="B2423" i="4"/>
  <c r="F2422" i="4"/>
  <c r="E2422" i="4"/>
  <c r="D2422" i="4"/>
  <c r="C2422" i="4"/>
  <c r="B2422" i="4"/>
  <c r="C2421" i="4"/>
  <c r="B2421" i="4"/>
  <c r="F2420" i="4"/>
  <c r="E2420" i="4"/>
  <c r="D2420" i="4"/>
  <c r="C2420" i="4"/>
  <c r="B2420" i="4"/>
  <c r="F2419" i="4"/>
  <c r="E2419" i="4"/>
  <c r="D2419" i="4"/>
  <c r="C2419" i="4"/>
  <c r="B2419" i="4"/>
  <c r="F2418" i="4"/>
  <c r="E2418" i="4"/>
  <c r="C2418" i="4"/>
  <c r="B2418" i="4"/>
  <c r="F2417" i="4"/>
  <c r="E2417" i="4"/>
  <c r="C2417" i="4"/>
  <c r="B2417" i="4"/>
  <c r="C2416" i="4"/>
  <c r="B2416" i="4"/>
  <c r="F2415" i="4"/>
  <c r="E2415" i="4"/>
  <c r="D2415" i="4"/>
  <c r="C2415" i="4"/>
  <c r="B2415" i="4"/>
  <c r="F2414" i="4"/>
  <c r="E2414" i="4"/>
  <c r="D2414" i="4"/>
  <c r="C2414" i="4"/>
  <c r="B2414" i="4"/>
  <c r="F2413" i="4"/>
  <c r="E2413" i="4"/>
  <c r="D2413" i="4"/>
  <c r="C2413" i="4"/>
  <c r="B2413" i="4"/>
  <c r="F2412" i="4"/>
  <c r="E2412" i="4"/>
  <c r="D2412" i="4"/>
  <c r="C2412" i="4"/>
  <c r="B2412" i="4"/>
  <c r="F2411" i="4"/>
  <c r="E2411" i="4"/>
  <c r="D2411" i="4"/>
  <c r="C2411" i="4"/>
  <c r="B2411" i="4"/>
  <c r="F2410" i="4"/>
  <c r="E2410" i="4"/>
  <c r="D2410" i="4"/>
  <c r="C2410" i="4"/>
  <c r="B2410" i="4"/>
  <c r="F2409" i="4"/>
  <c r="E2409" i="4"/>
  <c r="D2409" i="4"/>
  <c r="C2409" i="4"/>
  <c r="B2409" i="4"/>
  <c r="F2408" i="4"/>
  <c r="E2408" i="4"/>
  <c r="D2408" i="4"/>
  <c r="C2408" i="4"/>
  <c r="B2408" i="4"/>
  <c r="F2407" i="4"/>
  <c r="E2407" i="4"/>
  <c r="D2407" i="4"/>
  <c r="C2407" i="4"/>
  <c r="B2407" i="4"/>
  <c r="F2406" i="4"/>
  <c r="E2406" i="4"/>
  <c r="D2406" i="4"/>
  <c r="C2406" i="4"/>
  <c r="B2406" i="4"/>
  <c r="F2405" i="4"/>
  <c r="E2405" i="4"/>
  <c r="D2405" i="4"/>
  <c r="C2405" i="4"/>
  <c r="B2405" i="4"/>
  <c r="F2404" i="4"/>
  <c r="E2404" i="4"/>
  <c r="D2404" i="4"/>
  <c r="C2404" i="4"/>
  <c r="B2404" i="4"/>
  <c r="F2403" i="4"/>
  <c r="E2403" i="4"/>
  <c r="D2403" i="4"/>
  <c r="C2403" i="4"/>
  <c r="B2403" i="4"/>
  <c r="F2402" i="4"/>
  <c r="E2402" i="4"/>
  <c r="D2402" i="4"/>
  <c r="C2402" i="4"/>
  <c r="B2402" i="4"/>
  <c r="F2401" i="4"/>
  <c r="E2401" i="4"/>
  <c r="D2401" i="4"/>
  <c r="C2401" i="4"/>
  <c r="B2401" i="4"/>
  <c r="F2400" i="4"/>
  <c r="E2400" i="4"/>
  <c r="D2400" i="4"/>
  <c r="C2400" i="4"/>
  <c r="B2400" i="4"/>
  <c r="F2399" i="4"/>
  <c r="E2399" i="4"/>
  <c r="D2399" i="4"/>
  <c r="C2399" i="4"/>
  <c r="B2399" i="4"/>
  <c r="F2398" i="4"/>
  <c r="E2398" i="4"/>
  <c r="D2398" i="4"/>
  <c r="C2398" i="4"/>
  <c r="B2398" i="4"/>
  <c r="F2397" i="4"/>
  <c r="E2397" i="4"/>
  <c r="D2397" i="4"/>
  <c r="C2397" i="4"/>
  <c r="B2397" i="4"/>
  <c r="F2396" i="4"/>
  <c r="E2396" i="4"/>
  <c r="D2396" i="4"/>
  <c r="C2396" i="4"/>
  <c r="B2396" i="4"/>
  <c r="F2395" i="4"/>
  <c r="E2395" i="4"/>
  <c r="D2395" i="4"/>
  <c r="C2395" i="4"/>
  <c r="B2395" i="4"/>
  <c r="F2394" i="4"/>
  <c r="E2394" i="4"/>
  <c r="D2394" i="4"/>
  <c r="C2394" i="4"/>
  <c r="B2394" i="4"/>
  <c r="F2393" i="4"/>
  <c r="E2393" i="4"/>
  <c r="D2393" i="4"/>
  <c r="C2393" i="4"/>
  <c r="B2393" i="4"/>
  <c r="F2392" i="4"/>
  <c r="E2392" i="4"/>
  <c r="D2392" i="4"/>
  <c r="C2392" i="4"/>
  <c r="B2392" i="4"/>
  <c r="F2391" i="4"/>
  <c r="E2391" i="4"/>
  <c r="C2391" i="4"/>
  <c r="B2391" i="4"/>
  <c r="F2390" i="4"/>
  <c r="E2390" i="4"/>
  <c r="C2390" i="4"/>
  <c r="B2390" i="4"/>
  <c r="F2389" i="4"/>
  <c r="E2389" i="4"/>
  <c r="D2389" i="4"/>
  <c r="C2389" i="4"/>
  <c r="B2389" i="4"/>
  <c r="F2388" i="4"/>
  <c r="E2388" i="4"/>
  <c r="C2388" i="4"/>
  <c r="B2388" i="4"/>
  <c r="F2387" i="4"/>
  <c r="E2387" i="4"/>
  <c r="C2387" i="4"/>
  <c r="B2387" i="4"/>
  <c r="F2386" i="4"/>
  <c r="E2386" i="4"/>
  <c r="D2386" i="4"/>
  <c r="C2386" i="4"/>
  <c r="B2386" i="4"/>
  <c r="F2385" i="4"/>
  <c r="E2385" i="4"/>
  <c r="C2385" i="4"/>
  <c r="B2385" i="4"/>
  <c r="F2384" i="4"/>
  <c r="E2384" i="4"/>
  <c r="D2384" i="4"/>
  <c r="C2384" i="4"/>
  <c r="B2384" i="4"/>
  <c r="F2383" i="4"/>
  <c r="E2383" i="4"/>
  <c r="C2383" i="4"/>
  <c r="B2383" i="4"/>
  <c r="F2382" i="4"/>
  <c r="E2382" i="4"/>
  <c r="C2382" i="4"/>
  <c r="B2382" i="4"/>
  <c r="F2381" i="4"/>
  <c r="E2381" i="4"/>
  <c r="C2381" i="4"/>
  <c r="B2381" i="4"/>
  <c r="F2380" i="4"/>
  <c r="E2380" i="4"/>
  <c r="C2380" i="4"/>
  <c r="B2380" i="4"/>
  <c r="F2379" i="4"/>
  <c r="E2379" i="4"/>
  <c r="C2379" i="4"/>
  <c r="B2379" i="4"/>
  <c r="F2378" i="4"/>
  <c r="E2378" i="4"/>
  <c r="D2378" i="4"/>
  <c r="C2378" i="4"/>
  <c r="B2378" i="4"/>
  <c r="F2377" i="4"/>
  <c r="E2377" i="4"/>
  <c r="D2377" i="4"/>
  <c r="C2377" i="4"/>
  <c r="B2377" i="4"/>
  <c r="F2376" i="4"/>
  <c r="E2376" i="4"/>
  <c r="D2376" i="4"/>
  <c r="C2376" i="4"/>
  <c r="B2376" i="4"/>
  <c r="F2375" i="4"/>
  <c r="E2375" i="4"/>
  <c r="D2375" i="4"/>
  <c r="C2375" i="4"/>
  <c r="B2375" i="4"/>
  <c r="F2374" i="4"/>
  <c r="E2374" i="4"/>
  <c r="D2374" i="4"/>
  <c r="C2374" i="4"/>
  <c r="B2374" i="4"/>
  <c r="F2373" i="4"/>
  <c r="E2373" i="4"/>
  <c r="D2373" i="4"/>
  <c r="C2373" i="4"/>
  <c r="B2373" i="4"/>
  <c r="F2372" i="4"/>
  <c r="E2372" i="4"/>
  <c r="D2372" i="4"/>
  <c r="C2372" i="4"/>
  <c r="B2372" i="4"/>
  <c r="F2371" i="4"/>
  <c r="E2371" i="4"/>
  <c r="C2371" i="4"/>
  <c r="B2371" i="4"/>
  <c r="F2370" i="4"/>
  <c r="E2370" i="4"/>
  <c r="C2370" i="4"/>
  <c r="B2370" i="4"/>
  <c r="F2369" i="4"/>
  <c r="E2369" i="4"/>
  <c r="D2369" i="4"/>
  <c r="C2369" i="4"/>
  <c r="B2369" i="4"/>
  <c r="F2368" i="4"/>
  <c r="E2368" i="4"/>
  <c r="D2368" i="4"/>
  <c r="C2368" i="4"/>
  <c r="B2368" i="4"/>
  <c r="F2367" i="4"/>
  <c r="E2367" i="4"/>
  <c r="D2367" i="4"/>
  <c r="C2367" i="4"/>
  <c r="B2367" i="4"/>
  <c r="F2366" i="4"/>
  <c r="E2366" i="4"/>
  <c r="D2366" i="4"/>
  <c r="C2366" i="4"/>
  <c r="B2366" i="4"/>
  <c r="F2365" i="4"/>
  <c r="E2365" i="4"/>
  <c r="D2365" i="4"/>
  <c r="C2365" i="4"/>
  <c r="B2365" i="4"/>
  <c r="F2364" i="4"/>
  <c r="E2364" i="4"/>
  <c r="D2364" i="4"/>
  <c r="C2364" i="4"/>
  <c r="B2364" i="4"/>
  <c r="F2363" i="4"/>
  <c r="E2363" i="4"/>
  <c r="D2363" i="4"/>
  <c r="C2363" i="4"/>
  <c r="B2363" i="4"/>
  <c r="F2362" i="4"/>
  <c r="E2362" i="4"/>
  <c r="D2362" i="4"/>
  <c r="C2362" i="4"/>
  <c r="B2362" i="4"/>
  <c r="F2361" i="4"/>
  <c r="E2361" i="4"/>
  <c r="D2361" i="4"/>
  <c r="C2361" i="4"/>
  <c r="B2361" i="4"/>
  <c r="F2360" i="4"/>
  <c r="E2360" i="4"/>
  <c r="D2360" i="4"/>
  <c r="C2360" i="4"/>
  <c r="B2360" i="4"/>
  <c r="F2359" i="4"/>
  <c r="E2359" i="4"/>
  <c r="D2359" i="4"/>
  <c r="C2359" i="4"/>
  <c r="B2359" i="4"/>
  <c r="F2358" i="4"/>
  <c r="E2358" i="4"/>
  <c r="D2358" i="4"/>
  <c r="C2358" i="4"/>
  <c r="B2358" i="4"/>
  <c r="F2357" i="4"/>
  <c r="E2357" i="4"/>
  <c r="D2357" i="4"/>
  <c r="C2357" i="4"/>
  <c r="B2357" i="4"/>
  <c r="E2356" i="4"/>
  <c r="D2356" i="4"/>
  <c r="C2356" i="4"/>
  <c r="B2356" i="4"/>
  <c r="E2355" i="4"/>
  <c r="D2355" i="4"/>
  <c r="C2355" i="4"/>
  <c r="B2355" i="4"/>
  <c r="F2354" i="4"/>
  <c r="E2354" i="4"/>
  <c r="D2354" i="4"/>
  <c r="C2354" i="4"/>
  <c r="B2354" i="4"/>
  <c r="F2353" i="4"/>
  <c r="E2353" i="4"/>
  <c r="D2353" i="4"/>
  <c r="C2353" i="4"/>
  <c r="B2353" i="4"/>
  <c r="F2352" i="4"/>
  <c r="E2352" i="4"/>
  <c r="D2352" i="4"/>
  <c r="C2352" i="4"/>
  <c r="B2352" i="4"/>
  <c r="F2351" i="4"/>
  <c r="E2351" i="4"/>
  <c r="D2351" i="4"/>
  <c r="C2351" i="4"/>
  <c r="B2351" i="4"/>
  <c r="F2350" i="4"/>
  <c r="E2350" i="4"/>
  <c r="C2350" i="4"/>
  <c r="B2350" i="4"/>
  <c r="F2349" i="4"/>
  <c r="E2349" i="4"/>
  <c r="C2349" i="4"/>
  <c r="B2349" i="4"/>
  <c r="F2348" i="4"/>
  <c r="E2348" i="4"/>
  <c r="C2348" i="4"/>
  <c r="B2348" i="4"/>
  <c r="F2347" i="4"/>
  <c r="E2347" i="4"/>
  <c r="C2347" i="4"/>
  <c r="B2347" i="4"/>
  <c r="F2346" i="4"/>
  <c r="E2346" i="4"/>
  <c r="C2346" i="4"/>
  <c r="B2346" i="4"/>
  <c r="F2345" i="4"/>
  <c r="E2345" i="4"/>
  <c r="C2345" i="4"/>
  <c r="B2345" i="4"/>
  <c r="F2344" i="4"/>
  <c r="E2344" i="4"/>
  <c r="C2344" i="4"/>
  <c r="B2344" i="4"/>
  <c r="F2343" i="4"/>
  <c r="E2343" i="4"/>
  <c r="D2343" i="4"/>
  <c r="C2343" i="4"/>
  <c r="B2343" i="4"/>
  <c r="F2342" i="4"/>
  <c r="E2342" i="4"/>
  <c r="D2342" i="4"/>
  <c r="C2342" i="4"/>
  <c r="B2342" i="4"/>
  <c r="F2341" i="4"/>
  <c r="E2341" i="4"/>
  <c r="D2341" i="4"/>
  <c r="C2341" i="4"/>
  <c r="B2341" i="4"/>
  <c r="F2340" i="4"/>
  <c r="E2340" i="4"/>
  <c r="D2340" i="4"/>
  <c r="C2340" i="4"/>
  <c r="B2340" i="4"/>
  <c r="F2339" i="4"/>
  <c r="E2339" i="4"/>
  <c r="D2339" i="4"/>
  <c r="C2339" i="4"/>
  <c r="B2339" i="4"/>
  <c r="F2338" i="4"/>
  <c r="E2338" i="4"/>
  <c r="D2338" i="4"/>
  <c r="C2338" i="4"/>
  <c r="B2338" i="4"/>
  <c r="F2337" i="4"/>
  <c r="E2337" i="4"/>
  <c r="D2337" i="4"/>
  <c r="C2337" i="4"/>
  <c r="B2337" i="4"/>
  <c r="F2336" i="4"/>
  <c r="E2336" i="4"/>
  <c r="D2336" i="4"/>
  <c r="C2336" i="4"/>
  <c r="B2336" i="4"/>
  <c r="F2335" i="4"/>
  <c r="E2335" i="4"/>
  <c r="D2335" i="4"/>
  <c r="C2335" i="4"/>
  <c r="B2335" i="4"/>
  <c r="F2334" i="4"/>
  <c r="E2334" i="4"/>
  <c r="D2334" i="4"/>
  <c r="C2334" i="4"/>
  <c r="B2334" i="4"/>
  <c r="F2333" i="4"/>
  <c r="E2333" i="4"/>
  <c r="D2333" i="4"/>
  <c r="C2333" i="4"/>
  <c r="B2333" i="4"/>
  <c r="F2332" i="4"/>
  <c r="E2332" i="4"/>
  <c r="D2332" i="4"/>
  <c r="C2332" i="4"/>
  <c r="B2332" i="4"/>
  <c r="F2331" i="4"/>
  <c r="E2331" i="4"/>
  <c r="D2331" i="4"/>
  <c r="C2331" i="4"/>
  <c r="B2331" i="4"/>
  <c r="F2330" i="4"/>
  <c r="E2330" i="4"/>
  <c r="D2330" i="4"/>
  <c r="C2330" i="4"/>
  <c r="B2330" i="4"/>
  <c r="F2329" i="4"/>
  <c r="E2329" i="4"/>
  <c r="D2329" i="4"/>
  <c r="C2329" i="4"/>
  <c r="B2329" i="4"/>
  <c r="F2328" i="4"/>
  <c r="E2328" i="4"/>
  <c r="D2328" i="4"/>
  <c r="C2328" i="4"/>
  <c r="B2328" i="4"/>
  <c r="F2327" i="4"/>
  <c r="E2327" i="4"/>
  <c r="D2327" i="4"/>
  <c r="C2327" i="4"/>
  <c r="B2327" i="4"/>
  <c r="F2326" i="4"/>
  <c r="E2326" i="4"/>
  <c r="D2326" i="4"/>
  <c r="C2326" i="4"/>
  <c r="B2326" i="4"/>
  <c r="F2325" i="4"/>
  <c r="E2325" i="4"/>
  <c r="D2325" i="4"/>
  <c r="C2325" i="4"/>
  <c r="B2325" i="4"/>
  <c r="F2324" i="4"/>
  <c r="E2324" i="4"/>
  <c r="D2324" i="4"/>
  <c r="C2324" i="4"/>
  <c r="B2324" i="4"/>
  <c r="F2323" i="4"/>
  <c r="E2323" i="4"/>
  <c r="D2323" i="4"/>
  <c r="C2323" i="4"/>
  <c r="B2323" i="4"/>
  <c r="F2322" i="4"/>
  <c r="E2322" i="4"/>
  <c r="D2322" i="4"/>
  <c r="C2322" i="4"/>
  <c r="B2322" i="4"/>
  <c r="F2321" i="4"/>
  <c r="E2321" i="4"/>
  <c r="D2321" i="4"/>
  <c r="C2321" i="4"/>
  <c r="B2321" i="4"/>
  <c r="F2320" i="4"/>
  <c r="E2320" i="4"/>
  <c r="D2320" i="4"/>
  <c r="C2320" i="4"/>
  <c r="B2320" i="4"/>
  <c r="F2319" i="4"/>
  <c r="E2319" i="4"/>
  <c r="D2319" i="4"/>
  <c r="C2319" i="4"/>
  <c r="B2319" i="4"/>
  <c r="F2318" i="4"/>
  <c r="E2318" i="4"/>
  <c r="D2318" i="4"/>
  <c r="C2318" i="4"/>
  <c r="B2318" i="4"/>
  <c r="F2317" i="4"/>
  <c r="E2317" i="4"/>
  <c r="D2317" i="4"/>
  <c r="C2317" i="4"/>
  <c r="B2317" i="4"/>
  <c r="F2316" i="4"/>
  <c r="E2316" i="4"/>
  <c r="D2316" i="4"/>
  <c r="C2316" i="4"/>
  <c r="B2316" i="4"/>
  <c r="F2315" i="4"/>
  <c r="E2315" i="4"/>
  <c r="D2315" i="4"/>
  <c r="C2315" i="4"/>
  <c r="B2315" i="4"/>
  <c r="F2314" i="4"/>
  <c r="E2314" i="4"/>
  <c r="D2314" i="4"/>
  <c r="C2314" i="4"/>
  <c r="B2314" i="4"/>
  <c r="F2313" i="4"/>
  <c r="E2313" i="4"/>
  <c r="D2313" i="4"/>
  <c r="C2313" i="4"/>
  <c r="B2313" i="4"/>
  <c r="F2312" i="4"/>
  <c r="E2312" i="4"/>
  <c r="D2312" i="4"/>
  <c r="C2312" i="4"/>
  <c r="B2312" i="4"/>
  <c r="F2311" i="4"/>
  <c r="E2311" i="4"/>
  <c r="D2311" i="4"/>
  <c r="C2311" i="4"/>
  <c r="B2311" i="4"/>
  <c r="F2310" i="4"/>
  <c r="E2310" i="4"/>
  <c r="D2310" i="4"/>
  <c r="C2310" i="4"/>
  <c r="B2310" i="4"/>
  <c r="F2309" i="4"/>
  <c r="E2309" i="4"/>
  <c r="D2309" i="4"/>
  <c r="C2309" i="4"/>
  <c r="B2309" i="4"/>
  <c r="F2308" i="4"/>
  <c r="E2308" i="4"/>
  <c r="D2308" i="4"/>
  <c r="C2308" i="4"/>
  <c r="B2308" i="4"/>
  <c r="F2307" i="4"/>
  <c r="E2307" i="4"/>
  <c r="D2307" i="4"/>
  <c r="C2307" i="4"/>
  <c r="B2307" i="4"/>
  <c r="F2306" i="4"/>
  <c r="E2306" i="4"/>
  <c r="D2306" i="4"/>
  <c r="C2306" i="4"/>
  <c r="B2306" i="4"/>
  <c r="F2305" i="4"/>
  <c r="E2305" i="4"/>
  <c r="D2305" i="4"/>
  <c r="C2305" i="4"/>
  <c r="B2305" i="4"/>
  <c r="F2304" i="4"/>
  <c r="E2304" i="4"/>
  <c r="D2304" i="4"/>
  <c r="C2304" i="4"/>
  <c r="B2304" i="4"/>
  <c r="F2303" i="4"/>
  <c r="E2303" i="4"/>
  <c r="D2303" i="4"/>
  <c r="C2303" i="4"/>
  <c r="B2303" i="4"/>
  <c r="F2302" i="4"/>
  <c r="E2302" i="4"/>
  <c r="D2302" i="4"/>
  <c r="C2302" i="4"/>
  <c r="B2302" i="4"/>
  <c r="F2301" i="4"/>
  <c r="E2301" i="4"/>
  <c r="D2301" i="4"/>
  <c r="C2301" i="4"/>
  <c r="B2301" i="4"/>
  <c r="F2300" i="4"/>
  <c r="E2300" i="4"/>
  <c r="D2300" i="4"/>
  <c r="C2300" i="4"/>
  <c r="B2300" i="4"/>
  <c r="F2299" i="4"/>
  <c r="E2299" i="4"/>
  <c r="D2299" i="4"/>
  <c r="C2299" i="4"/>
  <c r="B2299" i="4"/>
  <c r="F2298" i="4"/>
  <c r="E2298" i="4"/>
  <c r="D2298" i="4"/>
  <c r="C2298" i="4"/>
  <c r="B2298" i="4"/>
  <c r="F2297" i="4"/>
  <c r="E2297" i="4"/>
  <c r="D2297" i="4"/>
  <c r="C2297" i="4"/>
  <c r="B2297" i="4"/>
  <c r="F2296" i="4"/>
  <c r="E2296" i="4"/>
  <c r="D2296" i="4"/>
  <c r="C2296" i="4"/>
  <c r="B2296" i="4"/>
  <c r="F2295" i="4"/>
  <c r="E2295" i="4"/>
  <c r="D2295" i="4"/>
  <c r="C2295" i="4"/>
  <c r="B2295" i="4"/>
  <c r="F2294" i="4"/>
  <c r="C2294" i="4"/>
  <c r="B2294" i="4"/>
  <c r="F2293" i="4"/>
  <c r="E2293" i="4"/>
  <c r="D2293" i="4"/>
  <c r="C2293" i="4"/>
  <c r="B2293" i="4"/>
  <c r="F2292" i="4"/>
  <c r="E2292" i="4"/>
  <c r="D2292" i="4"/>
  <c r="C2292" i="4"/>
  <c r="B2292" i="4"/>
  <c r="F2291" i="4"/>
  <c r="E2291" i="4"/>
  <c r="D2291" i="4"/>
  <c r="C2291" i="4"/>
  <c r="B2291" i="4"/>
  <c r="F2290" i="4"/>
  <c r="E2290" i="4"/>
  <c r="D2290" i="4"/>
  <c r="C2290" i="4"/>
  <c r="B2290" i="4"/>
  <c r="F2289" i="4"/>
  <c r="E2289" i="4"/>
  <c r="D2289" i="4"/>
  <c r="C2289" i="4"/>
  <c r="B2289" i="4"/>
  <c r="F2288" i="4"/>
  <c r="E2288" i="4"/>
  <c r="D2288" i="4"/>
  <c r="C2288" i="4"/>
  <c r="B2288" i="4"/>
  <c r="F2287" i="4"/>
  <c r="E2287" i="4"/>
  <c r="D2287" i="4"/>
  <c r="C2287" i="4"/>
  <c r="B2287" i="4"/>
  <c r="F2286" i="4"/>
  <c r="E2286" i="4"/>
  <c r="D2286" i="4"/>
  <c r="C2286" i="4"/>
  <c r="B2286" i="4"/>
  <c r="F2285" i="4"/>
  <c r="E2285" i="4"/>
  <c r="D2285" i="4"/>
  <c r="C2285" i="4"/>
  <c r="B2285" i="4"/>
  <c r="F2284" i="4"/>
  <c r="E2284" i="4"/>
  <c r="D2284" i="4"/>
  <c r="C2284" i="4"/>
  <c r="B2284" i="4"/>
  <c r="F2283" i="4"/>
  <c r="E2283" i="4"/>
  <c r="D2283" i="4"/>
  <c r="C2283" i="4"/>
  <c r="B2283" i="4"/>
  <c r="F2282" i="4"/>
  <c r="E2282" i="4"/>
  <c r="D2282" i="4"/>
  <c r="C2282" i="4"/>
  <c r="B2282" i="4"/>
  <c r="F2281" i="4"/>
  <c r="E2281" i="4"/>
  <c r="D2281" i="4"/>
  <c r="C2281" i="4"/>
  <c r="B2281" i="4"/>
  <c r="F2280" i="4"/>
  <c r="E2280" i="4"/>
  <c r="D2280" i="4"/>
  <c r="C2280" i="4"/>
  <c r="B2280" i="4"/>
  <c r="F2279" i="4"/>
  <c r="E2279" i="4"/>
  <c r="D2279" i="4"/>
  <c r="C2279" i="4"/>
  <c r="B2279" i="4"/>
  <c r="F2278" i="4"/>
  <c r="E2278" i="4"/>
  <c r="D2278" i="4"/>
  <c r="C2278" i="4"/>
  <c r="B2278" i="4"/>
  <c r="F2277" i="4"/>
  <c r="E2277" i="4"/>
  <c r="D2277" i="4"/>
  <c r="C2277" i="4"/>
  <c r="B2277" i="4"/>
  <c r="F2276" i="4"/>
  <c r="E2276" i="4"/>
  <c r="D2276" i="4"/>
  <c r="C2276" i="4"/>
  <c r="B2276" i="4"/>
  <c r="F2275" i="4"/>
  <c r="E2275" i="4"/>
  <c r="D2275" i="4"/>
  <c r="C2275" i="4"/>
  <c r="B2275" i="4"/>
  <c r="F2274" i="4"/>
  <c r="E2274" i="4"/>
  <c r="D2274" i="4"/>
  <c r="C2274" i="4"/>
  <c r="B2274" i="4"/>
  <c r="F2273" i="4"/>
  <c r="E2273" i="4"/>
  <c r="D2273" i="4"/>
  <c r="C2273" i="4"/>
  <c r="B2273" i="4"/>
  <c r="F2272" i="4"/>
  <c r="E2272" i="4"/>
  <c r="D2272" i="4"/>
  <c r="C2272" i="4"/>
  <c r="B2272" i="4"/>
  <c r="F2271" i="4"/>
  <c r="E2271" i="4"/>
  <c r="D2271" i="4"/>
  <c r="C2271" i="4"/>
  <c r="B2271" i="4"/>
  <c r="F2270" i="4"/>
  <c r="E2270" i="4"/>
  <c r="D2270" i="4"/>
  <c r="C2270" i="4"/>
  <c r="B2270" i="4"/>
  <c r="F2269" i="4"/>
  <c r="E2269" i="4"/>
  <c r="D2269" i="4"/>
  <c r="C2269" i="4"/>
  <c r="B2269" i="4"/>
  <c r="C2268" i="4"/>
  <c r="B2268" i="4"/>
  <c r="C2267" i="4"/>
  <c r="B2267" i="4"/>
  <c r="F2266" i="4"/>
  <c r="E2266" i="4"/>
  <c r="D2266" i="4"/>
  <c r="C2266" i="4"/>
  <c r="B2266" i="4"/>
  <c r="F2265" i="4"/>
  <c r="E2265" i="4"/>
  <c r="D2265" i="4"/>
  <c r="C2265" i="4"/>
  <c r="B2265" i="4"/>
  <c r="F2264" i="4"/>
  <c r="E2264" i="4"/>
  <c r="D2264" i="4"/>
  <c r="C2264" i="4"/>
  <c r="B2264" i="4"/>
  <c r="F2263" i="4"/>
  <c r="E2263" i="4"/>
  <c r="D2263" i="4"/>
  <c r="C2263" i="4"/>
  <c r="B2263" i="4"/>
  <c r="F2262" i="4"/>
  <c r="E2262" i="4"/>
  <c r="D2262" i="4"/>
  <c r="C2262" i="4"/>
  <c r="B2262" i="4"/>
  <c r="F2261" i="4"/>
  <c r="E2261" i="4"/>
  <c r="D2261" i="4"/>
  <c r="C2261" i="4"/>
  <c r="B2261" i="4"/>
  <c r="F2260" i="4"/>
  <c r="E2260" i="4"/>
  <c r="D2260" i="4"/>
  <c r="C2260" i="4"/>
  <c r="B2260" i="4"/>
  <c r="F2259" i="4"/>
  <c r="E2259" i="4"/>
  <c r="D2259" i="4"/>
  <c r="C2259" i="4"/>
  <c r="B2259" i="4"/>
  <c r="F2258" i="4"/>
  <c r="E2258" i="4"/>
  <c r="D2258" i="4"/>
  <c r="C2258" i="4"/>
  <c r="B2258" i="4"/>
  <c r="F2257" i="4"/>
  <c r="E2257" i="4"/>
  <c r="D2257" i="4"/>
  <c r="C2257" i="4"/>
  <c r="B2257" i="4"/>
  <c r="F2256" i="4"/>
  <c r="E2256" i="4"/>
  <c r="D2256" i="4"/>
  <c r="C2256" i="4"/>
  <c r="B2256" i="4"/>
  <c r="F2255" i="4"/>
  <c r="E2255" i="4"/>
  <c r="D2255" i="4"/>
  <c r="C2255" i="4"/>
  <c r="B2255" i="4"/>
  <c r="F2254" i="4"/>
  <c r="E2254" i="4"/>
  <c r="D2254" i="4"/>
  <c r="C2254" i="4"/>
  <c r="B2254" i="4"/>
  <c r="F2253" i="4"/>
  <c r="E2253" i="4"/>
  <c r="D2253" i="4"/>
  <c r="C2253" i="4"/>
  <c r="B2253" i="4"/>
  <c r="F2252" i="4"/>
  <c r="E2252" i="4"/>
  <c r="D2252" i="4"/>
  <c r="C2252" i="4"/>
  <c r="B2252" i="4"/>
  <c r="F2251" i="4"/>
  <c r="E2251" i="4"/>
  <c r="D2251" i="4"/>
  <c r="C2251" i="4"/>
  <c r="B2251" i="4"/>
  <c r="F2250" i="4"/>
  <c r="E2250" i="4"/>
  <c r="D2250" i="4"/>
  <c r="C2250" i="4"/>
  <c r="B2250" i="4"/>
  <c r="F2249" i="4"/>
  <c r="E2249" i="4"/>
  <c r="D2249" i="4"/>
  <c r="C2249" i="4"/>
  <c r="B2249" i="4"/>
  <c r="F2248" i="4"/>
  <c r="E2248" i="4"/>
  <c r="D2248" i="4"/>
  <c r="C2248" i="4"/>
  <c r="B2248" i="4"/>
  <c r="F2247" i="4"/>
  <c r="E2247" i="4"/>
  <c r="D2247" i="4"/>
  <c r="C2247" i="4"/>
  <c r="B2247" i="4"/>
  <c r="F2246" i="4"/>
  <c r="E2246" i="4"/>
  <c r="D2246" i="4"/>
  <c r="C2246" i="4"/>
  <c r="B2246" i="4"/>
  <c r="F2245" i="4"/>
  <c r="E2245" i="4"/>
  <c r="D2245" i="4"/>
  <c r="C2245" i="4"/>
  <c r="B2245" i="4"/>
  <c r="F2244" i="4"/>
  <c r="E2244" i="4"/>
  <c r="D2244" i="4"/>
  <c r="C2244" i="4"/>
  <c r="B2244" i="4"/>
  <c r="C2243" i="4"/>
  <c r="B2243" i="4"/>
  <c r="F2242" i="4"/>
  <c r="E2242" i="4"/>
  <c r="D2242" i="4"/>
  <c r="C2242" i="4"/>
  <c r="B2242" i="4"/>
  <c r="F2241" i="4"/>
  <c r="E2241" i="4"/>
  <c r="D2241" i="4"/>
  <c r="C2241" i="4"/>
  <c r="B2241" i="4"/>
  <c r="F2240" i="4"/>
  <c r="E2240" i="4"/>
  <c r="D2240" i="4"/>
  <c r="C2240" i="4"/>
  <c r="B2240" i="4"/>
  <c r="F2239" i="4"/>
  <c r="E2239" i="4"/>
  <c r="D2239" i="4"/>
  <c r="C2239" i="4"/>
  <c r="B2239" i="4"/>
  <c r="F2238" i="4"/>
  <c r="E2238" i="4"/>
  <c r="D2238" i="4"/>
  <c r="C2238" i="4"/>
  <c r="B2238" i="4"/>
  <c r="F2237" i="4"/>
  <c r="E2237" i="4"/>
  <c r="D2237" i="4"/>
  <c r="C2237" i="4"/>
  <c r="B2237" i="4"/>
  <c r="F2236" i="4"/>
  <c r="E2236" i="4"/>
  <c r="D2236" i="4"/>
  <c r="C2236" i="4"/>
  <c r="B2236" i="4"/>
  <c r="F2235" i="4"/>
  <c r="E2235" i="4"/>
  <c r="D2235" i="4"/>
  <c r="C2235" i="4"/>
  <c r="B2235" i="4"/>
  <c r="F2234" i="4"/>
  <c r="E2234" i="4"/>
  <c r="D2234" i="4"/>
  <c r="C2234" i="4"/>
  <c r="B2234" i="4"/>
  <c r="F2233" i="4"/>
  <c r="E2233" i="4"/>
  <c r="D2233" i="4"/>
  <c r="C2233" i="4"/>
  <c r="B2233" i="4"/>
  <c r="F2232" i="4"/>
  <c r="E2232" i="4"/>
  <c r="D2232" i="4"/>
  <c r="C2232" i="4"/>
  <c r="B2232" i="4"/>
  <c r="F2231" i="4"/>
  <c r="E2231" i="4"/>
  <c r="D2231" i="4"/>
  <c r="C2231" i="4"/>
  <c r="B2231" i="4"/>
  <c r="F2230" i="4"/>
  <c r="E2230" i="4"/>
  <c r="D2230" i="4"/>
  <c r="C2230" i="4"/>
  <c r="B2230" i="4"/>
  <c r="F2229" i="4"/>
  <c r="E2229" i="4"/>
  <c r="D2229" i="4"/>
  <c r="C2229" i="4"/>
  <c r="B2229" i="4"/>
  <c r="F2228" i="4"/>
  <c r="E2228" i="4"/>
  <c r="D2228" i="4"/>
  <c r="C2228" i="4"/>
  <c r="B2228" i="4"/>
  <c r="F2227" i="4"/>
  <c r="E2227" i="4"/>
  <c r="D2227" i="4"/>
  <c r="C2227" i="4"/>
  <c r="B2227" i="4"/>
  <c r="F2226" i="4"/>
  <c r="E2226" i="4"/>
  <c r="D2226" i="4"/>
  <c r="C2226" i="4"/>
  <c r="B2226" i="4"/>
  <c r="F2225" i="4"/>
  <c r="E2225" i="4"/>
  <c r="D2225" i="4"/>
  <c r="C2225" i="4"/>
  <c r="B2225" i="4"/>
  <c r="F2224" i="4"/>
  <c r="E2224" i="4"/>
  <c r="D2224" i="4"/>
  <c r="C2224" i="4"/>
  <c r="B2224" i="4"/>
  <c r="F2223" i="4"/>
  <c r="E2223" i="4"/>
  <c r="D2223" i="4"/>
  <c r="C2223" i="4"/>
  <c r="B2223" i="4"/>
  <c r="F2222" i="4"/>
  <c r="E2222" i="4"/>
  <c r="D2222" i="4"/>
  <c r="C2222" i="4"/>
  <c r="B2222" i="4"/>
  <c r="F2221" i="4"/>
  <c r="E2221" i="4"/>
  <c r="D2221" i="4"/>
  <c r="C2221" i="4"/>
  <c r="B2221" i="4"/>
  <c r="F2220" i="4"/>
  <c r="E2220" i="4"/>
  <c r="D2220" i="4"/>
  <c r="C2220" i="4"/>
  <c r="B2220" i="4"/>
  <c r="F2219" i="4"/>
  <c r="E2219" i="4"/>
  <c r="D2219" i="4"/>
  <c r="C2219" i="4"/>
  <c r="B2219" i="4"/>
  <c r="F2218" i="4"/>
  <c r="E2218" i="4"/>
  <c r="D2218" i="4"/>
  <c r="C2218" i="4"/>
  <c r="B2218" i="4"/>
  <c r="F2217" i="4"/>
  <c r="E2217" i="4"/>
  <c r="D2217" i="4"/>
  <c r="C2217" i="4"/>
  <c r="B2217" i="4"/>
  <c r="F2216" i="4"/>
  <c r="E2216" i="4"/>
  <c r="D2216" i="4"/>
  <c r="C2216" i="4"/>
  <c r="B2216" i="4"/>
  <c r="F2215" i="4"/>
  <c r="E2215" i="4"/>
  <c r="D2215" i="4"/>
  <c r="C2215" i="4"/>
  <c r="B2215" i="4"/>
  <c r="F2214" i="4"/>
  <c r="E2214" i="4"/>
  <c r="D2214" i="4"/>
  <c r="C2214" i="4"/>
  <c r="B2214" i="4"/>
  <c r="F2213" i="4"/>
  <c r="E2213" i="4"/>
  <c r="D2213" i="4"/>
  <c r="C2213" i="4"/>
  <c r="B2213" i="4"/>
  <c r="F2212" i="4"/>
  <c r="E2212" i="4"/>
  <c r="D2212" i="4"/>
  <c r="C2212" i="4"/>
  <c r="B2212" i="4"/>
  <c r="F2211" i="4"/>
  <c r="E2211" i="4"/>
  <c r="D2211" i="4"/>
  <c r="C2211" i="4"/>
  <c r="B2211" i="4"/>
  <c r="F2210" i="4"/>
  <c r="E2210" i="4"/>
  <c r="D2210" i="4"/>
  <c r="C2210" i="4"/>
  <c r="B2210" i="4"/>
  <c r="F2209" i="4"/>
  <c r="E2209" i="4"/>
  <c r="D2209" i="4"/>
  <c r="C2209" i="4"/>
  <c r="B2209" i="4"/>
  <c r="F2208" i="4"/>
  <c r="E2208" i="4"/>
  <c r="D2208" i="4"/>
  <c r="C2208" i="4"/>
  <c r="B2208" i="4"/>
  <c r="F2207" i="4"/>
  <c r="E2207" i="4"/>
  <c r="D2207" i="4"/>
  <c r="C2207" i="4"/>
  <c r="B2207" i="4"/>
  <c r="F2206" i="4"/>
  <c r="E2206" i="4"/>
  <c r="D2206" i="4"/>
  <c r="C2206" i="4"/>
  <c r="B2206" i="4"/>
  <c r="F2205" i="4"/>
  <c r="E2205" i="4"/>
  <c r="D2205" i="4"/>
  <c r="C2205" i="4"/>
  <c r="B2205" i="4"/>
  <c r="F2204" i="4"/>
  <c r="E2204" i="4"/>
  <c r="D2204" i="4"/>
  <c r="C2204" i="4"/>
  <c r="B2204" i="4"/>
  <c r="F2203" i="4"/>
  <c r="E2203" i="4"/>
  <c r="D2203" i="4"/>
  <c r="C2203" i="4"/>
  <c r="B2203" i="4"/>
  <c r="F2202" i="4"/>
  <c r="E2202" i="4"/>
  <c r="D2202" i="4"/>
  <c r="C2202" i="4"/>
  <c r="B2202" i="4"/>
  <c r="F2201" i="4"/>
  <c r="E2201" i="4"/>
  <c r="C2201" i="4"/>
  <c r="B2201" i="4"/>
  <c r="F2200" i="4"/>
  <c r="E2200" i="4"/>
  <c r="D2200" i="4"/>
  <c r="C2200" i="4"/>
  <c r="B2200" i="4"/>
  <c r="F2199" i="4"/>
  <c r="E2199" i="4"/>
  <c r="D2199" i="4"/>
  <c r="C2199" i="4"/>
  <c r="B2199" i="4"/>
  <c r="F2198" i="4"/>
  <c r="E2198" i="4"/>
  <c r="D2198" i="4"/>
  <c r="C2198" i="4"/>
  <c r="B2198" i="4"/>
  <c r="F2197" i="4"/>
  <c r="E2197" i="4"/>
  <c r="D2197" i="4"/>
  <c r="C2197" i="4"/>
  <c r="B2197" i="4"/>
  <c r="F2196" i="4"/>
  <c r="E2196" i="4"/>
  <c r="D2196" i="4"/>
  <c r="C2196" i="4"/>
  <c r="B2196" i="4"/>
  <c r="F2195" i="4"/>
  <c r="E2195" i="4"/>
  <c r="D2195" i="4"/>
  <c r="C2195" i="4"/>
  <c r="B2195" i="4"/>
  <c r="F2194" i="4"/>
  <c r="E2194" i="4"/>
  <c r="D2194" i="4"/>
  <c r="C2194" i="4"/>
  <c r="B2194" i="4"/>
  <c r="F2193" i="4"/>
  <c r="E2193" i="4"/>
  <c r="D2193" i="4"/>
  <c r="C2193" i="4"/>
  <c r="B2193" i="4"/>
  <c r="F2192" i="4"/>
  <c r="E2192" i="4"/>
  <c r="D2192" i="4"/>
  <c r="C2192" i="4"/>
  <c r="B2192" i="4"/>
  <c r="F2191" i="4"/>
  <c r="E2191" i="4"/>
  <c r="C2191" i="4"/>
  <c r="B2191" i="4"/>
  <c r="F2190" i="4"/>
  <c r="E2190" i="4"/>
  <c r="D2190" i="4"/>
  <c r="C2190" i="4"/>
  <c r="B2190" i="4"/>
  <c r="F2189" i="4"/>
  <c r="E2189" i="4"/>
  <c r="D2189" i="4"/>
  <c r="C2189" i="4"/>
  <c r="B2189" i="4"/>
  <c r="F2188" i="4"/>
  <c r="E2188" i="4"/>
  <c r="D2188" i="4"/>
  <c r="C2188" i="4"/>
  <c r="B2188" i="4"/>
  <c r="F2187" i="4"/>
  <c r="E2187" i="4"/>
  <c r="D2187" i="4"/>
  <c r="C2187" i="4"/>
  <c r="B2187" i="4"/>
  <c r="F2186" i="4"/>
  <c r="E2186" i="4"/>
  <c r="D2186" i="4"/>
  <c r="C2186" i="4"/>
  <c r="B2186" i="4"/>
  <c r="F2185" i="4"/>
  <c r="E2185" i="4"/>
  <c r="D2185" i="4"/>
  <c r="C2185" i="4"/>
  <c r="B2185" i="4"/>
  <c r="F2184" i="4"/>
  <c r="E2184" i="4"/>
  <c r="D2184" i="4"/>
  <c r="C2184" i="4"/>
  <c r="B2184" i="4"/>
  <c r="F2183" i="4"/>
  <c r="E2183" i="4"/>
  <c r="D2183" i="4"/>
  <c r="C2183" i="4"/>
  <c r="B2183" i="4"/>
  <c r="F2182" i="4"/>
  <c r="E2182" i="4"/>
  <c r="D2182" i="4"/>
  <c r="C2182" i="4"/>
  <c r="B2182" i="4"/>
  <c r="F2181" i="4"/>
  <c r="E2181" i="4"/>
  <c r="D2181" i="4"/>
  <c r="C2181" i="4"/>
  <c r="B2181" i="4"/>
  <c r="F2180" i="4"/>
  <c r="E2180" i="4"/>
  <c r="D2180" i="4"/>
  <c r="C2180" i="4"/>
  <c r="B2180" i="4"/>
  <c r="F2179" i="4"/>
  <c r="E2179" i="4"/>
  <c r="D2179" i="4"/>
  <c r="C2179" i="4"/>
  <c r="B2179" i="4"/>
  <c r="F2178" i="4"/>
  <c r="E2178" i="4"/>
  <c r="D2178" i="4"/>
  <c r="C2178" i="4"/>
  <c r="B2178" i="4"/>
  <c r="F2177" i="4"/>
  <c r="E2177" i="4"/>
  <c r="D2177" i="4"/>
  <c r="C2177" i="4"/>
  <c r="B2177" i="4"/>
  <c r="F2176" i="4"/>
  <c r="E2176" i="4"/>
  <c r="D2176" i="4"/>
  <c r="C2176" i="4"/>
  <c r="B2176" i="4"/>
  <c r="F2175" i="4"/>
  <c r="E2175" i="4"/>
  <c r="D2175" i="4"/>
  <c r="C2175" i="4"/>
  <c r="B2175" i="4"/>
  <c r="F2174" i="4"/>
  <c r="E2174" i="4"/>
  <c r="D2174" i="4"/>
  <c r="C2174" i="4"/>
  <c r="B2174" i="4"/>
  <c r="F2173" i="4"/>
  <c r="E2173" i="4"/>
  <c r="D2173" i="4"/>
  <c r="C2173" i="4"/>
  <c r="B2173" i="4"/>
  <c r="F2172" i="4"/>
  <c r="E2172" i="4"/>
  <c r="D2172" i="4"/>
  <c r="C2172" i="4"/>
  <c r="B2172" i="4"/>
  <c r="F2171" i="4"/>
  <c r="E2171" i="4"/>
  <c r="D2171" i="4"/>
  <c r="C2171" i="4"/>
  <c r="B2171" i="4"/>
  <c r="F2170" i="4"/>
  <c r="E2170" i="4"/>
  <c r="D2170" i="4"/>
  <c r="C2170" i="4"/>
  <c r="B2170" i="4"/>
  <c r="F2169" i="4"/>
  <c r="E2169" i="4"/>
  <c r="D2169" i="4"/>
  <c r="C2169" i="4"/>
  <c r="B2169" i="4"/>
  <c r="F2168" i="4"/>
  <c r="E2168" i="4"/>
  <c r="D2168" i="4"/>
  <c r="C2168" i="4"/>
  <c r="B2168" i="4"/>
  <c r="F2167" i="4"/>
  <c r="E2167" i="4"/>
  <c r="D2167" i="4"/>
  <c r="C2167" i="4"/>
  <c r="B2167" i="4"/>
  <c r="F2166" i="4"/>
  <c r="E2166" i="4"/>
  <c r="D2166" i="4"/>
  <c r="C2166" i="4"/>
  <c r="B2166" i="4"/>
  <c r="F2165" i="4"/>
  <c r="E2165" i="4"/>
  <c r="D2165" i="4"/>
  <c r="C2165" i="4"/>
  <c r="B2165" i="4"/>
  <c r="F2164" i="4"/>
  <c r="E2164" i="4"/>
  <c r="D2164" i="4"/>
  <c r="C2164" i="4"/>
  <c r="B2164" i="4"/>
  <c r="F2163" i="4"/>
  <c r="E2163" i="4"/>
  <c r="D2163" i="4"/>
  <c r="C2163" i="4"/>
  <c r="B2163" i="4"/>
  <c r="F2162" i="4"/>
  <c r="E2162" i="4"/>
  <c r="D2162" i="4"/>
  <c r="C2162" i="4"/>
  <c r="B2162" i="4"/>
  <c r="F2161" i="4"/>
  <c r="E2161" i="4"/>
  <c r="D2161" i="4"/>
  <c r="C2161" i="4"/>
  <c r="B2161" i="4"/>
  <c r="F2160" i="4"/>
  <c r="E2160" i="4"/>
  <c r="D2160" i="4"/>
  <c r="C2160" i="4"/>
  <c r="B2160" i="4"/>
  <c r="F2159" i="4"/>
  <c r="E2159" i="4"/>
  <c r="D2159" i="4"/>
  <c r="C2159" i="4"/>
  <c r="B2159" i="4"/>
  <c r="F2158" i="4"/>
  <c r="E2158" i="4"/>
  <c r="D2158" i="4"/>
  <c r="C2158" i="4"/>
  <c r="B2158" i="4"/>
  <c r="F2157" i="4"/>
  <c r="E2157" i="4"/>
  <c r="D2157" i="4"/>
  <c r="C2157" i="4"/>
  <c r="B2157" i="4"/>
  <c r="F2156" i="4"/>
  <c r="E2156" i="4"/>
  <c r="D2156" i="4"/>
  <c r="C2156" i="4"/>
  <c r="B2156" i="4"/>
  <c r="F2155" i="4"/>
  <c r="E2155" i="4"/>
  <c r="D2155" i="4"/>
  <c r="C2155" i="4"/>
  <c r="B2155" i="4"/>
  <c r="F2154" i="4"/>
  <c r="E2154" i="4"/>
  <c r="D2154" i="4"/>
  <c r="C2154" i="4"/>
  <c r="B2154" i="4"/>
  <c r="F2153" i="4"/>
  <c r="E2153" i="4"/>
  <c r="D2153" i="4"/>
  <c r="C2153" i="4"/>
  <c r="B2153" i="4"/>
  <c r="F2152" i="4"/>
  <c r="E2152" i="4"/>
  <c r="D2152" i="4"/>
  <c r="C2152" i="4"/>
  <c r="B2152" i="4"/>
  <c r="F2151" i="4"/>
  <c r="E2151" i="4"/>
  <c r="D2151" i="4"/>
  <c r="C2151" i="4"/>
  <c r="B2151" i="4"/>
  <c r="F2150" i="4"/>
  <c r="E2150" i="4"/>
  <c r="D2150" i="4"/>
  <c r="C2150" i="4"/>
  <c r="B2150" i="4"/>
  <c r="F2149" i="4"/>
  <c r="E2149" i="4"/>
  <c r="D2149" i="4"/>
  <c r="C2149" i="4"/>
  <c r="B2149" i="4"/>
  <c r="F2148" i="4"/>
  <c r="E2148" i="4"/>
  <c r="D2148" i="4"/>
  <c r="C2148" i="4"/>
  <c r="B2148" i="4"/>
  <c r="F2147" i="4"/>
  <c r="E2147" i="4"/>
  <c r="D2147" i="4"/>
  <c r="C2147" i="4"/>
  <c r="B2147" i="4"/>
  <c r="F2146" i="4"/>
  <c r="E2146" i="4"/>
  <c r="D2146" i="4"/>
  <c r="C2146" i="4"/>
  <c r="B2146" i="4"/>
  <c r="F2145" i="4"/>
  <c r="E2145" i="4"/>
  <c r="D2145" i="4"/>
  <c r="C2145" i="4"/>
  <c r="B2145" i="4"/>
  <c r="F2144" i="4"/>
  <c r="E2144" i="4"/>
  <c r="D2144" i="4"/>
  <c r="C2144" i="4"/>
  <c r="B2144" i="4"/>
  <c r="F2143" i="4"/>
  <c r="E2143" i="4"/>
  <c r="D2143" i="4"/>
  <c r="C2143" i="4"/>
  <c r="B2143" i="4"/>
  <c r="F2142" i="4"/>
  <c r="E2142" i="4"/>
  <c r="D2142" i="4"/>
  <c r="C2142" i="4"/>
  <c r="B2142" i="4"/>
  <c r="F2141" i="4"/>
  <c r="E2141" i="4"/>
  <c r="D2141" i="4"/>
  <c r="C2141" i="4"/>
  <c r="B2141" i="4"/>
  <c r="F2140" i="4"/>
  <c r="E2140" i="4"/>
  <c r="D2140" i="4"/>
  <c r="C2140" i="4"/>
  <c r="B2140" i="4"/>
  <c r="F2139" i="4"/>
  <c r="E2139" i="4"/>
  <c r="D2139" i="4"/>
  <c r="C2139" i="4"/>
  <c r="B2139" i="4"/>
  <c r="F2138" i="4"/>
  <c r="E2138" i="4"/>
  <c r="D2138" i="4"/>
  <c r="C2138" i="4"/>
  <c r="B2138" i="4"/>
  <c r="F2137" i="4"/>
  <c r="E2137" i="4"/>
  <c r="D2137" i="4"/>
  <c r="C2137" i="4"/>
  <c r="B2137" i="4"/>
  <c r="F2136" i="4"/>
  <c r="E2136" i="4"/>
  <c r="D2136" i="4"/>
  <c r="C2136" i="4"/>
  <c r="B2136" i="4"/>
  <c r="F2135" i="4"/>
  <c r="E2135" i="4"/>
  <c r="C2135" i="4"/>
  <c r="B2135" i="4"/>
  <c r="F2134" i="4"/>
  <c r="E2134" i="4"/>
  <c r="C2134" i="4"/>
  <c r="B2134" i="4"/>
  <c r="F2133" i="4"/>
  <c r="E2133" i="4"/>
  <c r="C2133" i="4"/>
  <c r="B2133" i="4"/>
  <c r="F2132" i="4"/>
  <c r="E2132" i="4"/>
  <c r="C2132" i="4"/>
  <c r="B2132" i="4"/>
  <c r="F2131" i="4"/>
  <c r="E2131" i="4"/>
  <c r="C2131" i="4"/>
  <c r="B2131" i="4"/>
  <c r="F2130" i="4"/>
  <c r="E2130" i="4"/>
  <c r="D2130" i="4"/>
  <c r="C2130" i="4"/>
  <c r="B2130" i="4"/>
  <c r="F2129" i="4"/>
  <c r="E2129" i="4"/>
  <c r="C2129" i="4"/>
  <c r="B2129" i="4"/>
  <c r="F2128" i="4"/>
  <c r="E2128" i="4"/>
  <c r="D2128" i="4"/>
  <c r="C2128" i="4"/>
  <c r="B2128" i="4"/>
  <c r="F2127" i="4"/>
  <c r="E2127" i="4"/>
  <c r="C2127" i="4"/>
  <c r="B2127" i="4"/>
  <c r="F2126" i="4"/>
  <c r="E2126" i="4"/>
  <c r="D2126" i="4"/>
  <c r="C2126" i="4"/>
  <c r="B2126" i="4"/>
  <c r="F2125" i="4"/>
  <c r="E2125" i="4"/>
  <c r="D2125" i="4"/>
  <c r="C2125" i="4"/>
  <c r="B2125" i="4"/>
  <c r="F2124" i="4"/>
  <c r="E2124" i="4"/>
  <c r="D2124" i="4"/>
  <c r="C2124" i="4"/>
  <c r="B2124" i="4"/>
  <c r="F2123" i="4"/>
  <c r="E2123" i="4"/>
  <c r="D2123" i="4"/>
  <c r="C2123" i="4"/>
  <c r="B2123" i="4"/>
  <c r="F2122" i="4"/>
  <c r="E2122" i="4"/>
  <c r="D2122" i="4"/>
  <c r="C2122" i="4"/>
  <c r="B2122" i="4"/>
  <c r="F2121" i="4"/>
  <c r="E2121" i="4"/>
  <c r="D2121" i="4"/>
  <c r="C2121" i="4"/>
  <c r="B2121" i="4"/>
  <c r="F2120" i="4"/>
  <c r="D2120" i="4"/>
  <c r="C2120" i="4"/>
  <c r="B2120" i="4"/>
  <c r="F2119" i="4"/>
  <c r="E2119" i="4"/>
  <c r="D2119" i="4"/>
  <c r="C2119" i="4"/>
  <c r="B2119" i="4"/>
  <c r="F2118" i="4"/>
  <c r="E2118" i="4"/>
  <c r="D2118" i="4"/>
  <c r="C2118" i="4"/>
  <c r="B2118" i="4"/>
  <c r="F2117" i="4"/>
  <c r="E2117" i="4"/>
  <c r="D2117" i="4"/>
  <c r="C2117" i="4"/>
  <c r="B2117" i="4"/>
  <c r="F2116" i="4"/>
  <c r="E2116" i="4"/>
  <c r="D2116" i="4"/>
  <c r="C2116" i="4"/>
  <c r="B2116" i="4"/>
  <c r="F2115" i="4"/>
  <c r="E2115" i="4"/>
  <c r="D2115" i="4"/>
  <c r="C2115" i="4"/>
  <c r="B2115" i="4"/>
  <c r="F2114" i="4"/>
  <c r="E2114" i="4"/>
  <c r="D2114" i="4"/>
  <c r="C2114" i="4"/>
  <c r="B2114" i="4"/>
  <c r="F2113" i="4"/>
  <c r="E2113" i="4"/>
  <c r="D2113" i="4"/>
  <c r="C2113" i="4"/>
  <c r="B2113" i="4"/>
  <c r="F2112" i="4"/>
  <c r="E2112" i="4"/>
  <c r="D2112" i="4"/>
  <c r="C2112" i="4"/>
  <c r="B2112" i="4"/>
  <c r="F2111" i="4"/>
  <c r="E2111" i="4"/>
  <c r="D2111" i="4"/>
  <c r="C2111" i="4"/>
  <c r="B2111" i="4"/>
  <c r="F2110" i="4"/>
  <c r="E2110" i="4"/>
  <c r="D2110" i="4"/>
  <c r="C2110" i="4"/>
  <c r="B2110" i="4"/>
  <c r="F2109" i="4"/>
  <c r="E2109" i="4"/>
  <c r="D2109" i="4"/>
  <c r="C2109" i="4"/>
  <c r="B2109" i="4"/>
  <c r="F2108" i="4"/>
  <c r="E2108" i="4"/>
  <c r="D2108" i="4"/>
  <c r="C2108" i="4"/>
  <c r="B2108" i="4"/>
  <c r="F2107" i="4"/>
  <c r="E2107" i="4"/>
  <c r="D2107" i="4"/>
  <c r="C2107" i="4"/>
  <c r="B2107" i="4"/>
  <c r="F2106" i="4"/>
  <c r="E2106" i="4"/>
  <c r="D2106" i="4"/>
  <c r="C2106" i="4"/>
  <c r="B2106" i="4"/>
  <c r="F2105" i="4"/>
  <c r="E2105" i="4"/>
  <c r="D2105" i="4"/>
  <c r="C2105" i="4"/>
  <c r="B2105" i="4"/>
  <c r="F2104" i="4"/>
  <c r="E2104" i="4"/>
  <c r="D2104" i="4"/>
  <c r="C2104" i="4"/>
  <c r="B2104" i="4"/>
  <c r="F2103" i="4"/>
  <c r="E2103" i="4"/>
  <c r="D2103" i="4"/>
  <c r="C2103" i="4"/>
  <c r="B2103" i="4"/>
  <c r="F2102" i="4"/>
  <c r="E2102" i="4"/>
  <c r="D2102" i="4"/>
  <c r="C2102" i="4"/>
  <c r="B2102" i="4"/>
  <c r="F2101" i="4"/>
  <c r="E2101" i="4"/>
  <c r="D2101" i="4"/>
  <c r="C2101" i="4"/>
  <c r="B2101" i="4"/>
  <c r="F2100" i="4"/>
  <c r="E2100" i="4"/>
  <c r="C2100" i="4"/>
  <c r="B2100" i="4"/>
  <c r="F2099" i="4"/>
  <c r="E2099" i="4"/>
  <c r="D2099" i="4"/>
  <c r="C2099" i="4"/>
  <c r="B2099" i="4"/>
  <c r="F2098" i="4"/>
  <c r="E2098" i="4"/>
  <c r="C2098" i="4"/>
  <c r="B2098" i="4"/>
  <c r="F2097" i="4"/>
  <c r="E2097" i="4"/>
  <c r="C2097" i="4"/>
  <c r="B2097" i="4"/>
  <c r="F2096" i="4"/>
  <c r="E2096" i="4"/>
  <c r="D2096" i="4"/>
  <c r="C2096" i="4"/>
  <c r="B2096" i="4"/>
  <c r="F2095" i="4"/>
  <c r="E2095" i="4"/>
  <c r="C2095" i="4"/>
  <c r="B2095" i="4"/>
  <c r="F2094" i="4"/>
  <c r="E2094" i="4"/>
  <c r="C2094" i="4"/>
  <c r="B2094" i="4"/>
  <c r="F2093" i="4"/>
  <c r="E2093" i="4"/>
  <c r="C2093" i="4"/>
  <c r="B2093" i="4"/>
  <c r="F2092" i="4"/>
  <c r="E2092" i="4"/>
  <c r="C2092" i="4"/>
  <c r="B2092" i="4"/>
  <c r="F2091" i="4"/>
  <c r="E2091" i="4"/>
  <c r="D2091" i="4"/>
  <c r="C2091" i="4"/>
  <c r="B2091" i="4"/>
  <c r="F2090" i="4"/>
  <c r="E2090" i="4"/>
  <c r="C2090" i="4"/>
  <c r="B2090" i="4"/>
  <c r="F2089" i="4"/>
  <c r="E2089" i="4"/>
  <c r="D2089" i="4"/>
  <c r="C2089" i="4"/>
  <c r="B2089" i="4"/>
  <c r="F2088" i="4"/>
  <c r="E2088" i="4"/>
  <c r="C2088" i="4"/>
  <c r="B2088" i="4"/>
  <c r="F2087" i="4"/>
  <c r="E2087" i="4"/>
  <c r="D2087" i="4"/>
  <c r="C2087" i="4"/>
  <c r="B2087" i="4"/>
  <c r="F2086" i="4"/>
  <c r="E2086" i="4"/>
  <c r="C2086" i="4"/>
  <c r="B2086" i="4"/>
  <c r="F2085" i="4"/>
  <c r="E2085" i="4"/>
  <c r="D2085" i="4"/>
  <c r="C2085" i="4"/>
  <c r="B2085" i="4"/>
  <c r="F2084" i="4"/>
  <c r="E2084" i="4"/>
  <c r="D2084" i="4"/>
  <c r="C2084" i="4"/>
  <c r="B2084" i="4"/>
  <c r="F2083" i="4"/>
  <c r="E2083" i="4"/>
  <c r="D2083" i="4"/>
  <c r="C2083" i="4"/>
  <c r="B2083" i="4"/>
  <c r="C2082" i="4"/>
  <c r="B2082" i="4"/>
  <c r="F2081" i="4"/>
  <c r="E2081" i="4"/>
  <c r="D2081" i="4"/>
  <c r="C2081" i="4"/>
  <c r="B2081" i="4"/>
  <c r="F2080" i="4"/>
  <c r="E2080" i="4"/>
  <c r="D2080" i="4"/>
  <c r="C2080" i="4"/>
  <c r="B2080" i="4"/>
  <c r="F2079" i="4"/>
  <c r="E2079" i="4"/>
  <c r="D2079" i="4"/>
  <c r="C2079" i="4"/>
  <c r="B2079" i="4"/>
  <c r="F2078" i="4"/>
  <c r="E2078" i="4"/>
  <c r="D2078" i="4"/>
  <c r="C2078" i="4"/>
  <c r="B2078" i="4"/>
  <c r="F2077" i="4"/>
  <c r="E2077" i="4"/>
  <c r="D2077" i="4"/>
  <c r="C2077" i="4"/>
  <c r="B2077" i="4"/>
  <c r="F2076" i="4"/>
  <c r="E2076" i="4"/>
  <c r="D2076" i="4"/>
  <c r="C2076" i="4"/>
  <c r="B2076" i="4"/>
  <c r="F2075" i="4"/>
  <c r="E2075" i="4"/>
  <c r="D2075" i="4"/>
  <c r="C2075" i="4"/>
  <c r="B2075" i="4"/>
  <c r="F2074" i="4"/>
  <c r="E2074" i="4"/>
  <c r="D2074" i="4"/>
  <c r="C2074" i="4"/>
  <c r="B2074" i="4"/>
  <c r="F2073" i="4"/>
  <c r="E2073" i="4"/>
  <c r="D2073" i="4"/>
  <c r="C2073" i="4"/>
  <c r="B2073" i="4"/>
  <c r="F2072" i="4"/>
  <c r="E2072" i="4"/>
  <c r="D2072" i="4"/>
  <c r="C2072" i="4"/>
  <c r="B2072" i="4"/>
  <c r="F2071" i="4"/>
  <c r="E2071" i="4"/>
  <c r="D2071" i="4"/>
  <c r="C2071" i="4"/>
  <c r="B2071" i="4"/>
  <c r="F2070" i="4"/>
  <c r="E2070" i="4"/>
  <c r="D2070" i="4"/>
  <c r="C2070" i="4"/>
  <c r="B2070" i="4"/>
  <c r="F2069" i="4"/>
  <c r="E2069" i="4"/>
  <c r="D2069" i="4"/>
  <c r="C2069" i="4"/>
  <c r="B2069" i="4"/>
  <c r="F2068" i="4"/>
  <c r="E2068" i="4"/>
  <c r="D2068" i="4"/>
  <c r="C2068" i="4"/>
  <c r="B2068" i="4"/>
  <c r="F2067" i="4"/>
  <c r="E2067" i="4"/>
  <c r="D2067" i="4"/>
  <c r="C2067" i="4"/>
  <c r="B2067" i="4"/>
  <c r="F2066" i="4"/>
  <c r="E2066" i="4"/>
  <c r="C2066" i="4"/>
  <c r="B2066" i="4"/>
  <c r="F2065" i="4"/>
  <c r="E2065" i="4"/>
  <c r="C2065" i="4"/>
  <c r="B2065" i="4"/>
  <c r="F2064" i="4"/>
  <c r="E2064" i="4"/>
  <c r="C2064" i="4"/>
  <c r="B2064" i="4"/>
  <c r="F2063" i="4"/>
  <c r="E2063" i="4"/>
  <c r="C2063" i="4"/>
  <c r="B2063" i="4"/>
  <c r="F2062" i="4"/>
  <c r="E2062" i="4"/>
  <c r="D2062" i="4"/>
  <c r="C2062" i="4"/>
  <c r="B2062" i="4"/>
  <c r="F2061" i="4"/>
  <c r="E2061" i="4"/>
  <c r="C2061" i="4"/>
  <c r="B2061" i="4"/>
  <c r="F2060" i="4"/>
  <c r="E2060" i="4"/>
  <c r="D2060" i="4"/>
  <c r="C2060" i="4"/>
  <c r="B2060" i="4"/>
  <c r="F2059" i="4"/>
  <c r="E2059" i="4"/>
  <c r="C2059" i="4"/>
  <c r="B2059" i="4"/>
  <c r="F2058" i="4"/>
  <c r="E2058" i="4"/>
  <c r="C2058" i="4"/>
  <c r="B2058" i="4"/>
  <c r="F2057" i="4"/>
  <c r="E2057" i="4"/>
  <c r="C2057" i="4"/>
  <c r="B2057" i="4"/>
  <c r="F2056" i="4"/>
  <c r="E2056" i="4"/>
  <c r="C2056" i="4"/>
  <c r="B2056" i="4"/>
  <c r="F2055" i="4"/>
  <c r="E2055" i="4"/>
  <c r="C2055" i="4"/>
  <c r="B2055" i="4"/>
  <c r="F2054" i="4"/>
  <c r="E2054" i="4"/>
  <c r="C2054" i="4"/>
  <c r="B2054" i="4"/>
  <c r="F2053" i="4"/>
  <c r="E2053" i="4"/>
  <c r="C2053" i="4"/>
  <c r="B2053" i="4"/>
  <c r="F2052" i="4"/>
  <c r="E2052" i="4"/>
  <c r="C2052" i="4"/>
  <c r="B2052" i="4"/>
  <c r="F2051" i="4"/>
  <c r="E2051" i="4"/>
  <c r="C2051" i="4"/>
  <c r="B2051" i="4"/>
  <c r="F2050" i="4"/>
  <c r="E2050" i="4"/>
  <c r="C2050" i="4"/>
  <c r="B2050" i="4"/>
  <c r="F2049" i="4"/>
  <c r="E2049" i="4"/>
  <c r="C2049" i="4"/>
  <c r="B2049" i="4"/>
  <c r="F2048" i="4"/>
  <c r="E2048" i="4"/>
  <c r="C2048" i="4"/>
  <c r="B2048" i="4"/>
  <c r="F2047" i="4"/>
  <c r="E2047" i="4"/>
  <c r="C2047" i="4"/>
  <c r="B2047" i="4"/>
  <c r="F2046" i="4"/>
  <c r="E2046" i="4"/>
  <c r="C2046" i="4"/>
  <c r="B2046" i="4"/>
  <c r="F2045" i="4"/>
  <c r="E2045" i="4"/>
  <c r="C2045" i="4"/>
  <c r="B2045" i="4"/>
  <c r="F2044" i="4"/>
  <c r="E2044" i="4"/>
  <c r="C2044" i="4"/>
  <c r="B2044" i="4"/>
  <c r="F2043" i="4"/>
  <c r="E2043" i="4"/>
  <c r="C2043" i="4"/>
  <c r="B2043" i="4"/>
  <c r="F2042" i="4"/>
  <c r="E2042" i="4"/>
  <c r="C2042" i="4"/>
  <c r="B2042" i="4"/>
  <c r="F2041" i="4"/>
  <c r="E2041" i="4"/>
  <c r="C2041" i="4"/>
  <c r="B2041" i="4"/>
  <c r="F2040" i="4"/>
  <c r="E2040" i="4"/>
  <c r="C2040" i="4"/>
  <c r="B2040" i="4"/>
  <c r="F2039" i="4"/>
  <c r="E2039" i="4"/>
  <c r="D2039" i="4"/>
  <c r="C2039" i="4"/>
  <c r="B2039" i="4"/>
  <c r="F2038" i="4"/>
  <c r="D2038" i="4"/>
  <c r="C2038" i="4"/>
  <c r="B2038" i="4"/>
  <c r="F2037" i="4"/>
  <c r="D2037" i="4"/>
  <c r="C2037" i="4"/>
  <c r="B2037" i="4"/>
  <c r="F2036" i="4"/>
  <c r="E2036" i="4"/>
  <c r="D2036" i="4"/>
  <c r="C2036" i="4"/>
  <c r="B2036" i="4"/>
  <c r="F2035" i="4"/>
  <c r="E2035" i="4"/>
  <c r="D2035" i="4"/>
  <c r="C2035" i="4"/>
  <c r="B2035" i="4"/>
  <c r="F2034" i="4"/>
  <c r="E2034" i="4"/>
  <c r="D2034" i="4"/>
  <c r="C2034" i="4"/>
  <c r="B2034" i="4"/>
  <c r="F2033" i="4"/>
  <c r="E2033" i="4"/>
  <c r="D2033" i="4"/>
  <c r="C2033" i="4"/>
  <c r="B2033" i="4"/>
  <c r="F2032" i="4"/>
  <c r="E2032" i="4"/>
  <c r="D2032" i="4"/>
  <c r="C2032" i="4"/>
  <c r="B2032" i="4"/>
  <c r="F2031" i="4"/>
  <c r="E2031" i="4"/>
  <c r="D2031" i="4"/>
  <c r="C2031" i="4"/>
  <c r="B2031" i="4"/>
  <c r="F2030" i="4"/>
  <c r="E2030" i="4"/>
  <c r="D2030" i="4"/>
  <c r="C2030" i="4"/>
  <c r="B2030" i="4"/>
  <c r="F2029" i="4"/>
  <c r="E2029" i="4"/>
  <c r="D2029" i="4"/>
  <c r="C2029" i="4"/>
  <c r="B2029" i="4"/>
  <c r="F2028" i="4"/>
  <c r="E2028" i="4"/>
  <c r="D2028" i="4"/>
  <c r="C2028" i="4"/>
  <c r="B2028" i="4"/>
  <c r="F2027" i="4"/>
  <c r="E2027" i="4"/>
  <c r="D2027" i="4"/>
  <c r="C2027" i="4"/>
  <c r="B2027" i="4"/>
  <c r="F2026" i="4"/>
  <c r="E2026" i="4"/>
  <c r="D2026" i="4"/>
  <c r="C2026" i="4"/>
  <c r="B2026" i="4"/>
  <c r="F2025" i="4"/>
  <c r="E2025" i="4"/>
  <c r="D2025" i="4"/>
  <c r="C2025" i="4"/>
  <c r="B2025" i="4"/>
  <c r="C2024" i="4"/>
  <c r="B2024" i="4"/>
  <c r="F2023" i="4"/>
  <c r="E2023" i="4"/>
  <c r="D2023" i="4"/>
  <c r="C2023" i="4"/>
  <c r="B2023" i="4"/>
  <c r="F2022" i="4"/>
  <c r="E2022" i="4"/>
  <c r="D2022" i="4"/>
  <c r="C2022" i="4"/>
  <c r="B2022" i="4"/>
  <c r="F2021" i="4"/>
  <c r="E2021" i="4"/>
  <c r="D2021" i="4"/>
  <c r="C2021" i="4"/>
  <c r="B2021" i="4"/>
  <c r="F2020" i="4"/>
  <c r="E2020" i="4"/>
  <c r="D2020" i="4"/>
  <c r="C2020" i="4"/>
  <c r="B2020" i="4"/>
  <c r="F2019" i="4"/>
  <c r="E2019" i="4"/>
  <c r="D2019" i="4"/>
  <c r="C2019" i="4"/>
  <c r="B2019" i="4"/>
  <c r="F2018" i="4"/>
  <c r="E2018" i="4"/>
  <c r="D2018" i="4"/>
  <c r="C2018" i="4"/>
  <c r="B2018" i="4"/>
  <c r="C2017" i="4"/>
  <c r="B2017" i="4"/>
  <c r="F2016" i="4"/>
  <c r="E2016" i="4"/>
  <c r="D2016" i="4"/>
  <c r="C2016" i="4"/>
  <c r="B2016" i="4"/>
  <c r="F2015" i="4"/>
  <c r="E2015" i="4"/>
  <c r="C2015" i="4"/>
  <c r="B2015" i="4"/>
  <c r="F2014" i="4"/>
  <c r="E2014" i="4"/>
  <c r="D2014" i="4"/>
  <c r="C2014" i="4"/>
  <c r="B2014" i="4"/>
  <c r="F2013" i="4"/>
  <c r="E2013" i="4"/>
  <c r="D2013" i="4"/>
  <c r="C2013" i="4"/>
  <c r="B2013" i="4"/>
  <c r="F2012" i="4"/>
  <c r="E2012" i="4"/>
  <c r="D2012" i="4"/>
  <c r="C2012" i="4"/>
  <c r="B2012" i="4"/>
  <c r="F2011" i="4"/>
  <c r="E2011" i="4"/>
  <c r="D2011" i="4"/>
  <c r="C2011" i="4"/>
  <c r="B2011" i="4"/>
  <c r="F2010" i="4"/>
  <c r="E2010" i="4"/>
  <c r="C2010" i="4"/>
  <c r="B2010" i="4"/>
  <c r="F2009" i="4"/>
  <c r="E2009" i="4"/>
  <c r="C2009" i="4"/>
  <c r="B2009" i="4"/>
  <c r="F2008" i="4"/>
  <c r="E2008" i="4"/>
  <c r="C2008" i="4"/>
  <c r="B2008" i="4"/>
  <c r="F2007" i="4"/>
  <c r="E2007" i="4"/>
  <c r="D2007" i="4"/>
  <c r="C2007" i="4"/>
  <c r="B2007" i="4"/>
  <c r="F2006" i="4"/>
  <c r="E2006" i="4"/>
  <c r="D2006" i="4"/>
  <c r="C2006" i="4"/>
  <c r="B2006" i="4"/>
  <c r="F2005" i="4"/>
  <c r="E2005" i="4"/>
  <c r="C2005" i="4"/>
  <c r="B2005" i="4"/>
  <c r="F2004" i="4"/>
  <c r="E2004" i="4"/>
  <c r="D2004" i="4"/>
  <c r="C2004" i="4"/>
  <c r="B2004" i="4"/>
  <c r="F2003" i="4"/>
  <c r="E2003" i="4"/>
  <c r="D2003" i="4"/>
  <c r="C2003" i="4"/>
  <c r="B2003" i="4"/>
  <c r="F2002" i="4"/>
  <c r="E2002" i="4"/>
  <c r="C2002" i="4"/>
  <c r="B2002" i="4"/>
  <c r="F2001" i="4"/>
  <c r="E2001" i="4"/>
  <c r="D2001" i="4"/>
  <c r="C2001" i="4"/>
  <c r="B2001" i="4"/>
  <c r="F2000" i="4"/>
  <c r="E2000" i="4"/>
  <c r="C2000" i="4"/>
  <c r="B2000" i="4"/>
  <c r="F1999" i="4"/>
  <c r="E1999" i="4"/>
  <c r="D1999" i="4"/>
  <c r="C1999" i="4"/>
  <c r="B1999" i="4"/>
  <c r="F1998" i="4"/>
  <c r="E1998" i="4"/>
  <c r="D1998" i="4"/>
  <c r="C1998" i="4"/>
  <c r="B1998" i="4"/>
  <c r="F1997" i="4"/>
  <c r="E1997" i="4"/>
  <c r="C1997" i="4"/>
  <c r="B1997" i="4"/>
  <c r="F1996" i="4"/>
  <c r="E1996" i="4"/>
  <c r="C1996" i="4"/>
  <c r="B1996" i="4"/>
  <c r="F1995" i="4"/>
  <c r="E1995" i="4"/>
  <c r="C1995" i="4"/>
  <c r="B1995" i="4"/>
  <c r="F1994" i="4"/>
  <c r="E1994" i="4"/>
  <c r="D1994" i="4"/>
  <c r="C1994" i="4"/>
  <c r="B1994" i="4"/>
  <c r="F1993" i="4"/>
  <c r="E1993" i="4"/>
  <c r="C1993" i="4"/>
  <c r="B1993" i="4"/>
  <c r="F1992" i="4"/>
  <c r="E1992" i="4"/>
  <c r="D1992" i="4"/>
  <c r="C1992" i="4"/>
  <c r="B1992" i="4"/>
  <c r="F1991" i="4"/>
  <c r="E1991" i="4"/>
  <c r="D1991" i="4"/>
  <c r="C1991" i="4"/>
  <c r="B1991" i="4"/>
  <c r="F1990" i="4"/>
  <c r="E1990" i="4"/>
  <c r="D1990" i="4"/>
  <c r="C1990" i="4"/>
  <c r="B1990" i="4"/>
  <c r="F1989" i="4"/>
  <c r="E1989" i="4"/>
  <c r="C1989" i="4"/>
  <c r="B1989" i="4"/>
  <c r="F1988" i="4"/>
  <c r="E1988" i="4"/>
  <c r="D1988" i="4"/>
  <c r="C1988" i="4"/>
  <c r="B1988" i="4"/>
  <c r="F1987" i="4"/>
  <c r="E1987" i="4"/>
  <c r="D1987" i="4"/>
  <c r="C1987" i="4"/>
  <c r="B1987" i="4"/>
  <c r="F1986" i="4"/>
  <c r="E1986" i="4"/>
  <c r="D1986" i="4"/>
  <c r="C1986" i="4"/>
  <c r="B1986" i="4"/>
  <c r="F1985" i="4"/>
  <c r="E1985" i="4"/>
  <c r="C1985" i="4"/>
  <c r="B1985" i="4"/>
  <c r="F1984" i="4"/>
  <c r="E1984" i="4"/>
  <c r="D1984" i="4"/>
  <c r="C1984" i="4"/>
  <c r="B1984" i="4"/>
  <c r="F1983" i="4"/>
  <c r="E1983" i="4"/>
  <c r="D1983" i="4"/>
  <c r="C1983" i="4"/>
  <c r="B1983" i="4"/>
  <c r="F1982" i="4"/>
  <c r="E1982" i="4"/>
  <c r="C1982" i="4"/>
  <c r="B1982" i="4"/>
  <c r="F1981" i="4"/>
  <c r="E1981" i="4"/>
  <c r="D1981" i="4"/>
  <c r="C1981" i="4"/>
  <c r="B1981" i="4"/>
  <c r="F1980" i="4"/>
  <c r="E1980" i="4"/>
  <c r="C1980" i="4"/>
  <c r="B1980" i="4"/>
  <c r="F1979" i="4"/>
  <c r="E1979" i="4"/>
  <c r="D1979" i="4"/>
  <c r="C1979" i="4"/>
  <c r="B1979" i="4"/>
  <c r="F1978" i="4"/>
  <c r="E1978" i="4"/>
  <c r="D1978" i="4"/>
  <c r="C1978" i="4"/>
  <c r="B1978" i="4"/>
  <c r="F1977" i="4"/>
  <c r="E1977" i="4"/>
  <c r="C1977" i="4"/>
  <c r="B1977" i="4"/>
  <c r="F1976" i="4"/>
  <c r="E1976" i="4"/>
  <c r="C1976" i="4"/>
  <c r="B1976" i="4"/>
  <c r="F1975" i="4"/>
  <c r="E1975" i="4"/>
  <c r="C1975" i="4"/>
  <c r="B1975" i="4"/>
  <c r="F1974" i="4"/>
  <c r="E1974" i="4"/>
  <c r="D1974" i="4"/>
  <c r="C1974" i="4"/>
  <c r="B1974" i="4"/>
  <c r="F1973" i="4"/>
  <c r="E1973" i="4"/>
  <c r="C1973" i="4"/>
  <c r="B1973" i="4"/>
  <c r="F1972" i="4"/>
  <c r="E1972" i="4"/>
  <c r="C1972" i="4"/>
  <c r="B1972" i="4"/>
  <c r="F1971" i="4"/>
  <c r="E1971" i="4"/>
  <c r="D1971" i="4"/>
  <c r="C1971" i="4"/>
  <c r="B1971" i="4"/>
  <c r="F1970" i="4"/>
  <c r="E1970" i="4"/>
  <c r="D1970" i="4"/>
  <c r="C1970" i="4"/>
  <c r="B1970" i="4"/>
  <c r="F1969" i="4"/>
  <c r="E1969" i="4"/>
  <c r="D1969" i="4"/>
  <c r="C1969" i="4"/>
  <c r="B1969" i="4"/>
  <c r="F1968" i="4"/>
  <c r="E1968" i="4"/>
  <c r="D1968" i="4"/>
  <c r="C1968" i="4"/>
  <c r="B1968" i="4"/>
  <c r="F1967" i="4"/>
  <c r="E1967" i="4"/>
  <c r="D1967" i="4"/>
  <c r="C1967" i="4"/>
  <c r="B1967" i="4"/>
  <c r="F1966" i="4"/>
  <c r="E1966" i="4"/>
  <c r="D1966" i="4"/>
  <c r="C1966" i="4"/>
  <c r="B1966" i="4"/>
  <c r="F1965" i="4"/>
  <c r="E1965" i="4"/>
  <c r="D1965" i="4"/>
  <c r="C1965" i="4"/>
  <c r="B1965" i="4"/>
  <c r="F1964" i="4"/>
  <c r="E1964" i="4"/>
  <c r="D1964" i="4"/>
  <c r="C1964" i="4"/>
  <c r="B1964" i="4"/>
  <c r="F1963" i="4"/>
  <c r="E1963" i="4"/>
  <c r="D1963" i="4"/>
  <c r="C1963" i="4"/>
  <c r="B1963" i="4"/>
  <c r="F1962" i="4"/>
  <c r="E1962" i="4"/>
  <c r="D1962" i="4"/>
  <c r="C1962" i="4"/>
  <c r="B1962" i="4"/>
  <c r="F1961" i="4"/>
  <c r="E1961" i="4"/>
  <c r="D1961" i="4"/>
  <c r="C1961" i="4"/>
  <c r="B1961" i="4"/>
  <c r="F1960" i="4"/>
  <c r="E1960" i="4"/>
  <c r="C1960" i="4"/>
  <c r="B1960" i="4"/>
  <c r="F1959" i="4"/>
  <c r="E1959" i="4"/>
  <c r="C1959" i="4"/>
  <c r="B1959" i="4"/>
  <c r="F1958" i="4"/>
  <c r="E1958" i="4"/>
  <c r="C1958" i="4"/>
  <c r="B1958" i="4"/>
  <c r="F1957" i="4"/>
  <c r="E1957" i="4"/>
  <c r="C1957" i="4"/>
  <c r="B1957" i="4"/>
  <c r="F1956" i="4"/>
  <c r="E1956" i="4"/>
  <c r="C1956" i="4"/>
  <c r="B1956" i="4"/>
  <c r="F1955" i="4"/>
  <c r="E1955" i="4"/>
  <c r="D1955" i="4"/>
  <c r="C1955" i="4"/>
  <c r="B1955" i="4"/>
  <c r="C1954" i="4"/>
  <c r="B1954" i="4"/>
  <c r="F1953" i="4"/>
  <c r="E1953" i="4"/>
  <c r="D1953" i="4"/>
  <c r="C1953" i="4"/>
  <c r="B1953" i="4"/>
  <c r="C1952" i="4"/>
  <c r="B1952" i="4"/>
  <c r="F1951" i="4"/>
  <c r="E1951" i="4"/>
  <c r="D1951" i="4"/>
  <c r="C1951" i="4"/>
  <c r="B1951" i="4"/>
  <c r="F1950" i="4"/>
  <c r="E1950" i="4"/>
  <c r="D1950" i="4"/>
  <c r="C1950" i="4"/>
  <c r="B1950" i="4"/>
  <c r="F1949" i="4"/>
  <c r="E1949" i="4"/>
  <c r="D1949" i="4"/>
  <c r="C1949" i="4"/>
  <c r="B1949" i="4"/>
  <c r="F1948" i="4"/>
  <c r="E1948" i="4"/>
  <c r="D1948" i="4"/>
  <c r="C1948" i="4"/>
  <c r="B1948" i="4"/>
  <c r="F1947" i="4"/>
  <c r="E1947" i="4"/>
  <c r="D1947" i="4"/>
  <c r="C1947" i="4"/>
  <c r="B1947" i="4"/>
  <c r="F1946" i="4"/>
  <c r="E1946" i="4"/>
  <c r="D1946" i="4"/>
  <c r="C1946" i="4"/>
  <c r="B1946" i="4"/>
  <c r="F1945" i="4"/>
  <c r="E1945" i="4"/>
  <c r="D1945" i="4"/>
  <c r="C1945" i="4"/>
  <c r="B1945" i="4"/>
  <c r="F1944" i="4"/>
  <c r="E1944" i="4"/>
  <c r="D1944" i="4"/>
  <c r="C1944" i="4"/>
  <c r="B1944" i="4"/>
  <c r="C1943" i="4"/>
  <c r="B1943" i="4"/>
  <c r="F1942" i="4"/>
  <c r="E1942" i="4"/>
  <c r="D1942" i="4"/>
  <c r="C1942" i="4"/>
  <c r="B1942" i="4"/>
  <c r="F1941" i="4"/>
  <c r="E1941" i="4"/>
  <c r="D1941" i="4"/>
  <c r="C1941" i="4"/>
  <c r="B1941" i="4"/>
  <c r="F1940" i="4"/>
  <c r="E1940" i="4"/>
  <c r="D1940" i="4"/>
  <c r="C1940" i="4"/>
  <c r="B1940" i="4"/>
  <c r="F1939" i="4"/>
  <c r="E1939" i="4"/>
  <c r="D1939" i="4"/>
  <c r="C1939" i="4"/>
  <c r="B1939" i="4"/>
  <c r="F1938" i="4"/>
  <c r="E1938" i="4"/>
  <c r="D1938" i="4"/>
  <c r="C1938" i="4"/>
  <c r="B1938" i="4"/>
  <c r="C1937" i="4"/>
  <c r="B1937" i="4"/>
  <c r="F1936" i="4"/>
  <c r="E1936" i="4"/>
  <c r="D1936" i="4"/>
  <c r="C1936" i="4"/>
  <c r="B1936" i="4"/>
  <c r="F1935" i="4"/>
  <c r="E1935" i="4"/>
  <c r="D1935" i="4"/>
  <c r="C1935" i="4"/>
  <c r="B1935" i="4"/>
  <c r="F1934" i="4"/>
  <c r="E1934" i="4"/>
  <c r="D1934" i="4"/>
  <c r="C1934" i="4"/>
  <c r="B1934" i="4"/>
  <c r="C1933" i="4"/>
  <c r="B1933" i="4"/>
  <c r="F1932" i="4"/>
  <c r="E1932" i="4"/>
  <c r="D1932" i="4"/>
  <c r="C1932" i="4"/>
  <c r="B1932" i="4"/>
  <c r="F1931" i="4"/>
  <c r="E1931" i="4"/>
  <c r="D1931" i="4"/>
  <c r="C1931" i="4"/>
  <c r="B1931" i="4"/>
  <c r="F1930" i="4"/>
  <c r="E1930" i="4"/>
  <c r="D1930" i="4"/>
  <c r="C1930" i="4"/>
  <c r="B1930" i="4"/>
  <c r="F1929" i="4"/>
  <c r="E1929" i="4"/>
  <c r="D1929" i="4"/>
  <c r="C1929" i="4"/>
  <c r="B1929" i="4"/>
  <c r="C1928" i="4"/>
  <c r="B1928" i="4"/>
  <c r="C1927" i="4"/>
  <c r="B1927" i="4"/>
  <c r="F1926" i="4"/>
  <c r="E1926" i="4"/>
  <c r="D1926" i="4"/>
  <c r="C1926" i="4"/>
  <c r="B1926" i="4"/>
  <c r="F1925" i="4"/>
  <c r="E1925" i="4"/>
  <c r="D1925" i="4"/>
  <c r="C1925" i="4"/>
  <c r="B1925" i="4"/>
  <c r="F1924" i="4"/>
  <c r="E1924" i="4"/>
  <c r="D1924" i="4"/>
  <c r="C1924" i="4"/>
  <c r="B1924" i="4"/>
  <c r="F1923" i="4"/>
  <c r="E1923" i="4"/>
  <c r="D1923" i="4"/>
  <c r="C1923" i="4"/>
  <c r="B1923" i="4"/>
  <c r="F1922" i="4"/>
  <c r="E1922" i="4"/>
  <c r="D1922" i="4"/>
  <c r="C1922" i="4"/>
  <c r="B1922" i="4"/>
  <c r="F1921" i="4"/>
  <c r="E1921" i="4"/>
  <c r="D1921" i="4"/>
  <c r="C1921" i="4"/>
  <c r="B1921" i="4"/>
  <c r="F1920" i="4"/>
  <c r="E1920" i="4"/>
  <c r="D1920" i="4"/>
  <c r="C1920" i="4"/>
  <c r="B1920" i="4"/>
  <c r="F1919" i="4"/>
  <c r="E1919" i="4"/>
  <c r="C1919" i="4"/>
  <c r="B1919" i="4"/>
  <c r="F1918" i="4"/>
  <c r="E1918" i="4"/>
  <c r="C1918" i="4"/>
  <c r="B1918" i="4"/>
  <c r="F1917" i="4"/>
  <c r="E1917" i="4"/>
  <c r="C1917" i="4"/>
  <c r="B1917" i="4"/>
  <c r="F1916" i="4"/>
  <c r="E1916" i="4"/>
  <c r="D1916" i="4"/>
  <c r="C1916" i="4"/>
  <c r="B1916" i="4"/>
  <c r="F1915" i="4"/>
  <c r="E1915" i="4"/>
  <c r="D1915" i="4"/>
  <c r="C1915" i="4"/>
  <c r="B1915" i="4"/>
  <c r="F1914" i="4"/>
  <c r="E1914" i="4"/>
  <c r="D1914" i="4"/>
  <c r="C1914" i="4"/>
  <c r="B1914" i="4"/>
  <c r="F1913" i="4"/>
  <c r="E1913" i="4"/>
  <c r="D1913" i="4"/>
  <c r="C1913" i="4"/>
  <c r="B1913" i="4"/>
  <c r="F1912" i="4"/>
  <c r="E1912" i="4"/>
  <c r="D1912" i="4"/>
  <c r="C1912" i="4"/>
  <c r="B1912" i="4"/>
  <c r="F1911" i="4"/>
  <c r="E1911" i="4"/>
  <c r="D1911" i="4"/>
  <c r="C1911" i="4"/>
  <c r="B1911" i="4"/>
  <c r="F1910" i="4"/>
  <c r="E1910" i="4"/>
  <c r="D1910" i="4"/>
  <c r="C1910" i="4"/>
  <c r="B1910" i="4"/>
  <c r="F1909" i="4"/>
  <c r="E1909" i="4"/>
  <c r="D1909" i="4"/>
  <c r="C1909" i="4"/>
  <c r="B1909" i="4"/>
  <c r="F1908" i="4"/>
  <c r="E1908" i="4"/>
  <c r="D1908" i="4"/>
  <c r="C1908" i="4"/>
  <c r="B1908" i="4"/>
  <c r="F1907" i="4"/>
  <c r="E1907" i="4"/>
  <c r="D1907" i="4"/>
  <c r="C1907" i="4"/>
  <c r="B1907" i="4"/>
  <c r="F1906" i="4"/>
  <c r="E1906" i="4"/>
  <c r="D1906" i="4"/>
  <c r="C1906" i="4"/>
  <c r="B1906" i="4"/>
  <c r="F1905" i="4"/>
  <c r="E1905" i="4"/>
  <c r="D1905" i="4"/>
  <c r="C1905" i="4"/>
  <c r="B1905" i="4"/>
  <c r="F1904" i="4"/>
  <c r="E1904" i="4"/>
  <c r="D1904" i="4"/>
  <c r="C1904" i="4"/>
  <c r="B1904" i="4"/>
  <c r="F1903" i="4"/>
  <c r="E1903" i="4"/>
  <c r="D1903" i="4"/>
  <c r="C1903" i="4"/>
  <c r="B1903" i="4"/>
  <c r="F1902" i="4"/>
  <c r="E1902" i="4"/>
  <c r="D1902" i="4"/>
  <c r="C1902" i="4"/>
  <c r="B1902" i="4"/>
  <c r="F1901" i="4"/>
  <c r="E1901" i="4"/>
  <c r="D1901" i="4"/>
  <c r="C1901" i="4"/>
  <c r="B1901" i="4"/>
  <c r="F1900" i="4"/>
  <c r="E1900" i="4"/>
  <c r="D1900" i="4"/>
  <c r="C1900" i="4"/>
  <c r="B1900" i="4"/>
  <c r="F1899" i="4"/>
  <c r="E1899" i="4"/>
  <c r="D1899" i="4"/>
  <c r="C1899" i="4"/>
  <c r="B1899" i="4"/>
  <c r="C1898" i="4"/>
  <c r="B1898" i="4"/>
  <c r="F1897" i="4"/>
  <c r="E1897" i="4"/>
  <c r="D1897" i="4"/>
  <c r="C1897" i="4"/>
  <c r="B1897" i="4"/>
  <c r="F1896" i="4"/>
  <c r="E1896" i="4"/>
  <c r="D1896" i="4"/>
  <c r="C1896" i="4"/>
  <c r="B1896" i="4"/>
  <c r="F1895" i="4"/>
  <c r="E1895" i="4"/>
  <c r="D1895" i="4"/>
  <c r="C1895" i="4"/>
  <c r="B1895" i="4"/>
  <c r="F1894" i="4"/>
  <c r="E1894" i="4"/>
  <c r="D1894" i="4"/>
  <c r="C1894" i="4"/>
  <c r="B1894" i="4"/>
  <c r="F1893" i="4"/>
  <c r="E1893" i="4"/>
  <c r="D1893" i="4"/>
  <c r="C1893" i="4"/>
  <c r="B1893" i="4"/>
  <c r="F1892" i="4"/>
  <c r="E1892" i="4"/>
  <c r="D1892" i="4"/>
  <c r="C1892" i="4"/>
  <c r="B1892" i="4"/>
  <c r="F1891" i="4"/>
  <c r="E1891" i="4"/>
  <c r="D1891" i="4"/>
  <c r="C1891" i="4"/>
  <c r="B1891" i="4"/>
  <c r="C1890" i="4"/>
  <c r="B1890" i="4"/>
  <c r="C1889" i="4"/>
  <c r="B1889" i="4"/>
  <c r="F1888" i="4"/>
  <c r="E1888" i="4"/>
  <c r="D1888" i="4"/>
  <c r="C1888" i="4"/>
  <c r="B1888" i="4"/>
  <c r="F1887" i="4"/>
  <c r="E1887" i="4"/>
  <c r="D1887" i="4"/>
  <c r="C1887" i="4"/>
  <c r="B1887" i="4"/>
  <c r="F1886" i="4"/>
  <c r="E1886" i="4"/>
  <c r="D1886" i="4"/>
  <c r="C1886" i="4"/>
  <c r="B1886" i="4"/>
  <c r="F1885" i="4"/>
  <c r="E1885" i="4"/>
  <c r="D1885" i="4"/>
  <c r="C1885" i="4"/>
  <c r="B1885" i="4"/>
  <c r="F1884" i="4"/>
  <c r="E1884" i="4"/>
  <c r="D1884" i="4"/>
  <c r="C1884" i="4"/>
  <c r="B1884" i="4"/>
  <c r="F1883" i="4"/>
  <c r="E1883" i="4"/>
  <c r="D1883" i="4"/>
  <c r="C1883" i="4"/>
  <c r="B1883" i="4"/>
  <c r="F1882" i="4"/>
  <c r="E1882" i="4"/>
  <c r="D1882" i="4"/>
  <c r="C1882" i="4"/>
  <c r="B1882" i="4"/>
  <c r="F1881" i="4"/>
  <c r="E1881" i="4"/>
  <c r="D1881" i="4"/>
  <c r="C1881" i="4"/>
  <c r="B1881" i="4"/>
  <c r="F1880" i="4"/>
  <c r="E1880" i="4"/>
  <c r="D1880" i="4"/>
  <c r="C1880" i="4"/>
  <c r="B1880" i="4"/>
  <c r="F1879" i="4"/>
  <c r="E1879" i="4"/>
  <c r="D1879" i="4"/>
  <c r="C1879" i="4"/>
  <c r="B1879" i="4"/>
  <c r="C1878" i="4"/>
  <c r="B1878" i="4"/>
  <c r="C1877" i="4"/>
  <c r="B1877" i="4"/>
  <c r="F1876" i="4"/>
  <c r="E1876" i="4"/>
  <c r="D1876" i="4"/>
  <c r="C1876" i="4"/>
  <c r="B1876" i="4"/>
  <c r="F1875" i="4"/>
  <c r="E1875" i="4"/>
  <c r="D1875" i="4"/>
  <c r="C1875" i="4"/>
  <c r="B1875" i="4"/>
  <c r="C1874" i="4"/>
  <c r="B1874" i="4"/>
  <c r="F1873" i="4"/>
  <c r="E1873" i="4"/>
  <c r="D1873" i="4"/>
  <c r="C1873" i="4"/>
  <c r="B1873" i="4"/>
  <c r="F1872" i="4"/>
  <c r="E1872" i="4"/>
  <c r="D1872" i="4"/>
  <c r="C1872" i="4"/>
  <c r="B1872" i="4"/>
  <c r="F1871" i="4"/>
  <c r="E1871" i="4"/>
  <c r="D1871" i="4"/>
  <c r="C1871" i="4"/>
  <c r="B1871" i="4"/>
  <c r="F1870" i="4"/>
  <c r="E1870" i="4"/>
  <c r="D1870" i="4"/>
  <c r="C1870" i="4"/>
  <c r="B1870" i="4"/>
  <c r="F1869" i="4"/>
  <c r="E1869" i="4"/>
  <c r="D1869" i="4"/>
  <c r="C1869" i="4"/>
  <c r="B1869" i="4"/>
  <c r="F1868" i="4"/>
  <c r="E1868" i="4"/>
  <c r="D1868" i="4"/>
  <c r="C1868" i="4"/>
  <c r="B1868" i="4"/>
  <c r="F1867" i="4"/>
  <c r="E1867" i="4"/>
  <c r="D1867" i="4"/>
  <c r="C1867" i="4"/>
  <c r="B1867" i="4"/>
  <c r="F1866" i="4"/>
  <c r="E1866" i="4"/>
  <c r="D1866" i="4"/>
  <c r="C1866" i="4"/>
  <c r="B1866" i="4"/>
  <c r="F1865" i="4"/>
  <c r="E1865" i="4"/>
  <c r="D1865" i="4"/>
  <c r="C1865" i="4"/>
  <c r="B1865" i="4"/>
  <c r="F1864" i="4"/>
  <c r="E1864" i="4"/>
  <c r="D1864" i="4"/>
  <c r="C1864" i="4"/>
  <c r="B1864" i="4"/>
  <c r="F1863" i="4"/>
  <c r="E1863" i="4"/>
  <c r="D1863" i="4"/>
  <c r="C1863" i="4"/>
  <c r="B1863" i="4"/>
  <c r="F1862" i="4"/>
  <c r="E1862" i="4"/>
  <c r="D1862" i="4"/>
  <c r="C1862" i="4"/>
  <c r="B1862" i="4"/>
  <c r="F1861" i="4"/>
  <c r="E1861" i="4"/>
  <c r="D1861" i="4"/>
  <c r="C1861" i="4"/>
  <c r="B1861" i="4"/>
  <c r="F1860" i="4"/>
  <c r="E1860" i="4"/>
  <c r="D1860" i="4"/>
  <c r="C1860" i="4"/>
  <c r="B1860" i="4"/>
  <c r="F1859" i="4"/>
  <c r="E1859" i="4"/>
  <c r="D1859" i="4"/>
  <c r="C1859" i="4"/>
  <c r="B1859" i="4"/>
  <c r="F1858" i="4"/>
  <c r="E1858" i="4"/>
  <c r="D1858" i="4"/>
  <c r="C1858" i="4"/>
  <c r="B1858" i="4"/>
  <c r="F1857" i="4"/>
  <c r="E1857" i="4"/>
  <c r="D1857" i="4"/>
  <c r="C1857" i="4"/>
  <c r="B1857" i="4"/>
  <c r="F1856" i="4"/>
  <c r="E1856" i="4"/>
  <c r="D1856" i="4"/>
  <c r="C1856" i="4"/>
  <c r="B1856" i="4"/>
  <c r="C1855" i="4"/>
  <c r="B1855" i="4"/>
  <c r="F1854" i="4"/>
  <c r="E1854" i="4"/>
  <c r="D1854" i="4"/>
  <c r="C1854" i="4"/>
  <c r="B1854" i="4"/>
  <c r="F1853" i="4"/>
  <c r="E1853" i="4"/>
  <c r="D1853" i="4"/>
  <c r="C1853" i="4"/>
  <c r="B1853" i="4"/>
  <c r="F1852" i="4"/>
  <c r="E1852" i="4"/>
  <c r="D1852" i="4"/>
  <c r="C1852" i="4"/>
  <c r="B1852" i="4"/>
  <c r="F1851" i="4"/>
  <c r="E1851" i="4"/>
  <c r="D1851" i="4"/>
  <c r="C1851" i="4"/>
  <c r="B1851" i="4"/>
  <c r="F1850" i="4"/>
  <c r="E1850" i="4"/>
  <c r="D1850" i="4"/>
  <c r="C1850" i="4"/>
  <c r="B1850" i="4"/>
  <c r="F1849" i="4"/>
  <c r="E1849" i="4"/>
  <c r="D1849" i="4"/>
  <c r="C1849" i="4"/>
  <c r="B1849" i="4"/>
  <c r="C1848" i="4"/>
  <c r="B1848" i="4"/>
  <c r="F1847" i="4"/>
  <c r="E1847" i="4"/>
  <c r="D1847" i="4"/>
  <c r="C1847" i="4"/>
  <c r="B1847" i="4"/>
  <c r="F1846" i="4"/>
  <c r="E1846" i="4"/>
  <c r="D1846" i="4"/>
  <c r="C1846" i="4"/>
  <c r="B1846" i="4"/>
  <c r="F1845" i="4"/>
  <c r="E1845" i="4"/>
  <c r="D1845" i="4"/>
  <c r="C1845" i="4"/>
  <c r="B1845" i="4"/>
  <c r="F1844" i="4"/>
  <c r="E1844" i="4"/>
  <c r="D1844" i="4"/>
  <c r="C1844" i="4"/>
  <c r="B1844" i="4"/>
  <c r="F1843" i="4"/>
  <c r="E1843" i="4"/>
  <c r="D1843" i="4"/>
  <c r="C1843" i="4"/>
  <c r="B1843" i="4"/>
  <c r="F1842" i="4"/>
  <c r="E1842" i="4"/>
  <c r="D1842" i="4"/>
  <c r="C1842" i="4"/>
  <c r="B1842" i="4"/>
  <c r="F1841" i="4"/>
  <c r="E1841" i="4"/>
  <c r="D1841" i="4"/>
  <c r="C1841" i="4"/>
  <c r="B1841" i="4"/>
  <c r="F1840" i="4"/>
  <c r="E1840" i="4"/>
  <c r="D1840" i="4"/>
  <c r="C1840" i="4"/>
  <c r="B1840" i="4"/>
  <c r="F1839" i="4"/>
  <c r="E1839" i="4"/>
  <c r="D1839" i="4"/>
  <c r="C1839" i="4"/>
  <c r="B1839" i="4"/>
  <c r="F1838" i="4"/>
  <c r="E1838" i="4"/>
  <c r="D1838" i="4"/>
  <c r="C1838" i="4"/>
  <c r="B1838" i="4"/>
  <c r="F1837" i="4"/>
  <c r="E1837" i="4"/>
  <c r="D1837" i="4"/>
  <c r="C1837" i="4"/>
  <c r="B1837" i="4"/>
  <c r="F1836" i="4"/>
  <c r="E1836" i="4"/>
  <c r="D1836" i="4"/>
  <c r="C1836" i="4"/>
  <c r="B1836" i="4"/>
  <c r="F1835" i="4"/>
  <c r="E1835" i="4"/>
  <c r="D1835" i="4"/>
  <c r="C1835" i="4"/>
  <c r="B1835" i="4"/>
  <c r="F1834" i="4"/>
  <c r="E1834" i="4"/>
  <c r="D1834" i="4"/>
  <c r="C1834" i="4"/>
  <c r="B1834" i="4"/>
  <c r="F1833" i="4"/>
  <c r="E1833" i="4"/>
  <c r="D1833" i="4"/>
  <c r="C1833" i="4"/>
  <c r="B1833" i="4"/>
  <c r="F1832" i="4"/>
  <c r="D1832" i="4"/>
  <c r="C1832" i="4"/>
  <c r="B1832" i="4"/>
  <c r="F1831" i="4"/>
  <c r="E1831" i="4"/>
  <c r="D1831" i="4"/>
  <c r="C1831" i="4"/>
  <c r="B1831" i="4"/>
  <c r="F1830" i="4"/>
  <c r="E1830" i="4"/>
  <c r="D1830" i="4"/>
  <c r="C1830" i="4"/>
  <c r="B1830" i="4"/>
  <c r="C1829" i="4"/>
  <c r="B1829" i="4"/>
  <c r="F1828" i="4"/>
  <c r="E1828" i="4"/>
  <c r="D1828" i="4"/>
  <c r="C1828" i="4"/>
  <c r="B1828" i="4"/>
  <c r="F1827" i="4"/>
  <c r="E1827" i="4"/>
  <c r="D1827" i="4"/>
  <c r="C1827" i="4"/>
  <c r="B1827" i="4"/>
  <c r="F1826" i="4"/>
  <c r="E1826" i="4"/>
  <c r="D1826" i="4"/>
  <c r="C1826" i="4"/>
  <c r="B1826" i="4"/>
  <c r="C1825" i="4"/>
  <c r="B1825" i="4"/>
  <c r="F1824" i="4"/>
  <c r="E1824" i="4"/>
  <c r="D1824" i="4"/>
  <c r="C1824" i="4"/>
  <c r="B1824" i="4"/>
  <c r="F1823" i="4"/>
  <c r="E1823" i="4"/>
  <c r="D1823" i="4"/>
  <c r="C1823" i="4"/>
  <c r="B1823" i="4"/>
  <c r="F1822" i="4"/>
  <c r="E1822" i="4"/>
  <c r="D1822" i="4"/>
  <c r="C1822" i="4"/>
  <c r="B1822" i="4"/>
  <c r="F1821" i="4"/>
  <c r="E1821" i="4"/>
  <c r="D1821" i="4"/>
  <c r="C1821" i="4"/>
  <c r="B1821" i="4"/>
  <c r="F1820" i="4"/>
  <c r="E1820" i="4"/>
  <c r="D1820" i="4"/>
  <c r="C1820" i="4"/>
  <c r="B1820" i="4"/>
  <c r="F1819" i="4"/>
  <c r="E1819" i="4"/>
  <c r="D1819" i="4"/>
  <c r="C1819" i="4"/>
  <c r="B1819" i="4"/>
  <c r="F1818" i="4"/>
  <c r="E1818" i="4"/>
  <c r="D1818" i="4"/>
  <c r="C1818" i="4"/>
  <c r="B1818" i="4"/>
  <c r="F1817" i="4"/>
  <c r="E1817" i="4"/>
  <c r="D1817" i="4"/>
  <c r="C1817" i="4"/>
  <c r="B1817" i="4"/>
  <c r="F1816" i="4"/>
  <c r="E1816" i="4"/>
  <c r="D1816" i="4"/>
  <c r="C1816" i="4"/>
  <c r="B1816" i="4"/>
  <c r="F1815" i="4"/>
  <c r="E1815" i="4"/>
  <c r="D1815" i="4"/>
  <c r="C1815" i="4"/>
  <c r="B1815" i="4"/>
  <c r="F1814" i="4"/>
  <c r="E1814" i="4"/>
  <c r="D1814" i="4"/>
  <c r="C1814" i="4"/>
  <c r="B1814" i="4"/>
  <c r="C1813" i="4"/>
  <c r="B1813" i="4"/>
  <c r="F1812" i="4"/>
  <c r="E1812" i="4"/>
  <c r="D1812" i="4"/>
  <c r="C1812" i="4"/>
  <c r="B1812" i="4"/>
  <c r="F1811" i="4"/>
  <c r="E1811" i="4"/>
  <c r="D1811" i="4"/>
  <c r="C1811" i="4"/>
  <c r="B1811" i="4"/>
  <c r="F1810" i="4"/>
  <c r="E1810" i="4"/>
  <c r="D1810" i="4"/>
  <c r="C1810" i="4"/>
  <c r="B1810" i="4"/>
  <c r="F1809" i="4"/>
  <c r="E1809" i="4"/>
  <c r="D1809" i="4"/>
  <c r="C1809" i="4"/>
  <c r="B1809" i="4"/>
  <c r="F1808" i="4"/>
  <c r="E1808" i="4"/>
  <c r="D1808" i="4"/>
  <c r="C1808" i="4"/>
  <c r="B1808" i="4"/>
  <c r="F1807" i="4"/>
  <c r="E1807" i="4"/>
  <c r="D1807" i="4"/>
  <c r="C1807" i="4"/>
  <c r="B1807" i="4"/>
  <c r="F1806" i="4"/>
  <c r="E1806" i="4"/>
  <c r="D1806" i="4"/>
  <c r="C1806" i="4"/>
  <c r="B1806" i="4"/>
  <c r="C1805" i="4"/>
  <c r="B1805" i="4"/>
  <c r="F1804" i="4"/>
  <c r="E1804" i="4"/>
  <c r="D1804" i="4"/>
  <c r="C1804" i="4"/>
  <c r="B1804" i="4"/>
  <c r="F1803" i="4"/>
  <c r="E1803" i="4"/>
  <c r="D1803" i="4"/>
  <c r="C1803" i="4"/>
  <c r="B1803" i="4"/>
  <c r="F1802" i="4"/>
  <c r="E1802" i="4"/>
  <c r="D1802" i="4"/>
  <c r="C1802" i="4"/>
  <c r="B1802" i="4"/>
  <c r="F1801" i="4"/>
  <c r="E1801" i="4"/>
  <c r="D1801" i="4"/>
  <c r="C1801" i="4"/>
  <c r="B1801" i="4"/>
  <c r="F1800" i="4"/>
  <c r="E1800" i="4"/>
  <c r="D1800" i="4"/>
  <c r="C1800" i="4"/>
  <c r="B1800" i="4"/>
  <c r="F1799" i="4"/>
  <c r="E1799" i="4"/>
  <c r="D1799" i="4"/>
  <c r="C1799" i="4"/>
  <c r="B1799" i="4"/>
  <c r="F1798" i="4"/>
  <c r="E1798" i="4"/>
  <c r="D1798" i="4"/>
  <c r="C1798" i="4"/>
  <c r="B1798" i="4"/>
  <c r="F1797" i="4"/>
  <c r="E1797" i="4"/>
  <c r="D1797" i="4"/>
  <c r="C1797" i="4"/>
  <c r="B1797" i="4"/>
  <c r="C1796" i="4"/>
  <c r="B1796" i="4"/>
  <c r="F1795" i="4"/>
  <c r="E1795" i="4"/>
  <c r="D1795" i="4"/>
  <c r="C1795" i="4"/>
  <c r="B1795" i="4"/>
  <c r="F1794" i="4"/>
  <c r="E1794" i="4"/>
  <c r="D1794" i="4"/>
  <c r="C1794" i="4"/>
  <c r="B1794" i="4"/>
  <c r="F1793" i="4"/>
  <c r="E1793" i="4"/>
  <c r="D1793" i="4"/>
  <c r="C1793" i="4"/>
  <c r="B1793" i="4"/>
  <c r="F1792" i="4"/>
  <c r="E1792" i="4"/>
  <c r="D1792" i="4"/>
  <c r="C1792" i="4"/>
  <c r="B1792" i="4"/>
  <c r="F1791" i="4"/>
  <c r="E1791" i="4"/>
  <c r="D1791" i="4"/>
  <c r="C1791" i="4"/>
  <c r="B1791" i="4"/>
  <c r="F1790" i="4"/>
  <c r="E1790" i="4"/>
  <c r="D1790" i="4"/>
  <c r="C1790" i="4"/>
  <c r="B1790" i="4"/>
  <c r="F1789" i="4"/>
  <c r="E1789" i="4"/>
  <c r="D1789" i="4"/>
  <c r="C1789" i="4"/>
  <c r="B1789" i="4"/>
  <c r="F1788" i="4"/>
  <c r="E1788" i="4"/>
  <c r="D1788" i="4"/>
  <c r="C1788" i="4"/>
  <c r="B1788" i="4"/>
  <c r="F1787" i="4"/>
  <c r="E1787" i="4"/>
  <c r="D1787" i="4"/>
  <c r="C1787" i="4"/>
  <c r="B1787" i="4"/>
  <c r="F1786" i="4"/>
  <c r="E1786" i="4"/>
  <c r="D1786" i="4"/>
  <c r="C1786" i="4"/>
  <c r="B1786" i="4"/>
  <c r="F1785" i="4"/>
  <c r="E1785" i="4"/>
  <c r="D1785" i="4"/>
  <c r="C1785" i="4"/>
  <c r="B1785" i="4"/>
  <c r="F1784" i="4"/>
  <c r="E1784" i="4"/>
  <c r="D1784" i="4"/>
  <c r="C1784" i="4"/>
  <c r="B1784" i="4"/>
  <c r="F1783" i="4"/>
  <c r="E1783" i="4"/>
  <c r="D1783" i="4"/>
  <c r="C1783" i="4"/>
  <c r="B1783" i="4"/>
  <c r="C1782" i="4"/>
  <c r="B1782" i="4"/>
  <c r="F1781" i="4"/>
  <c r="E1781" i="4"/>
  <c r="D1781" i="4"/>
  <c r="C1781" i="4"/>
  <c r="B1781" i="4"/>
  <c r="F1780" i="4"/>
  <c r="E1780" i="4"/>
  <c r="D1780" i="4"/>
  <c r="C1780" i="4"/>
  <c r="B1780" i="4"/>
  <c r="F1779" i="4"/>
  <c r="E1779" i="4"/>
  <c r="D1779" i="4"/>
  <c r="C1779" i="4"/>
  <c r="B1779" i="4"/>
  <c r="F1778" i="4"/>
  <c r="E1778" i="4"/>
  <c r="D1778" i="4"/>
  <c r="C1778" i="4"/>
  <c r="B1778" i="4"/>
  <c r="F1777" i="4"/>
  <c r="E1777" i="4"/>
  <c r="D1777" i="4"/>
  <c r="C1777" i="4"/>
  <c r="B1777" i="4"/>
  <c r="F1776" i="4"/>
  <c r="E1776" i="4"/>
  <c r="D1776" i="4"/>
  <c r="C1776" i="4"/>
  <c r="B1776" i="4"/>
  <c r="F1775" i="4"/>
  <c r="E1775" i="4"/>
  <c r="D1775" i="4"/>
  <c r="C1775" i="4"/>
  <c r="B1775" i="4"/>
  <c r="F1774" i="4"/>
  <c r="E1774" i="4"/>
  <c r="D1774" i="4"/>
  <c r="C1774" i="4"/>
  <c r="B1774" i="4"/>
  <c r="F1773" i="4"/>
  <c r="E1773" i="4"/>
  <c r="D1773" i="4"/>
  <c r="C1773" i="4"/>
  <c r="B1773" i="4"/>
  <c r="F1772" i="4"/>
  <c r="E1772" i="4"/>
  <c r="D1772" i="4"/>
  <c r="C1772" i="4"/>
  <c r="B1772" i="4"/>
  <c r="C1771" i="4"/>
  <c r="B1771" i="4"/>
  <c r="F1770" i="4"/>
  <c r="E1770" i="4"/>
  <c r="D1770" i="4"/>
  <c r="C1770" i="4"/>
  <c r="B1770" i="4"/>
  <c r="F1769" i="4"/>
  <c r="E1769" i="4"/>
  <c r="D1769" i="4"/>
  <c r="C1769" i="4"/>
  <c r="B1769" i="4"/>
  <c r="F1768" i="4"/>
  <c r="E1768" i="4"/>
  <c r="D1768" i="4"/>
  <c r="C1768" i="4"/>
  <c r="B1768" i="4"/>
  <c r="F1767" i="4"/>
  <c r="E1767" i="4"/>
  <c r="D1767" i="4"/>
  <c r="C1767" i="4"/>
  <c r="B1767" i="4"/>
  <c r="F1766" i="4"/>
  <c r="E1766" i="4"/>
  <c r="D1766" i="4"/>
  <c r="C1766" i="4"/>
  <c r="B1766" i="4"/>
  <c r="F1765" i="4"/>
  <c r="E1765" i="4"/>
  <c r="D1765" i="4"/>
  <c r="C1765" i="4"/>
  <c r="B1765" i="4"/>
  <c r="F1764" i="4"/>
  <c r="E1764" i="4"/>
  <c r="D1764" i="4"/>
  <c r="C1764" i="4"/>
  <c r="B1764" i="4"/>
  <c r="F1763" i="4"/>
  <c r="E1763" i="4"/>
  <c r="D1763" i="4"/>
  <c r="C1763" i="4"/>
  <c r="B1763" i="4"/>
  <c r="F1762" i="4"/>
  <c r="E1762" i="4"/>
  <c r="D1762" i="4"/>
  <c r="C1762" i="4"/>
  <c r="B1762" i="4"/>
  <c r="F1761" i="4"/>
  <c r="E1761" i="4"/>
  <c r="D1761" i="4"/>
  <c r="C1761" i="4"/>
  <c r="B1761" i="4"/>
  <c r="F1760" i="4"/>
  <c r="E1760" i="4"/>
  <c r="D1760" i="4"/>
  <c r="C1760" i="4"/>
  <c r="B1760" i="4"/>
  <c r="F1759" i="4"/>
  <c r="E1759" i="4"/>
  <c r="D1759" i="4"/>
  <c r="C1759" i="4"/>
  <c r="B1759" i="4"/>
  <c r="F1758" i="4"/>
  <c r="E1758" i="4"/>
  <c r="D1758" i="4"/>
  <c r="C1758" i="4"/>
  <c r="B1758" i="4"/>
  <c r="F1757" i="4"/>
  <c r="E1757" i="4"/>
  <c r="D1757" i="4"/>
  <c r="C1757" i="4"/>
  <c r="B1757" i="4"/>
  <c r="F1756" i="4"/>
  <c r="E1756" i="4"/>
  <c r="D1756" i="4"/>
  <c r="C1756" i="4"/>
  <c r="B1756" i="4"/>
  <c r="F1755" i="4"/>
  <c r="E1755" i="4"/>
  <c r="D1755" i="4"/>
  <c r="C1755" i="4"/>
  <c r="B1755" i="4"/>
  <c r="F1754" i="4"/>
  <c r="E1754" i="4"/>
  <c r="D1754" i="4"/>
  <c r="C1754" i="4"/>
  <c r="B1754" i="4"/>
  <c r="F1753" i="4"/>
  <c r="E1753" i="4"/>
  <c r="D1753" i="4"/>
  <c r="C1753" i="4"/>
  <c r="B1753" i="4"/>
  <c r="F1752" i="4"/>
  <c r="E1752" i="4"/>
  <c r="D1752" i="4"/>
  <c r="C1752" i="4"/>
  <c r="B1752" i="4"/>
  <c r="F1751" i="4"/>
  <c r="E1751" i="4"/>
  <c r="D1751" i="4"/>
  <c r="C1751" i="4"/>
  <c r="B1751" i="4"/>
  <c r="F1750" i="4"/>
  <c r="E1750" i="4"/>
  <c r="D1750" i="4"/>
  <c r="C1750" i="4"/>
  <c r="B1750" i="4"/>
  <c r="F1749" i="4"/>
  <c r="E1749" i="4"/>
  <c r="D1749" i="4"/>
  <c r="C1749" i="4"/>
  <c r="B1749" i="4"/>
  <c r="F1748" i="4"/>
  <c r="E1748" i="4"/>
  <c r="D1748" i="4"/>
  <c r="C1748" i="4"/>
  <c r="B1748" i="4"/>
  <c r="F1747" i="4"/>
  <c r="E1747" i="4"/>
  <c r="D1747" i="4"/>
  <c r="C1747" i="4"/>
  <c r="B1747" i="4"/>
  <c r="F1746" i="4"/>
  <c r="E1746" i="4"/>
  <c r="D1746" i="4"/>
  <c r="C1746" i="4"/>
  <c r="B1746" i="4"/>
  <c r="F1745" i="4"/>
  <c r="E1745" i="4"/>
  <c r="D1745" i="4"/>
  <c r="C1745" i="4"/>
  <c r="B1745" i="4"/>
  <c r="F1744" i="4"/>
  <c r="E1744" i="4"/>
  <c r="D1744" i="4"/>
  <c r="C1744" i="4"/>
  <c r="B1744" i="4"/>
  <c r="F1743" i="4"/>
  <c r="E1743" i="4"/>
  <c r="D1743" i="4"/>
  <c r="C1743" i="4"/>
  <c r="B1743" i="4"/>
  <c r="F1742" i="4"/>
  <c r="E1742" i="4"/>
  <c r="D1742" i="4"/>
  <c r="C1742" i="4"/>
  <c r="B1742" i="4"/>
  <c r="F1741" i="4"/>
  <c r="E1741" i="4"/>
  <c r="D1741" i="4"/>
  <c r="C1741" i="4"/>
  <c r="B1741" i="4"/>
  <c r="F1740" i="4"/>
  <c r="E1740" i="4"/>
  <c r="D1740" i="4"/>
  <c r="C1740" i="4"/>
  <c r="B1740" i="4"/>
  <c r="F1739" i="4"/>
  <c r="E1739" i="4"/>
  <c r="D1739" i="4"/>
  <c r="C1739" i="4"/>
  <c r="B1739" i="4"/>
  <c r="F1738" i="4"/>
  <c r="E1738" i="4"/>
  <c r="D1738" i="4"/>
  <c r="C1738" i="4"/>
  <c r="B1738" i="4"/>
  <c r="F1737" i="4"/>
  <c r="E1737" i="4"/>
  <c r="D1737" i="4"/>
  <c r="C1737" i="4"/>
  <c r="B1737" i="4"/>
  <c r="C1736" i="4"/>
  <c r="B1736" i="4"/>
  <c r="F1735" i="4"/>
  <c r="E1735" i="4"/>
  <c r="D1735" i="4"/>
  <c r="C1735" i="4"/>
  <c r="B1735" i="4"/>
  <c r="F1734" i="4"/>
  <c r="E1734" i="4"/>
  <c r="D1734" i="4"/>
  <c r="C1734" i="4"/>
  <c r="B1734" i="4"/>
  <c r="F1733" i="4"/>
  <c r="E1733" i="4"/>
  <c r="D1733" i="4"/>
  <c r="C1733" i="4"/>
  <c r="B1733" i="4"/>
  <c r="F1732" i="4"/>
  <c r="E1732" i="4"/>
  <c r="D1732" i="4"/>
  <c r="C1732" i="4"/>
  <c r="B1732" i="4"/>
  <c r="F1731" i="4"/>
  <c r="E1731" i="4"/>
  <c r="D1731" i="4"/>
  <c r="C1731" i="4"/>
  <c r="B1731" i="4"/>
  <c r="F1730" i="4"/>
  <c r="E1730" i="4"/>
  <c r="D1730" i="4"/>
  <c r="C1730" i="4"/>
  <c r="B1730" i="4"/>
  <c r="F1729" i="4"/>
  <c r="E1729" i="4"/>
  <c r="D1729" i="4"/>
  <c r="C1729" i="4"/>
  <c r="B1729" i="4"/>
  <c r="F1728" i="4"/>
  <c r="E1728" i="4"/>
  <c r="D1728" i="4"/>
  <c r="C1728" i="4"/>
  <c r="B1728" i="4"/>
  <c r="F1727" i="4"/>
  <c r="E1727" i="4"/>
  <c r="D1727" i="4"/>
  <c r="C1727" i="4"/>
  <c r="B1727" i="4"/>
  <c r="F1726" i="4"/>
  <c r="E1726" i="4"/>
  <c r="D1726" i="4"/>
  <c r="C1726" i="4"/>
  <c r="B1726" i="4"/>
  <c r="F1725" i="4"/>
  <c r="E1725" i="4"/>
  <c r="D1725" i="4"/>
  <c r="C1725" i="4"/>
  <c r="B1725" i="4"/>
  <c r="F1724" i="4"/>
  <c r="E1724" i="4"/>
  <c r="D1724" i="4"/>
  <c r="C1724" i="4"/>
  <c r="B1724" i="4"/>
  <c r="F1723" i="4"/>
  <c r="E1723" i="4"/>
  <c r="D1723" i="4"/>
  <c r="C1723" i="4"/>
  <c r="B1723" i="4"/>
  <c r="F1722" i="4"/>
  <c r="E1722" i="4"/>
  <c r="D1722" i="4"/>
  <c r="C1722" i="4"/>
  <c r="B1722" i="4"/>
  <c r="F1721" i="4"/>
  <c r="E1721" i="4"/>
  <c r="D1721" i="4"/>
  <c r="C1721" i="4"/>
  <c r="B1721" i="4"/>
  <c r="F1720" i="4"/>
  <c r="E1720" i="4"/>
  <c r="D1720" i="4"/>
  <c r="C1720" i="4"/>
  <c r="B1720" i="4"/>
  <c r="F1719" i="4"/>
  <c r="E1719" i="4"/>
  <c r="D1719" i="4"/>
  <c r="C1719" i="4"/>
  <c r="B1719" i="4"/>
  <c r="F1718" i="4"/>
  <c r="E1718" i="4"/>
  <c r="D1718" i="4"/>
  <c r="C1718" i="4"/>
  <c r="B1718" i="4"/>
  <c r="F1717" i="4"/>
  <c r="E1717" i="4"/>
  <c r="D1717" i="4"/>
  <c r="C1717" i="4"/>
  <c r="B1717" i="4"/>
  <c r="F1716" i="4"/>
  <c r="E1716" i="4"/>
  <c r="D1716" i="4"/>
  <c r="C1716" i="4"/>
  <c r="B1716" i="4"/>
  <c r="F1715" i="4"/>
  <c r="E1715" i="4"/>
  <c r="D1715" i="4"/>
  <c r="C1715" i="4"/>
  <c r="B1715" i="4"/>
  <c r="F1714" i="4"/>
  <c r="E1714" i="4"/>
  <c r="D1714" i="4"/>
  <c r="C1714" i="4"/>
  <c r="B1714" i="4"/>
  <c r="F1713" i="4"/>
  <c r="E1713" i="4"/>
  <c r="D1713" i="4"/>
  <c r="C1713" i="4"/>
  <c r="B1713" i="4"/>
  <c r="F1712" i="4"/>
  <c r="E1712" i="4"/>
  <c r="D1712" i="4"/>
  <c r="C1712" i="4"/>
  <c r="B1712" i="4"/>
  <c r="F1711" i="4"/>
  <c r="E1711" i="4"/>
  <c r="D1711" i="4"/>
  <c r="C1711" i="4"/>
  <c r="B1711" i="4"/>
  <c r="F1710" i="4"/>
  <c r="E1710" i="4"/>
  <c r="D1710" i="4"/>
  <c r="C1710" i="4"/>
  <c r="B1710" i="4"/>
  <c r="C1709" i="4"/>
  <c r="B1709" i="4"/>
  <c r="F1708" i="4"/>
  <c r="E1708" i="4"/>
  <c r="D1708" i="4"/>
  <c r="C1708" i="4"/>
  <c r="B1708" i="4"/>
  <c r="F1707" i="4"/>
  <c r="E1707" i="4"/>
  <c r="D1707" i="4"/>
  <c r="C1707" i="4"/>
  <c r="B1707" i="4"/>
  <c r="F1706" i="4"/>
  <c r="E1706" i="4"/>
  <c r="D1706" i="4"/>
  <c r="C1706" i="4"/>
  <c r="B1706" i="4"/>
  <c r="F1705" i="4"/>
  <c r="E1705" i="4"/>
  <c r="D1705" i="4"/>
  <c r="C1705" i="4"/>
  <c r="B1705" i="4"/>
  <c r="F1704" i="4"/>
  <c r="E1704" i="4"/>
  <c r="D1704" i="4"/>
  <c r="C1704" i="4"/>
  <c r="B1704" i="4"/>
  <c r="F1703" i="4"/>
  <c r="E1703" i="4"/>
  <c r="D1703" i="4"/>
  <c r="C1703" i="4"/>
  <c r="B1703" i="4"/>
  <c r="F1702" i="4"/>
  <c r="E1702" i="4"/>
  <c r="D1702" i="4"/>
  <c r="C1702" i="4"/>
  <c r="B1702" i="4"/>
  <c r="F1701" i="4"/>
  <c r="E1701" i="4"/>
  <c r="D1701" i="4"/>
  <c r="C1701" i="4"/>
  <c r="B1701" i="4"/>
  <c r="F1700" i="4"/>
  <c r="E1700" i="4"/>
  <c r="D1700" i="4"/>
  <c r="C1700" i="4"/>
  <c r="B1700" i="4"/>
  <c r="F1699" i="4"/>
  <c r="E1699" i="4"/>
  <c r="D1699" i="4"/>
  <c r="C1699" i="4"/>
  <c r="B1699" i="4"/>
  <c r="F1698" i="4"/>
  <c r="E1698" i="4"/>
  <c r="D1698" i="4"/>
  <c r="C1698" i="4"/>
  <c r="B1698" i="4"/>
  <c r="C1697" i="4"/>
  <c r="B1697" i="4"/>
  <c r="F1696" i="4"/>
  <c r="E1696" i="4"/>
  <c r="D1696" i="4"/>
  <c r="C1696" i="4"/>
  <c r="B1696" i="4"/>
  <c r="E1695" i="4"/>
  <c r="D1695" i="4"/>
  <c r="C1695" i="4"/>
  <c r="B1695" i="4"/>
  <c r="F1694" i="4"/>
  <c r="E1694" i="4"/>
  <c r="D1694" i="4"/>
  <c r="C1694" i="4"/>
  <c r="B1694" i="4"/>
  <c r="F1693" i="4"/>
  <c r="E1693" i="4"/>
  <c r="D1693" i="4"/>
  <c r="C1693" i="4"/>
  <c r="B1693" i="4"/>
  <c r="F1692" i="4"/>
  <c r="E1692" i="4"/>
  <c r="D1692" i="4"/>
  <c r="C1692" i="4"/>
  <c r="B1692" i="4"/>
  <c r="F1691" i="4"/>
  <c r="E1691" i="4"/>
  <c r="D1691" i="4"/>
  <c r="C1691" i="4"/>
  <c r="B1691" i="4"/>
  <c r="F1690" i="4"/>
  <c r="E1690" i="4"/>
  <c r="D1690" i="4"/>
  <c r="C1690" i="4"/>
  <c r="B1690" i="4"/>
  <c r="F1689" i="4"/>
  <c r="E1689" i="4"/>
  <c r="D1689" i="4"/>
  <c r="C1689" i="4"/>
  <c r="B1689" i="4"/>
  <c r="F1688" i="4"/>
  <c r="E1688" i="4"/>
  <c r="D1688" i="4"/>
  <c r="C1688" i="4"/>
  <c r="B1688" i="4"/>
  <c r="F1687" i="4"/>
  <c r="E1687" i="4"/>
  <c r="D1687" i="4"/>
  <c r="C1687" i="4"/>
  <c r="B1687" i="4"/>
  <c r="F1686" i="4"/>
  <c r="E1686" i="4"/>
  <c r="D1686" i="4"/>
  <c r="C1686" i="4"/>
  <c r="B1686" i="4"/>
  <c r="F1685" i="4"/>
  <c r="E1685" i="4"/>
  <c r="D1685" i="4"/>
  <c r="C1685" i="4"/>
  <c r="B1685" i="4"/>
  <c r="F1684" i="4"/>
  <c r="E1684" i="4"/>
  <c r="D1684" i="4"/>
  <c r="C1684" i="4"/>
  <c r="B1684" i="4"/>
  <c r="F1683" i="4"/>
  <c r="E1683" i="4"/>
  <c r="D1683" i="4"/>
  <c r="C1683" i="4"/>
  <c r="B1683" i="4"/>
  <c r="F1682" i="4"/>
  <c r="E1682" i="4"/>
  <c r="D1682" i="4"/>
  <c r="C1682" i="4"/>
  <c r="B1682" i="4"/>
  <c r="F1681" i="4"/>
  <c r="E1681" i="4"/>
  <c r="D1681" i="4"/>
  <c r="C1681" i="4"/>
  <c r="B1681" i="4"/>
  <c r="F1680" i="4"/>
  <c r="E1680" i="4"/>
  <c r="D1680" i="4"/>
  <c r="C1680" i="4"/>
  <c r="B1680" i="4"/>
  <c r="F1679" i="4"/>
  <c r="E1679" i="4"/>
  <c r="D1679" i="4"/>
  <c r="C1679" i="4"/>
  <c r="B1679" i="4"/>
  <c r="F1678" i="4"/>
  <c r="E1678" i="4"/>
  <c r="D1678" i="4"/>
  <c r="C1678" i="4"/>
  <c r="B1678" i="4"/>
  <c r="F1677" i="4"/>
  <c r="E1677" i="4"/>
  <c r="D1677" i="4"/>
  <c r="C1677" i="4"/>
  <c r="B1677" i="4"/>
  <c r="F1676" i="4"/>
  <c r="E1676" i="4"/>
  <c r="D1676" i="4"/>
  <c r="C1676" i="4"/>
  <c r="B1676" i="4"/>
  <c r="F1675" i="4"/>
  <c r="E1675" i="4"/>
  <c r="D1675" i="4"/>
  <c r="C1675" i="4"/>
  <c r="B1675" i="4"/>
  <c r="F1674" i="4"/>
  <c r="E1674" i="4"/>
  <c r="D1674" i="4"/>
  <c r="C1674" i="4"/>
  <c r="B1674" i="4"/>
  <c r="F1673" i="4"/>
  <c r="E1673" i="4"/>
  <c r="D1673" i="4"/>
  <c r="C1673" i="4"/>
  <c r="B1673" i="4"/>
  <c r="F1672" i="4"/>
  <c r="E1672" i="4"/>
  <c r="D1672" i="4"/>
  <c r="C1672" i="4"/>
  <c r="B1672" i="4"/>
  <c r="F1671" i="4"/>
  <c r="E1671" i="4"/>
  <c r="D1671" i="4"/>
  <c r="C1671" i="4"/>
  <c r="B1671" i="4"/>
  <c r="F1670" i="4"/>
  <c r="E1670" i="4"/>
  <c r="D1670" i="4"/>
  <c r="C1670" i="4"/>
  <c r="B1670" i="4"/>
  <c r="F1669" i="4"/>
  <c r="E1669" i="4"/>
  <c r="D1669" i="4"/>
  <c r="C1669" i="4"/>
  <c r="B1669" i="4"/>
  <c r="F1668" i="4"/>
  <c r="E1668" i="4"/>
  <c r="D1668" i="4"/>
  <c r="C1668" i="4"/>
  <c r="B1668" i="4"/>
  <c r="F1667" i="4"/>
  <c r="E1667" i="4"/>
  <c r="D1667" i="4"/>
  <c r="C1667" i="4"/>
  <c r="B1667" i="4"/>
  <c r="F1666" i="4"/>
  <c r="E1666" i="4"/>
  <c r="D1666" i="4"/>
  <c r="C1666" i="4"/>
  <c r="B1666" i="4"/>
  <c r="C1665" i="4"/>
  <c r="B1665" i="4"/>
  <c r="F1664" i="4"/>
  <c r="E1664" i="4"/>
  <c r="D1664" i="4"/>
  <c r="C1664" i="4"/>
  <c r="B1664" i="4"/>
  <c r="C1663" i="4"/>
  <c r="B1663" i="4"/>
  <c r="C1662" i="4"/>
  <c r="B1662" i="4"/>
  <c r="F1661" i="4"/>
  <c r="E1661" i="4"/>
  <c r="D1661" i="4"/>
  <c r="C1661" i="4"/>
  <c r="B1661" i="4"/>
  <c r="F1660" i="4"/>
  <c r="E1660" i="4"/>
  <c r="D1660" i="4"/>
  <c r="C1660" i="4"/>
  <c r="B1660" i="4"/>
  <c r="F1659" i="4"/>
  <c r="E1659" i="4"/>
  <c r="D1659" i="4"/>
  <c r="C1659" i="4"/>
  <c r="B1659" i="4"/>
  <c r="F1658" i="4"/>
  <c r="E1658" i="4"/>
  <c r="D1658" i="4"/>
  <c r="C1658" i="4"/>
  <c r="B1658" i="4"/>
  <c r="C1657" i="4"/>
  <c r="B1657" i="4"/>
  <c r="F1656" i="4"/>
  <c r="E1656" i="4"/>
  <c r="D1656" i="4"/>
  <c r="C1656" i="4"/>
  <c r="B1656" i="4"/>
  <c r="F1655" i="4"/>
  <c r="E1655" i="4"/>
  <c r="D1655" i="4"/>
  <c r="C1655" i="4"/>
  <c r="B1655" i="4"/>
  <c r="F1654" i="4"/>
  <c r="E1654" i="4"/>
  <c r="D1654" i="4"/>
  <c r="C1654" i="4"/>
  <c r="B1654" i="4"/>
  <c r="F1653" i="4"/>
  <c r="E1653" i="4"/>
  <c r="D1653" i="4"/>
  <c r="C1653" i="4"/>
  <c r="B1653" i="4"/>
  <c r="F1652" i="4"/>
  <c r="E1652" i="4"/>
  <c r="D1652" i="4"/>
  <c r="C1652" i="4"/>
  <c r="B1652" i="4"/>
  <c r="F1651" i="4"/>
  <c r="E1651" i="4"/>
  <c r="D1651" i="4"/>
  <c r="C1651" i="4"/>
  <c r="B1651" i="4"/>
  <c r="C1650" i="4"/>
  <c r="B1650" i="4"/>
  <c r="F1649" i="4"/>
  <c r="E1649" i="4"/>
  <c r="D1649" i="4"/>
  <c r="C1649" i="4"/>
  <c r="B1649" i="4"/>
  <c r="F1648" i="4"/>
  <c r="E1648" i="4"/>
  <c r="D1648" i="4"/>
  <c r="C1648" i="4"/>
  <c r="B1648" i="4"/>
  <c r="F1647" i="4"/>
  <c r="E1647" i="4"/>
  <c r="D1647" i="4"/>
  <c r="C1647" i="4"/>
  <c r="B1647" i="4"/>
  <c r="F1646" i="4"/>
  <c r="E1646" i="4"/>
  <c r="D1646" i="4"/>
  <c r="C1646" i="4"/>
  <c r="B1646" i="4"/>
  <c r="F1645" i="4"/>
  <c r="E1645" i="4"/>
  <c r="D1645" i="4"/>
  <c r="C1645" i="4"/>
  <c r="B1645" i="4"/>
  <c r="F1644" i="4"/>
  <c r="E1644" i="4"/>
  <c r="D1644" i="4"/>
  <c r="C1644" i="4"/>
  <c r="B1644" i="4"/>
  <c r="F1643" i="4"/>
  <c r="E1643" i="4"/>
  <c r="D1643" i="4"/>
  <c r="C1643" i="4"/>
  <c r="B1643" i="4"/>
  <c r="F1642" i="4"/>
  <c r="E1642" i="4"/>
  <c r="D1642" i="4"/>
  <c r="C1642" i="4"/>
  <c r="B1642" i="4"/>
  <c r="F1641" i="4"/>
  <c r="E1641" i="4"/>
  <c r="D1641" i="4"/>
  <c r="C1641" i="4"/>
  <c r="B1641" i="4"/>
  <c r="F1640" i="4"/>
  <c r="E1640" i="4"/>
  <c r="D1640" i="4"/>
  <c r="C1640" i="4"/>
  <c r="B1640" i="4"/>
  <c r="F1639" i="4"/>
  <c r="E1639" i="4"/>
  <c r="D1639" i="4"/>
  <c r="C1639" i="4"/>
  <c r="B1639" i="4"/>
  <c r="F1638" i="4"/>
  <c r="E1638" i="4"/>
  <c r="D1638" i="4"/>
  <c r="C1638" i="4"/>
  <c r="B1638" i="4"/>
  <c r="F1637" i="4"/>
  <c r="E1637" i="4"/>
  <c r="D1637" i="4"/>
  <c r="C1637" i="4"/>
  <c r="B1637" i="4"/>
  <c r="F1636" i="4"/>
  <c r="E1636" i="4"/>
  <c r="D1636" i="4"/>
  <c r="C1636" i="4"/>
  <c r="B1636" i="4"/>
  <c r="F1635" i="4"/>
  <c r="E1635" i="4"/>
  <c r="D1635" i="4"/>
  <c r="C1635" i="4"/>
  <c r="B1635" i="4"/>
  <c r="F1634" i="4"/>
  <c r="E1634" i="4"/>
  <c r="D1634" i="4"/>
  <c r="C1634" i="4"/>
  <c r="B1634" i="4"/>
  <c r="F1633" i="4"/>
  <c r="E1633" i="4"/>
  <c r="D1633" i="4"/>
  <c r="C1633" i="4"/>
  <c r="B1633" i="4"/>
  <c r="F1632" i="4"/>
  <c r="E1632" i="4"/>
  <c r="D1632" i="4"/>
  <c r="C1632" i="4"/>
  <c r="B1632" i="4"/>
  <c r="F1631" i="4"/>
  <c r="E1631" i="4"/>
  <c r="D1631" i="4"/>
  <c r="C1631" i="4"/>
  <c r="B1631" i="4"/>
  <c r="C1630" i="4"/>
  <c r="B1630" i="4"/>
  <c r="F1629" i="4"/>
  <c r="E1629" i="4"/>
  <c r="D1629" i="4"/>
  <c r="C1629" i="4"/>
  <c r="B1629" i="4"/>
  <c r="F1628" i="4"/>
  <c r="E1628" i="4"/>
  <c r="D1628" i="4"/>
  <c r="C1628" i="4"/>
  <c r="B1628" i="4"/>
  <c r="C1627" i="4"/>
  <c r="B1627" i="4"/>
  <c r="F1626" i="4"/>
  <c r="E1626" i="4"/>
  <c r="D1626" i="4"/>
  <c r="C1626" i="4"/>
  <c r="B1626" i="4"/>
  <c r="F1625" i="4"/>
  <c r="E1625" i="4"/>
  <c r="D1625" i="4"/>
  <c r="C1625" i="4"/>
  <c r="B1625" i="4"/>
  <c r="F1624" i="4"/>
  <c r="E1624" i="4"/>
  <c r="D1624" i="4"/>
  <c r="C1624" i="4"/>
  <c r="B1624" i="4"/>
  <c r="F1623" i="4"/>
  <c r="E1623" i="4"/>
  <c r="D1623" i="4"/>
  <c r="C1623" i="4"/>
  <c r="B1623" i="4"/>
  <c r="F1622" i="4"/>
  <c r="E1622" i="4"/>
  <c r="D1622" i="4"/>
  <c r="C1622" i="4"/>
  <c r="B1622" i="4"/>
  <c r="F1621" i="4"/>
  <c r="E1621" i="4"/>
  <c r="D1621" i="4"/>
  <c r="C1621" i="4"/>
  <c r="B1621" i="4"/>
  <c r="F1620" i="4"/>
  <c r="E1620" i="4"/>
  <c r="D1620" i="4"/>
  <c r="C1620" i="4"/>
  <c r="B1620" i="4"/>
  <c r="F1619" i="4"/>
  <c r="E1619" i="4"/>
  <c r="D1619" i="4"/>
  <c r="C1619" i="4"/>
  <c r="B1619" i="4"/>
  <c r="F1618" i="4"/>
  <c r="E1618" i="4"/>
  <c r="D1618" i="4"/>
  <c r="C1618" i="4"/>
  <c r="B1618" i="4"/>
  <c r="F1617" i="4"/>
  <c r="E1617" i="4"/>
  <c r="D1617" i="4"/>
  <c r="C1617" i="4"/>
  <c r="B1617" i="4"/>
  <c r="F1616" i="4"/>
  <c r="E1616" i="4"/>
  <c r="D1616" i="4"/>
  <c r="C1616" i="4"/>
  <c r="B1616" i="4"/>
  <c r="F1615" i="4"/>
  <c r="E1615" i="4"/>
  <c r="D1615" i="4"/>
  <c r="C1615" i="4"/>
  <c r="B1615" i="4"/>
  <c r="F1614" i="4"/>
  <c r="E1614" i="4"/>
  <c r="D1614" i="4"/>
  <c r="C1614" i="4"/>
  <c r="B1614" i="4"/>
  <c r="F1613" i="4"/>
  <c r="E1613" i="4"/>
  <c r="D1613" i="4"/>
  <c r="C1613" i="4"/>
  <c r="B1613" i="4"/>
  <c r="F1612" i="4"/>
  <c r="E1612" i="4"/>
  <c r="D1612" i="4"/>
  <c r="C1612" i="4"/>
  <c r="B1612" i="4"/>
  <c r="F1611" i="4"/>
  <c r="E1611" i="4"/>
  <c r="D1611" i="4"/>
  <c r="C1611" i="4"/>
  <c r="B1611" i="4"/>
  <c r="F1610" i="4"/>
  <c r="E1610" i="4"/>
  <c r="D1610" i="4"/>
  <c r="C1610" i="4"/>
  <c r="B1610" i="4"/>
  <c r="F1609" i="4"/>
  <c r="E1609" i="4"/>
  <c r="D1609" i="4"/>
  <c r="C1609" i="4"/>
  <c r="B1609" i="4"/>
  <c r="F1608" i="4"/>
  <c r="E1608" i="4"/>
  <c r="D1608" i="4"/>
  <c r="C1608" i="4"/>
  <c r="B1608" i="4"/>
  <c r="F1607" i="4"/>
  <c r="E1607" i="4"/>
  <c r="D1607" i="4"/>
  <c r="C1607" i="4"/>
  <c r="B1607" i="4"/>
  <c r="F1606" i="4"/>
  <c r="E1606" i="4"/>
  <c r="D1606" i="4"/>
  <c r="C1606" i="4"/>
  <c r="B1606" i="4"/>
  <c r="F1605" i="4"/>
  <c r="E1605" i="4"/>
  <c r="D1605" i="4"/>
  <c r="C1605" i="4"/>
  <c r="B1605" i="4"/>
  <c r="F1604" i="4"/>
  <c r="E1604" i="4"/>
  <c r="D1604" i="4"/>
  <c r="C1604" i="4"/>
  <c r="B1604" i="4"/>
  <c r="F1603" i="4"/>
  <c r="E1603" i="4"/>
  <c r="D1603" i="4"/>
  <c r="C1603" i="4"/>
  <c r="B1603" i="4"/>
  <c r="F1602" i="4"/>
  <c r="E1602" i="4"/>
  <c r="D1602" i="4"/>
  <c r="C1602" i="4"/>
  <c r="B1602" i="4"/>
  <c r="F1601" i="4"/>
  <c r="E1601" i="4"/>
  <c r="D1601" i="4"/>
  <c r="C1601" i="4"/>
  <c r="B1601" i="4"/>
  <c r="F1600" i="4"/>
  <c r="E1600" i="4"/>
  <c r="D1600" i="4"/>
  <c r="C1600" i="4"/>
  <c r="B1600" i="4"/>
  <c r="F1599" i="4"/>
  <c r="E1599" i="4"/>
  <c r="D1599" i="4"/>
  <c r="C1599" i="4"/>
  <c r="B1599" i="4"/>
  <c r="F1598" i="4"/>
  <c r="E1598" i="4"/>
  <c r="D1598" i="4"/>
  <c r="C1598" i="4"/>
  <c r="B1598" i="4"/>
  <c r="F1597" i="4"/>
  <c r="E1597" i="4"/>
  <c r="D1597" i="4"/>
  <c r="C1597" i="4"/>
  <c r="B1597" i="4"/>
  <c r="F1596" i="4"/>
  <c r="E1596" i="4"/>
  <c r="D1596" i="4"/>
  <c r="C1596" i="4"/>
  <c r="B1596" i="4"/>
  <c r="F1595" i="4"/>
  <c r="E1595" i="4"/>
  <c r="D1595" i="4"/>
  <c r="C1595" i="4"/>
  <c r="B1595" i="4"/>
  <c r="F1594" i="4"/>
  <c r="E1594" i="4"/>
  <c r="D1594" i="4"/>
  <c r="C1594" i="4"/>
  <c r="B1594" i="4"/>
  <c r="F1593" i="4"/>
  <c r="E1593" i="4"/>
  <c r="D1593" i="4"/>
  <c r="C1593" i="4"/>
  <c r="B1593" i="4"/>
  <c r="F1592" i="4"/>
  <c r="E1592" i="4"/>
  <c r="D1592" i="4"/>
  <c r="C1592" i="4"/>
  <c r="B1592" i="4"/>
  <c r="F1591" i="4"/>
  <c r="E1591" i="4"/>
  <c r="D1591" i="4"/>
  <c r="C1591" i="4"/>
  <c r="B1591" i="4"/>
  <c r="F1590" i="4"/>
  <c r="E1590" i="4"/>
  <c r="D1590" i="4"/>
  <c r="C1590" i="4"/>
  <c r="B1590" i="4"/>
  <c r="F1589" i="4"/>
  <c r="E1589" i="4"/>
  <c r="D1589" i="4"/>
  <c r="C1589" i="4"/>
  <c r="B1589" i="4"/>
  <c r="F1588" i="4"/>
  <c r="E1588" i="4"/>
  <c r="D1588" i="4"/>
  <c r="C1588" i="4"/>
  <c r="B1588" i="4"/>
  <c r="F1587" i="4"/>
  <c r="E1587" i="4"/>
  <c r="D1587" i="4"/>
  <c r="C1587" i="4"/>
  <c r="B1587" i="4"/>
  <c r="F1586" i="4"/>
  <c r="E1586" i="4"/>
  <c r="D1586" i="4"/>
  <c r="C1586" i="4"/>
  <c r="B1586" i="4"/>
  <c r="F1585" i="4"/>
  <c r="E1585" i="4"/>
  <c r="D1585" i="4"/>
  <c r="C1585" i="4"/>
  <c r="B1585" i="4"/>
  <c r="F1584" i="4"/>
  <c r="E1584" i="4"/>
  <c r="D1584" i="4"/>
  <c r="C1584" i="4"/>
  <c r="B1584" i="4"/>
  <c r="F1583" i="4"/>
  <c r="E1583" i="4"/>
  <c r="D1583" i="4"/>
  <c r="C1583" i="4"/>
  <c r="B1583" i="4"/>
  <c r="F1582" i="4"/>
  <c r="E1582" i="4"/>
  <c r="D1582" i="4"/>
  <c r="C1582" i="4"/>
  <c r="B1582" i="4"/>
  <c r="F1581" i="4"/>
  <c r="E1581" i="4"/>
  <c r="D1581" i="4"/>
  <c r="C1581" i="4"/>
  <c r="B1581" i="4"/>
  <c r="C1580" i="4"/>
  <c r="B1580" i="4"/>
  <c r="F1579" i="4"/>
  <c r="E1579" i="4"/>
  <c r="D1579" i="4"/>
  <c r="C1579" i="4"/>
  <c r="B1579" i="4"/>
  <c r="F1578" i="4"/>
  <c r="E1578" i="4"/>
  <c r="D1578" i="4"/>
  <c r="C1578" i="4"/>
  <c r="B1578" i="4"/>
  <c r="F1577" i="4"/>
  <c r="E1577" i="4"/>
  <c r="D1577" i="4"/>
  <c r="C1577" i="4"/>
  <c r="B1577" i="4"/>
  <c r="F1576" i="4"/>
  <c r="E1576" i="4"/>
  <c r="D1576" i="4"/>
  <c r="C1576" i="4"/>
  <c r="B1576" i="4"/>
  <c r="F1575" i="4"/>
  <c r="E1575" i="4"/>
  <c r="D1575" i="4"/>
  <c r="C1575" i="4"/>
  <c r="B1575" i="4"/>
  <c r="C1574" i="4"/>
  <c r="B1574" i="4"/>
  <c r="F1573" i="4"/>
  <c r="E1573" i="4"/>
  <c r="D1573" i="4"/>
  <c r="C1573" i="4"/>
  <c r="B1573" i="4"/>
  <c r="F1572" i="4"/>
  <c r="E1572" i="4"/>
  <c r="D1572" i="4"/>
  <c r="C1572" i="4"/>
  <c r="B1572" i="4"/>
  <c r="F1571" i="4"/>
  <c r="E1571" i="4"/>
  <c r="D1571" i="4"/>
  <c r="C1571" i="4"/>
  <c r="B1571" i="4"/>
  <c r="F1570" i="4"/>
  <c r="E1570" i="4"/>
  <c r="D1570" i="4"/>
  <c r="C1570" i="4"/>
  <c r="B1570" i="4"/>
  <c r="F1569" i="4"/>
  <c r="E1569" i="4"/>
  <c r="D1569" i="4"/>
  <c r="C1569" i="4"/>
  <c r="B1569" i="4"/>
  <c r="F1568" i="4"/>
  <c r="E1568" i="4"/>
  <c r="D1568" i="4"/>
  <c r="C1568" i="4"/>
  <c r="B1568" i="4"/>
  <c r="F1567" i="4"/>
  <c r="E1567" i="4"/>
  <c r="D1567" i="4"/>
  <c r="C1567" i="4"/>
  <c r="B1567" i="4"/>
  <c r="F1566" i="4"/>
  <c r="E1566" i="4"/>
  <c r="D1566" i="4"/>
  <c r="C1566" i="4"/>
  <c r="B1566" i="4"/>
  <c r="F1565" i="4"/>
  <c r="E1565" i="4"/>
  <c r="D1565" i="4"/>
  <c r="C1565" i="4"/>
  <c r="B1565" i="4"/>
  <c r="F1564" i="4"/>
  <c r="E1564" i="4"/>
  <c r="D1564" i="4"/>
  <c r="C1564" i="4"/>
  <c r="B1564" i="4"/>
  <c r="F1563" i="4"/>
  <c r="E1563" i="4"/>
  <c r="D1563" i="4"/>
  <c r="C1563" i="4"/>
  <c r="B1563" i="4"/>
  <c r="F1562" i="4"/>
  <c r="E1562" i="4"/>
  <c r="D1562" i="4"/>
  <c r="C1562" i="4"/>
  <c r="B1562" i="4"/>
  <c r="F1561" i="4"/>
  <c r="E1561" i="4"/>
  <c r="D1561" i="4"/>
  <c r="C1561" i="4"/>
  <c r="B1561" i="4"/>
  <c r="F1560" i="4"/>
  <c r="E1560" i="4"/>
  <c r="D1560" i="4"/>
  <c r="C1560" i="4"/>
  <c r="B1560" i="4"/>
  <c r="C1559" i="4"/>
  <c r="B1559" i="4"/>
  <c r="D1558" i="4"/>
  <c r="C1558" i="4"/>
  <c r="B1558" i="4"/>
  <c r="D1557" i="4"/>
  <c r="C1557" i="4"/>
  <c r="B1557" i="4"/>
  <c r="F1556" i="4"/>
  <c r="E1556" i="4"/>
  <c r="D1556" i="4"/>
  <c r="C1556" i="4"/>
  <c r="B1556" i="4"/>
  <c r="F1555" i="4"/>
  <c r="E1555" i="4"/>
  <c r="D1555" i="4"/>
  <c r="C1555" i="4"/>
  <c r="B1555" i="4"/>
  <c r="F1554" i="4"/>
  <c r="E1554" i="4"/>
  <c r="D1554" i="4"/>
  <c r="C1554" i="4"/>
  <c r="B1554" i="4"/>
  <c r="F1553" i="4"/>
  <c r="E1553" i="4"/>
  <c r="D1553" i="4"/>
  <c r="C1553" i="4"/>
  <c r="B1553" i="4"/>
  <c r="F1552" i="4"/>
  <c r="E1552" i="4"/>
  <c r="D1552" i="4"/>
  <c r="C1552" i="4"/>
  <c r="B1552" i="4"/>
  <c r="F1551" i="4"/>
  <c r="E1551" i="4"/>
  <c r="D1551" i="4"/>
  <c r="C1551" i="4"/>
  <c r="B1551" i="4"/>
  <c r="F1550" i="4"/>
  <c r="E1550" i="4"/>
  <c r="D1550" i="4"/>
  <c r="C1550" i="4"/>
  <c r="B1550" i="4"/>
  <c r="C1549" i="4"/>
  <c r="B1549" i="4"/>
  <c r="F1548" i="4"/>
  <c r="E1548" i="4"/>
  <c r="D1548" i="4"/>
  <c r="C1548" i="4"/>
  <c r="B1548" i="4"/>
  <c r="F1547" i="4"/>
  <c r="E1547" i="4"/>
  <c r="D1547" i="4"/>
  <c r="C1547" i="4"/>
  <c r="B1547" i="4"/>
  <c r="F1546" i="4"/>
  <c r="E1546" i="4"/>
  <c r="D1546" i="4"/>
  <c r="C1546" i="4"/>
  <c r="B1546" i="4"/>
  <c r="F1545" i="4"/>
  <c r="E1545" i="4"/>
  <c r="D1545" i="4"/>
  <c r="C1545" i="4"/>
  <c r="B1545" i="4"/>
  <c r="F1544" i="4"/>
  <c r="E1544" i="4"/>
  <c r="D1544" i="4"/>
  <c r="C1544" i="4"/>
  <c r="B1544" i="4"/>
  <c r="F1543" i="4"/>
  <c r="E1543" i="4"/>
  <c r="D1543" i="4"/>
  <c r="C1543" i="4"/>
  <c r="B1543" i="4"/>
  <c r="F1542" i="4"/>
  <c r="E1542" i="4"/>
  <c r="D1542" i="4"/>
  <c r="C1542" i="4"/>
  <c r="B1542" i="4"/>
  <c r="F1541" i="4"/>
  <c r="E1541" i="4"/>
  <c r="D1541" i="4"/>
  <c r="C1541" i="4"/>
  <c r="B1541" i="4"/>
  <c r="F1540" i="4"/>
  <c r="D1540" i="4"/>
  <c r="C1540" i="4"/>
  <c r="B1540" i="4"/>
  <c r="F1539" i="4"/>
  <c r="E1539" i="4"/>
  <c r="D1539" i="4"/>
  <c r="C1539" i="4"/>
  <c r="B1539" i="4"/>
  <c r="C1538" i="4"/>
  <c r="B1538" i="4"/>
  <c r="F1537" i="4"/>
  <c r="E1537" i="4"/>
  <c r="D1537" i="4"/>
  <c r="C1537" i="4"/>
  <c r="B1537" i="4"/>
  <c r="F1536" i="4"/>
  <c r="E1536" i="4"/>
  <c r="D1536" i="4"/>
  <c r="C1536" i="4"/>
  <c r="B1536" i="4"/>
  <c r="F1535" i="4"/>
  <c r="E1535" i="4"/>
  <c r="D1535" i="4"/>
  <c r="C1535" i="4"/>
  <c r="B1535" i="4"/>
  <c r="F1534" i="4"/>
  <c r="E1534" i="4"/>
  <c r="D1534" i="4"/>
  <c r="C1534" i="4"/>
  <c r="B1534" i="4"/>
  <c r="F1533" i="4"/>
  <c r="E1533" i="4"/>
  <c r="D1533" i="4"/>
  <c r="C1533" i="4"/>
  <c r="B1533" i="4"/>
  <c r="F1532" i="4"/>
  <c r="E1532" i="4"/>
  <c r="D1532" i="4"/>
  <c r="C1532" i="4"/>
  <c r="B1532" i="4"/>
  <c r="F1531" i="4"/>
  <c r="E1531" i="4"/>
  <c r="D1531" i="4"/>
  <c r="C1531" i="4"/>
  <c r="B1531" i="4"/>
  <c r="F1530" i="4"/>
  <c r="E1530" i="4"/>
  <c r="D1530" i="4"/>
  <c r="C1530" i="4"/>
  <c r="B1530" i="4"/>
  <c r="F1529" i="4"/>
  <c r="E1529" i="4"/>
  <c r="D1529" i="4"/>
  <c r="C1529" i="4"/>
  <c r="B1529" i="4"/>
  <c r="F1528" i="4"/>
  <c r="E1528" i="4"/>
  <c r="D1528" i="4"/>
  <c r="C1528" i="4"/>
  <c r="B1528" i="4"/>
  <c r="C1527" i="4"/>
  <c r="B1527" i="4"/>
  <c r="F1526" i="4"/>
  <c r="D1526" i="4"/>
  <c r="C1526" i="4"/>
  <c r="B1526" i="4"/>
  <c r="C1525" i="4"/>
  <c r="B1525" i="4"/>
  <c r="F1524" i="4"/>
  <c r="E1524" i="4"/>
  <c r="D1524" i="4"/>
  <c r="C1524" i="4"/>
  <c r="B1524" i="4"/>
  <c r="F1523" i="4"/>
  <c r="E1523" i="4"/>
  <c r="D1523" i="4"/>
  <c r="C1523" i="4"/>
  <c r="B1523" i="4"/>
  <c r="F1522" i="4"/>
  <c r="E1522" i="4"/>
  <c r="D1522" i="4"/>
  <c r="C1522" i="4"/>
  <c r="B1522" i="4"/>
  <c r="F1521" i="4"/>
  <c r="E1521" i="4"/>
  <c r="D1521" i="4"/>
  <c r="C1521" i="4"/>
  <c r="B1521" i="4"/>
  <c r="C1520" i="4"/>
  <c r="B1520" i="4"/>
  <c r="D1519" i="4"/>
  <c r="C1519" i="4"/>
  <c r="B1519" i="4"/>
  <c r="F1518" i="4"/>
  <c r="E1518" i="4"/>
  <c r="D1518" i="4"/>
  <c r="C1518" i="4"/>
  <c r="B1518" i="4"/>
  <c r="F1517" i="4"/>
  <c r="E1517" i="4"/>
  <c r="D1517" i="4"/>
  <c r="C1517" i="4"/>
  <c r="B1517" i="4"/>
  <c r="F1516" i="4"/>
  <c r="E1516" i="4"/>
  <c r="D1516" i="4"/>
  <c r="C1516" i="4"/>
  <c r="B1516" i="4"/>
  <c r="F1515" i="4"/>
  <c r="E1515" i="4"/>
  <c r="D1515" i="4"/>
  <c r="C1515" i="4"/>
  <c r="B1515" i="4"/>
  <c r="F1514" i="4"/>
  <c r="E1514" i="4"/>
  <c r="D1514" i="4"/>
  <c r="C1514" i="4"/>
  <c r="B1514" i="4"/>
  <c r="F1513" i="4"/>
  <c r="E1513" i="4"/>
  <c r="D1513" i="4"/>
  <c r="C1513" i="4"/>
  <c r="B1513" i="4"/>
  <c r="F1512" i="4"/>
  <c r="E1512" i="4"/>
  <c r="D1512" i="4"/>
  <c r="C1512" i="4"/>
  <c r="B1512" i="4"/>
  <c r="F1511" i="4"/>
  <c r="E1511" i="4"/>
  <c r="D1511" i="4"/>
  <c r="C1511" i="4"/>
  <c r="B1511" i="4"/>
  <c r="F1510" i="4"/>
  <c r="E1510" i="4"/>
  <c r="D1510" i="4"/>
  <c r="C1510" i="4"/>
  <c r="B1510" i="4"/>
  <c r="F1509" i="4"/>
  <c r="E1509" i="4"/>
  <c r="D1509" i="4"/>
  <c r="C1509" i="4"/>
  <c r="B1509" i="4"/>
  <c r="F1508" i="4"/>
  <c r="E1508" i="4"/>
  <c r="D1508" i="4"/>
  <c r="C1508" i="4"/>
  <c r="B1508" i="4"/>
  <c r="F1507" i="4"/>
  <c r="E1507" i="4"/>
  <c r="D1507" i="4"/>
  <c r="C1507" i="4"/>
  <c r="B1507" i="4"/>
  <c r="F1506" i="4"/>
  <c r="E1506" i="4"/>
  <c r="D1506" i="4"/>
  <c r="C1506" i="4"/>
  <c r="B1506" i="4"/>
  <c r="F1505" i="4"/>
  <c r="E1505" i="4"/>
  <c r="D1505" i="4"/>
  <c r="C1505" i="4"/>
  <c r="B1505" i="4"/>
  <c r="F1504" i="4"/>
  <c r="E1504" i="4"/>
  <c r="D1504" i="4"/>
  <c r="C1504" i="4"/>
  <c r="B1504" i="4"/>
  <c r="F1503" i="4"/>
  <c r="E1503" i="4"/>
  <c r="D1503" i="4"/>
  <c r="C1503" i="4"/>
  <c r="B1503" i="4"/>
  <c r="F1502" i="4"/>
  <c r="E1502" i="4"/>
  <c r="D1502" i="4"/>
  <c r="C1502" i="4"/>
  <c r="B1502" i="4"/>
  <c r="F1501" i="4"/>
  <c r="E1501" i="4"/>
  <c r="D1501" i="4"/>
  <c r="C1501" i="4"/>
  <c r="B1501" i="4"/>
  <c r="F1500" i="4"/>
  <c r="E1500" i="4"/>
  <c r="D1500" i="4"/>
  <c r="C1500" i="4"/>
  <c r="B1500" i="4"/>
  <c r="F1499" i="4"/>
  <c r="E1499" i="4"/>
  <c r="D1499" i="4"/>
  <c r="C1499" i="4"/>
  <c r="B1499" i="4"/>
  <c r="F1498" i="4"/>
  <c r="E1498" i="4"/>
  <c r="D1498" i="4"/>
  <c r="C1498" i="4"/>
  <c r="B1498" i="4"/>
  <c r="F1497" i="4"/>
  <c r="E1497" i="4"/>
  <c r="D1497" i="4"/>
  <c r="C1497" i="4"/>
  <c r="B1497" i="4"/>
  <c r="F1496" i="4"/>
  <c r="E1496" i="4"/>
  <c r="D1496" i="4"/>
  <c r="C1496" i="4"/>
  <c r="B1496" i="4"/>
  <c r="F1495" i="4"/>
  <c r="E1495" i="4"/>
  <c r="D1495" i="4"/>
  <c r="C1495" i="4"/>
  <c r="B1495" i="4"/>
  <c r="F1494" i="4"/>
  <c r="E1494" i="4"/>
  <c r="D1494" i="4"/>
  <c r="C1494" i="4"/>
  <c r="B1494" i="4"/>
  <c r="F1493" i="4"/>
  <c r="E1493" i="4"/>
  <c r="D1493" i="4"/>
  <c r="C1493" i="4"/>
  <c r="B1493" i="4"/>
  <c r="F1492" i="4"/>
  <c r="E1492" i="4"/>
  <c r="D1492" i="4"/>
  <c r="C1492" i="4"/>
  <c r="B1492" i="4"/>
  <c r="F1491" i="4"/>
  <c r="E1491" i="4"/>
  <c r="D1491" i="4"/>
  <c r="C1491" i="4"/>
  <c r="B1491" i="4"/>
  <c r="F1490" i="4"/>
  <c r="E1490" i="4"/>
  <c r="D1490" i="4"/>
  <c r="C1490" i="4"/>
  <c r="B1490" i="4"/>
  <c r="C1489" i="4"/>
  <c r="B1489" i="4"/>
  <c r="C1488" i="4"/>
  <c r="B1488" i="4"/>
  <c r="F1487" i="4"/>
  <c r="E1487" i="4"/>
  <c r="D1487" i="4"/>
  <c r="C1487" i="4"/>
  <c r="B1487" i="4"/>
  <c r="F1486" i="4"/>
  <c r="E1486" i="4"/>
  <c r="D1486" i="4"/>
  <c r="C1486" i="4"/>
  <c r="B1486" i="4"/>
  <c r="F1485" i="4"/>
  <c r="E1485" i="4"/>
  <c r="D1485" i="4"/>
  <c r="C1485" i="4"/>
  <c r="B1485" i="4"/>
  <c r="F1484" i="4"/>
  <c r="E1484" i="4"/>
  <c r="D1484" i="4"/>
  <c r="C1484" i="4"/>
  <c r="B1484" i="4"/>
  <c r="F1483" i="4"/>
  <c r="E1483" i="4"/>
  <c r="D1483" i="4"/>
  <c r="C1483" i="4"/>
  <c r="B1483" i="4"/>
  <c r="F1482" i="4"/>
  <c r="E1482" i="4"/>
  <c r="D1482" i="4"/>
  <c r="C1482" i="4"/>
  <c r="B1482" i="4"/>
  <c r="F1481" i="4"/>
  <c r="E1481" i="4"/>
  <c r="D1481" i="4"/>
  <c r="C1481" i="4"/>
  <c r="B1481" i="4"/>
  <c r="C1480" i="4"/>
  <c r="B1480" i="4"/>
  <c r="C1479" i="4"/>
  <c r="B1479" i="4"/>
  <c r="F1478" i="4"/>
  <c r="E1478" i="4"/>
  <c r="D1478" i="4"/>
  <c r="C1478" i="4"/>
  <c r="B1478" i="4"/>
  <c r="F1477" i="4"/>
  <c r="E1477" i="4"/>
  <c r="D1477" i="4"/>
  <c r="C1477" i="4"/>
  <c r="B1477" i="4"/>
  <c r="F1476" i="4"/>
  <c r="E1476" i="4"/>
  <c r="D1476" i="4"/>
  <c r="C1476" i="4"/>
  <c r="B1476" i="4"/>
  <c r="F1475" i="4"/>
  <c r="E1475" i="4"/>
  <c r="D1475" i="4"/>
  <c r="C1475" i="4"/>
  <c r="B1475" i="4"/>
  <c r="F1474" i="4"/>
  <c r="E1474" i="4"/>
  <c r="D1474" i="4"/>
  <c r="C1474" i="4"/>
  <c r="B1474" i="4"/>
  <c r="F1473" i="4"/>
  <c r="E1473" i="4"/>
  <c r="D1473" i="4"/>
  <c r="C1473" i="4"/>
  <c r="B1473" i="4"/>
  <c r="F1472" i="4"/>
  <c r="E1472" i="4"/>
  <c r="D1472" i="4"/>
  <c r="C1472" i="4"/>
  <c r="B1472" i="4"/>
  <c r="F1471" i="4"/>
  <c r="E1471" i="4"/>
  <c r="D1471" i="4"/>
  <c r="C1471" i="4"/>
  <c r="B1471" i="4"/>
  <c r="F1470" i="4"/>
  <c r="E1470" i="4"/>
  <c r="D1470" i="4"/>
  <c r="C1470" i="4"/>
  <c r="B1470" i="4"/>
  <c r="C1469" i="4"/>
  <c r="B1469" i="4"/>
  <c r="E1468" i="4"/>
  <c r="D1468" i="4"/>
  <c r="C1468" i="4"/>
  <c r="B1468" i="4"/>
  <c r="E1467" i="4"/>
  <c r="D1467" i="4"/>
  <c r="C1467" i="4"/>
  <c r="B1467" i="4"/>
  <c r="F1466" i="4"/>
  <c r="E1466" i="4"/>
  <c r="D1466" i="4"/>
  <c r="C1466" i="4"/>
  <c r="B1466" i="4"/>
  <c r="F1465" i="4"/>
  <c r="E1465" i="4"/>
  <c r="D1465" i="4"/>
  <c r="C1465" i="4"/>
  <c r="B1465" i="4"/>
  <c r="F1464" i="4"/>
  <c r="E1464" i="4"/>
  <c r="D1464" i="4"/>
  <c r="C1464" i="4"/>
  <c r="B1464" i="4"/>
  <c r="F1463" i="4"/>
  <c r="E1463" i="4"/>
  <c r="D1463" i="4"/>
  <c r="C1463" i="4"/>
  <c r="B1463" i="4"/>
  <c r="F1462" i="4"/>
  <c r="E1462" i="4"/>
  <c r="D1462" i="4"/>
  <c r="C1462" i="4"/>
  <c r="B1462" i="4"/>
  <c r="F1461" i="4"/>
  <c r="E1461" i="4"/>
  <c r="D1461" i="4"/>
  <c r="C1461" i="4"/>
  <c r="B1461" i="4"/>
  <c r="F1460" i="4"/>
  <c r="E1460" i="4"/>
  <c r="D1460" i="4"/>
  <c r="C1460" i="4"/>
  <c r="B1460" i="4"/>
  <c r="F1459" i="4"/>
  <c r="E1459" i="4"/>
  <c r="D1459" i="4"/>
  <c r="C1459" i="4"/>
  <c r="B1459" i="4"/>
  <c r="F1458" i="4"/>
  <c r="E1458" i="4"/>
  <c r="D1458" i="4"/>
  <c r="C1458" i="4"/>
  <c r="B1458" i="4"/>
  <c r="F1457" i="4"/>
  <c r="E1457" i="4"/>
  <c r="D1457" i="4"/>
  <c r="C1457" i="4"/>
  <c r="B1457" i="4"/>
  <c r="F1456" i="4"/>
  <c r="E1456" i="4"/>
  <c r="D1456" i="4"/>
  <c r="C1456" i="4"/>
  <c r="B1456" i="4"/>
  <c r="F1455" i="4"/>
  <c r="E1455" i="4"/>
  <c r="D1455" i="4"/>
  <c r="C1455" i="4"/>
  <c r="B1455" i="4"/>
  <c r="F1454" i="4"/>
  <c r="E1454" i="4"/>
  <c r="D1454" i="4"/>
  <c r="C1454" i="4"/>
  <c r="B1454" i="4"/>
  <c r="F1453" i="4"/>
  <c r="E1453" i="4"/>
  <c r="D1453" i="4"/>
  <c r="C1453" i="4"/>
  <c r="B1453" i="4"/>
  <c r="C1452" i="4"/>
  <c r="B1452" i="4"/>
  <c r="F1451" i="4"/>
  <c r="E1451" i="4"/>
  <c r="D1451" i="4"/>
  <c r="C1451" i="4"/>
  <c r="B1451" i="4"/>
  <c r="F1450" i="4"/>
  <c r="E1450" i="4"/>
  <c r="D1450" i="4"/>
  <c r="C1450" i="4"/>
  <c r="B1450" i="4"/>
  <c r="F1449" i="4"/>
  <c r="E1449" i="4"/>
  <c r="D1449" i="4"/>
  <c r="C1449" i="4"/>
  <c r="B1449" i="4"/>
  <c r="F1448" i="4"/>
  <c r="E1448" i="4"/>
  <c r="D1448" i="4"/>
  <c r="C1448" i="4"/>
  <c r="B1448" i="4"/>
  <c r="F1447" i="4"/>
  <c r="E1447" i="4"/>
  <c r="D1447" i="4"/>
  <c r="C1447" i="4"/>
  <c r="B1447" i="4"/>
  <c r="F1446" i="4"/>
  <c r="E1446" i="4"/>
  <c r="D1446" i="4"/>
  <c r="C1446" i="4"/>
  <c r="B1446" i="4"/>
  <c r="F1445" i="4"/>
  <c r="E1445" i="4"/>
  <c r="D1445" i="4"/>
  <c r="C1445" i="4"/>
  <c r="B1445" i="4"/>
  <c r="F1444" i="4"/>
  <c r="E1444" i="4"/>
  <c r="D1444" i="4"/>
  <c r="C1444" i="4"/>
  <c r="B1444" i="4"/>
  <c r="F1443" i="4"/>
  <c r="D1443" i="4"/>
  <c r="C1443" i="4"/>
  <c r="B1443" i="4"/>
  <c r="F1442" i="4"/>
  <c r="E1442" i="4"/>
  <c r="D1442" i="4"/>
  <c r="C1442" i="4"/>
  <c r="B1442" i="4"/>
  <c r="F1441" i="4"/>
  <c r="E1441" i="4"/>
  <c r="D1441" i="4"/>
  <c r="C1441" i="4"/>
  <c r="B1441" i="4"/>
  <c r="F1440" i="4"/>
  <c r="E1440" i="4"/>
  <c r="D1440" i="4"/>
  <c r="C1440" i="4"/>
  <c r="B1440" i="4"/>
  <c r="C1439" i="4"/>
  <c r="B1439" i="4"/>
  <c r="F1438" i="4"/>
  <c r="E1438" i="4"/>
  <c r="D1438" i="4"/>
  <c r="C1438" i="4"/>
  <c r="B1438" i="4"/>
  <c r="F1437" i="4"/>
  <c r="E1437" i="4"/>
  <c r="D1437" i="4"/>
  <c r="C1437" i="4"/>
  <c r="B1437" i="4"/>
  <c r="F1436" i="4"/>
  <c r="E1436" i="4"/>
  <c r="D1436" i="4"/>
  <c r="C1436" i="4"/>
  <c r="B1436" i="4"/>
  <c r="F1435" i="4"/>
  <c r="E1435" i="4"/>
  <c r="D1435" i="4"/>
  <c r="C1435" i="4"/>
  <c r="B1435" i="4"/>
  <c r="F1434" i="4"/>
  <c r="E1434" i="4"/>
  <c r="D1434" i="4"/>
  <c r="C1434" i="4"/>
  <c r="B1434" i="4"/>
  <c r="F1433" i="4"/>
  <c r="E1433" i="4"/>
  <c r="D1433" i="4"/>
  <c r="C1433" i="4"/>
  <c r="B1433" i="4"/>
  <c r="E1432" i="4"/>
  <c r="D1432" i="4"/>
  <c r="C1432" i="4"/>
  <c r="B1432" i="4"/>
  <c r="D1431" i="4"/>
  <c r="C1431" i="4"/>
  <c r="B1431" i="4"/>
  <c r="D1430" i="4"/>
  <c r="C1430" i="4"/>
  <c r="B1430" i="4"/>
  <c r="E1429" i="4"/>
  <c r="D1429" i="4"/>
  <c r="C1429" i="4"/>
  <c r="B1429" i="4"/>
  <c r="E1428" i="4"/>
  <c r="D1428" i="4"/>
  <c r="C1428" i="4"/>
  <c r="B1428" i="4"/>
  <c r="F1427" i="4"/>
  <c r="E1427" i="4"/>
  <c r="D1427" i="4"/>
  <c r="C1427" i="4"/>
  <c r="B1427" i="4"/>
  <c r="F1426" i="4"/>
  <c r="E1426" i="4"/>
  <c r="D1426" i="4"/>
  <c r="C1426" i="4"/>
  <c r="B1426" i="4"/>
  <c r="F1425" i="4"/>
  <c r="E1425" i="4"/>
  <c r="D1425" i="4"/>
  <c r="C1425" i="4"/>
  <c r="B1425" i="4"/>
  <c r="F1424" i="4"/>
  <c r="E1424" i="4"/>
  <c r="D1424" i="4"/>
  <c r="C1424" i="4"/>
  <c r="B1424" i="4"/>
  <c r="F1423" i="4"/>
  <c r="E1423" i="4"/>
  <c r="D1423" i="4"/>
  <c r="C1423" i="4"/>
  <c r="B1423" i="4"/>
  <c r="F1422" i="4"/>
  <c r="E1422" i="4"/>
  <c r="D1422" i="4"/>
  <c r="C1422" i="4"/>
  <c r="B1422" i="4"/>
  <c r="F1421" i="4"/>
  <c r="E1421" i="4"/>
  <c r="D1421" i="4"/>
  <c r="C1421" i="4"/>
  <c r="B1421" i="4"/>
  <c r="F1420" i="4"/>
  <c r="E1420" i="4"/>
  <c r="D1420" i="4"/>
  <c r="C1420" i="4"/>
  <c r="B1420" i="4"/>
  <c r="F1419" i="4"/>
  <c r="E1419" i="4"/>
  <c r="D1419" i="4"/>
  <c r="C1419" i="4"/>
  <c r="B1419" i="4"/>
  <c r="C1418" i="4"/>
  <c r="B1418" i="4"/>
  <c r="F1417" i="4"/>
  <c r="E1417" i="4"/>
  <c r="D1417" i="4"/>
  <c r="C1417" i="4"/>
  <c r="B1417" i="4"/>
  <c r="F1416" i="4"/>
  <c r="E1416" i="4"/>
  <c r="D1416" i="4"/>
  <c r="C1416" i="4"/>
  <c r="B1416" i="4"/>
  <c r="F1415" i="4"/>
  <c r="E1415" i="4"/>
  <c r="D1415" i="4"/>
  <c r="C1415" i="4"/>
  <c r="B1415" i="4"/>
  <c r="E1414" i="4"/>
  <c r="D1414" i="4"/>
  <c r="C1414" i="4"/>
  <c r="B1414" i="4"/>
  <c r="F1413" i="4"/>
  <c r="E1413" i="4"/>
  <c r="D1413" i="4"/>
  <c r="C1413" i="4"/>
  <c r="B1413" i="4"/>
  <c r="F1412" i="4"/>
  <c r="E1412" i="4"/>
  <c r="D1412" i="4"/>
  <c r="C1412" i="4"/>
  <c r="B1412" i="4"/>
  <c r="F1411" i="4"/>
  <c r="E1411" i="4"/>
  <c r="D1411" i="4"/>
  <c r="C1411" i="4"/>
  <c r="B1411" i="4"/>
  <c r="F1410" i="4"/>
  <c r="E1410" i="4"/>
  <c r="D1410" i="4"/>
  <c r="C1410" i="4"/>
  <c r="B1410" i="4"/>
  <c r="F1409" i="4"/>
  <c r="E1409" i="4"/>
  <c r="D1409" i="4"/>
  <c r="C1409" i="4"/>
  <c r="B1409" i="4"/>
  <c r="F1408" i="4"/>
  <c r="E1408" i="4"/>
  <c r="D1408" i="4"/>
  <c r="C1408" i="4"/>
  <c r="B1408" i="4"/>
  <c r="F1407" i="4"/>
  <c r="E1407" i="4"/>
  <c r="D1407" i="4"/>
  <c r="C1407" i="4"/>
  <c r="B1407" i="4"/>
  <c r="F1406" i="4"/>
  <c r="E1406" i="4"/>
  <c r="D1406" i="4"/>
  <c r="C1406" i="4"/>
  <c r="B1406" i="4"/>
  <c r="F1405" i="4"/>
  <c r="E1405" i="4"/>
  <c r="D1405" i="4"/>
  <c r="C1405" i="4"/>
  <c r="B1405" i="4"/>
  <c r="F1404" i="4"/>
  <c r="E1404" i="4"/>
  <c r="D1404" i="4"/>
  <c r="C1404" i="4"/>
  <c r="B1404" i="4"/>
  <c r="F1403" i="4"/>
  <c r="E1403" i="4"/>
  <c r="D1403" i="4"/>
  <c r="C1403" i="4"/>
  <c r="B1403" i="4"/>
  <c r="F1402" i="4"/>
  <c r="E1402" i="4"/>
  <c r="D1402" i="4"/>
  <c r="C1402" i="4"/>
  <c r="B1402" i="4"/>
  <c r="F1401" i="4"/>
  <c r="E1401" i="4"/>
  <c r="D1401" i="4"/>
  <c r="C1401" i="4"/>
  <c r="B1401" i="4"/>
  <c r="F1400" i="4"/>
  <c r="E1400" i="4"/>
  <c r="D1400" i="4"/>
  <c r="C1400" i="4"/>
  <c r="B1400" i="4"/>
  <c r="F1399" i="4"/>
  <c r="E1399" i="4"/>
  <c r="D1399" i="4"/>
  <c r="C1399" i="4"/>
  <c r="B1399" i="4"/>
  <c r="F1398" i="4"/>
  <c r="E1398" i="4"/>
  <c r="D1398" i="4"/>
  <c r="C1398" i="4"/>
  <c r="B1398" i="4"/>
  <c r="F1397" i="4"/>
  <c r="E1397" i="4"/>
  <c r="C1397" i="4"/>
  <c r="B1397" i="4"/>
  <c r="F1396" i="4"/>
  <c r="E1396" i="4"/>
  <c r="C1396" i="4"/>
  <c r="B1396" i="4"/>
  <c r="F1395" i="4"/>
  <c r="E1395" i="4"/>
  <c r="D1395" i="4"/>
  <c r="C1395" i="4"/>
  <c r="B1395" i="4"/>
  <c r="F1394" i="4"/>
  <c r="E1394" i="4"/>
  <c r="D1394" i="4"/>
  <c r="C1394" i="4"/>
  <c r="B1394" i="4"/>
  <c r="C1393" i="4"/>
  <c r="B1393" i="4"/>
  <c r="F1392" i="4"/>
  <c r="E1392" i="4"/>
  <c r="D1392" i="4"/>
  <c r="C1392" i="4"/>
  <c r="B1392" i="4"/>
  <c r="F1391" i="4"/>
  <c r="E1391" i="4"/>
  <c r="D1391" i="4"/>
  <c r="C1391" i="4"/>
  <c r="B1391" i="4"/>
  <c r="F1390" i="4"/>
  <c r="E1390" i="4"/>
  <c r="D1390" i="4"/>
  <c r="C1390" i="4"/>
  <c r="B1390" i="4"/>
  <c r="C1389" i="4"/>
  <c r="B1389" i="4"/>
  <c r="F1388" i="4"/>
  <c r="E1388" i="4"/>
  <c r="D1388" i="4"/>
  <c r="C1388" i="4"/>
  <c r="B1388" i="4"/>
  <c r="F1387" i="4"/>
  <c r="E1387" i="4"/>
  <c r="D1387" i="4"/>
  <c r="C1387" i="4"/>
  <c r="B1387" i="4"/>
  <c r="F1386" i="4"/>
  <c r="E1386" i="4"/>
  <c r="D1386" i="4"/>
  <c r="C1386" i="4"/>
  <c r="B1386" i="4"/>
  <c r="F1385" i="4"/>
  <c r="E1385" i="4"/>
  <c r="D1385" i="4"/>
  <c r="C1385" i="4"/>
  <c r="B1385" i="4"/>
  <c r="F1384" i="4"/>
  <c r="E1384" i="4"/>
  <c r="D1384" i="4"/>
  <c r="C1384" i="4"/>
  <c r="B1384" i="4"/>
  <c r="F1383" i="4"/>
  <c r="E1383" i="4"/>
  <c r="D1383" i="4"/>
  <c r="C1383" i="4"/>
  <c r="B1383" i="4"/>
  <c r="F1382" i="4"/>
  <c r="E1382" i="4"/>
  <c r="D1382" i="4"/>
  <c r="C1382" i="4"/>
  <c r="B1382" i="4"/>
  <c r="F1381" i="4"/>
  <c r="E1381" i="4"/>
  <c r="D1381" i="4"/>
  <c r="C1381" i="4"/>
  <c r="B1381" i="4"/>
  <c r="F1380" i="4"/>
  <c r="E1380" i="4"/>
  <c r="D1380" i="4"/>
  <c r="C1380" i="4"/>
  <c r="B1380" i="4"/>
  <c r="F1379" i="4"/>
  <c r="E1379" i="4"/>
  <c r="D1379" i="4"/>
  <c r="C1379" i="4"/>
  <c r="B1379" i="4"/>
  <c r="F1378" i="4"/>
  <c r="E1378" i="4"/>
  <c r="D1378" i="4"/>
  <c r="C1378" i="4"/>
  <c r="B1378" i="4"/>
  <c r="F1377" i="4"/>
  <c r="E1377" i="4"/>
  <c r="D1377" i="4"/>
  <c r="C1377" i="4"/>
  <c r="B1377" i="4"/>
  <c r="F1376" i="4"/>
  <c r="E1376" i="4"/>
  <c r="D1376" i="4"/>
  <c r="C1376" i="4"/>
  <c r="B1376" i="4"/>
  <c r="F1375" i="4"/>
  <c r="E1375" i="4"/>
  <c r="D1375" i="4"/>
  <c r="C1375" i="4"/>
  <c r="B1375" i="4"/>
  <c r="F1374" i="4"/>
  <c r="E1374" i="4"/>
  <c r="D1374" i="4"/>
  <c r="C1374" i="4"/>
  <c r="B1374" i="4"/>
  <c r="F1373" i="4"/>
  <c r="E1373" i="4"/>
  <c r="D1373" i="4"/>
  <c r="C1373" i="4"/>
  <c r="B1373" i="4"/>
  <c r="F1372" i="4"/>
  <c r="E1372" i="4"/>
  <c r="D1372" i="4"/>
  <c r="C1372" i="4"/>
  <c r="B1372" i="4"/>
  <c r="F1371" i="4"/>
  <c r="E1371" i="4"/>
  <c r="D1371" i="4"/>
  <c r="C1371" i="4"/>
  <c r="B1371" i="4"/>
  <c r="F1370" i="4"/>
  <c r="E1370" i="4"/>
  <c r="D1370" i="4"/>
  <c r="C1370" i="4"/>
  <c r="B1370" i="4"/>
  <c r="F1369" i="4"/>
  <c r="E1369" i="4"/>
  <c r="D1369" i="4"/>
  <c r="C1369" i="4"/>
  <c r="B1369" i="4"/>
  <c r="F1368" i="4"/>
  <c r="E1368" i="4"/>
  <c r="D1368" i="4"/>
  <c r="C1368" i="4"/>
  <c r="B1368" i="4"/>
  <c r="F1367" i="4"/>
  <c r="E1367" i="4"/>
  <c r="D1367" i="4"/>
  <c r="C1367" i="4"/>
  <c r="B1367" i="4"/>
  <c r="F1366" i="4"/>
  <c r="E1366" i="4"/>
  <c r="D1366" i="4"/>
  <c r="C1366" i="4"/>
  <c r="B1366" i="4"/>
  <c r="F1365" i="4"/>
  <c r="E1365" i="4"/>
  <c r="D1365" i="4"/>
  <c r="C1365" i="4"/>
  <c r="B1365" i="4"/>
  <c r="F1364" i="4"/>
  <c r="E1364" i="4"/>
  <c r="D1364" i="4"/>
  <c r="C1364" i="4"/>
  <c r="B1364" i="4"/>
  <c r="F1363" i="4"/>
  <c r="E1363" i="4"/>
  <c r="D1363" i="4"/>
  <c r="C1363" i="4"/>
  <c r="B1363" i="4"/>
  <c r="F1362" i="4"/>
  <c r="E1362" i="4"/>
  <c r="D1362" i="4"/>
  <c r="C1362" i="4"/>
  <c r="B1362" i="4"/>
  <c r="F1361" i="4"/>
  <c r="E1361" i="4"/>
  <c r="D1361" i="4"/>
  <c r="C1361" i="4"/>
  <c r="B1361" i="4"/>
  <c r="F1360" i="4"/>
  <c r="E1360" i="4"/>
  <c r="D1360" i="4"/>
  <c r="C1360" i="4"/>
  <c r="B1360" i="4"/>
  <c r="F1359" i="4"/>
  <c r="E1359" i="4"/>
  <c r="D1359" i="4"/>
  <c r="C1359" i="4"/>
  <c r="B1359" i="4"/>
  <c r="F1358" i="4"/>
  <c r="E1358" i="4"/>
  <c r="D1358" i="4"/>
  <c r="C1358" i="4"/>
  <c r="B1358" i="4"/>
  <c r="F1357" i="4"/>
  <c r="E1357" i="4"/>
  <c r="D1357" i="4"/>
  <c r="C1357" i="4"/>
  <c r="B1357" i="4"/>
  <c r="F1356" i="4"/>
  <c r="E1356" i="4"/>
  <c r="D1356" i="4"/>
  <c r="C1356" i="4"/>
  <c r="B1356" i="4"/>
  <c r="F1355" i="4"/>
  <c r="E1355" i="4"/>
  <c r="D1355" i="4"/>
  <c r="C1355" i="4"/>
  <c r="B1355" i="4"/>
  <c r="F1354" i="4"/>
  <c r="E1354" i="4"/>
  <c r="D1354" i="4"/>
  <c r="C1354" i="4"/>
  <c r="B1354" i="4"/>
  <c r="F1353" i="4"/>
  <c r="E1353" i="4"/>
  <c r="D1353" i="4"/>
  <c r="C1353" i="4"/>
  <c r="B1353" i="4"/>
  <c r="F1352" i="4"/>
  <c r="E1352" i="4"/>
  <c r="D1352" i="4"/>
  <c r="C1352" i="4"/>
  <c r="B1352" i="4"/>
  <c r="F1351" i="4"/>
  <c r="E1351" i="4"/>
  <c r="D1351" i="4"/>
  <c r="C1351" i="4"/>
  <c r="B1351" i="4"/>
  <c r="F1350" i="4"/>
  <c r="E1350" i="4"/>
  <c r="D1350" i="4"/>
  <c r="C1350" i="4"/>
  <c r="B1350" i="4"/>
  <c r="F1349" i="4"/>
  <c r="E1349" i="4"/>
  <c r="D1349" i="4"/>
  <c r="C1349" i="4"/>
  <c r="B1349" i="4"/>
  <c r="C1348" i="4"/>
  <c r="B1348" i="4"/>
  <c r="F1347" i="4"/>
  <c r="E1347" i="4"/>
  <c r="D1347" i="4"/>
  <c r="C1347" i="4"/>
  <c r="B1347" i="4"/>
  <c r="F1346" i="4"/>
  <c r="E1346" i="4"/>
  <c r="D1346" i="4"/>
  <c r="C1346" i="4"/>
  <c r="B1346" i="4"/>
  <c r="F1345" i="4"/>
  <c r="E1345" i="4"/>
  <c r="D1345" i="4"/>
  <c r="C1345" i="4"/>
  <c r="B1345" i="4"/>
  <c r="F1344" i="4"/>
  <c r="E1344" i="4"/>
  <c r="D1344" i="4"/>
  <c r="C1344" i="4"/>
  <c r="B1344" i="4"/>
  <c r="F1343" i="4"/>
  <c r="E1343" i="4"/>
  <c r="D1343" i="4"/>
  <c r="C1343" i="4"/>
  <c r="B1343" i="4"/>
  <c r="C1342" i="4"/>
  <c r="B1342" i="4"/>
  <c r="C1341" i="4"/>
  <c r="B1341" i="4"/>
  <c r="F1340" i="4"/>
  <c r="E1340" i="4"/>
  <c r="D1340" i="4"/>
  <c r="C1340" i="4"/>
  <c r="B1340" i="4"/>
  <c r="F1339" i="4"/>
  <c r="E1339" i="4"/>
  <c r="D1339" i="4"/>
  <c r="C1339" i="4"/>
  <c r="B1339" i="4"/>
  <c r="F1338" i="4"/>
  <c r="E1338" i="4"/>
  <c r="D1338" i="4"/>
  <c r="C1338" i="4"/>
  <c r="B1338" i="4"/>
  <c r="F1337" i="4"/>
  <c r="E1337" i="4"/>
  <c r="D1337" i="4"/>
  <c r="C1337" i="4"/>
  <c r="B1337" i="4"/>
  <c r="F1336" i="4"/>
  <c r="E1336" i="4"/>
  <c r="D1336" i="4"/>
  <c r="C1336" i="4"/>
  <c r="B1336" i="4"/>
  <c r="F1335" i="4"/>
  <c r="E1335" i="4"/>
  <c r="D1335" i="4"/>
  <c r="C1335" i="4"/>
  <c r="B1335" i="4"/>
  <c r="C1334" i="4"/>
  <c r="B1334" i="4"/>
  <c r="F1333" i="4"/>
  <c r="E1333" i="4"/>
  <c r="D1333" i="4"/>
  <c r="C1333" i="4"/>
  <c r="B1333" i="4"/>
  <c r="F1332" i="4"/>
  <c r="E1332" i="4"/>
  <c r="D1332" i="4"/>
  <c r="C1332" i="4"/>
  <c r="B1332" i="4"/>
  <c r="F1331" i="4"/>
  <c r="E1331" i="4"/>
  <c r="D1331" i="4"/>
  <c r="C1331" i="4"/>
  <c r="B1331" i="4"/>
  <c r="F1330" i="4"/>
  <c r="E1330" i="4"/>
  <c r="D1330" i="4"/>
  <c r="C1330" i="4"/>
  <c r="B1330" i="4"/>
  <c r="F1329" i="4"/>
  <c r="E1329" i="4"/>
  <c r="D1329" i="4"/>
  <c r="C1329" i="4"/>
  <c r="B1329" i="4"/>
  <c r="F1328" i="4"/>
  <c r="E1328" i="4"/>
  <c r="D1328" i="4"/>
  <c r="C1328" i="4"/>
  <c r="B1328" i="4"/>
  <c r="F1327" i="4"/>
  <c r="E1327" i="4"/>
  <c r="C1327" i="4"/>
  <c r="B1327" i="4"/>
  <c r="F1326" i="4"/>
  <c r="E1326" i="4"/>
  <c r="C1326" i="4"/>
  <c r="B1326" i="4"/>
  <c r="F1325" i="4"/>
  <c r="E1325" i="4"/>
  <c r="C1325" i="4"/>
  <c r="B1325" i="4"/>
  <c r="F1324" i="4"/>
  <c r="E1324" i="4"/>
  <c r="D1324" i="4"/>
  <c r="C1324" i="4"/>
  <c r="B1324" i="4"/>
  <c r="F1323" i="4"/>
  <c r="E1323" i="4"/>
  <c r="D1323" i="4"/>
  <c r="C1323" i="4"/>
  <c r="B1323" i="4"/>
  <c r="F1322" i="4"/>
  <c r="E1322" i="4"/>
  <c r="D1322" i="4"/>
  <c r="C1322" i="4"/>
  <c r="B1322" i="4"/>
  <c r="F1321" i="4"/>
  <c r="E1321" i="4"/>
  <c r="D1321" i="4"/>
  <c r="C1321" i="4"/>
  <c r="B1321" i="4"/>
  <c r="F1320" i="4"/>
  <c r="E1320" i="4"/>
  <c r="D1320" i="4"/>
  <c r="C1320" i="4"/>
  <c r="B1320" i="4"/>
  <c r="F1319" i="4"/>
  <c r="E1319" i="4"/>
  <c r="D1319" i="4"/>
  <c r="C1319" i="4"/>
  <c r="B1319" i="4"/>
  <c r="F1318" i="4"/>
  <c r="E1318" i="4"/>
  <c r="D1318" i="4"/>
  <c r="C1318" i="4"/>
  <c r="B1318" i="4"/>
  <c r="F1317" i="4"/>
  <c r="E1317" i="4"/>
  <c r="D1317" i="4"/>
  <c r="C1317" i="4"/>
  <c r="B1317" i="4"/>
  <c r="F1316" i="4"/>
  <c r="E1316" i="4"/>
  <c r="D1316" i="4"/>
  <c r="C1316" i="4"/>
  <c r="B1316" i="4"/>
  <c r="F1315" i="4"/>
  <c r="E1315" i="4"/>
  <c r="D1315" i="4"/>
  <c r="C1315" i="4"/>
  <c r="B1315" i="4"/>
  <c r="F1314" i="4"/>
  <c r="D1314" i="4"/>
  <c r="C1314" i="4"/>
  <c r="B1314" i="4"/>
  <c r="F1313" i="4"/>
  <c r="E1313" i="4"/>
  <c r="D1313" i="4"/>
  <c r="C1313" i="4"/>
  <c r="B1313" i="4"/>
  <c r="F1312" i="4"/>
  <c r="E1312" i="4"/>
  <c r="D1312" i="4"/>
  <c r="C1312" i="4"/>
  <c r="B1312" i="4"/>
  <c r="C1311" i="4"/>
  <c r="B1311" i="4"/>
  <c r="F1310" i="4"/>
  <c r="E1310" i="4"/>
  <c r="D1310" i="4"/>
  <c r="C1310" i="4"/>
  <c r="B1310" i="4"/>
  <c r="F1309" i="4"/>
  <c r="E1309" i="4"/>
  <c r="D1309" i="4"/>
  <c r="C1309" i="4"/>
  <c r="B1309" i="4"/>
  <c r="F1308" i="4"/>
  <c r="E1308" i="4"/>
  <c r="D1308" i="4"/>
  <c r="C1308" i="4"/>
  <c r="B1308" i="4"/>
  <c r="F1307" i="4"/>
  <c r="E1307" i="4"/>
  <c r="D1307" i="4"/>
  <c r="C1307" i="4"/>
  <c r="B1307" i="4"/>
  <c r="C1306" i="4"/>
  <c r="B1306" i="4"/>
  <c r="F1305" i="4"/>
  <c r="E1305" i="4"/>
  <c r="D1305" i="4"/>
  <c r="C1305" i="4"/>
  <c r="B1305" i="4"/>
  <c r="F1304" i="4"/>
  <c r="E1304" i="4"/>
  <c r="D1304" i="4"/>
  <c r="C1304" i="4"/>
  <c r="B1304" i="4"/>
  <c r="F1303" i="4"/>
  <c r="E1303" i="4"/>
  <c r="D1303" i="4"/>
  <c r="C1303" i="4"/>
  <c r="B1303" i="4"/>
  <c r="C1302" i="4"/>
  <c r="B1302" i="4"/>
  <c r="F1301" i="4"/>
  <c r="E1301" i="4"/>
  <c r="D1301" i="4"/>
  <c r="C1301" i="4"/>
  <c r="B1301" i="4"/>
  <c r="F1300" i="4"/>
  <c r="E1300" i="4"/>
  <c r="D1300" i="4"/>
  <c r="C1300" i="4"/>
  <c r="B1300" i="4"/>
  <c r="F1299" i="4"/>
  <c r="E1299" i="4"/>
  <c r="D1299" i="4"/>
  <c r="C1299" i="4"/>
  <c r="B1299" i="4"/>
  <c r="C1298" i="4"/>
  <c r="B1298" i="4"/>
  <c r="C1297" i="4"/>
  <c r="B1297" i="4"/>
  <c r="C1296" i="4"/>
  <c r="B1296" i="4"/>
  <c r="F1295" i="4"/>
  <c r="E1295" i="4"/>
  <c r="D1295" i="4"/>
  <c r="C1295" i="4"/>
  <c r="B1295" i="4"/>
  <c r="F1294" i="4"/>
  <c r="E1294" i="4"/>
  <c r="D1294" i="4"/>
  <c r="C1294" i="4"/>
  <c r="B1294" i="4"/>
  <c r="F1293" i="4"/>
  <c r="E1293" i="4"/>
  <c r="D1293" i="4"/>
  <c r="C1293" i="4"/>
  <c r="B1293" i="4"/>
  <c r="F1292" i="4"/>
  <c r="E1292" i="4"/>
  <c r="D1292" i="4"/>
  <c r="C1292" i="4"/>
  <c r="B1292" i="4"/>
  <c r="F1291" i="4"/>
  <c r="E1291" i="4"/>
  <c r="D1291" i="4"/>
  <c r="C1291" i="4"/>
  <c r="B1291" i="4"/>
  <c r="F1290" i="4"/>
  <c r="E1290" i="4"/>
  <c r="D1290" i="4"/>
  <c r="C1290" i="4"/>
  <c r="B1290" i="4"/>
  <c r="F1289" i="4"/>
  <c r="E1289" i="4"/>
  <c r="D1289" i="4"/>
  <c r="C1289" i="4"/>
  <c r="B1289" i="4"/>
  <c r="F1288" i="4"/>
  <c r="E1288" i="4"/>
  <c r="D1288" i="4"/>
  <c r="C1288" i="4"/>
  <c r="B1288" i="4"/>
  <c r="F1287" i="4"/>
  <c r="E1287" i="4"/>
  <c r="D1287" i="4"/>
  <c r="C1287" i="4"/>
  <c r="B1287" i="4"/>
  <c r="F1286" i="4"/>
  <c r="E1286" i="4"/>
  <c r="D1286" i="4"/>
  <c r="C1286" i="4"/>
  <c r="B1286" i="4"/>
  <c r="F1285" i="4"/>
  <c r="E1285" i="4"/>
  <c r="D1285" i="4"/>
  <c r="C1285" i="4"/>
  <c r="B1285" i="4"/>
  <c r="C1284" i="4"/>
  <c r="B1284" i="4"/>
  <c r="F1283" i="4"/>
  <c r="E1283" i="4"/>
  <c r="D1283" i="4"/>
  <c r="C1283" i="4"/>
  <c r="B1283" i="4"/>
  <c r="F1282" i="4"/>
  <c r="E1282" i="4"/>
  <c r="D1282" i="4"/>
  <c r="C1282" i="4"/>
  <c r="B1282" i="4"/>
  <c r="F1281" i="4"/>
  <c r="E1281" i="4"/>
  <c r="D1281" i="4"/>
  <c r="C1281" i="4"/>
  <c r="B1281" i="4"/>
  <c r="D1280" i="4"/>
  <c r="C1280" i="4"/>
  <c r="B1280" i="4"/>
  <c r="F1279" i="4"/>
  <c r="E1279" i="4"/>
  <c r="D1279" i="4"/>
  <c r="C1279" i="4"/>
  <c r="B1279" i="4"/>
  <c r="F1278" i="4"/>
  <c r="E1278" i="4"/>
  <c r="D1278" i="4"/>
  <c r="C1278" i="4"/>
  <c r="B1278" i="4"/>
  <c r="F1277" i="4"/>
  <c r="E1277" i="4"/>
  <c r="D1277" i="4"/>
  <c r="C1277" i="4"/>
  <c r="B1277" i="4"/>
  <c r="C1276" i="4"/>
  <c r="B1276" i="4"/>
  <c r="F1275" i="4"/>
  <c r="E1275" i="4"/>
  <c r="D1275" i="4"/>
  <c r="C1275" i="4"/>
  <c r="B1275" i="4"/>
  <c r="F1274" i="4"/>
  <c r="E1274" i="4"/>
  <c r="D1274" i="4"/>
  <c r="C1274" i="4"/>
  <c r="B1274" i="4"/>
  <c r="F1273" i="4"/>
  <c r="E1273" i="4"/>
  <c r="D1273" i="4"/>
  <c r="C1273" i="4"/>
  <c r="B1273" i="4"/>
  <c r="F1272" i="4"/>
  <c r="E1272" i="4"/>
  <c r="D1272" i="4"/>
  <c r="C1272" i="4"/>
  <c r="B1272" i="4"/>
  <c r="F1271" i="4"/>
  <c r="E1271" i="4"/>
  <c r="D1271" i="4"/>
  <c r="C1271" i="4"/>
  <c r="B1271" i="4"/>
  <c r="F1270" i="4"/>
  <c r="E1270" i="4"/>
  <c r="D1270" i="4"/>
  <c r="C1270" i="4"/>
  <c r="B1270" i="4"/>
  <c r="F1269" i="4"/>
  <c r="E1269" i="4"/>
  <c r="D1269" i="4"/>
  <c r="C1269" i="4"/>
  <c r="B1269" i="4"/>
  <c r="F1268" i="4"/>
  <c r="E1268" i="4"/>
  <c r="D1268" i="4"/>
  <c r="C1268" i="4"/>
  <c r="B1268" i="4"/>
  <c r="F1267" i="4"/>
  <c r="E1267" i="4"/>
  <c r="D1267" i="4"/>
  <c r="C1267" i="4"/>
  <c r="B1267" i="4"/>
  <c r="F1266" i="4"/>
  <c r="E1266" i="4"/>
  <c r="D1266" i="4"/>
  <c r="C1266" i="4"/>
  <c r="B1266" i="4"/>
  <c r="F1265" i="4"/>
  <c r="E1265" i="4"/>
  <c r="D1265" i="4"/>
  <c r="C1265" i="4"/>
  <c r="B1265" i="4"/>
  <c r="F1264" i="4"/>
  <c r="E1264" i="4"/>
  <c r="D1264" i="4"/>
  <c r="C1264" i="4"/>
  <c r="B1264" i="4"/>
  <c r="F1263" i="4"/>
  <c r="E1263" i="4"/>
  <c r="D1263" i="4"/>
  <c r="C1263" i="4"/>
  <c r="B1263" i="4"/>
  <c r="F1262" i="4"/>
  <c r="E1262" i="4"/>
  <c r="D1262" i="4"/>
  <c r="C1262" i="4"/>
  <c r="B1262" i="4"/>
  <c r="F1261" i="4"/>
  <c r="E1261" i="4"/>
  <c r="D1261" i="4"/>
  <c r="C1261" i="4"/>
  <c r="B1261" i="4"/>
  <c r="F1260" i="4"/>
  <c r="E1260" i="4"/>
  <c r="D1260" i="4"/>
  <c r="C1260" i="4"/>
  <c r="B1260" i="4"/>
  <c r="F1259" i="4"/>
  <c r="E1259" i="4"/>
  <c r="D1259" i="4"/>
  <c r="C1259" i="4"/>
  <c r="B1259" i="4"/>
  <c r="F1258" i="4"/>
  <c r="E1258" i="4"/>
  <c r="D1258" i="4"/>
  <c r="C1258" i="4"/>
  <c r="B1258" i="4"/>
  <c r="F1257" i="4"/>
  <c r="E1257" i="4"/>
  <c r="D1257" i="4"/>
  <c r="C1257" i="4"/>
  <c r="B1257" i="4"/>
  <c r="F1256" i="4"/>
  <c r="E1256" i="4"/>
  <c r="D1256" i="4"/>
  <c r="C1256" i="4"/>
  <c r="B1256" i="4"/>
  <c r="F1255" i="4"/>
  <c r="E1255" i="4"/>
  <c r="D1255" i="4"/>
  <c r="C1255" i="4"/>
  <c r="B1255" i="4"/>
  <c r="F1254" i="4"/>
  <c r="E1254" i="4"/>
  <c r="D1254" i="4"/>
  <c r="C1254" i="4"/>
  <c r="B1254" i="4"/>
  <c r="F1253" i="4"/>
  <c r="E1253" i="4"/>
  <c r="D1253" i="4"/>
  <c r="C1253" i="4"/>
  <c r="B1253" i="4"/>
  <c r="F1252" i="4"/>
  <c r="E1252" i="4"/>
  <c r="D1252" i="4"/>
  <c r="C1252" i="4"/>
  <c r="B1252" i="4"/>
  <c r="F1251" i="4"/>
  <c r="E1251" i="4"/>
  <c r="D1251" i="4"/>
  <c r="C1251" i="4"/>
  <c r="B1251" i="4"/>
  <c r="F1250" i="4"/>
  <c r="E1250" i="4"/>
  <c r="D1250" i="4"/>
  <c r="C1250" i="4"/>
  <c r="B1250" i="4"/>
  <c r="F1249" i="4"/>
  <c r="E1249" i="4"/>
  <c r="D1249" i="4"/>
  <c r="C1249" i="4"/>
  <c r="B1249" i="4"/>
  <c r="C1248" i="4"/>
  <c r="B1248" i="4"/>
  <c r="F1247" i="4"/>
  <c r="E1247" i="4"/>
  <c r="D1247" i="4"/>
  <c r="C1247" i="4"/>
  <c r="B1247" i="4"/>
  <c r="F1246" i="4"/>
  <c r="E1246" i="4"/>
  <c r="D1246" i="4"/>
  <c r="C1246" i="4"/>
  <c r="B1246" i="4"/>
  <c r="F1245" i="4"/>
  <c r="E1245" i="4"/>
  <c r="D1245" i="4"/>
  <c r="C1245" i="4"/>
  <c r="B1245" i="4"/>
  <c r="F1244" i="4"/>
  <c r="E1244" i="4"/>
  <c r="D1244" i="4"/>
  <c r="C1244" i="4"/>
  <c r="B1244" i="4"/>
  <c r="F1243" i="4"/>
  <c r="E1243" i="4"/>
  <c r="D1243" i="4"/>
  <c r="C1243" i="4"/>
  <c r="B1243" i="4"/>
  <c r="F1242" i="4"/>
  <c r="E1242" i="4"/>
  <c r="D1242" i="4"/>
  <c r="C1242" i="4"/>
  <c r="B1242" i="4"/>
  <c r="F1241" i="4"/>
  <c r="E1241" i="4"/>
  <c r="D1241" i="4"/>
  <c r="C1241" i="4"/>
  <c r="B1241" i="4"/>
  <c r="F1240" i="4"/>
  <c r="E1240" i="4"/>
  <c r="D1240" i="4"/>
  <c r="C1240" i="4"/>
  <c r="B1240" i="4"/>
  <c r="C1239" i="4"/>
  <c r="B1239" i="4"/>
  <c r="C1238" i="4"/>
  <c r="B1238" i="4"/>
  <c r="F1237" i="4"/>
  <c r="E1237" i="4"/>
  <c r="D1237" i="4"/>
  <c r="C1237" i="4"/>
  <c r="B1237" i="4"/>
  <c r="F1236" i="4"/>
  <c r="E1236" i="4"/>
  <c r="D1236" i="4"/>
  <c r="C1236" i="4"/>
  <c r="B1236" i="4"/>
  <c r="F1235" i="4"/>
  <c r="E1235" i="4"/>
  <c r="D1235" i="4"/>
  <c r="C1235" i="4"/>
  <c r="B1235" i="4"/>
  <c r="C1234" i="4"/>
  <c r="B1234" i="4"/>
  <c r="F1233" i="4"/>
  <c r="E1233" i="4"/>
  <c r="D1233" i="4"/>
  <c r="C1233" i="4"/>
  <c r="B1233" i="4"/>
  <c r="F1232" i="4"/>
  <c r="E1232" i="4"/>
  <c r="D1232" i="4"/>
  <c r="C1232" i="4"/>
  <c r="B1232" i="4"/>
  <c r="F1231" i="4"/>
  <c r="E1231" i="4"/>
  <c r="D1231" i="4"/>
  <c r="C1231" i="4"/>
  <c r="B1231" i="4"/>
  <c r="F1230" i="4"/>
  <c r="E1230" i="4"/>
  <c r="D1230" i="4"/>
  <c r="C1230" i="4"/>
  <c r="B1230" i="4"/>
  <c r="F1229" i="4"/>
  <c r="E1229" i="4"/>
  <c r="D1229" i="4"/>
  <c r="C1229" i="4"/>
  <c r="B1229" i="4"/>
  <c r="F1228" i="4"/>
  <c r="E1228" i="4"/>
  <c r="D1228" i="4"/>
  <c r="C1228" i="4"/>
  <c r="B1228" i="4"/>
  <c r="C1227" i="4"/>
  <c r="B1227" i="4"/>
  <c r="C1226" i="4"/>
  <c r="B1226" i="4"/>
  <c r="C1225" i="4"/>
  <c r="B1225" i="4"/>
  <c r="C1224" i="4"/>
  <c r="B1224" i="4"/>
  <c r="C1223" i="4"/>
  <c r="B1223" i="4"/>
  <c r="C1222" i="4"/>
  <c r="B1222" i="4"/>
  <c r="C1221" i="4"/>
  <c r="B1221" i="4"/>
  <c r="F1220" i="4"/>
  <c r="E1220" i="4"/>
  <c r="D1220" i="4"/>
  <c r="C1220" i="4"/>
  <c r="B1220" i="4"/>
  <c r="C1219" i="4"/>
  <c r="B1219" i="4"/>
  <c r="C1218" i="4"/>
  <c r="B1218" i="4"/>
  <c r="F1217" i="4"/>
  <c r="E1217" i="4"/>
  <c r="D1217" i="4"/>
  <c r="C1217" i="4"/>
  <c r="B1217" i="4"/>
  <c r="F1216" i="4"/>
  <c r="E1216" i="4"/>
  <c r="D1216" i="4"/>
  <c r="C1216" i="4"/>
  <c r="B1216" i="4"/>
  <c r="F1215" i="4"/>
  <c r="E1215" i="4"/>
  <c r="D1215" i="4"/>
  <c r="C1215" i="4"/>
  <c r="B1215" i="4"/>
  <c r="F1214" i="4"/>
  <c r="E1214" i="4"/>
  <c r="D1214" i="4"/>
  <c r="C1214" i="4"/>
  <c r="B1214" i="4"/>
  <c r="F1213" i="4"/>
  <c r="E1213" i="4"/>
  <c r="D1213" i="4"/>
  <c r="C1213" i="4"/>
  <c r="B1213" i="4"/>
  <c r="F1212" i="4"/>
  <c r="E1212" i="4"/>
  <c r="D1212" i="4"/>
  <c r="C1212" i="4"/>
  <c r="B1212" i="4"/>
  <c r="F1211" i="4"/>
  <c r="E1211" i="4"/>
  <c r="D1211" i="4"/>
  <c r="C1211" i="4"/>
  <c r="B1211" i="4"/>
  <c r="C1210" i="4"/>
  <c r="B1210" i="4"/>
  <c r="C1209" i="4"/>
  <c r="B1209" i="4"/>
  <c r="F1208" i="4"/>
  <c r="E1208" i="4"/>
  <c r="D1208" i="4"/>
  <c r="C1208" i="4"/>
  <c r="B1208" i="4"/>
  <c r="C1207" i="4"/>
  <c r="B1207" i="4"/>
  <c r="F1206" i="4"/>
  <c r="E1206" i="4"/>
  <c r="D1206" i="4"/>
  <c r="C1206" i="4"/>
  <c r="B1206" i="4"/>
  <c r="F1205" i="4"/>
  <c r="E1205" i="4"/>
  <c r="D1205" i="4"/>
  <c r="C1205" i="4"/>
  <c r="B1205" i="4"/>
  <c r="F1204" i="4"/>
  <c r="E1204" i="4"/>
  <c r="D1204" i="4"/>
  <c r="C1204" i="4"/>
  <c r="B1204" i="4"/>
  <c r="C1203" i="4"/>
  <c r="B1203" i="4"/>
  <c r="F1202" i="4"/>
  <c r="E1202" i="4"/>
  <c r="D1202" i="4"/>
  <c r="C1202" i="4"/>
  <c r="B1202" i="4"/>
  <c r="C1201" i="4"/>
  <c r="B1201" i="4"/>
  <c r="F1200" i="4"/>
  <c r="E1200" i="4"/>
  <c r="D1200" i="4"/>
  <c r="C1200" i="4"/>
  <c r="B1200" i="4"/>
  <c r="C1199" i="4"/>
  <c r="B1199" i="4"/>
  <c r="F1198" i="4"/>
  <c r="E1198" i="4"/>
  <c r="D1198" i="4"/>
  <c r="C1198" i="4"/>
  <c r="B1198" i="4"/>
  <c r="C1197" i="4"/>
  <c r="B1197" i="4"/>
  <c r="F1196" i="4"/>
  <c r="E1196" i="4"/>
  <c r="D1196" i="4"/>
  <c r="C1196" i="4"/>
  <c r="B1196" i="4"/>
  <c r="C1195" i="4"/>
  <c r="B1195" i="4"/>
  <c r="F1194" i="4"/>
  <c r="E1194" i="4"/>
  <c r="D1194" i="4"/>
  <c r="C1194" i="4"/>
  <c r="B1194" i="4"/>
  <c r="C1193" i="4"/>
  <c r="B1193" i="4"/>
  <c r="F1192" i="4"/>
  <c r="E1192" i="4"/>
  <c r="D1192" i="4"/>
  <c r="C1192" i="4"/>
  <c r="B1192" i="4"/>
  <c r="F1191" i="4"/>
  <c r="E1191" i="4"/>
  <c r="D1191" i="4"/>
  <c r="C1191" i="4"/>
  <c r="B1191" i="4"/>
  <c r="F1190" i="4"/>
  <c r="E1190" i="4"/>
  <c r="D1190" i="4"/>
  <c r="C1190" i="4"/>
  <c r="B1190" i="4"/>
  <c r="F1189" i="4"/>
  <c r="E1189" i="4"/>
  <c r="D1189" i="4"/>
  <c r="C1189" i="4"/>
  <c r="B1189" i="4"/>
  <c r="C1188" i="4"/>
  <c r="B1188" i="4"/>
  <c r="F1187" i="4"/>
  <c r="E1187" i="4"/>
  <c r="D1187" i="4"/>
  <c r="C1187" i="4"/>
  <c r="B1187" i="4"/>
  <c r="F1186" i="4"/>
  <c r="E1186" i="4"/>
  <c r="D1186" i="4"/>
  <c r="C1186" i="4"/>
  <c r="B1186" i="4"/>
  <c r="F1185" i="4"/>
  <c r="E1185" i="4"/>
  <c r="D1185" i="4"/>
  <c r="C1185" i="4"/>
  <c r="B1185" i="4"/>
  <c r="F1184" i="4"/>
  <c r="E1184" i="4"/>
  <c r="D1184" i="4"/>
  <c r="C1184" i="4"/>
  <c r="B1184" i="4"/>
  <c r="F1183" i="4"/>
  <c r="E1183" i="4"/>
  <c r="D1183" i="4"/>
  <c r="C1183" i="4"/>
  <c r="B1183" i="4"/>
  <c r="F1182" i="4"/>
  <c r="E1182" i="4"/>
  <c r="D1182" i="4"/>
  <c r="C1182" i="4"/>
  <c r="B1182" i="4"/>
  <c r="F1181" i="4"/>
  <c r="E1181" i="4"/>
  <c r="D1181" i="4"/>
  <c r="C1181" i="4"/>
  <c r="B1181" i="4"/>
  <c r="F1180" i="4"/>
  <c r="E1180" i="4"/>
  <c r="D1180" i="4"/>
  <c r="C1180" i="4"/>
  <c r="B1180" i="4"/>
  <c r="F1179" i="4"/>
  <c r="E1179" i="4"/>
  <c r="D1179" i="4"/>
  <c r="C1179" i="4"/>
  <c r="B1179" i="4"/>
  <c r="F1178" i="4"/>
  <c r="E1178" i="4"/>
  <c r="D1178" i="4"/>
  <c r="C1178" i="4"/>
  <c r="B1178" i="4"/>
  <c r="F1177" i="4"/>
  <c r="E1177" i="4"/>
  <c r="D1177" i="4"/>
  <c r="C1177" i="4"/>
  <c r="B1177" i="4"/>
  <c r="F1176" i="4"/>
  <c r="E1176" i="4"/>
  <c r="D1176" i="4"/>
  <c r="C1176" i="4"/>
  <c r="B1176" i="4"/>
  <c r="F1175" i="4"/>
  <c r="E1175" i="4"/>
  <c r="D1175" i="4"/>
  <c r="C1175" i="4"/>
  <c r="B1175" i="4"/>
  <c r="F1174" i="4"/>
  <c r="E1174" i="4"/>
  <c r="D1174" i="4"/>
  <c r="C1174" i="4"/>
  <c r="B1174" i="4"/>
  <c r="F1173" i="4"/>
  <c r="E1173" i="4"/>
  <c r="D1173" i="4"/>
  <c r="C1173" i="4"/>
  <c r="B1173" i="4"/>
  <c r="C1172" i="4"/>
  <c r="B1172" i="4"/>
  <c r="F1171" i="4"/>
  <c r="E1171" i="4"/>
  <c r="D1171" i="4"/>
  <c r="C1171" i="4"/>
  <c r="B1171" i="4"/>
  <c r="F1170" i="4"/>
  <c r="E1170" i="4"/>
  <c r="D1170" i="4"/>
  <c r="C1170" i="4"/>
  <c r="B1170" i="4"/>
  <c r="F1169" i="4"/>
  <c r="E1169" i="4"/>
  <c r="D1169" i="4"/>
  <c r="C1169" i="4"/>
  <c r="B1169" i="4"/>
  <c r="F1168" i="4"/>
  <c r="E1168" i="4"/>
  <c r="D1168" i="4"/>
  <c r="C1168" i="4"/>
  <c r="B1168" i="4"/>
  <c r="F1167" i="4"/>
  <c r="E1167" i="4"/>
  <c r="D1167" i="4"/>
  <c r="C1167" i="4"/>
  <c r="B1167" i="4"/>
  <c r="F1166" i="4"/>
  <c r="E1166" i="4"/>
  <c r="D1166" i="4"/>
  <c r="C1166" i="4"/>
  <c r="B1166" i="4"/>
  <c r="F1165" i="4"/>
  <c r="E1165" i="4"/>
  <c r="D1165" i="4"/>
  <c r="C1165" i="4"/>
  <c r="B1165" i="4"/>
  <c r="F1164" i="4"/>
  <c r="E1164" i="4"/>
  <c r="D1164" i="4"/>
  <c r="C1164" i="4"/>
  <c r="B1164" i="4"/>
  <c r="F1163" i="4"/>
  <c r="E1163" i="4"/>
  <c r="D1163" i="4"/>
  <c r="C1163" i="4"/>
  <c r="B1163" i="4"/>
  <c r="F1162" i="4"/>
  <c r="E1162" i="4"/>
  <c r="D1162" i="4"/>
  <c r="C1162" i="4"/>
  <c r="B1162" i="4"/>
  <c r="F1161" i="4"/>
  <c r="E1161" i="4"/>
  <c r="D1161" i="4"/>
  <c r="C1161" i="4"/>
  <c r="B1161" i="4"/>
  <c r="C1160" i="4"/>
  <c r="B1160" i="4"/>
  <c r="F1159" i="4"/>
  <c r="E1159" i="4"/>
  <c r="D1159" i="4"/>
  <c r="C1159" i="4"/>
  <c r="B1159" i="4"/>
  <c r="F1158" i="4"/>
  <c r="E1158" i="4"/>
  <c r="D1158" i="4"/>
  <c r="C1158" i="4"/>
  <c r="B1158" i="4"/>
  <c r="F1157" i="4"/>
  <c r="E1157" i="4"/>
  <c r="D1157" i="4"/>
  <c r="C1157" i="4"/>
  <c r="B1157" i="4"/>
  <c r="F1156" i="4"/>
  <c r="E1156" i="4"/>
  <c r="D1156" i="4"/>
  <c r="C1156" i="4"/>
  <c r="B1156" i="4"/>
  <c r="F1155" i="4"/>
  <c r="E1155" i="4"/>
  <c r="D1155" i="4"/>
  <c r="C1155" i="4"/>
  <c r="B1155" i="4"/>
  <c r="F1154" i="4"/>
  <c r="E1154" i="4"/>
  <c r="D1154" i="4"/>
  <c r="C1154" i="4"/>
  <c r="B1154" i="4"/>
  <c r="F1153" i="4"/>
  <c r="E1153" i="4"/>
  <c r="D1153" i="4"/>
  <c r="C1153" i="4"/>
  <c r="B1153" i="4"/>
  <c r="F1152" i="4"/>
  <c r="E1152" i="4"/>
  <c r="D1152" i="4"/>
  <c r="C1152" i="4"/>
  <c r="B1152" i="4"/>
  <c r="F1151" i="4"/>
  <c r="E1151" i="4"/>
  <c r="D1151" i="4"/>
  <c r="C1151" i="4"/>
  <c r="B1151" i="4"/>
  <c r="F1150" i="4"/>
  <c r="E1150" i="4"/>
  <c r="D1150" i="4"/>
  <c r="C1150" i="4"/>
  <c r="B1150" i="4"/>
  <c r="F1149" i="4"/>
  <c r="E1149" i="4"/>
  <c r="D1149" i="4"/>
  <c r="C1149" i="4"/>
  <c r="B1149" i="4"/>
  <c r="F1148" i="4"/>
  <c r="E1148" i="4"/>
  <c r="C1148" i="4"/>
  <c r="B1148" i="4"/>
  <c r="F1147" i="4"/>
  <c r="E1147" i="4"/>
  <c r="C1147" i="4"/>
  <c r="B1147" i="4"/>
  <c r="F1146" i="4"/>
  <c r="E1146" i="4"/>
  <c r="C1146" i="4"/>
  <c r="B1146" i="4"/>
  <c r="F1145" i="4"/>
  <c r="E1145" i="4"/>
  <c r="C1145" i="4"/>
  <c r="B1145" i="4"/>
  <c r="F1144" i="4"/>
  <c r="E1144" i="4"/>
  <c r="D1144" i="4"/>
  <c r="C1144" i="4"/>
  <c r="B1144" i="4"/>
  <c r="F1143" i="4"/>
  <c r="E1143" i="4"/>
  <c r="D1143" i="4"/>
  <c r="C1143" i="4"/>
  <c r="B1143" i="4"/>
  <c r="F1142" i="4"/>
  <c r="E1142" i="4"/>
  <c r="D1142" i="4"/>
  <c r="C1142" i="4"/>
  <c r="B1142" i="4"/>
  <c r="F1141" i="4"/>
  <c r="E1141" i="4"/>
  <c r="D1141" i="4"/>
  <c r="C1141" i="4"/>
  <c r="B1141" i="4"/>
  <c r="F1140" i="4"/>
  <c r="E1140" i="4"/>
  <c r="D1140" i="4"/>
  <c r="C1140" i="4"/>
  <c r="B1140" i="4"/>
  <c r="F1139" i="4"/>
  <c r="E1139" i="4"/>
  <c r="D1139" i="4"/>
  <c r="C1139" i="4"/>
  <c r="B1139" i="4"/>
  <c r="F1138" i="4"/>
  <c r="E1138" i="4"/>
  <c r="D1138" i="4"/>
  <c r="C1138" i="4"/>
  <c r="B1138" i="4"/>
  <c r="F1137" i="4"/>
  <c r="E1137" i="4"/>
  <c r="D1137" i="4"/>
  <c r="C1137" i="4"/>
  <c r="B1137" i="4"/>
  <c r="F1136" i="4"/>
  <c r="E1136" i="4"/>
  <c r="D1136" i="4"/>
  <c r="C1136" i="4"/>
  <c r="B1136" i="4"/>
  <c r="F1135" i="4"/>
  <c r="E1135" i="4"/>
  <c r="D1135" i="4"/>
  <c r="C1135" i="4"/>
  <c r="B1135" i="4"/>
  <c r="F1134" i="4"/>
  <c r="E1134" i="4"/>
  <c r="D1134" i="4"/>
  <c r="C1134" i="4"/>
  <c r="B1134" i="4"/>
  <c r="F1133" i="4"/>
  <c r="E1133" i="4"/>
  <c r="D1133" i="4"/>
  <c r="C1133" i="4"/>
  <c r="B1133" i="4"/>
  <c r="F1132" i="4"/>
  <c r="E1132" i="4"/>
  <c r="D1132" i="4"/>
  <c r="C1132" i="4"/>
  <c r="B1132" i="4"/>
  <c r="F1131" i="4"/>
  <c r="E1131" i="4"/>
  <c r="D1131" i="4"/>
  <c r="C1131" i="4"/>
  <c r="B1131" i="4"/>
  <c r="C1130" i="4"/>
  <c r="B1130" i="4"/>
  <c r="C1129" i="4"/>
  <c r="B1129" i="4"/>
  <c r="F1128" i="4"/>
  <c r="E1128" i="4"/>
  <c r="D1128" i="4"/>
  <c r="C1128" i="4"/>
  <c r="B1128" i="4"/>
  <c r="F1127" i="4"/>
  <c r="E1127" i="4"/>
  <c r="D1127" i="4"/>
  <c r="C1127" i="4"/>
  <c r="B1127" i="4"/>
  <c r="F1126" i="4"/>
  <c r="E1126" i="4"/>
  <c r="C1126" i="4"/>
  <c r="B1126" i="4"/>
  <c r="F1125" i="4"/>
  <c r="E1125" i="4"/>
  <c r="D1125" i="4"/>
  <c r="C1125" i="4"/>
  <c r="B1125" i="4"/>
  <c r="C1124" i="4"/>
  <c r="B1124" i="4"/>
  <c r="C1123" i="4"/>
  <c r="B1123" i="4"/>
  <c r="F1122" i="4"/>
  <c r="E1122" i="4"/>
  <c r="D1122" i="4"/>
  <c r="C1122" i="4"/>
  <c r="B1122" i="4"/>
  <c r="F1121" i="4"/>
  <c r="E1121" i="4"/>
  <c r="D1121" i="4"/>
  <c r="C1121" i="4"/>
  <c r="B1121" i="4"/>
  <c r="F1120" i="4"/>
  <c r="E1120" i="4"/>
  <c r="D1120" i="4"/>
  <c r="C1120" i="4"/>
  <c r="B1120" i="4"/>
  <c r="F1119" i="4"/>
  <c r="E1119" i="4"/>
  <c r="D1119" i="4"/>
  <c r="C1119" i="4"/>
  <c r="B1119" i="4"/>
  <c r="F1118" i="4"/>
  <c r="E1118" i="4"/>
  <c r="D1118" i="4"/>
  <c r="C1118" i="4"/>
  <c r="B1118" i="4"/>
  <c r="C1117" i="4"/>
  <c r="B1117" i="4"/>
  <c r="F1116" i="4"/>
  <c r="E1116" i="4"/>
  <c r="D1116" i="4"/>
  <c r="C1116" i="4"/>
  <c r="B1116" i="4"/>
  <c r="F1115" i="4"/>
  <c r="E1115" i="4"/>
  <c r="D1115" i="4"/>
  <c r="C1115" i="4"/>
  <c r="B1115" i="4"/>
  <c r="F1114" i="4"/>
  <c r="E1114" i="4"/>
  <c r="D1114" i="4"/>
  <c r="C1114" i="4"/>
  <c r="B1114" i="4"/>
  <c r="F1113" i="4"/>
  <c r="E1113" i="4"/>
  <c r="D1113" i="4"/>
  <c r="C1113" i="4"/>
  <c r="B1113" i="4"/>
  <c r="F1112" i="4"/>
  <c r="E1112" i="4"/>
  <c r="D1112" i="4"/>
  <c r="C1112" i="4"/>
  <c r="B1112" i="4"/>
  <c r="F1111" i="4"/>
  <c r="E1111" i="4"/>
  <c r="C1111" i="4"/>
  <c r="B1111" i="4"/>
  <c r="F1110" i="4"/>
  <c r="E1110" i="4"/>
  <c r="C1110" i="4"/>
  <c r="B1110" i="4"/>
  <c r="F1109" i="4"/>
  <c r="E1109" i="4"/>
  <c r="D1109" i="4"/>
  <c r="C1109" i="4"/>
  <c r="B1109" i="4"/>
  <c r="F1108" i="4"/>
  <c r="E1108" i="4"/>
  <c r="D1108" i="4"/>
  <c r="C1108" i="4"/>
  <c r="B1108" i="4"/>
  <c r="F1107" i="4"/>
  <c r="E1107" i="4"/>
  <c r="D1107" i="4"/>
  <c r="C1107" i="4"/>
  <c r="B1107" i="4"/>
  <c r="F1106" i="4"/>
  <c r="E1106" i="4"/>
  <c r="D1106" i="4"/>
  <c r="C1106" i="4"/>
  <c r="B1106" i="4"/>
  <c r="F1105" i="4"/>
  <c r="E1105" i="4"/>
  <c r="C1105" i="4"/>
  <c r="B1105" i="4"/>
  <c r="F1104" i="4"/>
  <c r="D1104" i="4"/>
  <c r="C1104" i="4"/>
  <c r="B1104" i="4"/>
  <c r="F1103" i="4"/>
  <c r="E1103" i="4"/>
  <c r="D1103" i="4"/>
  <c r="C1103" i="4"/>
  <c r="B1103" i="4"/>
  <c r="F1102" i="4"/>
  <c r="E1102" i="4"/>
  <c r="D1102" i="4"/>
  <c r="C1102" i="4"/>
  <c r="B1102" i="4"/>
  <c r="F1101" i="4"/>
  <c r="E1101" i="4"/>
  <c r="D1101" i="4"/>
  <c r="C1101" i="4"/>
  <c r="B1101" i="4"/>
  <c r="F1100" i="4"/>
  <c r="E1100" i="4"/>
  <c r="D1100" i="4"/>
  <c r="C1100" i="4"/>
  <c r="B1100" i="4"/>
  <c r="F1099" i="4"/>
  <c r="E1099" i="4"/>
  <c r="D1099" i="4"/>
  <c r="C1099" i="4"/>
  <c r="B1099" i="4"/>
  <c r="F1098" i="4"/>
  <c r="E1098" i="4"/>
  <c r="D1098" i="4"/>
  <c r="C1098" i="4"/>
  <c r="B1098" i="4"/>
  <c r="F1097" i="4"/>
  <c r="E1097" i="4"/>
  <c r="D1097" i="4"/>
  <c r="C1097" i="4"/>
  <c r="B1097" i="4"/>
  <c r="F1096" i="4"/>
  <c r="E1096" i="4"/>
  <c r="C1096" i="4"/>
  <c r="B1096" i="4"/>
  <c r="F1095" i="4"/>
  <c r="E1095" i="4"/>
  <c r="C1095" i="4"/>
  <c r="B1095" i="4"/>
  <c r="F1094" i="4"/>
  <c r="E1094" i="4"/>
  <c r="D1094" i="4"/>
  <c r="C1094" i="4"/>
  <c r="B1094" i="4"/>
  <c r="C1093" i="4"/>
  <c r="B1093" i="4"/>
  <c r="F1092" i="4"/>
  <c r="E1092" i="4"/>
  <c r="D1092" i="4"/>
  <c r="C1092" i="4"/>
  <c r="B1092" i="4"/>
  <c r="C1091" i="4"/>
  <c r="B1091" i="4"/>
  <c r="F1090" i="4"/>
  <c r="E1090" i="4"/>
  <c r="C1090" i="4"/>
  <c r="B1090" i="4"/>
  <c r="F1089" i="4"/>
  <c r="E1089" i="4"/>
  <c r="C1089" i="4"/>
  <c r="B1089" i="4"/>
  <c r="F1088" i="4"/>
  <c r="E1088" i="4"/>
  <c r="D1088" i="4"/>
  <c r="C1088" i="4"/>
  <c r="B1088" i="4"/>
  <c r="F1087" i="4"/>
  <c r="E1087" i="4"/>
  <c r="C1087" i="4"/>
  <c r="B1087" i="4"/>
  <c r="F1086" i="4"/>
  <c r="E1086" i="4"/>
  <c r="D1086" i="4"/>
  <c r="C1086" i="4"/>
  <c r="B1086" i="4"/>
  <c r="F1085" i="4"/>
  <c r="E1085" i="4"/>
  <c r="D1085" i="4"/>
  <c r="C1085" i="4"/>
  <c r="B1085" i="4"/>
  <c r="F1084" i="4"/>
  <c r="E1084" i="4"/>
  <c r="C1084" i="4"/>
  <c r="B1084" i="4"/>
  <c r="F1083" i="4"/>
  <c r="E1083" i="4"/>
  <c r="C1083" i="4"/>
  <c r="B1083" i="4"/>
  <c r="F1082" i="4"/>
  <c r="E1082" i="4"/>
  <c r="C1082" i="4"/>
  <c r="B1082" i="4"/>
  <c r="F1081" i="4"/>
  <c r="E1081" i="4"/>
  <c r="C1081" i="4"/>
  <c r="B1081" i="4"/>
  <c r="F1080" i="4"/>
  <c r="E1080" i="4"/>
  <c r="C1080" i="4"/>
  <c r="B1080" i="4"/>
  <c r="F1079" i="4"/>
  <c r="E1079" i="4"/>
  <c r="D1079" i="4"/>
  <c r="C1079" i="4"/>
  <c r="B1079" i="4"/>
  <c r="F1078" i="4"/>
  <c r="E1078" i="4"/>
  <c r="D1078" i="4"/>
  <c r="C1078" i="4"/>
  <c r="B1078" i="4"/>
  <c r="C1077" i="4"/>
  <c r="B1077" i="4"/>
  <c r="C1076" i="4"/>
  <c r="B1076" i="4"/>
  <c r="C1075" i="4"/>
  <c r="B1075" i="4"/>
  <c r="C1074" i="4"/>
  <c r="B1074" i="4"/>
  <c r="F1073" i="4"/>
  <c r="E1073" i="4"/>
  <c r="D1073" i="4"/>
  <c r="C1073" i="4"/>
  <c r="B1073" i="4"/>
  <c r="F1072" i="4"/>
  <c r="E1072" i="4"/>
  <c r="D1072" i="4"/>
  <c r="C1072" i="4"/>
  <c r="B1072" i="4"/>
  <c r="F1071" i="4"/>
  <c r="E1071" i="4"/>
  <c r="D1071" i="4"/>
  <c r="C1071" i="4"/>
  <c r="B1071" i="4"/>
  <c r="C1070" i="4"/>
  <c r="B1070" i="4"/>
  <c r="F1069" i="4"/>
  <c r="E1069" i="4"/>
  <c r="C1069" i="4"/>
  <c r="B1069" i="4"/>
  <c r="F1068" i="4"/>
  <c r="E1068" i="4"/>
  <c r="D1068" i="4"/>
  <c r="C1068" i="4"/>
  <c r="B1068" i="4"/>
  <c r="D1067" i="4"/>
  <c r="C1067" i="4"/>
  <c r="B1067" i="4"/>
  <c r="F1066" i="4"/>
  <c r="E1066" i="4"/>
  <c r="C1066" i="4"/>
  <c r="B1066" i="4"/>
  <c r="F1065" i="4"/>
  <c r="E1065" i="4"/>
  <c r="C1065" i="4"/>
  <c r="B1065" i="4"/>
  <c r="F1064" i="4"/>
  <c r="D1064" i="4"/>
  <c r="C1064" i="4"/>
  <c r="B1064" i="4"/>
  <c r="F1063" i="4"/>
  <c r="E1063" i="4"/>
  <c r="C1063" i="4"/>
  <c r="B1063" i="4"/>
  <c r="F1062" i="4"/>
  <c r="E1062" i="4"/>
  <c r="C1062" i="4"/>
  <c r="B1062" i="4"/>
  <c r="F1061" i="4"/>
  <c r="E1061" i="4"/>
  <c r="D1061" i="4"/>
  <c r="C1061" i="4"/>
  <c r="B1061" i="4"/>
  <c r="F1060" i="4"/>
  <c r="E1060" i="4"/>
  <c r="D1060" i="4"/>
  <c r="C1060" i="4"/>
  <c r="B1060" i="4"/>
  <c r="F1059" i="4"/>
  <c r="E1059" i="4"/>
  <c r="C1059" i="4"/>
  <c r="B1059" i="4"/>
  <c r="F1058" i="4"/>
  <c r="E1058" i="4"/>
  <c r="D1058" i="4"/>
  <c r="C1058" i="4"/>
  <c r="B1058" i="4"/>
  <c r="F1057" i="4"/>
  <c r="C1057" i="4"/>
  <c r="B1057" i="4"/>
  <c r="F1056" i="4"/>
  <c r="C1056" i="4"/>
  <c r="B1056" i="4"/>
  <c r="F1055" i="4"/>
  <c r="E1055" i="4"/>
  <c r="C1055" i="4"/>
  <c r="B1055" i="4"/>
  <c r="F1054" i="4"/>
  <c r="E1054" i="4"/>
  <c r="D1054" i="4"/>
  <c r="C1054" i="4"/>
  <c r="B1054" i="4"/>
  <c r="F1053" i="4"/>
  <c r="E1053" i="4"/>
  <c r="D1053" i="4"/>
  <c r="C1053" i="4"/>
  <c r="B1053" i="4"/>
  <c r="F1052" i="4"/>
  <c r="E1052" i="4"/>
  <c r="D1052" i="4"/>
  <c r="C1052" i="4"/>
  <c r="B1052" i="4"/>
  <c r="F1051" i="4"/>
  <c r="E1051" i="4"/>
  <c r="D1051" i="4"/>
  <c r="C1051" i="4"/>
  <c r="B1051" i="4"/>
  <c r="C1050" i="4"/>
  <c r="B1050" i="4"/>
  <c r="F1049" i="4"/>
  <c r="E1049" i="4"/>
  <c r="D1049" i="4"/>
  <c r="C1049" i="4"/>
  <c r="B1049" i="4"/>
  <c r="F1048" i="4"/>
  <c r="E1048" i="4"/>
  <c r="D1048" i="4"/>
  <c r="C1048" i="4"/>
  <c r="B1048" i="4"/>
  <c r="F1047" i="4"/>
  <c r="E1047" i="4"/>
  <c r="D1047" i="4"/>
  <c r="C1047" i="4"/>
  <c r="B1047" i="4"/>
  <c r="C1046" i="4"/>
  <c r="B1046" i="4"/>
  <c r="C1045" i="4"/>
  <c r="B1045" i="4"/>
  <c r="F1044" i="4"/>
  <c r="E1044" i="4"/>
  <c r="D1044" i="4"/>
  <c r="C1044" i="4"/>
  <c r="B1044" i="4"/>
  <c r="F1043" i="4"/>
  <c r="E1043" i="4"/>
  <c r="D1043" i="4"/>
  <c r="C1043" i="4"/>
  <c r="B1043" i="4"/>
  <c r="F1042" i="4"/>
  <c r="E1042" i="4"/>
  <c r="D1042" i="4"/>
  <c r="C1042" i="4"/>
  <c r="B1042" i="4"/>
  <c r="F1041" i="4"/>
  <c r="E1041" i="4"/>
  <c r="D1041" i="4"/>
  <c r="C1041" i="4"/>
  <c r="B1041" i="4"/>
  <c r="F1040" i="4"/>
  <c r="E1040" i="4"/>
  <c r="D1040" i="4"/>
  <c r="C1040" i="4"/>
  <c r="B1040" i="4"/>
  <c r="F1039" i="4"/>
  <c r="E1039" i="4"/>
  <c r="D1039" i="4"/>
  <c r="C1039" i="4"/>
  <c r="B1039" i="4"/>
  <c r="C1038" i="4"/>
  <c r="B1038" i="4"/>
  <c r="F1037" i="4"/>
  <c r="E1037" i="4"/>
  <c r="D1037" i="4"/>
  <c r="C1037" i="4"/>
  <c r="B1037" i="4"/>
  <c r="F1036" i="4"/>
  <c r="E1036" i="4"/>
  <c r="D1036" i="4"/>
  <c r="C1036" i="4"/>
  <c r="B1036" i="4"/>
  <c r="C1035" i="4"/>
  <c r="B1035" i="4"/>
  <c r="F1034" i="4"/>
  <c r="E1034" i="4"/>
  <c r="D1034" i="4"/>
  <c r="C1034" i="4"/>
  <c r="B1034" i="4"/>
  <c r="F1033" i="4"/>
  <c r="E1033" i="4"/>
  <c r="D1033" i="4"/>
  <c r="C1033" i="4"/>
  <c r="B1033" i="4"/>
  <c r="F1032" i="4"/>
  <c r="E1032" i="4"/>
  <c r="D1032" i="4"/>
  <c r="C1032" i="4"/>
  <c r="B1032" i="4"/>
  <c r="F1031" i="4"/>
  <c r="E1031" i="4"/>
  <c r="D1031" i="4"/>
  <c r="C1031" i="4"/>
  <c r="B1031" i="4"/>
  <c r="C1030" i="4"/>
  <c r="B1030" i="4"/>
  <c r="C1029" i="4"/>
  <c r="B1029" i="4"/>
  <c r="C1028" i="4"/>
  <c r="B1028" i="4"/>
  <c r="F1027" i="4"/>
  <c r="E1027" i="4"/>
  <c r="D1027" i="4"/>
  <c r="C1027" i="4"/>
  <c r="B1027" i="4"/>
  <c r="F1026" i="4"/>
  <c r="E1026" i="4"/>
  <c r="D1026" i="4"/>
  <c r="C1026" i="4"/>
  <c r="B1026" i="4"/>
  <c r="C1025" i="4"/>
  <c r="B1025" i="4"/>
  <c r="F1024" i="4"/>
  <c r="E1024" i="4"/>
  <c r="D1024" i="4"/>
  <c r="C1024" i="4"/>
  <c r="B1024" i="4"/>
  <c r="F1023" i="4"/>
  <c r="E1023" i="4"/>
  <c r="D1023" i="4"/>
  <c r="C1023" i="4"/>
  <c r="B1023" i="4"/>
  <c r="F1022" i="4"/>
  <c r="E1022" i="4"/>
  <c r="D1022" i="4"/>
  <c r="C1022" i="4"/>
  <c r="B1022" i="4"/>
  <c r="F1021" i="4"/>
  <c r="E1021" i="4"/>
  <c r="D1021" i="4"/>
  <c r="C1021" i="4"/>
  <c r="B1021" i="4"/>
  <c r="F1020" i="4"/>
  <c r="E1020" i="4"/>
  <c r="D1020" i="4"/>
  <c r="C1020" i="4"/>
  <c r="B1020" i="4"/>
  <c r="F1019" i="4"/>
  <c r="E1019" i="4"/>
  <c r="D1019" i="4"/>
  <c r="C1019" i="4"/>
  <c r="B1019" i="4"/>
  <c r="F1018" i="4"/>
  <c r="E1018" i="4"/>
  <c r="D1018" i="4"/>
  <c r="C1018" i="4"/>
  <c r="B1018" i="4"/>
  <c r="F1017" i="4"/>
  <c r="E1017" i="4"/>
  <c r="D1017" i="4"/>
  <c r="C1017" i="4"/>
  <c r="B1017" i="4"/>
  <c r="F1016" i="4"/>
  <c r="E1016" i="4"/>
  <c r="D1016" i="4"/>
  <c r="C1016" i="4"/>
  <c r="B1016" i="4"/>
  <c r="F1015" i="4"/>
  <c r="E1015" i="4"/>
  <c r="D1015" i="4"/>
  <c r="C1015" i="4"/>
  <c r="B1015" i="4"/>
  <c r="F1014" i="4"/>
  <c r="E1014" i="4"/>
  <c r="D1014" i="4"/>
  <c r="C1014" i="4"/>
  <c r="B1014" i="4"/>
  <c r="F1013" i="4"/>
  <c r="E1013" i="4"/>
  <c r="D1013" i="4"/>
  <c r="C1013" i="4"/>
  <c r="B1013" i="4"/>
  <c r="F1012" i="4"/>
  <c r="E1012" i="4"/>
  <c r="D1012" i="4"/>
  <c r="C1012" i="4"/>
  <c r="B1012" i="4"/>
  <c r="F1011" i="4"/>
  <c r="E1011" i="4"/>
  <c r="D1011" i="4"/>
  <c r="C1011" i="4"/>
  <c r="B1011" i="4"/>
  <c r="F1010" i="4"/>
  <c r="E1010" i="4"/>
  <c r="D1010" i="4"/>
  <c r="C1010" i="4"/>
  <c r="B1010" i="4"/>
  <c r="F1009" i="4"/>
  <c r="E1009" i="4"/>
  <c r="D1009" i="4"/>
  <c r="C1009" i="4"/>
  <c r="B1009" i="4"/>
  <c r="F1008" i="4"/>
  <c r="E1008" i="4"/>
  <c r="D1008" i="4"/>
  <c r="C1008" i="4"/>
  <c r="B1008" i="4"/>
  <c r="F1007" i="4"/>
  <c r="E1007" i="4"/>
  <c r="D1007" i="4"/>
  <c r="C1007" i="4"/>
  <c r="B1007" i="4"/>
  <c r="F1006" i="4"/>
  <c r="E1006" i="4"/>
  <c r="D1006" i="4"/>
  <c r="C1006" i="4"/>
  <c r="B1006" i="4"/>
  <c r="F1005" i="4"/>
  <c r="E1005" i="4"/>
  <c r="D1005" i="4"/>
  <c r="C1005" i="4"/>
  <c r="B1005" i="4"/>
  <c r="F1004" i="4"/>
  <c r="E1004" i="4"/>
  <c r="D1004" i="4"/>
  <c r="C1004" i="4"/>
  <c r="B1004" i="4"/>
  <c r="C1003" i="4"/>
  <c r="B1003" i="4"/>
  <c r="C1002" i="4"/>
  <c r="B1002" i="4"/>
  <c r="F1001" i="4"/>
  <c r="E1001" i="4"/>
  <c r="D1001" i="4"/>
  <c r="C1001" i="4"/>
  <c r="B1001" i="4"/>
  <c r="F1000" i="4"/>
  <c r="E1000" i="4"/>
  <c r="C1000" i="4"/>
  <c r="B1000" i="4"/>
  <c r="F999" i="4"/>
  <c r="E999" i="4"/>
  <c r="C999" i="4"/>
  <c r="B999" i="4"/>
  <c r="F998" i="4"/>
  <c r="E998" i="4"/>
  <c r="C998" i="4"/>
  <c r="B998" i="4"/>
  <c r="F997" i="4"/>
  <c r="E997" i="4"/>
  <c r="C997" i="4"/>
  <c r="B997" i="4"/>
  <c r="F996" i="4"/>
  <c r="E996" i="4"/>
  <c r="C996" i="4"/>
  <c r="B996" i="4"/>
  <c r="F995" i="4"/>
  <c r="E995" i="4"/>
  <c r="D995" i="4"/>
  <c r="C995" i="4"/>
  <c r="B995" i="4"/>
  <c r="C994" i="4"/>
  <c r="B994" i="4"/>
  <c r="C993" i="4"/>
  <c r="B993" i="4"/>
  <c r="F992" i="4"/>
  <c r="E992" i="4"/>
  <c r="D992" i="4"/>
  <c r="C992" i="4"/>
  <c r="B992" i="4"/>
  <c r="F991" i="4"/>
  <c r="E991" i="4"/>
  <c r="D991" i="4"/>
  <c r="C991" i="4"/>
  <c r="B991" i="4"/>
  <c r="F990" i="4"/>
  <c r="E990" i="4"/>
  <c r="D990" i="4"/>
  <c r="C990" i="4"/>
  <c r="B990" i="4"/>
  <c r="F989" i="4"/>
  <c r="E989" i="4"/>
  <c r="D989" i="4"/>
  <c r="C989" i="4"/>
  <c r="B989" i="4"/>
  <c r="F988" i="4"/>
  <c r="E988" i="4"/>
  <c r="D988" i="4"/>
  <c r="C988" i="4"/>
  <c r="B988" i="4"/>
  <c r="F987" i="4"/>
  <c r="E987" i="4"/>
  <c r="D987" i="4"/>
  <c r="C987" i="4"/>
  <c r="B987" i="4"/>
  <c r="F986" i="4"/>
  <c r="E986" i="4"/>
  <c r="D986" i="4"/>
  <c r="C986" i="4"/>
  <c r="B986" i="4"/>
  <c r="F985" i="4"/>
  <c r="E985" i="4"/>
  <c r="D985" i="4"/>
  <c r="C985" i="4"/>
  <c r="B985" i="4"/>
  <c r="F984" i="4"/>
  <c r="E984" i="4"/>
  <c r="D984" i="4"/>
  <c r="C984" i="4"/>
  <c r="B984" i="4"/>
  <c r="F983" i="4"/>
  <c r="E983" i="4"/>
  <c r="D983" i="4"/>
  <c r="C983" i="4"/>
  <c r="B983" i="4"/>
  <c r="F982" i="4"/>
  <c r="E982" i="4"/>
  <c r="D982" i="4"/>
  <c r="C982" i="4"/>
  <c r="B982" i="4"/>
  <c r="F981" i="4"/>
  <c r="E981" i="4"/>
  <c r="D981" i="4"/>
  <c r="C981" i="4"/>
  <c r="B981" i="4"/>
  <c r="F980" i="4"/>
  <c r="E980" i="4"/>
  <c r="D980" i="4"/>
  <c r="C980" i="4"/>
  <c r="B980" i="4"/>
  <c r="F979" i="4"/>
  <c r="E979" i="4"/>
  <c r="D979" i="4"/>
  <c r="C979" i="4"/>
  <c r="B979" i="4"/>
  <c r="F978" i="4"/>
  <c r="E978" i="4"/>
  <c r="D978" i="4"/>
  <c r="C978" i="4"/>
  <c r="B978" i="4"/>
  <c r="F977" i="4"/>
  <c r="E977" i="4"/>
  <c r="D977" i="4"/>
  <c r="C977" i="4"/>
  <c r="B977" i="4"/>
  <c r="F976" i="4"/>
  <c r="E976" i="4"/>
  <c r="D976" i="4"/>
  <c r="C976" i="4"/>
  <c r="B976" i="4"/>
  <c r="F975" i="4"/>
  <c r="E975" i="4"/>
  <c r="D975" i="4"/>
  <c r="C975" i="4"/>
  <c r="B975" i="4"/>
  <c r="F974" i="4"/>
  <c r="E974" i="4"/>
  <c r="C974" i="4"/>
  <c r="B974" i="4"/>
  <c r="F973" i="4"/>
  <c r="E973" i="4"/>
  <c r="D973" i="4"/>
  <c r="C973" i="4"/>
  <c r="B973" i="4"/>
  <c r="F972" i="4"/>
  <c r="E972" i="4"/>
  <c r="D972" i="4"/>
  <c r="C972" i="4"/>
  <c r="B972" i="4"/>
  <c r="F971" i="4"/>
  <c r="E971" i="4"/>
  <c r="D971" i="4"/>
  <c r="C971" i="4"/>
  <c r="B971" i="4"/>
  <c r="F970" i="4"/>
  <c r="E970" i="4"/>
  <c r="D970" i="4"/>
  <c r="C970" i="4"/>
  <c r="B970" i="4"/>
  <c r="F969" i="4"/>
  <c r="E969" i="4"/>
  <c r="D969" i="4"/>
  <c r="C969" i="4"/>
  <c r="B969" i="4"/>
  <c r="F968" i="4"/>
  <c r="E968" i="4"/>
  <c r="D968" i="4"/>
  <c r="C968" i="4"/>
  <c r="B968" i="4"/>
  <c r="F967" i="4"/>
  <c r="E967" i="4"/>
  <c r="D967" i="4"/>
  <c r="C967" i="4"/>
  <c r="B967" i="4"/>
  <c r="F966" i="4"/>
  <c r="E966" i="4"/>
  <c r="D966" i="4"/>
  <c r="C966" i="4"/>
  <c r="B966" i="4"/>
  <c r="F965" i="4"/>
  <c r="E965" i="4"/>
  <c r="D965" i="4"/>
  <c r="C965" i="4"/>
  <c r="B965" i="4"/>
  <c r="F964" i="4"/>
  <c r="E964" i="4"/>
  <c r="D964" i="4"/>
  <c r="C964" i="4"/>
  <c r="B964" i="4"/>
  <c r="F963" i="4"/>
  <c r="E963" i="4"/>
  <c r="D963" i="4"/>
  <c r="C963" i="4"/>
  <c r="B963" i="4"/>
  <c r="F962" i="4"/>
  <c r="E962" i="4"/>
  <c r="D962" i="4"/>
  <c r="C962" i="4"/>
  <c r="B962" i="4"/>
  <c r="F961" i="4"/>
  <c r="E961" i="4"/>
  <c r="D961" i="4"/>
  <c r="C961" i="4"/>
  <c r="B961" i="4"/>
  <c r="F960" i="4"/>
  <c r="E960" i="4"/>
  <c r="D960" i="4"/>
  <c r="C960" i="4"/>
  <c r="B960" i="4"/>
  <c r="F959" i="4"/>
  <c r="E959" i="4"/>
  <c r="D959" i="4"/>
  <c r="C959" i="4"/>
  <c r="B959" i="4"/>
  <c r="F958" i="4"/>
  <c r="E958" i="4"/>
  <c r="D958" i="4"/>
  <c r="C958" i="4"/>
  <c r="B958" i="4"/>
  <c r="C957" i="4"/>
  <c r="B957" i="4"/>
  <c r="F956" i="4"/>
  <c r="E956" i="4"/>
  <c r="D956" i="4"/>
  <c r="C956" i="4"/>
  <c r="B956" i="4"/>
  <c r="C955" i="4"/>
  <c r="B955" i="4"/>
  <c r="C954" i="4"/>
  <c r="B954" i="4"/>
  <c r="C953" i="4"/>
  <c r="B953" i="4"/>
  <c r="F952" i="4"/>
  <c r="E952" i="4"/>
  <c r="D952" i="4"/>
  <c r="C952" i="4"/>
  <c r="B952" i="4"/>
  <c r="F951" i="4"/>
  <c r="E951" i="4"/>
  <c r="D951" i="4"/>
  <c r="C951" i="4"/>
  <c r="B951" i="4"/>
  <c r="F950" i="4"/>
  <c r="E950" i="4"/>
  <c r="C950" i="4"/>
  <c r="B950" i="4"/>
  <c r="F949" i="4"/>
  <c r="E949" i="4"/>
  <c r="C949" i="4"/>
  <c r="B949" i="4"/>
  <c r="F948" i="4"/>
  <c r="E948" i="4"/>
  <c r="C948" i="4"/>
  <c r="B948" i="4"/>
  <c r="C947" i="4"/>
  <c r="B947" i="4"/>
  <c r="C946" i="4"/>
  <c r="B946" i="4"/>
  <c r="F945" i="4"/>
  <c r="E945" i="4"/>
  <c r="D945" i="4"/>
  <c r="C945" i="4"/>
  <c r="B945" i="4"/>
  <c r="F944" i="4"/>
  <c r="E944" i="4"/>
  <c r="D944" i="4"/>
  <c r="C944" i="4"/>
  <c r="B944" i="4"/>
  <c r="F943" i="4"/>
  <c r="E943" i="4"/>
  <c r="D943" i="4"/>
  <c r="C943" i="4"/>
  <c r="B943" i="4"/>
  <c r="C942" i="4"/>
  <c r="B942" i="4"/>
  <c r="F941" i="4"/>
  <c r="E941" i="4"/>
  <c r="D941" i="4"/>
  <c r="C941" i="4"/>
  <c r="B941" i="4"/>
  <c r="F940" i="4"/>
  <c r="E940" i="4"/>
  <c r="D940" i="4"/>
  <c r="C940" i="4"/>
  <c r="B940" i="4"/>
  <c r="F939" i="4"/>
  <c r="E939" i="4"/>
  <c r="D939" i="4"/>
  <c r="C939" i="4"/>
  <c r="B939" i="4"/>
  <c r="C938" i="4"/>
  <c r="B938" i="4"/>
  <c r="F937" i="4"/>
  <c r="E937" i="4"/>
  <c r="D937" i="4"/>
  <c r="C937" i="4"/>
  <c r="B937" i="4"/>
  <c r="C936" i="4"/>
  <c r="B936" i="4"/>
  <c r="F935" i="4"/>
  <c r="E935" i="4"/>
  <c r="D935" i="4"/>
  <c r="C935" i="4"/>
  <c r="B935" i="4"/>
  <c r="F934" i="4"/>
  <c r="E934" i="4"/>
  <c r="D934" i="4"/>
  <c r="C934" i="4"/>
  <c r="B934" i="4"/>
  <c r="C933" i="4"/>
  <c r="B933" i="4"/>
  <c r="C932" i="4"/>
  <c r="B932" i="4"/>
  <c r="F931" i="4"/>
  <c r="E931" i="4"/>
  <c r="D931" i="4"/>
  <c r="C931" i="4"/>
  <c r="B931" i="4"/>
  <c r="E930" i="4"/>
  <c r="D930" i="4"/>
  <c r="C930" i="4"/>
  <c r="B930" i="4"/>
  <c r="F929" i="4"/>
  <c r="E929" i="4"/>
  <c r="C929" i="4"/>
  <c r="B929" i="4"/>
  <c r="F928" i="4"/>
  <c r="E928" i="4"/>
  <c r="C928" i="4"/>
  <c r="B928" i="4"/>
  <c r="F927" i="4"/>
  <c r="E927" i="4"/>
  <c r="D927" i="4"/>
  <c r="C927" i="4"/>
  <c r="B927" i="4"/>
  <c r="F926" i="4"/>
  <c r="E926" i="4"/>
  <c r="D926" i="4"/>
  <c r="C926" i="4"/>
  <c r="B926" i="4"/>
  <c r="F925" i="4"/>
  <c r="E925" i="4"/>
  <c r="D925" i="4"/>
  <c r="C925" i="4"/>
  <c r="B925" i="4"/>
  <c r="F924" i="4"/>
  <c r="E924" i="4"/>
  <c r="C924" i="4"/>
  <c r="B924" i="4"/>
  <c r="F923" i="4"/>
  <c r="E923" i="4"/>
  <c r="C923" i="4"/>
  <c r="B923" i="4"/>
  <c r="F922" i="4"/>
  <c r="E922" i="4"/>
  <c r="D922" i="4"/>
  <c r="C922" i="4"/>
  <c r="B922" i="4"/>
  <c r="F921" i="4"/>
  <c r="E921" i="4"/>
  <c r="C921" i="4"/>
  <c r="B921" i="4"/>
  <c r="F920" i="4"/>
  <c r="E920" i="4"/>
  <c r="C920" i="4"/>
  <c r="B920" i="4"/>
  <c r="F919" i="4"/>
  <c r="E919" i="4"/>
  <c r="C919" i="4"/>
  <c r="B919" i="4"/>
  <c r="F918" i="4"/>
  <c r="E918" i="4"/>
  <c r="D918" i="4"/>
  <c r="C918" i="4"/>
  <c r="B918" i="4"/>
  <c r="F917" i="4"/>
  <c r="E917" i="4"/>
  <c r="C917" i="4"/>
  <c r="B917" i="4"/>
  <c r="F916" i="4"/>
  <c r="E916" i="4"/>
  <c r="C916" i="4"/>
  <c r="B916" i="4"/>
  <c r="F915" i="4"/>
  <c r="E915" i="4"/>
  <c r="C915" i="4"/>
  <c r="B915" i="4"/>
  <c r="F914" i="4"/>
  <c r="E914" i="4"/>
  <c r="D914" i="4"/>
  <c r="C914" i="4"/>
  <c r="B914" i="4"/>
  <c r="F913" i="4"/>
  <c r="E913" i="4"/>
  <c r="C913" i="4"/>
  <c r="B913" i="4"/>
  <c r="F912" i="4"/>
  <c r="E912" i="4"/>
  <c r="C912" i="4"/>
  <c r="B912" i="4"/>
  <c r="F911" i="4"/>
  <c r="E911" i="4"/>
  <c r="C911" i="4"/>
  <c r="B911" i="4"/>
  <c r="F910" i="4"/>
  <c r="E910" i="4"/>
  <c r="D910" i="4"/>
  <c r="C910" i="4"/>
  <c r="B910" i="4"/>
  <c r="F909" i="4"/>
  <c r="E909" i="4"/>
  <c r="D909" i="4"/>
  <c r="C909" i="4"/>
  <c r="B909" i="4"/>
  <c r="F908" i="4"/>
  <c r="E908" i="4"/>
  <c r="C908" i="4"/>
  <c r="B908" i="4"/>
  <c r="F907" i="4"/>
  <c r="E907" i="4"/>
  <c r="D907" i="4"/>
  <c r="C907" i="4"/>
  <c r="B907" i="4"/>
  <c r="F906" i="4"/>
  <c r="E906" i="4"/>
  <c r="D906" i="4"/>
  <c r="C906" i="4"/>
  <c r="B906" i="4"/>
  <c r="F905" i="4"/>
  <c r="E905" i="4"/>
  <c r="D905" i="4"/>
  <c r="C905" i="4"/>
  <c r="B905" i="4"/>
  <c r="F904" i="4"/>
  <c r="E904" i="4"/>
  <c r="D904" i="4"/>
  <c r="C904" i="4"/>
  <c r="B904" i="4"/>
  <c r="F903" i="4"/>
  <c r="E903" i="4"/>
  <c r="D903" i="4"/>
  <c r="C903" i="4"/>
  <c r="B903" i="4"/>
  <c r="F902" i="4"/>
  <c r="E902" i="4"/>
  <c r="C902" i="4"/>
  <c r="B902" i="4"/>
  <c r="F901" i="4"/>
  <c r="E901" i="4"/>
  <c r="D901" i="4"/>
  <c r="C901" i="4"/>
  <c r="B901" i="4"/>
  <c r="F900" i="4"/>
  <c r="E900" i="4"/>
  <c r="D900" i="4"/>
  <c r="C900" i="4"/>
  <c r="B900" i="4"/>
  <c r="F899" i="4"/>
  <c r="E899" i="4"/>
  <c r="D899" i="4"/>
  <c r="C899" i="4"/>
  <c r="B899" i="4"/>
  <c r="F898" i="4"/>
  <c r="E898" i="4"/>
  <c r="D898" i="4"/>
  <c r="C898" i="4"/>
  <c r="B898" i="4"/>
  <c r="F897" i="4"/>
  <c r="E897" i="4"/>
  <c r="D897" i="4"/>
  <c r="C897" i="4"/>
  <c r="B897" i="4"/>
  <c r="F896" i="4"/>
  <c r="E896" i="4"/>
  <c r="D896" i="4"/>
  <c r="C896" i="4"/>
  <c r="B896" i="4"/>
  <c r="F895" i="4"/>
  <c r="E895" i="4"/>
  <c r="D895" i="4"/>
  <c r="C895" i="4"/>
  <c r="B895" i="4"/>
  <c r="F894" i="4"/>
  <c r="E894" i="4"/>
  <c r="D894" i="4"/>
  <c r="C894" i="4"/>
  <c r="B894" i="4"/>
  <c r="F893" i="4"/>
  <c r="E893" i="4"/>
  <c r="D893" i="4"/>
  <c r="C893" i="4"/>
  <c r="B893" i="4"/>
  <c r="F892" i="4"/>
  <c r="E892" i="4"/>
  <c r="D892" i="4"/>
  <c r="C892" i="4"/>
  <c r="B892" i="4"/>
  <c r="F891" i="4"/>
  <c r="E891" i="4"/>
  <c r="D891" i="4"/>
  <c r="C891" i="4"/>
  <c r="B891" i="4"/>
  <c r="F890" i="4"/>
  <c r="E890" i="4"/>
  <c r="D890" i="4"/>
  <c r="C890" i="4"/>
  <c r="B890" i="4"/>
  <c r="F889" i="4"/>
  <c r="E889" i="4"/>
  <c r="D889" i="4"/>
  <c r="C889" i="4"/>
  <c r="B889" i="4"/>
  <c r="F888" i="4"/>
  <c r="D888" i="4"/>
  <c r="C888" i="4"/>
  <c r="B888" i="4"/>
  <c r="C887" i="4"/>
  <c r="B887" i="4"/>
  <c r="F886" i="4"/>
  <c r="E886" i="4"/>
  <c r="D886" i="4"/>
  <c r="C886" i="4"/>
  <c r="B886" i="4"/>
  <c r="F885" i="4"/>
  <c r="D885" i="4"/>
  <c r="C885" i="4"/>
  <c r="B885" i="4"/>
  <c r="F884" i="4"/>
  <c r="E884" i="4"/>
  <c r="D884" i="4"/>
  <c r="C884" i="4"/>
  <c r="B884" i="4"/>
  <c r="F883" i="4"/>
  <c r="E883" i="4"/>
  <c r="D883" i="4"/>
  <c r="C883" i="4"/>
  <c r="B883" i="4"/>
  <c r="F882" i="4"/>
  <c r="E882" i="4"/>
  <c r="D882" i="4"/>
  <c r="C882" i="4"/>
  <c r="B882" i="4"/>
  <c r="F881" i="4"/>
  <c r="E881" i="4"/>
  <c r="D881" i="4"/>
  <c r="C881" i="4"/>
  <c r="B881" i="4"/>
  <c r="C880" i="4"/>
  <c r="B880" i="4"/>
  <c r="F879" i="4"/>
  <c r="E879" i="4"/>
  <c r="D879" i="4"/>
  <c r="C879" i="4"/>
  <c r="B879" i="4"/>
  <c r="F878" i="4"/>
  <c r="E878" i="4"/>
  <c r="D878" i="4"/>
  <c r="C878" i="4"/>
  <c r="B878" i="4"/>
  <c r="F877" i="4"/>
  <c r="E877" i="4"/>
  <c r="D877" i="4"/>
  <c r="C877" i="4"/>
  <c r="B877" i="4"/>
  <c r="F876" i="4"/>
  <c r="E876" i="4"/>
  <c r="D876" i="4"/>
  <c r="C876" i="4"/>
  <c r="B876" i="4"/>
  <c r="F875" i="4"/>
  <c r="E875" i="4"/>
  <c r="D875" i="4"/>
  <c r="C875" i="4"/>
  <c r="B875" i="4"/>
  <c r="F874" i="4"/>
  <c r="E874" i="4"/>
  <c r="D874" i="4"/>
  <c r="C874" i="4"/>
  <c r="B874" i="4"/>
  <c r="F873" i="4"/>
  <c r="E873" i="4"/>
  <c r="D873" i="4"/>
  <c r="C873" i="4"/>
  <c r="B873" i="4"/>
  <c r="F872" i="4"/>
  <c r="E872" i="4"/>
  <c r="D872" i="4"/>
  <c r="C872" i="4"/>
  <c r="B872" i="4"/>
  <c r="F871" i="4"/>
  <c r="E871" i="4"/>
  <c r="D871" i="4"/>
  <c r="C871" i="4"/>
  <c r="B871" i="4"/>
  <c r="F870" i="4"/>
  <c r="E870" i="4"/>
  <c r="D870" i="4"/>
  <c r="C870" i="4"/>
  <c r="B870" i="4"/>
  <c r="C869" i="4"/>
  <c r="B869" i="4"/>
  <c r="F868" i="4"/>
  <c r="E868" i="4"/>
  <c r="D868" i="4"/>
  <c r="C868" i="4"/>
  <c r="B868" i="4"/>
  <c r="F867" i="4"/>
  <c r="E867" i="4"/>
  <c r="D867" i="4"/>
  <c r="C867" i="4"/>
  <c r="B867" i="4"/>
  <c r="F866" i="4"/>
  <c r="E866" i="4"/>
  <c r="D866" i="4"/>
  <c r="C866" i="4"/>
  <c r="B866" i="4"/>
  <c r="C865" i="4"/>
  <c r="B865" i="4"/>
  <c r="C864" i="4"/>
  <c r="B864" i="4"/>
  <c r="F863" i="4"/>
  <c r="E863" i="4"/>
  <c r="D863" i="4"/>
  <c r="C863" i="4"/>
  <c r="B863" i="4"/>
  <c r="F862" i="4"/>
  <c r="E862" i="4"/>
  <c r="D862" i="4"/>
  <c r="C862" i="4"/>
  <c r="B862" i="4"/>
  <c r="F861" i="4"/>
  <c r="E861" i="4"/>
  <c r="D861" i="4"/>
  <c r="C861" i="4"/>
  <c r="B861" i="4"/>
  <c r="F860" i="4"/>
  <c r="E860" i="4"/>
  <c r="D860" i="4"/>
  <c r="C860" i="4"/>
  <c r="B860" i="4"/>
  <c r="F859" i="4"/>
  <c r="E859" i="4"/>
  <c r="D859" i="4"/>
  <c r="C859" i="4"/>
  <c r="B859" i="4"/>
  <c r="C858" i="4"/>
  <c r="B858" i="4"/>
  <c r="C857" i="4"/>
  <c r="B857" i="4"/>
  <c r="F856" i="4"/>
  <c r="E856" i="4"/>
  <c r="D856" i="4"/>
  <c r="C856" i="4"/>
  <c r="B856" i="4"/>
  <c r="F855" i="4"/>
  <c r="E855" i="4"/>
  <c r="C855" i="4"/>
  <c r="B855" i="4"/>
  <c r="F854" i="4"/>
  <c r="E854" i="4"/>
  <c r="C854" i="4"/>
  <c r="B854" i="4"/>
  <c r="C853" i="4"/>
  <c r="B853" i="4"/>
  <c r="F852" i="4"/>
  <c r="E852" i="4"/>
  <c r="D852" i="4"/>
  <c r="C852" i="4"/>
  <c r="B852" i="4"/>
  <c r="C851" i="4"/>
  <c r="B851" i="4"/>
  <c r="F850" i="4"/>
  <c r="E850" i="4"/>
  <c r="D850" i="4"/>
  <c r="C850" i="4"/>
  <c r="B850" i="4"/>
  <c r="C849" i="4"/>
  <c r="B849" i="4"/>
  <c r="F848" i="4"/>
  <c r="E848" i="4"/>
  <c r="D848" i="4"/>
  <c r="C848" i="4"/>
  <c r="B848" i="4"/>
  <c r="F847" i="4"/>
  <c r="E847" i="4"/>
  <c r="D847" i="4"/>
  <c r="C847" i="4"/>
  <c r="B847" i="4"/>
  <c r="C846" i="4"/>
  <c r="B846" i="4"/>
  <c r="F845" i="4"/>
  <c r="E845" i="4"/>
  <c r="D845" i="4"/>
  <c r="C845" i="4"/>
  <c r="B845" i="4"/>
  <c r="C844" i="4"/>
  <c r="B844" i="4"/>
  <c r="F843" i="4"/>
  <c r="E843" i="4"/>
  <c r="D843" i="4"/>
  <c r="C843" i="4"/>
  <c r="B843" i="4"/>
  <c r="F842" i="4"/>
  <c r="E842" i="4"/>
  <c r="D842" i="4"/>
  <c r="C842" i="4"/>
  <c r="B842" i="4"/>
  <c r="C841" i="4"/>
  <c r="B841" i="4"/>
  <c r="F840" i="4"/>
  <c r="E840" i="4"/>
  <c r="D840" i="4"/>
  <c r="C840" i="4"/>
  <c r="B840" i="4"/>
  <c r="C839" i="4"/>
  <c r="B839" i="4"/>
  <c r="F838" i="4"/>
  <c r="D838" i="4"/>
  <c r="C838" i="4"/>
  <c r="B838" i="4"/>
  <c r="F837" i="4"/>
  <c r="D837" i="4"/>
  <c r="C837" i="4"/>
  <c r="B837" i="4"/>
  <c r="F836" i="4"/>
  <c r="E836" i="4"/>
  <c r="D836" i="4"/>
  <c r="C836" i="4"/>
  <c r="B836" i="4"/>
  <c r="C835" i="4"/>
  <c r="B835" i="4"/>
  <c r="F834" i="4"/>
  <c r="E834" i="4"/>
  <c r="D834" i="4"/>
  <c r="C834" i="4"/>
  <c r="B834" i="4"/>
  <c r="F833" i="4"/>
  <c r="E833" i="4"/>
  <c r="D833" i="4"/>
  <c r="C833" i="4"/>
  <c r="B833" i="4"/>
  <c r="F832" i="4"/>
  <c r="E832" i="4"/>
  <c r="D832" i="4"/>
  <c r="C832" i="4"/>
  <c r="B832" i="4"/>
  <c r="F831" i="4"/>
  <c r="E831" i="4"/>
  <c r="D831" i="4"/>
  <c r="C831" i="4"/>
  <c r="B831" i="4"/>
  <c r="F830" i="4"/>
  <c r="E830" i="4"/>
  <c r="D830" i="4"/>
  <c r="C830" i="4"/>
  <c r="B830" i="4"/>
  <c r="F829" i="4"/>
  <c r="E829" i="4"/>
  <c r="D829" i="4"/>
  <c r="C829" i="4"/>
  <c r="B829" i="4"/>
  <c r="F828" i="4"/>
  <c r="E828" i="4"/>
  <c r="D828" i="4"/>
  <c r="C828" i="4"/>
  <c r="B828" i="4"/>
  <c r="F827" i="4"/>
  <c r="E827" i="4"/>
  <c r="D827" i="4"/>
  <c r="C827" i="4"/>
  <c r="B827" i="4"/>
  <c r="C826" i="4"/>
  <c r="B826" i="4"/>
  <c r="F825" i="4"/>
  <c r="E825" i="4"/>
  <c r="D825" i="4"/>
  <c r="C825" i="4"/>
  <c r="B825" i="4"/>
  <c r="F824" i="4"/>
  <c r="E824" i="4"/>
  <c r="D824" i="4"/>
  <c r="C824" i="4"/>
  <c r="B824" i="4"/>
  <c r="C823" i="4"/>
  <c r="B823" i="4"/>
  <c r="F822" i="4"/>
  <c r="D822" i="4"/>
  <c r="C822" i="4"/>
  <c r="B822" i="4"/>
  <c r="F821" i="4"/>
  <c r="E821" i="4"/>
  <c r="D821" i="4"/>
  <c r="C821" i="4"/>
  <c r="B821" i="4"/>
  <c r="F820" i="4"/>
  <c r="E820" i="4"/>
  <c r="D820" i="4"/>
  <c r="C820" i="4"/>
  <c r="B820" i="4"/>
  <c r="F819" i="4"/>
  <c r="E819" i="4"/>
  <c r="D819" i="4"/>
  <c r="C819" i="4"/>
  <c r="B819" i="4"/>
  <c r="C818" i="4"/>
  <c r="B818" i="4"/>
  <c r="F817" i="4"/>
  <c r="E817" i="4"/>
  <c r="D817" i="4"/>
  <c r="C817" i="4"/>
  <c r="B817" i="4"/>
  <c r="F816" i="4"/>
  <c r="E816" i="4"/>
  <c r="D816" i="4"/>
  <c r="C816" i="4"/>
  <c r="B816" i="4"/>
  <c r="F815" i="4"/>
  <c r="E815" i="4"/>
  <c r="D815" i="4"/>
  <c r="C815" i="4"/>
  <c r="B815" i="4"/>
  <c r="F814" i="4"/>
  <c r="E814" i="4"/>
  <c r="D814" i="4"/>
  <c r="C814" i="4"/>
  <c r="B814" i="4"/>
  <c r="C813" i="4"/>
  <c r="B813" i="4"/>
  <c r="C812" i="4"/>
  <c r="B812" i="4"/>
  <c r="F811" i="4"/>
  <c r="E811" i="4"/>
  <c r="D811" i="4"/>
  <c r="C811" i="4"/>
  <c r="B811" i="4"/>
  <c r="F810" i="4"/>
  <c r="E810" i="4"/>
  <c r="D810" i="4"/>
  <c r="C810" i="4"/>
  <c r="B810" i="4"/>
  <c r="F809" i="4"/>
  <c r="E809" i="4"/>
  <c r="D809" i="4"/>
  <c r="C809" i="4"/>
  <c r="B809" i="4"/>
  <c r="C808" i="4"/>
  <c r="B808" i="4"/>
  <c r="F807" i="4"/>
  <c r="E807" i="4"/>
  <c r="C807" i="4"/>
  <c r="B807" i="4"/>
  <c r="F806" i="4"/>
  <c r="E806" i="4"/>
  <c r="D806" i="4"/>
  <c r="C806" i="4"/>
  <c r="B806" i="4"/>
  <c r="F805" i="4"/>
  <c r="E805" i="4"/>
  <c r="D805" i="4"/>
  <c r="C805" i="4"/>
  <c r="B805" i="4"/>
  <c r="F804" i="4"/>
  <c r="E804" i="4"/>
  <c r="D804" i="4"/>
  <c r="C804" i="4"/>
  <c r="B804" i="4"/>
  <c r="F803" i="4"/>
  <c r="E803" i="4"/>
  <c r="D803" i="4"/>
  <c r="C803" i="4"/>
  <c r="B803" i="4"/>
  <c r="F802" i="4"/>
  <c r="E802" i="4"/>
  <c r="D802" i="4"/>
  <c r="C802" i="4"/>
  <c r="B802" i="4"/>
  <c r="C801" i="4"/>
  <c r="B801" i="4"/>
  <c r="F800" i="4"/>
  <c r="E800" i="4"/>
  <c r="D800" i="4"/>
  <c r="C800" i="4"/>
  <c r="B800" i="4"/>
  <c r="F799" i="4"/>
  <c r="E799" i="4"/>
  <c r="D799" i="4"/>
  <c r="C799" i="4"/>
  <c r="B799" i="4"/>
  <c r="F798" i="4"/>
  <c r="E798" i="4"/>
  <c r="D798" i="4"/>
  <c r="C798" i="4"/>
  <c r="B798" i="4"/>
  <c r="E797" i="4"/>
  <c r="D797" i="4"/>
  <c r="C797" i="4"/>
  <c r="B797" i="4"/>
  <c r="F796" i="4"/>
  <c r="E796" i="4"/>
  <c r="D796" i="4"/>
  <c r="C796" i="4"/>
  <c r="B796" i="4"/>
  <c r="F795" i="4"/>
  <c r="E795" i="4"/>
  <c r="D795" i="4"/>
  <c r="C795" i="4"/>
  <c r="B795" i="4"/>
  <c r="C794" i="4"/>
  <c r="B794" i="4"/>
  <c r="F793" i="4"/>
  <c r="E793" i="4"/>
  <c r="D793" i="4"/>
  <c r="C793" i="4"/>
  <c r="B793" i="4"/>
  <c r="F792" i="4"/>
  <c r="E792" i="4"/>
  <c r="D792" i="4"/>
  <c r="C792" i="4"/>
  <c r="B792" i="4"/>
  <c r="C791" i="4"/>
  <c r="B791" i="4"/>
  <c r="F790" i="4"/>
  <c r="E790" i="4"/>
  <c r="D790" i="4"/>
  <c r="C790" i="4"/>
  <c r="B790" i="4"/>
  <c r="F789" i="4"/>
  <c r="E789" i="4"/>
  <c r="D789" i="4"/>
  <c r="C789" i="4"/>
  <c r="B789" i="4"/>
  <c r="F788" i="4"/>
  <c r="E788" i="4"/>
  <c r="D788" i="4"/>
  <c r="C788" i="4"/>
  <c r="B788" i="4"/>
  <c r="F787" i="4"/>
  <c r="E787" i="4"/>
  <c r="D787" i="4"/>
  <c r="C787" i="4"/>
  <c r="B787" i="4"/>
  <c r="F786" i="4"/>
  <c r="E786" i="4"/>
  <c r="D786" i="4"/>
  <c r="C786" i="4"/>
  <c r="B786" i="4"/>
  <c r="C785" i="4"/>
  <c r="B785" i="4"/>
  <c r="C784" i="4"/>
  <c r="B784" i="4"/>
  <c r="F783" i="4"/>
  <c r="E783" i="4"/>
  <c r="C783" i="4"/>
  <c r="B783" i="4"/>
  <c r="C782" i="4"/>
  <c r="B782" i="4"/>
  <c r="F781" i="4"/>
  <c r="E781" i="4"/>
  <c r="D781" i="4"/>
  <c r="C781" i="4"/>
  <c r="B781" i="4"/>
  <c r="F780" i="4"/>
  <c r="E780" i="4"/>
  <c r="D780" i="4"/>
  <c r="C780" i="4"/>
  <c r="B780" i="4"/>
  <c r="F779" i="4"/>
  <c r="E779" i="4"/>
  <c r="D779" i="4"/>
  <c r="C779" i="4"/>
  <c r="B779" i="4"/>
  <c r="F778" i="4"/>
  <c r="E778" i="4"/>
  <c r="C778" i="4"/>
  <c r="B778" i="4"/>
  <c r="F777" i="4"/>
  <c r="E777" i="4"/>
  <c r="C777" i="4"/>
  <c r="B777" i="4"/>
  <c r="F776" i="4"/>
  <c r="E776" i="4"/>
  <c r="C776" i="4"/>
  <c r="B776" i="4"/>
  <c r="F775" i="4"/>
  <c r="E775" i="4"/>
  <c r="C775" i="4"/>
  <c r="B775" i="4"/>
  <c r="F774" i="4"/>
  <c r="E774" i="4"/>
  <c r="C774" i="4"/>
  <c r="B774" i="4"/>
  <c r="F773" i="4"/>
  <c r="E773" i="4"/>
  <c r="C773" i="4"/>
  <c r="B773" i="4"/>
  <c r="F772" i="4"/>
  <c r="E772" i="4"/>
  <c r="C772" i="4"/>
  <c r="B772" i="4"/>
  <c r="F771" i="4"/>
  <c r="E771" i="4"/>
  <c r="C771" i="4"/>
  <c r="B771" i="4"/>
  <c r="F770" i="4"/>
  <c r="E770" i="4"/>
  <c r="C770" i="4"/>
  <c r="B770" i="4"/>
  <c r="F769" i="4"/>
  <c r="E769" i="4"/>
  <c r="C769" i="4"/>
  <c r="B769" i="4"/>
  <c r="C768" i="4"/>
  <c r="B768" i="4"/>
  <c r="C767" i="4"/>
  <c r="B767" i="4"/>
  <c r="C766" i="4"/>
  <c r="B766" i="4"/>
  <c r="F765" i="4"/>
  <c r="E765" i="4"/>
  <c r="C765" i="4"/>
  <c r="B765" i="4"/>
  <c r="F764" i="4"/>
  <c r="E764" i="4"/>
  <c r="C764" i="4"/>
  <c r="B764" i="4"/>
  <c r="F763" i="4"/>
  <c r="E763" i="4"/>
  <c r="C763" i="4"/>
  <c r="B763" i="4"/>
  <c r="F762" i="4"/>
  <c r="E762" i="4"/>
  <c r="C762" i="4"/>
  <c r="B762" i="4"/>
  <c r="F761" i="4"/>
  <c r="E761" i="4"/>
  <c r="C761" i="4"/>
  <c r="B761" i="4"/>
  <c r="F760" i="4"/>
  <c r="E760" i="4"/>
  <c r="C760" i="4"/>
  <c r="B760" i="4"/>
  <c r="F759" i="4"/>
  <c r="E759" i="4"/>
  <c r="D759" i="4"/>
  <c r="C759" i="4"/>
  <c r="B759" i="4"/>
  <c r="F758" i="4"/>
  <c r="E758" i="4"/>
  <c r="C758" i="4"/>
  <c r="B758" i="4"/>
  <c r="F757" i="4"/>
  <c r="E757" i="4"/>
  <c r="C757" i="4"/>
  <c r="B757" i="4"/>
  <c r="F756" i="4"/>
  <c r="E756" i="4"/>
  <c r="D756" i="4"/>
  <c r="C756" i="4"/>
  <c r="B756" i="4"/>
  <c r="F755" i="4"/>
  <c r="E755" i="4"/>
  <c r="D755" i="4"/>
  <c r="C755" i="4"/>
  <c r="B755" i="4"/>
  <c r="C754" i="4"/>
  <c r="B754" i="4"/>
  <c r="F753" i="4"/>
  <c r="E753" i="4"/>
  <c r="D753" i="4"/>
  <c r="C753" i="4"/>
  <c r="B753" i="4"/>
  <c r="F752" i="4"/>
  <c r="E752" i="4"/>
  <c r="D752" i="4"/>
  <c r="C752" i="4"/>
  <c r="B752" i="4"/>
  <c r="C751" i="4"/>
  <c r="B751" i="4"/>
  <c r="F750" i="4"/>
  <c r="E750" i="4"/>
  <c r="D750" i="4"/>
  <c r="C750" i="4"/>
  <c r="B750" i="4"/>
  <c r="F749" i="4"/>
  <c r="E749" i="4"/>
  <c r="D749" i="4"/>
  <c r="C749" i="4"/>
  <c r="B749" i="4"/>
  <c r="C748" i="4"/>
  <c r="B748" i="4"/>
  <c r="F747" i="4"/>
  <c r="E747" i="4"/>
  <c r="D747" i="4"/>
  <c r="C747" i="4"/>
  <c r="B747" i="4"/>
  <c r="C746" i="4"/>
  <c r="B746" i="4"/>
  <c r="F745" i="4"/>
  <c r="E745" i="4"/>
  <c r="D745" i="4"/>
  <c r="C745" i="4"/>
  <c r="B745" i="4"/>
  <c r="F744" i="4"/>
  <c r="E744" i="4"/>
  <c r="D744" i="4"/>
  <c r="C744" i="4"/>
  <c r="B744" i="4"/>
  <c r="F743" i="4"/>
  <c r="E743" i="4"/>
  <c r="D743" i="4"/>
  <c r="C743" i="4"/>
  <c r="B743" i="4"/>
  <c r="F742" i="4"/>
  <c r="E742" i="4"/>
  <c r="D742" i="4"/>
  <c r="C742" i="4"/>
  <c r="B742" i="4"/>
  <c r="F741" i="4"/>
  <c r="E741" i="4"/>
  <c r="D741" i="4"/>
  <c r="C741" i="4"/>
  <c r="B741" i="4"/>
  <c r="F740" i="4"/>
  <c r="E740" i="4"/>
  <c r="D740" i="4"/>
  <c r="C740" i="4"/>
  <c r="B740" i="4"/>
  <c r="C739" i="4"/>
  <c r="B739" i="4"/>
  <c r="C738" i="4"/>
  <c r="B738" i="4"/>
  <c r="F737" i="4"/>
  <c r="E737" i="4"/>
  <c r="C737" i="4"/>
  <c r="B737" i="4"/>
  <c r="F736" i="4"/>
  <c r="E736" i="4"/>
  <c r="C736" i="4"/>
  <c r="B736" i="4"/>
  <c r="C735" i="4"/>
  <c r="B735" i="4"/>
  <c r="F734" i="4"/>
  <c r="E734" i="4"/>
  <c r="D734" i="4"/>
  <c r="C734" i="4"/>
  <c r="B734" i="4"/>
  <c r="F733" i="4"/>
  <c r="E733" i="4"/>
  <c r="D733" i="4"/>
  <c r="C733" i="4"/>
  <c r="B733" i="4"/>
  <c r="F732" i="4"/>
  <c r="E732" i="4"/>
  <c r="D732" i="4"/>
  <c r="C732" i="4"/>
  <c r="B732" i="4"/>
  <c r="F731" i="4"/>
  <c r="E731" i="4"/>
  <c r="D731" i="4"/>
  <c r="C731" i="4"/>
  <c r="B731" i="4"/>
  <c r="C730" i="4"/>
  <c r="B730" i="4"/>
  <c r="F729" i="4"/>
  <c r="E729" i="4"/>
  <c r="D729" i="4"/>
  <c r="C729" i="4"/>
  <c r="B729" i="4"/>
  <c r="F728" i="4"/>
  <c r="E728" i="4"/>
  <c r="D728" i="4"/>
  <c r="C728" i="4"/>
  <c r="B728" i="4"/>
  <c r="F727" i="4"/>
  <c r="E727" i="4"/>
  <c r="D727" i="4"/>
  <c r="C727" i="4"/>
  <c r="B727" i="4"/>
  <c r="C726" i="4"/>
  <c r="B726" i="4"/>
  <c r="F725" i="4"/>
  <c r="E725" i="4"/>
  <c r="C725" i="4"/>
  <c r="B725" i="4"/>
  <c r="F724" i="4"/>
  <c r="E724" i="4"/>
  <c r="C724" i="4"/>
  <c r="B724" i="4"/>
  <c r="F723" i="4"/>
  <c r="E723" i="4"/>
  <c r="C723" i="4"/>
  <c r="B723" i="4"/>
  <c r="F722" i="4"/>
  <c r="E722" i="4"/>
  <c r="C722" i="4"/>
  <c r="B722" i="4"/>
  <c r="F721" i="4"/>
  <c r="E721" i="4"/>
  <c r="C721" i="4"/>
  <c r="B721" i="4"/>
  <c r="F720" i="4"/>
  <c r="E720" i="4"/>
  <c r="C720" i="4"/>
  <c r="B720" i="4"/>
  <c r="F719" i="4"/>
  <c r="E719" i="4"/>
  <c r="C719" i="4"/>
  <c r="B719" i="4"/>
  <c r="F718" i="4"/>
  <c r="E718" i="4"/>
  <c r="C718" i="4"/>
  <c r="B718" i="4"/>
  <c r="F717" i="4"/>
  <c r="E717" i="4"/>
  <c r="C717" i="4"/>
  <c r="B717" i="4"/>
  <c r="F716" i="4"/>
  <c r="E716" i="4"/>
  <c r="C716" i="4"/>
  <c r="B716" i="4"/>
  <c r="C715" i="4"/>
  <c r="B715" i="4"/>
  <c r="F714" i="4"/>
  <c r="E714" i="4"/>
  <c r="D714" i="4"/>
  <c r="C714" i="4"/>
  <c r="B714" i="4"/>
  <c r="F713" i="4"/>
  <c r="E713" i="4"/>
  <c r="D713" i="4"/>
  <c r="C713" i="4"/>
  <c r="B713" i="4"/>
  <c r="F712" i="4"/>
  <c r="E712" i="4"/>
  <c r="D712" i="4"/>
  <c r="C712" i="4"/>
  <c r="B712" i="4"/>
  <c r="F711" i="4"/>
  <c r="E711" i="4"/>
  <c r="D711" i="4"/>
  <c r="C711" i="4"/>
  <c r="B711" i="4"/>
  <c r="C710" i="4"/>
  <c r="B710" i="4"/>
  <c r="F709" i="4"/>
  <c r="D709" i="4"/>
  <c r="C709" i="4"/>
  <c r="B709" i="4"/>
  <c r="E708" i="4"/>
  <c r="D708" i="4"/>
  <c r="C708" i="4"/>
  <c r="B708" i="4"/>
  <c r="C707" i="4"/>
  <c r="B707" i="4"/>
  <c r="C706" i="4"/>
  <c r="B706" i="4"/>
  <c r="C705" i="4"/>
  <c r="B705" i="4"/>
  <c r="F704" i="4"/>
  <c r="E704" i="4"/>
  <c r="C704" i="4"/>
  <c r="B704" i="4"/>
  <c r="F703" i="4"/>
  <c r="E703" i="4"/>
  <c r="C703" i="4"/>
  <c r="B703" i="4"/>
  <c r="F702" i="4"/>
  <c r="E702" i="4"/>
  <c r="C702" i="4"/>
  <c r="B702" i="4"/>
  <c r="F701" i="4"/>
  <c r="E701" i="4"/>
  <c r="D701" i="4"/>
  <c r="C701" i="4"/>
  <c r="B701" i="4"/>
  <c r="F700" i="4"/>
  <c r="E700" i="4"/>
  <c r="D700" i="4"/>
  <c r="C700" i="4"/>
  <c r="B700" i="4"/>
  <c r="C699" i="4"/>
  <c r="B699" i="4"/>
  <c r="F698" i="4"/>
  <c r="E698" i="4"/>
  <c r="D698" i="4"/>
  <c r="C698" i="4"/>
  <c r="B698" i="4"/>
  <c r="F697" i="4"/>
  <c r="E697" i="4"/>
  <c r="D697" i="4"/>
  <c r="C697" i="4"/>
  <c r="B697" i="4"/>
  <c r="F696" i="4"/>
  <c r="E696" i="4"/>
  <c r="D696" i="4"/>
  <c r="C696" i="4"/>
  <c r="B696" i="4"/>
  <c r="F695" i="4"/>
  <c r="E695" i="4"/>
  <c r="D695" i="4"/>
  <c r="C695" i="4"/>
  <c r="B695" i="4"/>
  <c r="F694" i="4"/>
  <c r="E694" i="4"/>
  <c r="D694" i="4"/>
  <c r="C694" i="4"/>
  <c r="B694" i="4"/>
  <c r="F693" i="4"/>
  <c r="E693" i="4"/>
  <c r="D693" i="4"/>
  <c r="C693" i="4"/>
  <c r="B693" i="4"/>
  <c r="F692" i="4"/>
  <c r="E692" i="4"/>
  <c r="D692" i="4"/>
  <c r="C692" i="4"/>
  <c r="B692" i="4"/>
  <c r="C691" i="4"/>
  <c r="B691" i="4"/>
  <c r="C690" i="4"/>
  <c r="B690" i="4"/>
  <c r="F689" i="4"/>
  <c r="E689" i="4"/>
  <c r="D689" i="4"/>
  <c r="C689" i="4"/>
  <c r="B689" i="4"/>
  <c r="F688" i="4"/>
  <c r="E688" i="4"/>
  <c r="C688" i="4"/>
  <c r="B688" i="4"/>
  <c r="F687" i="4"/>
  <c r="E687" i="4"/>
  <c r="C687" i="4"/>
  <c r="B687" i="4"/>
  <c r="F686" i="4"/>
  <c r="E686" i="4"/>
  <c r="C686" i="4"/>
  <c r="B686" i="4"/>
  <c r="F685" i="4"/>
  <c r="E685" i="4"/>
  <c r="C685" i="4"/>
  <c r="B685" i="4"/>
  <c r="F684" i="4"/>
  <c r="E684" i="4"/>
  <c r="C684" i="4"/>
  <c r="B684" i="4"/>
  <c r="F683" i="4"/>
  <c r="E683" i="4"/>
  <c r="C683" i="4"/>
  <c r="B683" i="4"/>
  <c r="C682" i="4"/>
  <c r="B682" i="4"/>
  <c r="F681" i="4"/>
  <c r="E681" i="4"/>
  <c r="D681" i="4"/>
  <c r="C681" i="4"/>
  <c r="B681" i="4"/>
  <c r="D680" i="4"/>
  <c r="C680" i="4"/>
  <c r="B680" i="4"/>
  <c r="C679" i="4"/>
  <c r="B679" i="4"/>
  <c r="F678" i="4"/>
  <c r="E678" i="4"/>
  <c r="D678" i="4"/>
  <c r="C678" i="4"/>
  <c r="B678" i="4"/>
  <c r="F677" i="4"/>
  <c r="E677" i="4"/>
  <c r="D677" i="4"/>
  <c r="C677" i="4"/>
  <c r="B677" i="4"/>
  <c r="F676" i="4"/>
  <c r="E676" i="4"/>
  <c r="D676" i="4"/>
  <c r="C676" i="4"/>
  <c r="B676" i="4"/>
  <c r="F675" i="4"/>
  <c r="E675" i="4"/>
  <c r="D675" i="4"/>
  <c r="C675" i="4"/>
  <c r="B675" i="4"/>
  <c r="C674" i="4"/>
  <c r="B674" i="4"/>
  <c r="F673" i="4"/>
  <c r="E673" i="4"/>
  <c r="D673" i="4"/>
  <c r="C673" i="4"/>
  <c r="B673" i="4"/>
  <c r="F672" i="4"/>
  <c r="E672" i="4"/>
  <c r="D672" i="4"/>
  <c r="C672" i="4"/>
  <c r="B672" i="4"/>
  <c r="F671" i="4"/>
  <c r="E671" i="4"/>
  <c r="D671" i="4"/>
  <c r="C671" i="4"/>
  <c r="B671" i="4"/>
  <c r="F670" i="4"/>
  <c r="E670" i="4"/>
  <c r="D670" i="4"/>
  <c r="C670" i="4"/>
  <c r="B670" i="4"/>
  <c r="F669" i="4"/>
  <c r="E669" i="4"/>
  <c r="D669" i="4"/>
  <c r="C669" i="4"/>
  <c r="B669" i="4"/>
  <c r="F668" i="4"/>
  <c r="E668" i="4"/>
  <c r="D668" i="4"/>
  <c r="C668" i="4"/>
  <c r="B668" i="4"/>
  <c r="F667" i="4"/>
  <c r="E667" i="4"/>
  <c r="D667" i="4"/>
  <c r="C667" i="4"/>
  <c r="B667" i="4"/>
  <c r="F666" i="4"/>
  <c r="E666" i="4"/>
  <c r="D666" i="4"/>
  <c r="C666" i="4"/>
  <c r="B666" i="4"/>
  <c r="F665" i="4"/>
  <c r="E665" i="4"/>
  <c r="D665" i="4"/>
  <c r="C665" i="4"/>
  <c r="B665" i="4"/>
  <c r="F664" i="4"/>
  <c r="E664" i="4"/>
  <c r="D664" i="4"/>
  <c r="C664" i="4"/>
  <c r="B664" i="4"/>
  <c r="F663" i="4"/>
  <c r="E663" i="4"/>
  <c r="D663" i="4"/>
  <c r="C663" i="4"/>
  <c r="B663" i="4"/>
  <c r="F662" i="4"/>
  <c r="E662" i="4"/>
  <c r="C662" i="4"/>
  <c r="B662" i="4"/>
  <c r="F661" i="4"/>
  <c r="E661" i="4"/>
  <c r="D661" i="4"/>
  <c r="C661" i="4"/>
  <c r="B661" i="4"/>
  <c r="F660" i="4"/>
  <c r="E660" i="4"/>
  <c r="D660" i="4"/>
  <c r="C660" i="4"/>
  <c r="B660" i="4"/>
  <c r="F659" i="4"/>
  <c r="E659" i="4"/>
  <c r="D659" i="4"/>
  <c r="C659" i="4"/>
  <c r="B659" i="4"/>
  <c r="F658" i="4"/>
  <c r="E658" i="4"/>
  <c r="D658" i="4"/>
  <c r="C658" i="4"/>
  <c r="B658" i="4"/>
  <c r="F657" i="4"/>
  <c r="E657" i="4"/>
  <c r="D657" i="4"/>
  <c r="C657" i="4"/>
  <c r="B657" i="4"/>
  <c r="F656" i="4"/>
  <c r="E656" i="4"/>
  <c r="D656" i="4"/>
  <c r="C656" i="4"/>
  <c r="B656" i="4"/>
  <c r="F655" i="4"/>
  <c r="E655" i="4"/>
  <c r="D655" i="4"/>
  <c r="C655" i="4"/>
  <c r="B655" i="4"/>
  <c r="F654" i="4"/>
  <c r="E654" i="4"/>
  <c r="D654" i="4"/>
  <c r="C654" i="4"/>
  <c r="B654" i="4"/>
  <c r="F653" i="4"/>
  <c r="E653" i="4"/>
  <c r="D653" i="4"/>
  <c r="C653" i="4"/>
  <c r="B653" i="4"/>
  <c r="F652" i="4"/>
  <c r="E652" i="4"/>
  <c r="D652" i="4"/>
  <c r="C652" i="4"/>
  <c r="B652" i="4"/>
  <c r="C651" i="4"/>
  <c r="B651" i="4"/>
  <c r="C650" i="4"/>
  <c r="B650" i="4"/>
  <c r="C649" i="4"/>
  <c r="B649" i="4"/>
  <c r="C648" i="4"/>
  <c r="B648" i="4"/>
  <c r="C647" i="4"/>
  <c r="B647" i="4"/>
  <c r="C646" i="4"/>
  <c r="B646" i="4"/>
  <c r="F645" i="4"/>
  <c r="E645" i="4"/>
  <c r="D645" i="4"/>
  <c r="C645" i="4"/>
  <c r="B645" i="4"/>
  <c r="F644" i="4"/>
  <c r="E644" i="4"/>
  <c r="D644" i="4"/>
  <c r="C644" i="4"/>
  <c r="B644" i="4"/>
  <c r="F643" i="4"/>
  <c r="E643" i="4"/>
  <c r="D643" i="4"/>
  <c r="C643" i="4"/>
  <c r="B643" i="4"/>
  <c r="F642" i="4"/>
  <c r="E642" i="4"/>
  <c r="C642" i="4"/>
  <c r="B642" i="4"/>
  <c r="F641" i="4"/>
  <c r="E641" i="4"/>
  <c r="C641" i="4"/>
  <c r="B641" i="4"/>
  <c r="F640" i="4"/>
  <c r="E640" i="4"/>
  <c r="C640" i="4"/>
  <c r="B640" i="4"/>
  <c r="F639" i="4"/>
  <c r="E639" i="4"/>
  <c r="C639" i="4"/>
  <c r="B639" i="4"/>
  <c r="F638" i="4"/>
  <c r="E638" i="4"/>
  <c r="D638" i="4"/>
  <c r="C638" i="4"/>
  <c r="B638" i="4"/>
  <c r="C637" i="4"/>
  <c r="B637" i="4"/>
  <c r="C636" i="4"/>
  <c r="B636" i="4"/>
  <c r="F635" i="4"/>
  <c r="E635" i="4"/>
  <c r="D635" i="4"/>
  <c r="C635" i="4"/>
  <c r="B635" i="4"/>
  <c r="F634" i="4"/>
  <c r="E634" i="4"/>
  <c r="D634" i="4"/>
  <c r="C634" i="4"/>
  <c r="B634" i="4"/>
  <c r="F633" i="4"/>
  <c r="E633" i="4"/>
  <c r="D633" i="4"/>
  <c r="C633" i="4"/>
  <c r="B633" i="4"/>
  <c r="F632" i="4"/>
  <c r="E632" i="4"/>
  <c r="D632" i="4"/>
  <c r="C632" i="4"/>
  <c r="B632" i="4"/>
  <c r="C631" i="4"/>
  <c r="B631" i="4"/>
  <c r="F630" i="4"/>
  <c r="E630" i="4"/>
  <c r="D630" i="4"/>
  <c r="C630" i="4"/>
  <c r="B630" i="4"/>
  <c r="F629" i="4"/>
  <c r="E629" i="4"/>
  <c r="D629" i="4"/>
  <c r="C629" i="4"/>
  <c r="B629" i="4"/>
  <c r="F628" i="4"/>
  <c r="E628" i="4"/>
  <c r="C628" i="4"/>
  <c r="B628" i="4"/>
  <c r="F627" i="4"/>
  <c r="E627" i="4"/>
  <c r="C627" i="4"/>
  <c r="B627" i="4"/>
  <c r="F626" i="4"/>
  <c r="E626" i="4"/>
  <c r="D626" i="4"/>
  <c r="C626" i="4"/>
  <c r="B626" i="4"/>
  <c r="C625" i="4"/>
  <c r="B625" i="4"/>
  <c r="F624" i="4"/>
  <c r="E624" i="4"/>
  <c r="D624" i="4"/>
  <c r="C624" i="4"/>
  <c r="B624" i="4"/>
  <c r="C623" i="4"/>
  <c r="B623" i="4"/>
  <c r="F622" i="4"/>
  <c r="E622" i="4"/>
  <c r="D622" i="4"/>
  <c r="C622" i="4"/>
  <c r="B622" i="4"/>
  <c r="D621" i="4"/>
  <c r="C621" i="4"/>
  <c r="B621" i="4"/>
  <c r="F620" i="4"/>
  <c r="E620" i="4"/>
  <c r="D620" i="4"/>
  <c r="C620" i="4"/>
  <c r="B620" i="4"/>
  <c r="F619" i="4"/>
  <c r="E619" i="4"/>
  <c r="D619" i="4"/>
  <c r="C619" i="4"/>
  <c r="B619" i="4"/>
  <c r="F618" i="4"/>
  <c r="E618" i="4"/>
  <c r="D618" i="4"/>
  <c r="C618" i="4"/>
  <c r="B618" i="4"/>
  <c r="F617" i="4"/>
  <c r="E617" i="4"/>
  <c r="D617" i="4"/>
  <c r="C617" i="4"/>
  <c r="B617" i="4"/>
  <c r="C616" i="4"/>
  <c r="B616" i="4"/>
  <c r="F615" i="4"/>
  <c r="E615" i="4"/>
  <c r="D615" i="4"/>
  <c r="C615" i="4"/>
  <c r="B615" i="4"/>
  <c r="F614" i="4"/>
  <c r="E614" i="4"/>
  <c r="D614" i="4"/>
  <c r="C614" i="4"/>
  <c r="B614" i="4"/>
  <c r="C613" i="4"/>
  <c r="B613" i="4"/>
  <c r="F612" i="4"/>
  <c r="E612" i="4"/>
  <c r="D612" i="4"/>
  <c r="C612" i="4"/>
  <c r="B612" i="4"/>
  <c r="C611" i="4"/>
  <c r="B611" i="4"/>
  <c r="C610" i="4"/>
  <c r="B610" i="4"/>
  <c r="E609" i="4"/>
  <c r="D609" i="4"/>
  <c r="C609" i="4"/>
  <c r="B609" i="4"/>
  <c r="C608" i="4"/>
  <c r="B608" i="4"/>
  <c r="C607" i="4"/>
  <c r="B607" i="4"/>
  <c r="F606" i="4"/>
  <c r="E606" i="4"/>
  <c r="D606" i="4"/>
  <c r="C606" i="4"/>
  <c r="B606" i="4"/>
  <c r="F605" i="4"/>
  <c r="E605" i="4"/>
  <c r="D605" i="4"/>
  <c r="C605" i="4"/>
  <c r="B605" i="4"/>
  <c r="D604" i="4"/>
  <c r="C604" i="4"/>
  <c r="B604" i="4"/>
  <c r="E603" i="4"/>
  <c r="C603" i="4"/>
  <c r="B603" i="4"/>
  <c r="E602" i="4"/>
  <c r="C602" i="4"/>
  <c r="B602" i="4"/>
  <c r="E601" i="4"/>
  <c r="C601" i="4"/>
  <c r="B601" i="4"/>
  <c r="F600" i="4"/>
  <c r="E600" i="4"/>
  <c r="D600" i="4"/>
  <c r="C600" i="4"/>
  <c r="B600" i="4"/>
  <c r="F599" i="4"/>
  <c r="E599" i="4"/>
  <c r="D599" i="4"/>
  <c r="C599" i="4"/>
  <c r="B599" i="4"/>
  <c r="F598" i="4"/>
  <c r="E598" i="4"/>
  <c r="D598" i="4"/>
  <c r="C598" i="4"/>
  <c r="B598" i="4"/>
  <c r="F597" i="4"/>
  <c r="E597" i="4"/>
  <c r="D597" i="4"/>
  <c r="C597" i="4"/>
  <c r="B597" i="4"/>
  <c r="C596" i="4"/>
  <c r="B596" i="4"/>
  <c r="C595" i="4"/>
  <c r="B595" i="4"/>
  <c r="F594" i="4"/>
  <c r="E594" i="4"/>
  <c r="D594" i="4"/>
  <c r="C594" i="4"/>
  <c r="B594" i="4"/>
  <c r="F593" i="4"/>
  <c r="E593" i="4"/>
  <c r="D593" i="4"/>
  <c r="C593" i="4"/>
  <c r="B593" i="4"/>
  <c r="F592" i="4"/>
  <c r="E592" i="4"/>
  <c r="D592" i="4"/>
  <c r="C592" i="4"/>
  <c r="B592" i="4"/>
  <c r="F591" i="4"/>
  <c r="E591" i="4"/>
  <c r="D591" i="4"/>
  <c r="C591" i="4"/>
  <c r="B591" i="4"/>
  <c r="C590" i="4"/>
  <c r="B590" i="4"/>
  <c r="F589" i="4"/>
  <c r="E589" i="4"/>
  <c r="D589" i="4"/>
  <c r="C589" i="4"/>
  <c r="B589" i="4"/>
  <c r="F588" i="4"/>
  <c r="E588" i="4"/>
  <c r="D588" i="4"/>
  <c r="C588" i="4"/>
  <c r="B588" i="4"/>
  <c r="F587" i="4"/>
  <c r="E587" i="4"/>
  <c r="D587" i="4"/>
  <c r="C587" i="4"/>
  <c r="B587" i="4"/>
  <c r="F586" i="4"/>
  <c r="E586" i="4"/>
  <c r="D586" i="4"/>
  <c r="C586" i="4"/>
  <c r="B586" i="4"/>
  <c r="C585" i="4"/>
  <c r="B585" i="4"/>
  <c r="E584" i="4"/>
  <c r="D584" i="4"/>
  <c r="C584" i="4"/>
  <c r="B584" i="4"/>
  <c r="C583" i="4"/>
  <c r="B583" i="4"/>
  <c r="F582" i="4"/>
  <c r="E582" i="4"/>
  <c r="D582" i="4"/>
  <c r="C582" i="4"/>
  <c r="B582" i="4"/>
  <c r="F581" i="4"/>
  <c r="E581" i="4"/>
  <c r="D581" i="4"/>
  <c r="C581" i="4"/>
  <c r="B581" i="4"/>
  <c r="F580" i="4"/>
  <c r="E580" i="4"/>
  <c r="D580" i="4"/>
  <c r="C580" i="4"/>
  <c r="B580" i="4"/>
  <c r="F579" i="4"/>
  <c r="E579" i="4"/>
  <c r="D579" i="4"/>
  <c r="C579" i="4"/>
  <c r="B579" i="4"/>
  <c r="F578" i="4"/>
  <c r="E578" i="4"/>
  <c r="D578" i="4"/>
  <c r="C578" i="4"/>
  <c r="B578" i="4"/>
  <c r="F577" i="4"/>
  <c r="E577" i="4"/>
  <c r="D577" i="4"/>
  <c r="C577" i="4"/>
  <c r="B577" i="4"/>
  <c r="F576" i="4"/>
  <c r="E576" i="4"/>
  <c r="D576" i="4"/>
  <c r="C576" i="4"/>
  <c r="B576" i="4"/>
  <c r="F575" i="4"/>
  <c r="E575" i="4"/>
  <c r="D575" i="4"/>
  <c r="C575" i="4"/>
  <c r="B575" i="4"/>
  <c r="F574" i="4"/>
  <c r="E574" i="4"/>
  <c r="D574" i="4"/>
  <c r="C574" i="4"/>
  <c r="B574" i="4"/>
  <c r="E573" i="4"/>
  <c r="C573" i="4"/>
  <c r="B573" i="4"/>
  <c r="F572" i="4"/>
  <c r="D572" i="4"/>
  <c r="C572" i="4"/>
  <c r="B572" i="4"/>
  <c r="F571" i="4"/>
  <c r="E571" i="4"/>
  <c r="D571" i="4"/>
  <c r="C571" i="4"/>
  <c r="B571" i="4"/>
  <c r="F570" i="4"/>
  <c r="E570" i="4"/>
  <c r="D570" i="4"/>
  <c r="C570" i="4"/>
  <c r="B570" i="4"/>
  <c r="F569" i="4"/>
  <c r="E569" i="4"/>
  <c r="D569" i="4"/>
  <c r="C569" i="4"/>
  <c r="B569" i="4"/>
  <c r="F568" i="4"/>
  <c r="E568" i="4"/>
  <c r="C568" i="4"/>
  <c r="B568" i="4"/>
  <c r="F567" i="4"/>
  <c r="E567" i="4"/>
  <c r="D567" i="4"/>
  <c r="C567" i="4"/>
  <c r="B567" i="4"/>
  <c r="C566" i="4"/>
  <c r="B566" i="4"/>
  <c r="D565" i="4"/>
  <c r="C565" i="4"/>
  <c r="B565" i="4"/>
  <c r="F564" i="4"/>
  <c r="E564" i="4"/>
  <c r="D564" i="4"/>
  <c r="C564" i="4"/>
  <c r="B564" i="4"/>
  <c r="F563" i="4"/>
  <c r="E563" i="4"/>
  <c r="D563" i="4"/>
  <c r="C563" i="4"/>
  <c r="B563" i="4"/>
  <c r="F562" i="4"/>
  <c r="E562" i="4"/>
  <c r="C562" i="4"/>
  <c r="B562" i="4"/>
  <c r="F561" i="4"/>
  <c r="E561" i="4"/>
  <c r="D561" i="4"/>
  <c r="C561" i="4"/>
  <c r="B561" i="4"/>
  <c r="F560" i="4"/>
  <c r="D560" i="4"/>
  <c r="C560" i="4"/>
  <c r="B560" i="4"/>
  <c r="F559" i="4"/>
  <c r="D559" i="4"/>
  <c r="C559" i="4"/>
  <c r="B559" i="4"/>
  <c r="F558" i="4"/>
  <c r="E558" i="4"/>
  <c r="C558" i="4"/>
  <c r="B558" i="4"/>
  <c r="F557" i="4"/>
  <c r="E557" i="4"/>
  <c r="D557" i="4"/>
  <c r="C557" i="4"/>
  <c r="B557" i="4"/>
  <c r="F556" i="4"/>
  <c r="E556" i="4"/>
  <c r="D556" i="4"/>
  <c r="C556" i="4"/>
  <c r="B556" i="4"/>
  <c r="F555" i="4"/>
  <c r="E555" i="4"/>
  <c r="D555" i="4"/>
  <c r="C555" i="4"/>
  <c r="B555" i="4"/>
  <c r="F554" i="4"/>
  <c r="E554" i="4"/>
  <c r="D554" i="4"/>
  <c r="C554" i="4"/>
  <c r="B554" i="4"/>
  <c r="F553" i="4"/>
  <c r="E553" i="4"/>
  <c r="D553" i="4"/>
  <c r="C553" i="4"/>
  <c r="B553" i="4"/>
  <c r="F552" i="4"/>
  <c r="E552" i="4"/>
  <c r="D552" i="4"/>
  <c r="C552" i="4"/>
  <c r="B552" i="4"/>
  <c r="F551" i="4"/>
  <c r="E551" i="4"/>
  <c r="D551" i="4"/>
  <c r="C551" i="4"/>
  <c r="B551" i="4"/>
  <c r="F550" i="4"/>
  <c r="C550" i="4"/>
  <c r="B550" i="4"/>
  <c r="F549" i="4"/>
  <c r="C549" i="4"/>
  <c r="B549" i="4"/>
  <c r="F548" i="4"/>
  <c r="C548" i="4"/>
  <c r="B548" i="4"/>
  <c r="F547" i="4"/>
  <c r="D547" i="4"/>
  <c r="C547" i="4"/>
  <c r="B547" i="4"/>
  <c r="F546" i="4"/>
  <c r="E546" i="4"/>
  <c r="D546" i="4"/>
  <c r="C546" i="4"/>
  <c r="B546" i="4"/>
  <c r="F545" i="4"/>
  <c r="E545" i="4"/>
  <c r="D545" i="4"/>
  <c r="C545" i="4"/>
  <c r="B545" i="4"/>
  <c r="F544" i="4"/>
  <c r="E544" i="4"/>
  <c r="D544" i="4"/>
  <c r="C544" i="4"/>
  <c r="B544" i="4"/>
  <c r="F543" i="4"/>
  <c r="E543" i="4"/>
  <c r="D543" i="4"/>
  <c r="C543" i="4"/>
  <c r="B543" i="4"/>
  <c r="F542" i="4"/>
  <c r="E542" i="4"/>
  <c r="D542" i="4"/>
  <c r="C542" i="4"/>
  <c r="B542" i="4"/>
  <c r="F541" i="4"/>
  <c r="E541" i="4"/>
  <c r="D541" i="4"/>
  <c r="C541" i="4"/>
  <c r="B541" i="4"/>
  <c r="F540" i="4"/>
  <c r="E540" i="4"/>
  <c r="D540" i="4"/>
  <c r="C540" i="4"/>
  <c r="B540" i="4"/>
  <c r="F539" i="4"/>
  <c r="E539" i="4"/>
  <c r="D539" i="4"/>
  <c r="C539" i="4"/>
  <c r="B539" i="4"/>
  <c r="F538" i="4"/>
  <c r="E538" i="4"/>
  <c r="D538" i="4"/>
  <c r="C538" i="4"/>
  <c r="B538" i="4"/>
  <c r="F537" i="4"/>
  <c r="E537" i="4"/>
  <c r="D537" i="4"/>
  <c r="C537" i="4"/>
  <c r="B537" i="4"/>
  <c r="F536" i="4"/>
  <c r="E536" i="4"/>
  <c r="D536" i="4"/>
  <c r="C536" i="4"/>
  <c r="B536" i="4"/>
  <c r="F535" i="4"/>
  <c r="E535" i="4"/>
  <c r="D535" i="4"/>
  <c r="C535" i="4"/>
  <c r="B535" i="4"/>
  <c r="F534" i="4"/>
  <c r="D534" i="4"/>
  <c r="C534" i="4"/>
  <c r="B534" i="4"/>
  <c r="F533" i="4"/>
  <c r="D533" i="4"/>
  <c r="C533" i="4"/>
  <c r="B533" i="4"/>
  <c r="F532" i="4"/>
  <c r="E532" i="4"/>
  <c r="D532" i="4"/>
  <c r="C532" i="4"/>
  <c r="B532" i="4"/>
  <c r="F531" i="4"/>
  <c r="E531" i="4"/>
  <c r="D531" i="4"/>
  <c r="C531" i="4"/>
  <c r="B531" i="4"/>
  <c r="F530" i="4"/>
  <c r="E530" i="4"/>
  <c r="D530" i="4"/>
  <c r="C530" i="4"/>
  <c r="B530" i="4"/>
  <c r="F529" i="4"/>
  <c r="E529" i="4"/>
  <c r="D529" i="4"/>
  <c r="C529" i="4"/>
  <c r="B529" i="4"/>
  <c r="F528" i="4"/>
  <c r="E528" i="4"/>
  <c r="C528" i="4"/>
  <c r="B528" i="4"/>
  <c r="E527" i="4"/>
  <c r="C527" i="4"/>
  <c r="B527" i="4"/>
  <c r="F526" i="4"/>
  <c r="E526" i="4"/>
  <c r="D526" i="4"/>
  <c r="C526" i="4"/>
  <c r="B526" i="4"/>
  <c r="F525" i="4"/>
  <c r="E525" i="4"/>
  <c r="D525" i="4"/>
  <c r="C525" i="4"/>
  <c r="B525" i="4"/>
  <c r="F524" i="4"/>
  <c r="E524" i="4"/>
  <c r="D524" i="4"/>
  <c r="C524" i="4"/>
  <c r="B524" i="4"/>
  <c r="F523" i="4"/>
  <c r="E523" i="4"/>
  <c r="D523" i="4"/>
  <c r="C523" i="4"/>
  <c r="B523" i="4"/>
  <c r="F522" i="4"/>
  <c r="E522" i="4"/>
  <c r="D522" i="4"/>
  <c r="C522" i="4"/>
  <c r="B522" i="4"/>
  <c r="F521" i="4"/>
  <c r="E521" i="4"/>
  <c r="D521" i="4"/>
  <c r="C521" i="4"/>
  <c r="B521" i="4"/>
  <c r="F520" i="4"/>
  <c r="E520" i="4"/>
  <c r="C520" i="4"/>
  <c r="B520" i="4"/>
  <c r="F519" i="4"/>
  <c r="E519" i="4"/>
  <c r="D519" i="4"/>
  <c r="C519" i="4"/>
  <c r="B519" i="4"/>
  <c r="F518" i="4"/>
  <c r="E518" i="4"/>
  <c r="D518" i="4"/>
  <c r="C518" i="4"/>
  <c r="B518" i="4"/>
  <c r="F517" i="4"/>
  <c r="E517" i="4"/>
  <c r="D517" i="4"/>
  <c r="C517" i="4"/>
  <c r="B517" i="4"/>
  <c r="F516" i="4"/>
  <c r="E516" i="4"/>
  <c r="D516" i="4"/>
  <c r="C516" i="4"/>
  <c r="B516" i="4"/>
  <c r="F515" i="4"/>
  <c r="E515" i="4"/>
  <c r="D515" i="4"/>
  <c r="C515" i="4"/>
  <c r="B515" i="4"/>
  <c r="F514" i="4"/>
  <c r="E514" i="4"/>
  <c r="D514" i="4"/>
  <c r="C514" i="4"/>
  <c r="B514" i="4"/>
  <c r="F513" i="4"/>
  <c r="E513" i="4"/>
  <c r="D513" i="4"/>
  <c r="C513" i="4"/>
  <c r="B513" i="4"/>
  <c r="F512" i="4"/>
  <c r="E512" i="4"/>
  <c r="D512" i="4"/>
  <c r="C512" i="4"/>
  <c r="B512" i="4"/>
  <c r="F511" i="4"/>
  <c r="E511" i="4"/>
  <c r="D511" i="4"/>
  <c r="C511" i="4"/>
  <c r="B511" i="4"/>
  <c r="F510" i="4"/>
  <c r="E510" i="4"/>
  <c r="D510" i="4"/>
  <c r="C510" i="4"/>
  <c r="B510" i="4"/>
  <c r="F509" i="4"/>
  <c r="E509" i="4"/>
  <c r="D509" i="4"/>
  <c r="C509" i="4"/>
  <c r="B509" i="4"/>
  <c r="F508" i="4"/>
  <c r="E508" i="4"/>
  <c r="D508" i="4"/>
  <c r="C508" i="4"/>
  <c r="B508" i="4"/>
  <c r="F507" i="4"/>
  <c r="E507" i="4"/>
  <c r="D507" i="4"/>
  <c r="C507" i="4"/>
  <c r="B507" i="4"/>
  <c r="F506" i="4"/>
  <c r="E506" i="4"/>
  <c r="D506" i="4"/>
  <c r="C506" i="4"/>
  <c r="B506" i="4"/>
  <c r="F505" i="4"/>
  <c r="E505" i="4"/>
  <c r="D505" i="4"/>
  <c r="C505" i="4"/>
  <c r="B505" i="4"/>
  <c r="F504" i="4"/>
  <c r="E504" i="4"/>
  <c r="D504" i="4"/>
  <c r="C504" i="4"/>
  <c r="B504" i="4"/>
  <c r="F503" i="4"/>
  <c r="E503" i="4"/>
  <c r="D503" i="4"/>
  <c r="C503" i="4"/>
  <c r="B503" i="4"/>
  <c r="F502" i="4"/>
  <c r="E502" i="4"/>
  <c r="D502" i="4"/>
  <c r="C502" i="4"/>
  <c r="B502" i="4"/>
  <c r="F501" i="4"/>
  <c r="E501" i="4"/>
  <c r="C501" i="4"/>
  <c r="B501" i="4"/>
  <c r="F500" i="4"/>
  <c r="E500" i="4"/>
  <c r="D500" i="4"/>
  <c r="C500" i="4"/>
  <c r="B500" i="4"/>
  <c r="F499" i="4"/>
  <c r="E499" i="4"/>
  <c r="D499" i="4"/>
  <c r="C499" i="4"/>
  <c r="B499" i="4"/>
  <c r="F498" i="4"/>
  <c r="E498" i="4"/>
  <c r="D498" i="4"/>
  <c r="C498" i="4"/>
  <c r="B498" i="4"/>
  <c r="F497" i="4"/>
  <c r="E497" i="4"/>
  <c r="D497" i="4"/>
  <c r="C497" i="4"/>
  <c r="B497" i="4"/>
  <c r="F496" i="4"/>
  <c r="E496" i="4"/>
  <c r="D496" i="4"/>
  <c r="C496" i="4"/>
  <c r="B496" i="4"/>
  <c r="F495" i="4"/>
  <c r="E495" i="4"/>
  <c r="D495" i="4"/>
  <c r="C495" i="4"/>
  <c r="B495" i="4"/>
  <c r="F494" i="4"/>
  <c r="E494" i="4"/>
  <c r="D494" i="4"/>
  <c r="C494" i="4"/>
  <c r="B494" i="4"/>
  <c r="F493" i="4"/>
  <c r="E493" i="4"/>
  <c r="D493" i="4"/>
  <c r="C493" i="4"/>
  <c r="B493" i="4"/>
  <c r="F492" i="4"/>
  <c r="E492" i="4"/>
  <c r="D492" i="4"/>
  <c r="C492" i="4"/>
  <c r="B492" i="4"/>
  <c r="F491" i="4"/>
  <c r="E491" i="4"/>
  <c r="D491" i="4"/>
  <c r="C491" i="4"/>
  <c r="B491" i="4"/>
  <c r="F490" i="4"/>
  <c r="E490" i="4"/>
  <c r="D490" i="4"/>
  <c r="C490" i="4"/>
  <c r="B490" i="4"/>
  <c r="F489" i="4"/>
  <c r="E489" i="4"/>
  <c r="D489" i="4"/>
  <c r="C489" i="4"/>
  <c r="B489" i="4"/>
  <c r="F488" i="4"/>
  <c r="E488" i="4"/>
  <c r="D488" i="4"/>
  <c r="C488" i="4"/>
  <c r="B488" i="4"/>
  <c r="F487" i="4"/>
  <c r="E487" i="4"/>
  <c r="D487" i="4"/>
  <c r="C487" i="4"/>
  <c r="B487" i="4"/>
  <c r="F486" i="4"/>
  <c r="E486" i="4"/>
  <c r="D486" i="4"/>
  <c r="C486" i="4"/>
  <c r="B486" i="4"/>
  <c r="F485" i="4"/>
  <c r="E485" i="4"/>
  <c r="D485" i="4"/>
  <c r="C485" i="4"/>
  <c r="B485" i="4"/>
  <c r="F484" i="4"/>
  <c r="E484" i="4"/>
  <c r="D484" i="4"/>
  <c r="C484" i="4"/>
  <c r="B484" i="4"/>
  <c r="F483" i="4"/>
  <c r="E483" i="4"/>
  <c r="D483" i="4"/>
  <c r="C483" i="4"/>
  <c r="B483" i="4"/>
  <c r="F482" i="4"/>
  <c r="E482" i="4"/>
  <c r="D482" i="4"/>
  <c r="C482" i="4"/>
  <c r="B482" i="4"/>
  <c r="F481" i="4"/>
  <c r="E481" i="4"/>
  <c r="D481" i="4"/>
  <c r="C481" i="4"/>
  <c r="B481" i="4"/>
  <c r="F480" i="4"/>
  <c r="E480" i="4"/>
  <c r="D480" i="4"/>
  <c r="C480" i="4"/>
  <c r="B480" i="4"/>
  <c r="F479" i="4"/>
  <c r="E479" i="4"/>
  <c r="D479" i="4"/>
  <c r="C479" i="4"/>
  <c r="B479" i="4"/>
  <c r="F478" i="4"/>
  <c r="E478" i="4"/>
  <c r="D478" i="4"/>
  <c r="C478" i="4"/>
  <c r="B478" i="4"/>
  <c r="F477" i="4"/>
  <c r="E477" i="4"/>
  <c r="D477" i="4"/>
  <c r="C477" i="4"/>
  <c r="B477" i="4"/>
  <c r="F476" i="4"/>
  <c r="D476" i="4"/>
  <c r="C476" i="4"/>
  <c r="B476" i="4"/>
  <c r="F475" i="4"/>
  <c r="E475" i="4"/>
  <c r="D475" i="4"/>
  <c r="C475" i="4"/>
  <c r="B475" i="4"/>
  <c r="F474" i="4"/>
  <c r="E474" i="4"/>
  <c r="D474" i="4"/>
  <c r="C474" i="4"/>
  <c r="B474" i="4"/>
  <c r="F473" i="4"/>
  <c r="E473" i="4"/>
  <c r="D473" i="4"/>
  <c r="C473" i="4"/>
  <c r="B473" i="4"/>
  <c r="F472" i="4"/>
  <c r="E472" i="4"/>
  <c r="D472" i="4"/>
  <c r="C472" i="4"/>
  <c r="B472" i="4"/>
  <c r="F471" i="4"/>
  <c r="E471" i="4"/>
  <c r="D471" i="4"/>
  <c r="C471" i="4"/>
  <c r="B471" i="4"/>
  <c r="F470" i="4"/>
  <c r="E470" i="4"/>
  <c r="D470" i="4"/>
  <c r="C470" i="4"/>
  <c r="B470" i="4"/>
  <c r="F469" i="4"/>
  <c r="D469" i="4"/>
  <c r="C469" i="4"/>
  <c r="B469" i="4"/>
  <c r="F468" i="4"/>
  <c r="E468" i="4"/>
  <c r="D468" i="4"/>
  <c r="C468" i="4"/>
  <c r="B468" i="4"/>
  <c r="F467" i="4"/>
  <c r="E467" i="4"/>
  <c r="D467" i="4"/>
  <c r="C467" i="4"/>
  <c r="B467" i="4"/>
  <c r="F466" i="4"/>
  <c r="E466" i="4"/>
  <c r="D466" i="4"/>
  <c r="C466" i="4"/>
  <c r="B466" i="4"/>
  <c r="F465" i="4"/>
  <c r="D465" i="4"/>
  <c r="C465" i="4"/>
  <c r="B465" i="4"/>
  <c r="F464" i="4"/>
  <c r="E464" i="4"/>
  <c r="D464" i="4"/>
  <c r="C464" i="4"/>
  <c r="B464" i="4"/>
  <c r="F463" i="4"/>
  <c r="E463" i="4"/>
  <c r="D463" i="4"/>
  <c r="C463" i="4"/>
  <c r="B463" i="4"/>
  <c r="F462" i="4"/>
  <c r="E462" i="4"/>
  <c r="D462" i="4"/>
  <c r="C462" i="4"/>
  <c r="B462" i="4"/>
  <c r="F461" i="4"/>
  <c r="E461" i="4"/>
  <c r="D461" i="4"/>
  <c r="C461" i="4"/>
  <c r="B461" i="4"/>
  <c r="F460" i="4"/>
  <c r="E460" i="4"/>
  <c r="D460" i="4"/>
  <c r="C460" i="4"/>
  <c r="B460" i="4"/>
  <c r="F459" i="4"/>
  <c r="E459" i="4"/>
  <c r="D459" i="4"/>
  <c r="C459" i="4"/>
  <c r="B459" i="4"/>
  <c r="F458" i="4"/>
  <c r="E458" i="4"/>
  <c r="D458" i="4"/>
  <c r="C458" i="4"/>
  <c r="B458" i="4"/>
  <c r="F457" i="4"/>
  <c r="E457" i="4"/>
  <c r="D457" i="4"/>
  <c r="C457" i="4"/>
  <c r="B457" i="4"/>
  <c r="F456" i="4"/>
  <c r="E456" i="4"/>
  <c r="D456" i="4"/>
  <c r="C456" i="4"/>
  <c r="B456" i="4"/>
  <c r="F455" i="4"/>
  <c r="E455" i="4"/>
  <c r="D455" i="4"/>
  <c r="C455" i="4"/>
  <c r="B455" i="4"/>
  <c r="F454" i="4"/>
  <c r="D454" i="4"/>
  <c r="C454" i="4"/>
  <c r="B454" i="4"/>
  <c r="F453" i="4"/>
  <c r="D453" i="4"/>
  <c r="C453" i="4"/>
  <c r="B453" i="4"/>
  <c r="F452" i="4"/>
  <c r="E452" i="4"/>
  <c r="D452" i="4"/>
  <c r="C452" i="4"/>
  <c r="B452" i="4"/>
  <c r="F451" i="4"/>
  <c r="E451" i="4"/>
  <c r="D451" i="4"/>
  <c r="C451" i="4"/>
  <c r="B451" i="4"/>
  <c r="F450" i="4"/>
  <c r="E450" i="4"/>
  <c r="D450" i="4"/>
  <c r="C450" i="4"/>
  <c r="B450" i="4"/>
  <c r="F449" i="4"/>
  <c r="E449" i="4"/>
  <c r="D449" i="4"/>
  <c r="C449" i="4"/>
  <c r="B449" i="4"/>
  <c r="F448" i="4"/>
  <c r="D448" i="4"/>
  <c r="C448" i="4"/>
  <c r="B448" i="4"/>
  <c r="F447" i="4"/>
  <c r="E447" i="4"/>
  <c r="D447" i="4"/>
  <c r="C447" i="4"/>
  <c r="B447" i="4"/>
  <c r="F446" i="4"/>
  <c r="E446" i="4"/>
  <c r="D446" i="4"/>
  <c r="C446" i="4"/>
  <c r="B446" i="4"/>
  <c r="F445" i="4"/>
  <c r="E445" i="4"/>
  <c r="D445" i="4"/>
  <c r="C445" i="4"/>
  <c r="B445" i="4"/>
  <c r="F444" i="4"/>
  <c r="E444" i="4"/>
  <c r="C444" i="4"/>
  <c r="B444" i="4"/>
  <c r="F443" i="4"/>
  <c r="E443" i="4"/>
  <c r="C443" i="4"/>
  <c r="B443" i="4"/>
  <c r="F442" i="4"/>
  <c r="E442" i="4"/>
  <c r="C442" i="4"/>
  <c r="B442" i="4"/>
  <c r="F441" i="4"/>
  <c r="E441" i="4"/>
  <c r="D441" i="4"/>
  <c r="C441" i="4"/>
  <c r="B441" i="4"/>
  <c r="F440" i="4"/>
  <c r="E440" i="4"/>
  <c r="D440" i="4"/>
  <c r="C440" i="4"/>
  <c r="B440" i="4"/>
  <c r="F439" i="4"/>
  <c r="E439" i="4"/>
  <c r="D439" i="4"/>
  <c r="C439" i="4"/>
  <c r="B439" i="4"/>
  <c r="F438" i="4"/>
  <c r="E438" i="4"/>
  <c r="D438" i="4"/>
  <c r="C438" i="4"/>
  <c r="B438" i="4"/>
  <c r="F437" i="4"/>
  <c r="E437" i="4"/>
  <c r="C437" i="4"/>
  <c r="B437" i="4"/>
  <c r="F436" i="4"/>
  <c r="E436" i="4"/>
  <c r="C436" i="4"/>
  <c r="B436" i="4"/>
  <c r="F435" i="4"/>
  <c r="E435" i="4"/>
  <c r="D435" i="4"/>
  <c r="C435" i="4"/>
  <c r="B435" i="4"/>
  <c r="F434" i="4"/>
  <c r="E434" i="4"/>
  <c r="C434" i="4"/>
  <c r="B434" i="4"/>
  <c r="F433" i="4"/>
  <c r="E433" i="4"/>
  <c r="C433" i="4"/>
  <c r="B433" i="4"/>
  <c r="F432" i="4"/>
  <c r="E432" i="4"/>
  <c r="C432" i="4"/>
  <c r="B432" i="4"/>
  <c r="F431" i="4"/>
  <c r="E431" i="4"/>
  <c r="D431" i="4"/>
  <c r="C431" i="4"/>
  <c r="B431" i="4"/>
  <c r="F430" i="4"/>
  <c r="E430" i="4"/>
  <c r="C430" i="4"/>
  <c r="B430" i="4"/>
  <c r="F429" i="4"/>
  <c r="E429" i="4"/>
  <c r="D429" i="4"/>
  <c r="C429" i="4"/>
  <c r="B429" i="4"/>
  <c r="F428" i="4"/>
  <c r="E428" i="4"/>
  <c r="D428" i="4"/>
  <c r="C428" i="4"/>
  <c r="B428" i="4"/>
  <c r="F427" i="4"/>
  <c r="E427" i="4"/>
  <c r="D427" i="4"/>
  <c r="C427" i="4"/>
  <c r="B427" i="4"/>
  <c r="F426" i="4"/>
  <c r="E426" i="4"/>
  <c r="D426" i="4"/>
  <c r="C426" i="4"/>
  <c r="B426" i="4"/>
  <c r="F425" i="4"/>
  <c r="E425" i="4"/>
  <c r="D425" i="4"/>
  <c r="C425" i="4"/>
  <c r="B425" i="4"/>
  <c r="F424" i="4"/>
  <c r="E424" i="4"/>
  <c r="D424" i="4"/>
  <c r="C424" i="4"/>
  <c r="B424" i="4"/>
  <c r="F423" i="4"/>
  <c r="E423" i="4"/>
  <c r="D423" i="4"/>
  <c r="C423" i="4"/>
  <c r="B423" i="4"/>
  <c r="F422" i="4"/>
  <c r="E422" i="4"/>
  <c r="D422" i="4"/>
  <c r="C422" i="4"/>
  <c r="B422" i="4"/>
  <c r="F421" i="4"/>
  <c r="E421" i="4"/>
  <c r="D421" i="4"/>
  <c r="C421" i="4"/>
  <c r="B421" i="4"/>
  <c r="F420" i="4"/>
  <c r="E420" i="4"/>
  <c r="D420" i="4"/>
  <c r="C420" i="4"/>
  <c r="B420" i="4"/>
  <c r="F419" i="4"/>
  <c r="E419" i="4"/>
  <c r="D419" i="4"/>
  <c r="C419" i="4"/>
  <c r="B419" i="4"/>
  <c r="F418" i="4"/>
  <c r="E418" i="4"/>
  <c r="D418" i="4"/>
  <c r="C418" i="4"/>
  <c r="B418" i="4"/>
  <c r="F417" i="4"/>
  <c r="E417" i="4"/>
  <c r="D417" i="4"/>
  <c r="C417" i="4"/>
  <c r="B417" i="4"/>
  <c r="F416" i="4"/>
  <c r="E416" i="4"/>
  <c r="D416" i="4"/>
  <c r="C416" i="4"/>
  <c r="B416" i="4"/>
  <c r="E415" i="4"/>
  <c r="C415" i="4"/>
  <c r="B415" i="4"/>
  <c r="F414" i="4"/>
  <c r="E414" i="4"/>
  <c r="D414" i="4"/>
  <c r="C414" i="4"/>
  <c r="B414" i="4"/>
  <c r="F413" i="4"/>
  <c r="E413" i="4"/>
  <c r="D413" i="4"/>
  <c r="C413" i="4"/>
  <c r="B413" i="4"/>
  <c r="F412" i="4"/>
  <c r="E412" i="4"/>
  <c r="D412" i="4"/>
  <c r="C412" i="4"/>
  <c r="B412" i="4"/>
  <c r="F411" i="4"/>
  <c r="E411" i="4"/>
  <c r="D411" i="4"/>
  <c r="C411" i="4"/>
  <c r="B411" i="4"/>
  <c r="F410" i="4"/>
  <c r="E410" i="4"/>
  <c r="D410" i="4"/>
  <c r="C410" i="4"/>
  <c r="B410" i="4"/>
  <c r="F409" i="4"/>
  <c r="E409" i="4"/>
  <c r="C409" i="4"/>
  <c r="B409" i="4"/>
  <c r="F408" i="4"/>
  <c r="E408" i="4"/>
  <c r="C408" i="4"/>
  <c r="B408" i="4"/>
  <c r="F407" i="4"/>
  <c r="E407" i="4"/>
  <c r="C407" i="4"/>
  <c r="B407" i="4"/>
  <c r="F406" i="4"/>
  <c r="E406" i="4"/>
  <c r="C406" i="4"/>
  <c r="B406" i="4"/>
  <c r="F405" i="4"/>
  <c r="E405" i="4"/>
  <c r="C405" i="4"/>
  <c r="B405" i="4"/>
  <c r="F404" i="4"/>
  <c r="D404" i="4"/>
  <c r="C404" i="4"/>
  <c r="B404" i="4"/>
  <c r="F403" i="4"/>
  <c r="E403" i="4"/>
  <c r="D403" i="4"/>
  <c r="C403" i="4"/>
  <c r="B403" i="4"/>
  <c r="F402" i="4"/>
  <c r="E402" i="4"/>
  <c r="C402" i="4"/>
  <c r="B402" i="4"/>
  <c r="F401" i="4"/>
  <c r="E401" i="4"/>
  <c r="C401" i="4"/>
  <c r="B401" i="4"/>
  <c r="F400" i="4"/>
  <c r="E400" i="4"/>
  <c r="C400" i="4"/>
  <c r="B400" i="4"/>
  <c r="F399" i="4"/>
  <c r="E399" i="4"/>
  <c r="D399" i="4"/>
  <c r="C399" i="4"/>
  <c r="B399" i="4"/>
  <c r="F398" i="4"/>
  <c r="E398" i="4"/>
  <c r="D398" i="4"/>
  <c r="C398" i="4"/>
  <c r="B398" i="4"/>
  <c r="F397" i="4"/>
  <c r="E397" i="4"/>
  <c r="D397" i="4"/>
  <c r="C397" i="4"/>
  <c r="B397" i="4"/>
  <c r="F396" i="4"/>
  <c r="E396" i="4"/>
  <c r="D396" i="4"/>
  <c r="C396" i="4"/>
  <c r="B396" i="4"/>
  <c r="F395" i="4"/>
  <c r="E395" i="4"/>
  <c r="D395" i="4"/>
  <c r="C395" i="4"/>
  <c r="B395" i="4"/>
  <c r="F394" i="4"/>
  <c r="E394" i="4"/>
  <c r="D394" i="4"/>
  <c r="C394" i="4"/>
  <c r="B394" i="4"/>
  <c r="F393" i="4"/>
  <c r="E393" i="4"/>
  <c r="D393" i="4"/>
  <c r="C393" i="4"/>
  <c r="B393" i="4"/>
  <c r="F392" i="4"/>
  <c r="E392" i="4"/>
  <c r="D392" i="4"/>
  <c r="C392" i="4"/>
  <c r="B392" i="4"/>
  <c r="F391" i="4"/>
  <c r="E391" i="4"/>
  <c r="D391" i="4"/>
  <c r="C391" i="4"/>
  <c r="B391" i="4"/>
  <c r="F390" i="4"/>
  <c r="E390" i="4"/>
  <c r="D390" i="4"/>
  <c r="C390" i="4"/>
  <c r="B390" i="4"/>
  <c r="F389" i="4"/>
  <c r="E389" i="4"/>
  <c r="D389" i="4"/>
  <c r="C389" i="4"/>
  <c r="B389" i="4"/>
  <c r="F388" i="4"/>
  <c r="E388" i="4"/>
  <c r="D388" i="4"/>
  <c r="C388" i="4"/>
  <c r="B388" i="4"/>
  <c r="F387" i="4"/>
  <c r="E387" i="4"/>
  <c r="C387" i="4"/>
  <c r="B387" i="4"/>
  <c r="F386" i="4"/>
  <c r="E386" i="4"/>
  <c r="C386" i="4"/>
  <c r="B386" i="4"/>
  <c r="F385" i="4"/>
  <c r="E385" i="4"/>
  <c r="C385" i="4"/>
  <c r="B385" i="4"/>
  <c r="F384" i="4"/>
  <c r="E384" i="4"/>
  <c r="D384" i="4"/>
  <c r="C384" i="4"/>
  <c r="B384" i="4"/>
  <c r="F383" i="4"/>
  <c r="E383" i="4"/>
  <c r="D383" i="4"/>
  <c r="C383" i="4"/>
  <c r="B383" i="4"/>
  <c r="F382" i="4"/>
  <c r="E382" i="4"/>
  <c r="D382" i="4"/>
  <c r="C382" i="4"/>
  <c r="B382" i="4"/>
  <c r="F381" i="4"/>
  <c r="E381" i="4"/>
  <c r="D381" i="4"/>
  <c r="C381" i="4"/>
  <c r="B381" i="4"/>
  <c r="F380" i="4"/>
  <c r="E380" i="4"/>
  <c r="D380" i="4"/>
  <c r="C380" i="4"/>
  <c r="B380" i="4"/>
  <c r="F379" i="4"/>
  <c r="E379" i="4"/>
  <c r="D379" i="4"/>
  <c r="C379" i="4"/>
  <c r="B379" i="4"/>
  <c r="F378" i="4"/>
  <c r="E378" i="4"/>
  <c r="D378" i="4"/>
  <c r="C378" i="4"/>
  <c r="B378" i="4"/>
  <c r="F377" i="4"/>
  <c r="E377" i="4"/>
  <c r="D377" i="4"/>
  <c r="C377" i="4"/>
  <c r="B377" i="4"/>
  <c r="F376" i="4"/>
  <c r="E376" i="4"/>
  <c r="D376" i="4"/>
  <c r="C376" i="4"/>
  <c r="B376" i="4"/>
  <c r="F375" i="4"/>
  <c r="E375" i="4"/>
  <c r="C375" i="4"/>
  <c r="B375" i="4"/>
  <c r="F374" i="4"/>
  <c r="E374" i="4"/>
  <c r="C374" i="4"/>
  <c r="B374" i="4"/>
  <c r="F373" i="4"/>
  <c r="E373" i="4"/>
  <c r="D373" i="4"/>
  <c r="C373" i="4"/>
  <c r="B373" i="4"/>
  <c r="F372" i="4"/>
  <c r="E372" i="4"/>
  <c r="C372" i="4"/>
  <c r="B372" i="4"/>
  <c r="F371" i="4"/>
  <c r="E371" i="4"/>
  <c r="D371" i="4"/>
  <c r="C371" i="4"/>
  <c r="B371" i="4"/>
  <c r="F370" i="4"/>
  <c r="E370" i="4"/>
  <c r="D370" i="4"/>
  <c r="C370" i="4"/>
  <c r="B370" i="4"/>
  <c r="F369" i="4"/>
  <c r="E369" i="4"/>
  <c r="D369" i="4"/>
  <c r="C369" i="4"/>
  <c r="B369" i="4"/>
  <c r="F368" i="4"/>
  <c r="E368" i="4"/>
  <c r="D368" i="4"/>
  <c r="C368" i="4"/>
  <c r="B368" i="4"/>
  <c r="F367" i="4"/>
  <c r="E367" i="4"/>
  <c r="D367" i="4"/>
  <c r="C367" i="4"/>
  <c r="B367" i="4"/>
  <c r="F366" i="4"/>
  <c r="E366" i="4"/>
  <c r="D366" i="4"/>
  <c r="C366" i="4"/>
  <c r="B366" i="4"/>
  <c r="F365" i="4"/>
  <c r="E365" i="4"/>
  <c r="D365" i="4"/>
  <c r="C365" i="4"/>
  <c r="B365" i="4"/>
  <c r="F364" i="4"/>
  <c r="E364" i="4"/>
  <c r="D364" i="4"/>
  <c r="C364" i="4"/>
  <c r="B364" i="4"/>
  <c r="F363" i="4"/>
  <c r="E363" i="4"/>
  <c r="D363" i="4"/>
  <c r="C363" i="4"/>
  <c r="B363" i="4"/>
  <c r="F362" i="4"/>
  <c r="E362" i="4"/>
  <c r="C362" i="4"/>
  <c r="B362" i="4"/>
  <c r="F361" i="4"/>
  <c r="E361" i="4"/>
  <c r="C361" i="4"/>
  <c r="B361" i="4"/>
  <c r="F360" i="4"/>
  <c r="E360" i="4"/>
  <c r="C360" i="4"/>
  <c r="B360" i="4"/>
  <c r="F359" i="4"/>
  <c r="E359" i="4"/>
  <c r="C359" i="4"/>
  <c r="B359" i="4"/>
  <c r="E358" i="4"/>
  <c r="C358" i="4"/>
  <c r="B358" i="4"/>
  <c r="D357" i="4"/>
  <c r="C357" i="4"/>
  <c r="B357" i="4"/>
  <c r="D356" i="4"/>
  <c r="C356" i="4"/>
  <c r="B356" i="4"/>
  <c r="D355" i="4"/>
  <c r="C355" i="4"/>
  <c r="B355" i="4"/>
  <c r="D354" i="4"/>
  <c r="C354" i="4"/>
  <c r="B354" i="4"/>
  <c r="C353" i="4"/>
  <c r="B353" i="4"/>
  <c r="F352" i="4"/>
  <c r="E352" i="4"/>
  <c r="D352" i="4"/>
  <c r="C352" i="4"/>
  <c r="B352" i="4"/>
  <c r="F351" i="4"/>
  <c r="E351" i="4"/>
  <c r="D351" i="4"/>
  <c r="C351" i="4"/>
  <c r="B351" i="4"/>
  <c r="C350" i="4"/>
  <c r="B350" i="4"/>
  <c r="F349" i="4"/>
  <c r="E349" i="4"/>
  <c r="D349" i="4"/>
  <c r="C349" i="4"/>
  <c r="B349" i="4"/>
  <c r="F348" i="4"/>
  <c r="E348" i="4"/>
  <c r="D348" i="4"/>
  <c r="C348" i="4"/>
  <c r="B348" i="4"/>
  <c r="F347" i="4"/>
  <c r="E347" i="4"/>
  <c r="C347" i="4"/>
  <c r="B347" i="4"/>
  <c r="F346" i="4"/>
  <c r="E346" i="4"/>
  <c r="C346" i="4"/>
  <c r="B346" i="4"/>
  <c r="F345" i="4"/>
  <c r="E345" i="4"/>
  <c r="C345" i="4"/>
  <c r="B345" i="4"/>
  <c r="F344" i="4"/>
  <c r="E344" i="4"/>
  <c r="D344" i="4"/>
  <c r="C344" i="4"/>
  <c r="B344" i="4"/>
  <c r="F343" i="4"/>
  <c r="E343" i="4"/>
  <c r="D343" i="4"/>
  <c r="C343" i="4"/>
  <c r="B343" i="4"/>
  <c r="F342" i="4"/>
  <c r="E342" i="4"/>
  <c r="D342" i="4"/>
  <c r="C342" i="4"/>
  <c r="B342" i="4"/>
  <c r="F341" i="4"/>
  <c r="E341" i="4"/>
  <c r="D341" i="4"/>
  <c r="C341" i="4"/>
  <c r="B341" i="4"/>
  <c r="F340" i="4"/>
  <c r="E340" i="4"/>
  <c r="D340" i="4"/>
  <c r="C340" i="4"/>
  <c r="B340" i="4"/>
  <c r="F339" i="4"/>
  <c r="D339" i="4"/>
  <c r="C339" i="4"/>
  <c r="B339" i="4"/>
  <c r="F338" i="4"/>
  <c r="E338" i="4"/>
  <c r="D338" i="4"/>
  <c r="C338" i="4"/>
  <c r="B338" i="4"/>
  <c r="F337" i="4"/>
  <c r="E337" i="4"/>
  <c r="D337" i="4"/>
  <c r="C337" i="4"/>
  <c r="B337" i="4"/>
  <c r="F336" i="4"/>
  <c r="E336" i="4"/>
  <c r="D336" i="4"/>
  <c r="C336" i="4"/>
  <c r="B336" i="4"/>
  <c r="F335" i="4"/>
  <c r="E335" i="4"/>
  <c r="D335" i="4"/>
  <c r="C335" i="4"/>
  <c r="B335" i="4"/>
  <c r="F334" i="4"/>
  <c r="E334" i="4"/>
  <c r="D334" i="4"/>
  <c r="C334" i="4"/>
  <c r="B334" i="4"/>
  <c r="F333" i="4"/>
  <c r="E333" i="4"/>
  <c r="D333" i="4"/>
  <c r="C333" i="4"/>
  <c r="B333" i="4"/>
  <c r="F332" i="4"/>
  <c r="E332" i="4"/>
  <c r="D332" i="4"/>
  <c r="C332" i="4"/>
  <c r="B332" i="4"/>
  <c r="F331" i="4"/>
  <c r="E331" i="4"/>
  <c r="D331" i="4"/>
  <c r="C331" i="4"/>
  <c r="B331" i="4"/>
  <c r="F330" i="4"/>
  <c r="E330" i="4"/>
  <c r="D330" i="4"/>
  <c r="C330" i="4"/>
  <c r="B330" i="4"/>
  <c r="F329" i="4"/>
  <c r="E329" i="4"/>
  <c r="D329" i="4"/>
  <c r="C329" i="4"/>
  <c r="B329" i="4"/>
  <c r="F328" i="4"/>
  <c r="E328" i="4"/>
  <c r="D328" i="4"/>
  <c r="C328" i="4"/>
  <c r="B328" i="4"/>
  <c r="F327" i="4"/>
  <c r="E327" i="4"/>
  <c r="D327" i="4"/>
  <c r="C327" i="4"/>
  <c r="B327" i="4"/>
  <c r="F326" i="4"/>
  <c r="E326" i="4"/>
  <c r="D326" i="4"/>
  <c r="C326" i="4"/>
  <c r="B326" i="4"/>
  <c r="F325" i="4"/>
  <c r="E325" i="4"/>
  <c r="D325" i="4"/>
  <c r="C325" i="4"/>
  <c r="B325" i="4"/>
  <c r="F324" i="4"/>
  <c r="E324" i="4"/>
  <c r="D324" i="4"/>
  <c r="C324" i="4"/>
  <c r="B324" i="4"/>
  <c r="F323" i="4"/>
  <c r="E323" i="4"/>
  <c r="D323" i="4"/>
  <c r="C323" i="4"/>
  <c r="B323" i="4"/>
  <c r="F322" i="4"/>
  <c r="E322" i="4"/>
  <c r="D322" i="4"/>
  <c r="C322" i="4"/>
  <c r="B322" i="4"/>
  <c r="F321" i="4"/>
  <c r="E321" i="4"/>
  <c r="D321" i="4"/>
  <c r="C321" i="4"/>
  <c r="B321" i="4"/>
  <c r="F320" i="4"/>
  <c r="E320" i="4"/>
  <c r="D320" i="4"/>
  <c r="C320" i="4"/>
  <c r="B320" i="4"/>
  <c r="F319" i="4"/>
  <c r="E319" i="4"/>
  <c r="D319" i="4"/>
  <c r="C319" i="4"/>
  <c r="B319" i="4"/>
  <c r="F318" i="4"/>
  <c r="D318" i="4"/>
  <c r="C318" i="4"/>
  <c r="B318" i="4"/>
  <c r="F317" i="4"/>
  <c r="D317" i="4"/>
  <c r="C317" i="4"/>
  <c r="B317" i="4"/>
  <c r="F316" i="4"/>
  <c r="E316" i="4"/>
  <c r="D316" i="4"/>
  <c r="C316" i="4"/>
  <c r="B316" i="4"/>
  <c r="F315" i="4"/>
  <c r="E315" i="4"/>
  <c r="D315" i="4"/>
  <c r="C315" i="4"/>
  <c r="B315" i="4"/>
  <c r="F314" i="4"/>
  <c r="E314" i="4"/>
  <c r="C314" i="4"/>
  <c r="B314" i="4"/>
  <c r="F313" i="4"/>
  <c r="E313" i="4"/>
  <c r="D313" i="4"/>
  <c r="C313" i="4"/>
  <c r="B313" i="4"/>
  <c r="F312" i="4"/>
  <c r="E312" i="4"/>
  <c r="D312" i="4"/>
  <c r="C312" i="4"/>
  <c r="B312" i="4"/>
  <c r="F311" i="4"/>
  <c r="E311" i="4"/>
  <c r="D311" i="4"/>
  <c r="C311" i="4"/>
  <c r="B311" i="4"/>
  <c r="F310" i="4"/>
  <c r="E310" i="4"/>
  <c r="D310" i="4"/>
  <c r="C310" i="4"/>
  <c r="B310" i="4"/>
  <c r="F309" i="4"/>
  <c r="E309" i="4"/>
  <c r="D309" i="4"/>
  <c r="C309" i="4"/>
  <c r="B309" i="4"/>
  <c r="F308" i="4"/>
  <c r="E308" i="4"/>
  <c r="D308" i="4"/>
  <c r="C308" i="4"/>
  <c r="B308" i="4"/>
  <c r="F307" i="4"/>
  <c r="E307" i="4"/>
  <c r="D307" i="4"/>
  <c r="C307" i="4"/>
  <c r="B307" i="4"/>
  <c r="F306" i="4"/>
  <c r="E306" i="4"/>
  <c r="D306" i="4"/>
  <c r="C306" i="4"/>
  <c r="B306" i="4"/>
  <c r="F305" i="4"/>
  <c r="E305" i="4"/>
  <c r="D305" i="4"/>
  <c r="C305" i="4"/>
  <c r="B305" i="4"/>
  <c r="F304" i="4"/>
  <c r="E304" i="4"/>
  <c r="D304" i="4"/>
  <c r="C304" i="4"/>
  <c r="B304" i="4"/>
  <c r="F303" i="4"/>
  <c r="E303" i="4"/>
  <c r="D303" i="4"/>
  <c r="C303" i="4"/>
  <c r="B303" i="4"/>
  <c r="F302" i="4"/>
  <c r="E302" i="4"/>
  <c r="D302" i="4"/>
  <c r="C302" i="4"/>
  <c r="B302" i="4"/>
  <c r="F301" i="4"/>
  <c r="E301" i="4"/>
  <c r="D301" i="4"/>
  <c r="C301" i="4"/>
  <c r="B301" i="4"/>
  <c r="F300" i="4"/>
  <c r="E300" i="4"/>
  <c r="D300" i="4"/>
  <c r="C300" i="4"/>
  <c r="B300" i="4"/>
  <c r="D299" i="4"/>
  <c r="C299" i="4"/>
  <c r="B299" i="4"/>
  <c r="F298" i="4"/>
  <c r="E298" i="4"/>
  <c r="D298" i="4"/>
  <c r="C298" i="4"/>
  <c r="B298" i="4"/>
  <c r="F297" i="4"/>
  <c r="E297" i="4"/>
  <c r="D297" i="4"/>
  <c r="C297" i="4"/>
  <c r="B297" i="4"/>
  <c r="F296" i="4"/>
  <c r="E296" i="4"/>
  <c r="D296" i="4"/>
  <c r="C296" i="4"/>
  <c r="B296" i="4"/>
  <c r="F295" i="4"/>
  <c r="E295" i="4"/>
  <c r="D295" i="4"/>
  <c r="C295" i="4"/>
  <c r="B295" i="4"/>
  <c r="C294" i="4"/>
  <c r="B294" i="4"/>
  <c r="F293" i="4"/>
  <c r="E293" i="4"/>
  <c r="D293" i="4"/>
  <c r="C293" i="4"/>
  <c r="B293" i="4"/>
  <c r="F292" i="4"/>
  <c r="E292" i="4"/>
  <c r="D292" i="4"/>
  <c r="C292" i="4"/>
  <c r="B292" i="4"/>
  <c r="F291" i="4"/>
  <c r="E291" i="4"/>
  <c r="C291" i="4"/>
  <c r="B291" i="4"/>
  <c r="F290" i="4"/>
  <c r="E290" i="4"/>
  <c r="C290" i="4"/>
  <c r="B290" i="4"/>
  <c r="F289" i="4"/>
  <c r="E289" i="4"/>
  <c r="D289" i="4"/>
  <c r="C289" i="4"/>
  <c r="B289" i="4"/>
  <c r="F288" i="4"/>
  <c r="E288" i="4"/>
  <c r="D288" i="4"/>
  <c r="C288" i="4"/>
  <c r="B288" i="4"/>
  <c r="F287" i="4"/>
  <c r="E287" i="4"/>
  <c r="D287" i="4"/>
  <c r="C287" i="4"/>
  <c r="B287" i="4"/>
  <c r="F286" i="4"/>
  <c r="E286" i="4"/>
  <c r="D286" i="4"/>
  <c r="C286" i="4"/>
  <c r="B286" i="4"/>
  <c r="F285" i="4"/>
  <c r="E285" i="4"/>
  <c r="D285" i="4"/>
  <c r="C285" i="4"/>
  <c r="B285" i="4"/>
  <c r="F284" i="4"/>
  <c r="E284" i="4"/>
  <c r="D284" i="4"/>
  <c r="C284" i="4"/>
  <c r="B284" i="4"/>
  <c r="F283" i="4"/>
  <c r="E283" i="4"/>
  <c r="D283" i="4"/>
  <c r="C283" i="4"/>
  <c r="B283" i="4"/>
  <c r="F282" i="4"/>
  <c r="E282" i="4"/>
  <c r="D282" i="4"/>
  <c r="C282" i="4"/>
  <c r="B282" i="4"/>
  <c r="F281" i="4"/>
  <c r="E281" i="4"/>
  <c r="D281" i="4"/>
  <c r="C281" i="4"/>
  <c r="B281" i="4"/>
  <c r="F280" i="4"/>
  <c r="E280" i="4"/>
  <c r="D280" i="4"/>
  <c r="C280" i="4"/>
  <c r="B280" i="4"/>
  <c r="F279" i="4"/>
  <c r="E279" i="4"/>
  <c r="C279" i="4"/>
  <c r="B279" i="4"/>
  <c r="F278" i="4"/>
  <c r="E278" i="4"/>
  <c r="C278" i="4"/>
  <c r="B278" i="4"/>
  <c r="F277" i="4"/>
  <c r="E277" i="4"/>
  <c r="D277" i="4"/>
  <c r="C277" i="4"/>
  <c r="B277" i="4"/>
  <c r="F276" i="4"/>
  <c r="E276" i="4"/>
  <c r="C276" i="4"/>
  <c r="B276" i="4"/>
  <c r="F275" i="4"/>
  <c r="E275" i="4"/>
  <c r="D275" i="4"/>
  <c r="C275" i="4"/>
  <c r="B275" i="4"/>
  <c r="F274" i="4"/>
  <c r="E274" i="4"/>
  <c r="D274" i="4"/>
  <c r="C274" i="4"/>
  <c r="B274" i="4"/>
  <c r="F273" i="4"/>
  <c r="D273" i="4"/>
  <c r="C273" i="4"/>
  <c r="B273" i="4"/>
  <c r="F272" i="4"/>
  <c r="E272" i="4"/>
  <c r="D272" i="4"/>
  <c r="C272" i="4"/>
  <c r="B272" i="4"/>
  <c r="F271" i="4"/>
  <c r="E271" i="4"/>
  <c r="C271" i="4"/>
  <c r="B271" i="4"/>
  <c r="F270" i="4"/>
  <c r="E270" i="4"/>
  <c r="C270" i="4"/>
  <c r="B270" i="4"/>
  <c r="F269" i="4"/>
  <c r="E269" i="4"/>
  <c r="C269" i="4"/>
  <c r="B269" i="4"/>
  <c r="F268" i="4"/>
  <c r="E268" i="4"/>
  <c r="C268" i="4"/>
  <c r="B268" i="4"/>
  <c r="F267" i="4"/>
  <c r="E267" i="4"/>
  <c r="C267" i="4"/>
  <c r="B267" i="4"/>
  <c r="F266" i="4"/>
  <c r="E266" i="4"/>
  <c r="D266" i="4"/>
  <c r="C266" i="4"/>
  <c r="B266" i="4"/>
  <c r="F265" i="4"/>
  <c r="E265" i="4"/>
  <c r="C265" i="4"/>
  <c r="B265" i="4"/>
  <c r="F264" i="4"/>
  <c r="D264" i="4"/>
  <c r="C264" i="4"/>
  <c r="B264" i="4"/>
  <c r="F263" i="4"/>
  <c r="E263" i="4"/>
  <c r="D263" i="4"/>
  <c r="C263" i="4"/>
  <c r="B263" i="4"/>
  <c r="C262" i="4"/>
  <c r="B262" i="4"/>
  <c r="C261" i="4"/>
  <c r="B261" i="4"/>
  <c r="C260" i="4"/>
  <c r="B260" i="4"/>
  <c r="C259" i="4"/>
  <c r="B259" i="4"/>
  <c r="F258" i="4"/>
  <c r="E258" i="4"/>
  <c r="D258" i="4"/>
  <c r="C258" i="4"/>
  <c r="B258" i="4"/>
  <c r="F257" i="4"/>
  <c r="E257" i="4"/>
  <c r="D257" i="4"/>
  <c r="C257" i="4"/>
  <c r="B257" i="4"/>
  <c r="F256" i="4"/>
  <c r="E256" i="4"/>
  <c r="D256" i="4"/>
  <c r="C256" i="4"/>
  <c r="B256" i="4"/>
  <c r="F255" i="4"/>
  <c r="E255" i="4"/>
  <c r="D255" i="4"/>
  <c r="C255" i="4"/>
  <c r="B255" i="4"/>
  <c r="F254" i="4"/>
  <c r="E254" i="4"/>
  <c r="D254" i="4"/>
  <c r="C254" i="4"/>
  <c r="B254" i="4"/>
  <c r="F253" i="4"/>
  <c r="E253" i="4"/>
  <c r="D253" i="4"/>
  <c r="C253" i="4"/>
  <c r="B253" i="4"/>
  <c r="F252" i="4"/>
  <c r="E252" i="4"/>
  <c r="D252" i="4"/>
  <c r="C252" i="4"/>
  <c r="B252" i="4"/>
  <c r="F251" i="4"/>
  <c r="D251" i="4"/>
  <c r="C251" i="4"/>
  <c r="B251" i="4"/>
  <c r="F250" i="4"/>
  <c r="E250" i="4"/>
  <c r="D250" i="4"/>
  <c r="C250" i="4"/>
  <c r="B250" i="4"/>
  <c r="F249" i="4"/>
  <c r="E249" i="4"/>
  <c r="D249" i="4"/>
  <c r="C249" i="4"/>
  <c r="B249" i="4"/>
  <c r="F248" i="4"/>
  <c r="E248" i="4"/>
  <c r="D248" i="4"/>
  <c r="C248" i="4"/>
  <c r="B248" i="4"/>
  <c r="F247" i="4"/>
  <c r="E247" i="4"/>
  <c r="D247" i="4"/>
  <c r="C247" i="4"/>
  <c r="B247" i="4"/>
  <c r="F246" i="4"/>
  <c r="E246" i="4"/>
  <c r="D246" i="4"/>
  <c r="C246" i="4"/>
  <c r="B246" i="4"/>
  <c r="F245" i="4"/>
  <c r="E245" i="4"/>
  <c r="C245" i="4"/>
  <c r="B245" i="4"/>
  <c r="F244" i="4"/>
  <c r="E244" i="4"/>
  <c r="D244" i="4"/>
  <c r="C244" i="4"/>
  <c r="B244" i="4"/>
  <c r="F243" i="4"/>
  <c r="E243" i="4"/>
  <c r="D243" i="4"/>
  <c r="C243" i="4"/>
  <c r="B243" i="4"/>
  <c r="F242" i="4"/>
  <c r="E242" i="4"/>
  <c r="D242" i="4"/>
  <c r="C242" i="4"/>
  <c r="B242" i="4"/>
  <c r="F241" i="4"/>
  <c r="D241" i="4"/>
  <c r="C241" i="4"/>
  <c r="B241" i="4"/>
  <c r="F240" i="4"/>
  <c r="E240" i="4"/>
  <c r="C240" i="4"/>
  <c r="B240" i="4"/>
  <c r="F239" i="4"/>
  <c r="E239" i="4"/>
  <c r="C239" i="4"/>
  <c r="B239" i="4"/>
  <c r="F238" i="4"/>
  <c r="E238" i="4"/>
  <c r="C238" i="4"/>
  <c r="B238" i="4"/>
  <c r="F237" i="4"/>
  <c r="E237" i="4"/>
  <c r="C237" i="4"/>
  <c r="B237" i="4"/>
  <c r="F236" i="4"/>
  <c r="E236" i="4"/>
  <c r="C236" i="4"/>
  <c r="B236" i="4"/>
  <c r="F235" i="4"/>
  <c r="E235" i="4"/>
  <c r="D235" i="4"/>
  <c r="C235" i="4"/>
  <c r="B235" i="4"/>
  <c r="F234" i="4"/>
  <c r="E234" i="4"/>
  <c r="D234" i="4"/>
  <c r="C234" i="4"/>
  <c r="B234" i="4"/>
  <c r="F233" i="4"/>
  <c r="E233" i="4"/>
  <c r="C233" i="4"/>
  <c r="B233" i="4"/>
  <c r="F232" i="4"/>
  <c r="E232" i="4"/>
  <c r="C232" i="4"/>
  <c r="B232" i="4"/>
  <c r="F231" i="4"/>
  <c r="E231" i="4"/>
  <c r="D231" i="4"/>
  <c r="C231" i="4"/>
  <c r="B231" i="4"/>
  <c r="F230" i="4"/>
  <c r="E230" i="4"/>
  <c r="D230" i="4"/>
  <c r="C230" i="4"/>
  <c r="B230" i="4"/>
  <c r="F229" i="4"/>
  <c r="E229" i="4"/>
  <c r="D229" i="4"/>
  <c r="C229" i="4"/>
  <c r="B229" i="4"/>
  <c r="F228" i="4"/>
  <c r="E228" i="4"/>
  <c r="D228" i="4"/>
  <c r="C228" i="4"/>
  <c r="B228" i="4"/>
  <c r="F227" i="4"/>
  <c r="E227" i="4"/>
  <c r="D227" i="4"/>
  <c r="C227" i="4"/>
  <c r="B227" i="4"/>
  <c r="F226" i="4"/>
  <c r="E226" i="4"/>
  <c r="C226" i="4"/>
  <c r="B226" i="4"/>
  <c r="F225" i="4"/>
  <c r="E225" i="4"/>
  <c r="D225" i="4"/>
  <c r="C225" i="4"/>
  <c r="B225" i="4"/>
  <c r="F224" i="4"/>
  <c r="E224" i="4"/>
  <c r="D224" i="4"/>
  <c r="C224" i="4"/>
  <c r="B224" i="4"/>
  <c r="F223" i="4"/>
  <c r="E223" i="4"/>
  <c r="D223" i="4"/>
  <c r="C223" i="4"/>
  <c r="B223" i="4"/>
  <c r="F222" i="4"/>
  <c r="E222" i="4"/>
  <c r="D222" i="4"/>
  <c r="C222" i="4"/>
  <c r="B222" i="4"/>
  <c r="F221" i="4"/>
  <c r="E221" i="4"/>
  <c r="D221" i="4"/>
  <c r="C221" i="4"/>
  <c r="B221" i="4"/>
  <c r="F220" i="4"/>
  <c r="E220" i="4"/>
  <c r="D220" i="4"/>
  <c r="C220" i="4"/>
  <c r="B220" i="4"/>
  <c r="F219" i="4"/>
  <c r="E219" i="4"/>
  <c r="D219" i="4"/>
  <c r="C219" i="4"/>
  <c r="B219" i="4"/>
  <c r="F218" i="4"/>
  <c r="E218" i="4"/>
  <c r="D218" i="4"/>
  <c r="C218" i="4"/>
  <c r="B218" i="4"/>
  <c r="F217" i="4"/>
  <c r="E217" i="4"/>
  <c r="D217" i="4"/>
  <c r="C217" i="4"/>
  <c r="B217" i="4"/>
  <c r="F216" i="4"/>
  <c r="D216" i="4"/>
  <c r="C216" i="4"/>
  <c r="B216" i="4"/>
  <c r="F215" i="4"/>
  <c r="E215" i="4"/>
  <c r="C215" i="4"/>
  <c r="B215" i="4"/>
  <c r="F214" i="4"/>
  <c r="C214" i="4"/>
  <c r="B214" i="4"/>
  <c r="F213" i="4"/>
  <c r="E213" i="4"/>
  <c r="C213" i="4"/>
  <c r="B213" i="4"/>
  <c r="F212" i="4"/>
  <c r="E212" i="4"/>
  <c r="C212" i="4"/>
  <c r="B212" i="4"/>
  <c r="F211" i="4"/>
  <c r="E211" i="4"/>
  <c r="D211" i="4"/>
  <c r="C211" i="4"/>
  <c r="B211" i="4"/>
  <c r="F210" i="4"/>
  <c r="E210" i="4"/>
  <c r="C210" i="4"/>
  <c r="B210" i="4"/>
  <c r="F209" i="4"/>
  <c r="E209" i="4"/>
  <c r="D209" i="4"/>
  <c r="C209" i="4"/>
  <c r="B209" i="4"/>
  <c r="F208" i="4"/>
  <c r="E208" i="4"/>
  <c r="D208" i="4"/>
  <c r="C208" i="4"/>
  <c r="B208" i="4"/>
  <c r="F207" i="4"/>
  <c r="E207" i="4"/>
  <c r="D207" i="4"/>
  <c r="C207" i="4"/>
  <c r="B207" i="4"/>
  <c r="F206" i="4"/>
  <c r="E206" i="4"/>
  <c r="D206" i="4"/>
  <c r="C206" i="4"/>
  <c r="B206" i="4"/>
  <c r="F205" i="4"/>
  <c r="C205" i="4"/>
  <c r="B205" i="4"/>
  <c r="F204" i="4"/>
  <c r="D204" i="4"/>
  <c r="C204" i="4"/>
  <c r="B204" i="4"/>
  <c r="F203" i="4"/>
  <c r="E203" i="4"/>
  <c r="D203" i="4"/>
  <c r="C203" i="4"/>
  <c r="B203" i="4"/>
  <c r="F202" i="4"/>
  <c r="E202" i="4"/>
  <c r="D202" i="4"/>
  <c r="C202" i="4"/>
  <c r="B202" i="4"/>
  <c r="F201" i="4"/>
  <c r="E201" i="4"/>
  <c r="D201" i="4"/>
  <c r="C201" i="4"/>
  <c r="B201" i="4"/>
  <c r="F200" i="4"/>
  <c r="E200" i="4"/>
  <c r="D200" i="4"/>
  <c r="C200" i="4"/>
  <c r="B200" i="4"/>
  <c r="F199" i="4"/>
  <c r="E199" i="4"/>
  <c r="D199" i="4"/>
  <c r="C199" i="4"/>
  <c r="B199" i="4"/>
  <c r="F198" i="4"/>
  <c r="E198" i="4"/>
  <c r="D198" i="4"/>
  <c r="C198" i="4"/>
  <c r="B198" i="4"/>
  <c r="F197" i="4"/>
  <c r="D197" i="4"/>
  <c r="C197" i="4"/>
  <c r="B197" i="4"/>
  <c r="F196" i="4"/>
  <c r="E196" i="4"/>
  <c r="D196" i="4"/>
  <c r="C196" i="4"/>
  <c r="B196" i="4"/>
  <c r="F195" i="4"/>
  <c r="E195" i="4"/>
  <c r="D195" i="4"/>
  <c r="C195" i="4"/>
  <c r="B195" i="4"/>
  <c r="F194" i="4"/>
  <c r="D194" i="4"/>
  <c r="C194" i="4"/>
  <c r="B194" i="4"/>
  <c r="F193" i="4"/>
  <c r="E193" i="4"/>
  <c r="D193" i="4"/>
  <c r="C193" i="4"/>
  <c r="B193" i="4"/>
  <c r="F192" i="4"/>
  <c r="E192" i="4"/>
  <c r="D192" i="4"/>
  <c r="C192" i="4"/>
  <c r="B192" i="4"/>
  <c r="F191" i="4"/>
  <c r="E191" i="4"/>
  <c r="D191" i="4"/>
  <c r="C191" i="4"/>
  <c r="B191" i="4"/>
  <c r="F190" i="4"/>
  <c r="D190" i="4"/>
  <c r="C190" i="4"/>
  <c r="B190" i="4"/>
  <c r="F189" i="4"/>
  <c r="E189" i="4"/>
  <c r="D189" i="4"/>
  <c r="C189" i="4"/>
  <c r="B189" i="4"/>
  <c r="F188" i="4"/>
  <c r="D188" i="4"/>
  <c r="C188" i="4"/>
  <c r="B188" i="4"/>
  <c r="C187" i="4"/>
  <c r="B187" i="4"/>
  <c r="C186" i="4"/>
  <c r="B186" i="4"/>
  <c r="F185" i="4"/>
  <c r="E185" i="4"/>
  <c r="C185" i="4"/>
  <c r="B185" i="4"/>
  <c r="F184" i="4"/>
  <c r="E184" i="4"/>
  <c r="D184" i="4"/>
  <c r="C184" i="4"/>
  <c r="B184" i="4"/>
  <c r="F183" i="4"/>
  <c r="D183" i="4"/>
  <c r="C183" i="4"/>
  <c r="B183" i="4"/>
  <c r="F182" i="4"/>
  <c r="E182" i="4"/>
  <c r="D182" i="4"/>
  <c r="C182" i="4"/>
  <c r="B182" i="4"/>
  <c r="F181" i="4"/>
  <c r="E181" i="4"/>
  <c r="D181" i="4"/>
  <c r="C181" i="4"/>
  <c r="B181" i="4"/>
  <c r="F180" i="4"/>
  <c r="E180" i="4"/>
  <c r="D180" i="4"/>
  <c r="C180" i="4"/>
  <c r="B180" i="4"/>
  <c r="F179" i="4"/>
  <c r="E179" i="4"/>
  <c r="D179" i="4"/>
  <c r="C179" i="4"/>
  <c r="B179" i="4"/>
  <c r="C178" i="4"/>
  <c r="B178" i="4"/>
  <c r="F177" i="4"/>
  <c r="E177" i="4"/>
  <c r="D177" i="4"/>
  <c r="C177" i="4"/>
  <c r="B177" i="4"/>
  <c r="F176" i="4"/>
  <c r="C176" i="4"/>
  <c r="B176" i="4"/>
  <c r="F175" i="4"/>
  <c r="C175" i="4"/>
  <c r="B175" i="4"/>
  <c r="F174" i="4"/>
  <c r="C174" i="4"/>
  <c r="B174" i="4"/>
  <c r="F173" i="4"/>
  <c r="C173" i="4"/>
  <c r="B173" i="4"/>
  <c r="F172" i="4"/>
  <c r="E172" i="4"/>
  <c r="D172" i="4"/>
  <c r="C172" i="4"/>
  <c r="B172" i="4"/>
  <c r="F171" i="4"/>
  <c r="E171" i="4"/>
  <c r="D171" i="4"/>
  <c r="C171" i="4"/>
  <c r="B171" i="4"/>
  <c r="F170" i="4"/>
  <c r="E170" i="4"/>
  <c r="C170" i="4"/>
  <c r="B170" i="4"/>
  <c r="F169" i="4"/>
  <c r="E169" i="4"/>
  <c r="D169" i="4"/>
  <c r="C169" i="4"/>
  <c r="B169" i="4"/>
  <c r="F168" i="4"/>
  <c r="E168" i="4"/>
  <c r="D168" i="4"/>
  <c r="C168" i="4"/>
  <c r="B168" i="4"/>
  <c r="F167" i="4"/>
  <c r="E167" i="4"/>
  <c r="D167" i="4"/>
  <c r="C167" i="4"/>
  <c r="B167" i="4"/>
  <c r="F166" i="4"/>
  <c r="E166" i="4"/>
  <c r="D166" i="4"/>
  <c r="C166" i="4"/>
  <c r="B166" i="4"/>
  <c r="F165" i="4"/>
  <c r="E165" i="4"/>
  <c r="D165" i="4"/>
  <c r="C165" i="4"/>
  <c r="B165" i="4"/>
  <c r="F164" i="4"/>
  <c r="E164" i="4"/>
  <c r="D164" i="4"/>
  <c r="C164" i="4"/>
  <c r="B164" i="4"/>
  <c r="C163" i="4"/>
  <c r="B163" i="4"/>
  <c r="F162" i="4"/>
  <c r="E162" i="4"/>
  <c r="C162" i="4"/>
  <c r="B162" i="4"/>
  <c r="C161" i="4"/>
  <c r="B161" i="4"/>
  <c r="F160" i="4"/>
  <c r="E160" i="4"/>
  <c r="C160" i="4"/>
  <c r="B160" i="4"/>
  <c r="F159" i="4"/>
  <c r="E159" i="4"/>
  <c r="C159" i="4"/>
  <c r="B159" i="4"/>
  <c r="F158" i="4"/>
  <c r="E158" i="4"/>
  <c r="C158" i="4"/>
  <c r="B158" i="4"/>
  <c r="C157" i="4"/>
  <c r="B157" i="4"/>
  <c r="F156" i="4"/>
  <c r="E156" i="4"/>
  <c r="C156" i="4"/>
  <c r="B156" i="4"/>
  <c r="C155" i="4"/>
  <c r="B155" i="4"/>
  <c r="C154" i="4"/>
  <c r="B154" i="4"/>
  <c r="F153" i="4"/>
  <c r="E153" i="4"/>
  <c r="C153" i="4"/>
  <c r="B153" i="4"/>
  <c r="F152" i="4"/>
  <c r="E152" i="4"/>
  <c r="D152" i="4"/>
  <c r="C152" i="4"/>
  <c r="B152" i="4"/>
  <c r="F151" i="4"/>
  <c r="E151" i="4"/>
  <c r="C151" i="4"/>
  <c r="B151" i="4"/>
  <c r="C150" i="4"/>
  <c r="B150" i="4"/>
  <c r="F149" i="4"/>
  <c r="E149" i="4"/>
  <c r="C149" i="4"/>
  <c r="B149" i="4"/>
  <c r="F148" i="4"/>
  <c r="C148" i="4"/>
  <c r="B148" i="4"/>
  <c r="C147" i="4"/>
  <c r="B147" i="4"/>
  <c r="F146" i="4"/>
  <c r="E146" i="4"/>
  <c r="C146" i="4"/>
  <c r="B146" i="4"/>
  <c r="F145" i="4"/>
  <c r="E145" i="4"/>
  <c r="C145" i="4"/>
  <c r="B145" i="4"/>
  <c r="F144" i="4"/>
  <c r="E144" i="4"/>
  <c r="C144" i="4"/>
  <c r="B144" i="4"/>
  <c r="C143" i="4"/>
  <c r="B143" i="4"/>
  <c r="F142" i="4"/>
  <c r="E142" i="4"/>
  <c r="C142" i="4"/>
  <c r="B142" i="4"/>
  <c r="F141" i="4"/>
  <c r="E141" i="4"/>
  <c r="C141" i="4"/>
  <c r="B141" i="4"/>
  <c r="C140" i="4"/>
  <c r="B140" i="4"/>
  <c r="F139" i="4"/>
  <c r="E139" i="4"/>
  <c r="C139" i="4"/>
  <c r="B139" i="4"/>
  <c r="C138" i="4"/>
  <c r="B138" i="4"/>
  <c r="F137" i="4"/>
  <c r="E137" i="4"/>
  <c r="C137" i="4"/>
  <c r="B137" i="4"/>
  <c r="F136" i="4"/>
  <c r="E136" i="4"/>
  <c r="C136" i="4"/>
  <c r="B136" i="4"/>
  <c r="F135" i="4"/>
  <c r="E135" i="4"/>
  <c r="C135" i="4"/>
  <c r="B135" i="4"/>
  <c r="C134" i="4"/>
  <c r="B134" i="4"/>
  <c r="F133" i="4"/>
  <c r="E133" i="4"/>
  <c r="C133" i="4"/>
  <c r="B133" i="4"/>
  <c r="C132" i="4"/>
  <c r="B132" i="4"/>
  <c r="F131" i="4"/>
  <c r="E131" i="4"/>
  <c r="C131" i="4"/>
  <c r="B131" i="4"/>
  <c r="C130" i="4"/>
  <c r="B130" i="4"/>
  <c r="F129" i="4"/>
  <c r="E129" i="4"/>
  <c r="C129" i="4"/>
  <c r="B129" i="4"/>
  <c r="F128" i="4"/>
  <c r="E128" i="4"/>
  <c r="C128" i="4"/>
  <c r="B128" i="4"/>
  <c r="F127" i="4"/>
  <c r="E127" i="4"/>
  <c r="C127" i="4"/>
  <c r="B127" i="4"/>
  <c r="F126" i="4"/>
  <c r="E126" i="4"/>
  <c r="C126" i="4"/>
  <c r="B126" i="4"/>
  <c r="C125" i="4"/>
  <c r="B125" i="4"/>
  <c r="F124" i="4"/>
  <c r="E124" i="4"/>
  <c r="D124" i="4"/>
  <c r="C124" i="4"/>
  <c r="B124" i="4"/>
  <c r="F123" i="4"/>
  <c r="D123" i="4"/>
  <c r="C123" i="4"/>
  <c r="B123" i="4"/>
  <c r="F122" i="4"/>
  <c r="D122" i="4"/>
  <c r="C122" i="4"/>
  <c r="B122" i="4"/>
  <c r="F121" i="4"/>
  <c r="D121" i="4"/>
  <c r="C121" i="4"/>
  <c r="B121" i="4"/>
  <c r="F120" i="4"/>
  <c r="D120" i="4"/>
  <c r="C120" i="4"/>
  <c r="B120" i="4"/>
  <c r="F119" i="4"/>
  <c r="D119" i="4"/>
  <c r="C119" i="4"/>
  <c r="B119" i="4"/>
  <c r="F118" i="4"/>
  <c r="E118" i="4"/>
  <c r="D118" i="4"/>
  <c r="C118" i="4"/>
  <c r="B118" i="4"/>
  <c r="F117" i="4"/>
  <c r="E117" i="4"/>
  <c r="D117" i="4"/>
  <c r="C117" i="4"/>
  <c r="B117" i="4"/>
  <c r="F116" i="4"/>
  <c r="E116" i="4"/>
  <c r="D116" i="4"/>
  <c r="C116" i="4"/>
  <c r="B116" i="4"/>
  <c r="F115" i="4"/>
  <c r="E115" i="4"/>
  <c r="D115" i="4"/>
  <c r="C115" i="4"/>
  <c r="B115" i="4"/>
  <c r="F114" i="4"/>
  <c r="E114" i="4"/>
  <c r="D114" i="4"/>
  <c r="C114" i="4"/>
  <c r="B114" i="4"/>
  <c r="F113" i="4"/>
  <c r="D113" i="4"/>
  <c r="C113" i="4"/>
  <c r="B113" i="4"/>
  <c r="F112" i="4"/>
  <c r="D112" i="4"/>
  <c r="C112" i="4"/>
  <c r="B112" i="4"/>
  <c r="F111" i="4"/>
  <c r="E111" i="4"/>
  <c r="D111" i="4"/>
  <c r="C111" i="4"/>
  <c r="B111" i="4"/>
  <c r="F110" i="4"/>
  <c r="E110" i="4"/>
  <c r="D110" i="4"/>
  <c r="C110" i="4"/>
  <c r="B110" i="4"/>
  <c r="F109" i="4"/>
  <c r="E109" i="4"/>
  <c r="D109" i="4"/>
  <c r="C109" i="4"/>
  <c r="B109" i="4"/>
  <c r="F108" i="4"/>
  <c r="E108" i="4"/>
  <c r="D108" i="4"/>
  <c r="C108" i="4"/>
  <c r="B108" i="4"/>
  <c r="F107" i="4"/>
  <c r="E107" i="4"/>
  <c r="D107" i="4"/>
  <c r="C107" i="4"/>
  <c r="B107" i="4"/>
  <c r="F106" i="4"/>
  <c r="E106" i="4"/>
  <c r="D106" i="4"/>
  <c r="C106" i="4"/>
  <c r="B106" i="4"/>
  <c r="F105" i="4"/>
  <c r="E105" i="4"/>
  <c r="D105" i="4"/>
  <c r="C105" i="4"/>
  <c r="B105" i="4"/>
  <c r="F104" i="4"/>
  <c r="E104" i="4"/>
  <c r="D104" i="4"/>
  <c r="C104" i="4"/>
  <c r="B104" i="4"/>
  <c r="F103" i="4"/>
  <c r="E103" i="4"/>
  <c r="D103" i="4"/>
  <c r="C103" i="4"/>
  <c r="B103" i="4"/>
  <c r="F102" i="4"/>
  <c r="E102" i="4"/>
  <c r="D102" i="4"/>
  <c r="C102" i="4"/>
  <c r="B102" i="4"/>
  <c r="F101" i="4"/>
  <c r="E101" i="4"/>
  <c r="D101" i="4"/>
  <c r="C101" i="4"/>
  <c r="B101" i="4"/>
  <c r="F100" i="4"/>
  <c r="E100" i="4"/>
  <c r="D100" i="4"/>
  <c r="C100" i="4"/>
  <c r="B100" i="4"/>
  <c r="F99" i="4"/>
  <c r="E99" i="4"/>
  <c r="D99" i="4"/>
  <c r="C99" i="4"/>
  <c r="B99" i="4"/>
  <c r="F98" i="4"/>
  <c r="E98" i="4"/>
  <c r="D98" i="4"/>
  <c r="C98" i="4"/>
  <c r="B98" i="4"/>
  <c r="F97" i="4"/>
  <c r="E97" i="4"/>
  <c r="D97" i="4"/>
  <c r="C97" i="4"/>
  <c r="B97" i="4"/>
  <c r="F96" i="4"/>
  <c r="E96" i="4"/>
  <c r="C96" i="4"/>
  <c r="B96" i="4"/>
  <c r="F95" i="4"/>
  <c r="E95" i="4"/>
  <c r="C95" i="4"/>
  <c r="B95" i="4"/>
  <c r="F94" i="4"/>
  <c r="E94" i="4"/>
  <c r="C94" i="4"/>
  <c r="B94" i="4"/>
  <c r="F93" i="4"/>
  <c r="E93" i="4"/>
  <c r="D93" i="4"/>
  <c r="C93" i="4"/>
  <c r="B93" i="4"/>
  <c r="F92" i="4"/>
  <c r="E92" i="4"/>
  <c r="D92" i="4"/>
  <c r="C92" i="4"/>
  <c r="B92" i="4"/>
  <c r="F91" i="4"/>
  <c r="E91" i="4"/>
  <c r="D91" i="4"/>
  <c r="C91" i="4"/>
  <c r="B91" i="4"/>
  <c r="F90" i="4"/>
  <c r="E90" i="4"/>
  <c r="D90" i="4"/>
  <c r="C90" i="4"/>
  <c r="B90" i="4"/>
  <c r="F89" i="4"/>
  <c r="E89" i="4"/>
  <c r="D89" i="4"/>
  <c r="C89" i="4"/>
  <c r="B89" i="4"/>
  <c r="F88" i="4"/>
  <c r="E88" i="4"/>
  <c r="D88" i="4"/>
  <c r="C88" i="4"/>
  <c r="B88" i="4"/>
  <c r="F87" i="4"/>
  <c r="E87" i="4"/>
  <c r="D87" i="4"/>
  <c r="C87" i="4"/>
  <c r="B87" i="4"/>
  <c r="F86" i="4"/>
  <c r="E86" i="4"/>
  <c r="C86" i="4"/>
  <c r="B86" i="4"/>
  <c r="F85" i="4"/>
  <c r="E85" i="4"/>
  <c r="C85" i="4"/>
  <c r="B85" i="4"/>
  <c r="F84" i="4"/>
  <c r="E84" i="4"/>
  <c r="C84" i="4"/>
  <c r="B84" i="4"/>
  <c r="F83" i="4"/>
  <c r="E83" i="4"/>
  <c r="C83" i="4"/>
  <c r="B83" i="4"/>
  <c r="F82" i="4"/>
  <c r="E82" i="4"/>
  <c r="C82" i="4"/>
  <c r="B82" i="4"/>
  <c r="F81" i="4"/>
  <c r="E81" i="4"/>
  <c r="C81" i="4"/>
  <c r="B81" i="4"/>
  <c r="F80" i="4"/>
  <c r="E80" i="4"/>
  <c r="C80" i="4"/>
  <c r="B80" i="4"/>
  <c r="F79" i="4"/>
  <c r="E79" i="4"/>
  <c r="C79" i="4"/>
  <c r="B79" i="4"/>
  <c r="F78" i="4"/>
  <c r="E78" i="4"/>
  <c r="C78" i="4"/>
  <c r="B78" i="4"/>
  <c r="F77" i="4"/>
  <c r="E77" i="4"/>
  <c r="D77" i="4"/>
  <c r="C77" i="4"/>
  <c r="B77" i="4"/>
  <c r="F76" i="4"/>
  <c r="E76" i="4"/>
  <c r="D76" i="4"/>
  <c r="C76" i="4"/>
  <c r="B76" i="4"/>
  <c r="F75" i="4"/>
  <c r="E75" i="4"/>
  <c r="D75" i="4"/>
  <c r="C75" i="4"/>
  <c r="B75" i="4"/>
  <c r="C74" i="4"/>
  <c r="B74" i="4"/>
  <c r="F73" i="4"/>
  <c r="E73" i="4"/>
  <c r="C73" i="4"/>
  <c r="B73" i="4"/>
  <c r="F72" i="4"/>
  <c r="E72" i="4"/>
  <c r="C72" i="4"/>
  <c r="B72" i="4"/>
  <c r="F71" i="4"/>
  <c r="E71" i="4"/>
  <c r="C71" i="4"/>
  <c r="B71" i="4"/>
  <c r="F70" i="4"/>
  <c r="E70" i="4"/>
  <c r="C70" i="4"/>
  <c r="B70" i="4"/>
  <c r="F69" i="4"/>
  <c r="E69" i="4"/>
  <c r="C69" i="4"/>
  <c r="B69" i="4"/>
  <c r="E68" i="4"/>
  <c r="C68" i="4"/>
  <c r="B68" i="4"/>
  <c r="E67" i="4"/>
  <c r="D67" i="4"/>
  <c r="C67" i="4"/>
  <c r="B67" i="4"/>
  <c r="F66" i="4"/>
  <c r="E66" i="4"/>
  <c r="D66" i="4"/>
  <c r="C66" i="4"/>
  <c r="B66" i="4"/>
  <c r="F65" i="4"/>
  <c r="E65" i="4"/>
  <c r="D65" i="4"/>
  <c r="C65" i="4"/>
  <c r="B65" i="4"/>
  <c r="F64" i="4"/>
  <c r="E64" i="4"/>
  <c r="D64" i="4"/>
  <c r="C64" i="4"/>
  <c r="B64" i="4"/>
  <c r="F63" i="4"/>
  <c r="E63" i="4"/>
  <c r="D63" i="4"/>
  <c r="C63" i="4"/>
  <c r="B63" i="4"/>
  <c r="F62" i="4"/>
  <c r="E62" i="4"/>
  <c r="D62" i="4"/>
  <c r="C62" i="4"/>
  <c r="B62" i="4"/>
  <c r="E61" i="4"/>
  <c r="D61" i="4"/>
  <c r="C61" i="4"/>
  <c r="B61" i="4"/>
  <c r="F60" i="4"/>
  <c r="E60" i="4"/>
  <c r="D60" i="4"/>
  <c r="C60" i="4"/>
  <c r="B60" i="4"/>
  <c r="F59" i="4"/>
  <c r="E59" i="4"/>
  <c r="D59" i="4"/>
  <c r="C59" i="4"/>
  <c r="B59" i="4"/>
  <c r="F58" i="4"/>
  <c r="E58" i="4"/>
  <c r="D58" i="4"/>
  <c r="C58" i="4"/>
  <c r="B58" i="4"/>
  <c r="F57" i="4"/>
  <c r="E57" i="4"/>
  <c r="D57" i="4"/>
  <c r="C57" i="4"/>
  <c r="B57" i="4"/>
  <c r="F56" i="4"/>
  <c r="E56" i="4"/>
  <c r="D56" i="4"/>
  <c r="C56" i="4"/>
  <c r="B56" i="4"/>
  <c r="F55" i="4"/>
  <c r="E55" i="4"/>
  <c r="D55" i="4"/>
  <c r="C55" i="4"/>
  <c r="B55" i="4"/>
  <c r="F54" i="4"/>
  <c r="E54" i="4"/>
  <c r="D54" i="4"/>
  <c r="C54" i="4"/>
  <c r="B54" i="4"/>
  <c r="F53" i="4"/>
  <c r="E53" i="4"/>
  <c r="C53" i="4"/>
  <c r="B53" i="4"/>
  <c r="F52" i="4"/>
  <c r="E52" i="4"/>
  <c r="C52" i="4"/>
  <c r="B52" i="4"/>
  <c r="F51" i="4"/>
  <c r="E51" i="4"/>
  <c r="C51" i="4"/>
  <c r="B51" i="4"/>
  <c r="F50" i="4"/>
  <c r="E50" i="4"/>
  <c r="C50" i="4"/>
  <c r="B50" i="4"/>
  <c r="F49" i="4"/>
  <c r="E49" i="4"/>
  <c r="C49" i="4"/>
  <c r="B49" i="4"/>
  <c r="F48" i="4"/>
  <c r="E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D30" i="4"/>
  <c r="C30" i="4"/>
  <c r="B30" i="4"/>
  <c r="F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C14" i="4"/>
  <c r="B14" i="4"/>
  <c r="F13" i="4"/>
  <c r="E13" i="4"/>
  <c r="C13" i="4"/>
  <c r="B13" i="4"/>
  <c r="F12" i="4"/>
  <c r="E12" i="4"/>
  <c r="C12" i="4"/>
  <c r="B12" i="4"/>
  <c r="F11" i="4"/>
  <c r="E11" i="4"/>
  <c r="C11" i="4"/>
  <c r="B11" i="4"/>
  <c r="F10" i="4"/>
  <c r="E10" i="4"/>
  <c r="C10" i="4"/>
  <c r="B10" i="4"/>
  <c r="F9" i="4"/>
  <c r="E9" i="4"/>
  <c r="C9" i="4"/>
  <c r="B9" i="4"/>
  <c r="F8" i="4"/>
  <c r="E8" i="4"/>
  <c r="C8" i="4"/>
  <c r="B8" i="4"/>
  <c r="F7" i="4"/>
  <c r="E7" i="4"/>
  <c r="D7" i="4"/>
  <c r="C7" i="4"/>
  <c r="B7" i="4"/>
  <c r="F6" i="4"/>
  <c r="E6" i="4"/>
  <c r="D6" i="4"/>
  <c r="C6" i="4"/>
  <c r="B6" i="4"/>
  <c r="F5" i="4"/>
  <c r="E5" i="4"/>
  <c r="D5" i="4"/>
  <c r="C5" i="4"/>
  <c r="B5" i="4"/>
  <c r="F4" i="4"/>
  <c r="E4" i="4"/>
  <c r="D4" i="4"/>
  <c r="C4" i="4"/>
  <c r="B4" i="4"/>
  <c r="F3" i="4"/>
  <c r="E3" i="4"/>
  <c r="D3" i="4"/>
  <c r="C3" i="4"/>
  <c r="B3" i="4"/>
  <c r="E2" i="4"/>
  <c r="D2" i="4"/>
  <c r="C2" i="4"/>
  <c r="B2" i="4"/>
  <c r="F1" i="4"/>
  <c r="E1" i="4"/>
  <c r="D1" i="4"/>
  <c r="C1" i="4"/>
  <c r="B1" i="4"/>
  <c r="G2427" i="3"/>
  <c r="F2427" i="3"/>
  <c r="E2427" i="3"/>
  <c r="D2427" i="3"/>
  <c r="C2427" i="3"/>
  <c r="B2427" i="3"/>
  <c r="A2427" i="3"/>
  <c r="G2426" i="3"/>
  <c r="F2426" i="3"/>
  <c r="E2426" i="3"/>
  <c r="D2426" i="3"/>
  <c r="C2426" i="3"/>
  <c r="A2426" i="3"/>
  <c r="G2425" i="3"/>
  <c r="F2425" i="3"/>
  <c r="E2425" i="3"/>
  <c r="D2425" i="3"/>
  <c r="C2425" i="3"/>
  <c r="A2425" i="3"/>
  <c r="G2424" i="3"/>
  <c r="F2424" i="3"/>
  <c r="E2424" i="3"/>
  <c r="D2424" i="3"/>
  <c r="C2424" i="3"/>
  <c r="B2424" i="3"/>
  <c r="A2424" i="3"/>
  <c r="G2423" i="3"/>
  <c r="F2423" i="3"/>
  <c r="E2423" i="3"/>
  <c r="D2423" i="3"/>
  <c r="C2423" i="3"/>
  <c r="B2423" i="3"/>
  <c r="A2423" i="3"/>
  <c r="G2422" i="3"/>
  <c r="F2422" i="3"/>
  <c r="E2422" i="3"/>
  <c r="D2422" i="3"/>
  <c r="C2422" i="3"/>
  <c r="B2422" i="3"/>
  <c r="A2422" i="3"/>
  <c r="G2421" i="3"/>
  <c r="F2421" i="3"/>
  <c r="E2421" i="3"/>
  <c r="D2421" i="3"/>
  <c r="C2421" i="3"/>
  <c r="B2421" i="3"/>
  <c r="A2421" i="3"/>
  <c r="G2420" i="3"/>
  <c r="F2420" i="3"/>
  <c r="E2420" i="3"/>
  <c r="D2420" i="3"/>
  <c r="C2420" i="3"/>
  <c r="B2420" i="3"/>
  <c r="A2420" i="3"/>
  <c r="G2419" i="3"/>
  <c r="F2419" i="3"/>
  <c r="E2419" i="3"/>
  <c r="D2419" i="3"/>
  <c r="C2419" i="3"/>
  <c r="B2419" i="3"/>
  <c r="A2419" i="3"/>
  <c r="G2418" i="3"/>
  <c r="F2418" i="3"/>
  <c r="E2418" i="3"/>
  <c r="D2418" i="3"/>
  <c r="C2418" i="3"/>
  <c r="B2418" i="3"/>
  <c r="A2418" i="3"/>
  <c r="G2417" i="3"/>
  <c r="F2417" i="3"/>
  <c r="E2417" i="3"/>
  <c r="D2417" i="3"/>
  <c r="C2417" i="3"/>
  <c r="B2417" i="3"/>
  <c r="A2417" i="3"/>
  <c r="G2416" i="3"/>
  <c r="F2416" i="3"/>
  <c r="E2416" i="3"/>
  <c r="D2416" i="3"/>
  <c r="C2416" i="3"/>
  <c r="B2416" i="3"/>
  <c r="A2416" i="3"/>
  <c r="G2415" i="3"/>
  <c r="F2415" i="3"/>
  <c r="E2415" i="3"/>
  <c r="D2415" i="3"/>
  <c r="C2415" i="3"/>
  <c r="B2415" i="3"/>
  <c r="A2415" i="3"/>
  <c r="G2414" i="3"/>
  <c r="F2414" i="3"/>
  <c r="E2414" i="3"/>
  <c r="D2414" i="3"/>
  <c r="C2414" i="3"/>
  <c r="B2414" i="3"/>
  <c r="A2414" i="3"/>
  <c r="G2413" i="3"/>
  <c r="F2413" i="3"/>
  <c r="E2413" i="3"/>
  <c r="D2413" i="3"/>
  <c r="C2413" i="3"/>
  <c r="B2413" i="3"/>
  <c r="A2413" i="3"/>
  <c r="G2412" i="3"/>
  <c r="F2412" i="3"/>
  <c r="E2412" i="3"/>
  <c r="D2412" i="3"/>
  <c r="C2412" i="3"/>
  <c r="B2412" i="3"/>
  <c r="A2412" i="3"/>
  <c r="G2411" i="3"/>
  <c r="F2411" i="3"/>
  <c r="E2411" i="3"/>
  <c r="D2411" i="3"/>
  <c r="C2411" i="3"/>
  <c r="B2411" i="3"/>
  <c r="A2411" i="3"/>
  <c r="G2410" i="3"/>
  <c r="F2410" i="3"/>
  <c r="E2410" i="3"/>
  <c r="D2410" i="3"/>
  <c r="C2410" i="3"/>
  <c r="B2410" i="3"/>
  <c r="A2410" i="3"/>
  <c r="G2409" i="3"/>
  <c r="F2409" i="3"/>
  <c r="E2409" i="3"/>
  <c r="D2409" i="3"/>
  <c r="C2409" i="3"/>
  <c r="B2409" i="3"/>
  <c r="A2409" i="3"/>
  <c r="G2408" i="3"/>
  <c r="F2408" i="3"/>
  <c r="E2408" i="3"/>
  <c r="D2408" i="3"/>
  <c r="C2408" i="3"/>
  <c r="B2408" i="3"/>
  <c r="A2408" i="3"/>
  <c r="G2407" i="3"/>
  <c r="F2407" i="3"/>
  <c r="E2407" i="3"/>
  <c r="D2407" i="3"/>
  <c r="C2407" i="3"/>
  <c r="B2407" i="3"/>
  <c r="A2407" i="3"/>
  <c r="G2406" i="3"/>
  <c r="F2406" i="3"/>
  <c r="E2406" i="3"/>
  <c r="D2406" i="3"/>
  <c r="A2406" i="3"/>
  <c r="G2405" i="3"/>
  <c r="F2405" i="3"/>
  <c r="E2405" i="3"/>
  <c r="D2405" i="3"/>
  <c r="C2405" i="3"/>
  <c r="B2405" i="3"/>
  <c r="A2405" i="3"/>
  <c r="G2404" i="3"/>
  <c r="F2404" i="3"/>
  <c r="E2404" i="3"/>
  <c r="D2404" i="3"/>
  <c r="C2404" i="3"/>
  <c r="B2404" i="3"/>
  <c r="A2404" i="3"/>
  <c r="G2403" i="3"/>
  <c r="F2403" i="3"/>
  <c r="E2403" i="3"/>
  <c r="D2403" i="3"/>
  <c r="C2403" i="3"/>
  <c r="B2403" i="3"/>
  <c r="A2403" i="3"/>
  <c r="G2402" i="3"/>
  <c r="F2402" i="3"/>
  <c r="E2402" i="3"/>
  <c r="D2402" i="3"/>
  <c r="C2402" i="3"/>
  <c r="B2402" i="3"/>
  <c r="A2402" i="3"/>
  <c r="G2401" i="3"/>
  <c r="F2401" i="3"/>
  <c r="E2401" i="3"/>
  <c r="D2401" i="3"/>
  <c r="C2401" i="3"/>
  <c r="B2401" i="3"/>
  <c r="A2401" i="3"/>
  <c r="G2400" i="3"/>
  <c r="F2400" i="3"/>
  <c r="E2400" i="3"/>
  <c r="D2400" i="3"/>
  <c r="C2400" i="3"/>
  <c r="B2400" i="3"/>
  <c r="A2400" i="3"/>
  <c r="G2399" i="3"/>
  <c r="F2399" i="3"/>
  <c r="E2399" i="3"/>
  <c r="D2399" i="3"/>
  <c r="B2399" i="3"/>
  <c r="A2399" i="3"/>
  <c r="G2398" i="3"/>
  <c r="F2398" i="3"/>
  <c r="E2398" i="3"/>
  <c r="D2398" i="3"/>
  <c r="C2398" i="3"/>
  <c r="B2398" i="3"/>
  <c r="A2398" i="3"/>
  <c r="G2397" i="3"/>
  <c r="F2397" i="3"/>
  <c r="E2397" i="3"/>
  <c r="D2397" i="3"/>
  <c r="C2397" i="3"/>
  <c r="B2397" i="3"/>
  <c r="A2397" i="3"/>
  <c r="G2396" i="3"/>
  <c r="F2396" i="3"/>
  <c r="E2396" i="3"/>
  <c r="D2396" i="3"/>
  <c r="C2396" i="3"/>
  <c r="B2396" i="3"/>
  <c r="A2396" i="3"/>
  <c r="G2395" i="3"/>
  <c r="F2395" i="3"/>
  <c r="E2395" i="3"/>
  <c r="D2395" i="3"/>
  <c r="C2395" i="3"/>
  <c r="B2395" i="3"/>
  <c r="A2395" i="3"/>
  <c r="G2394" i="3"/>
  <c r="F2394" i="3"/>
  <c r="E2394" i="3"/>
  <c r="D2394" i="3"/>
  <c r="C2394" i="3"/>
  <c r="B2394" i="3"/>
  <c r="A2394" i="3"/>
  <c r="G2393" i="3"/>
  <c r="F2393" i="3"/>
  <c r="E2393" i="3"/>
  <c r="D2393" i="3"/>
  <c r="C2393" i="3"/>
  <c r="B2393" i="3"/>
  <c r="A2393" i="3"/>
  <c r="G2392" i="3"/>
  <c r="F2392" i="3"/>
  <c r="E2392" i="3"/>
  <c r="D2392" i="3"/>
  <c r="C2392" i="3"/>
  <c r="B2392" i="3"/>
  <c r="A2392" i="3"/>
  <c r="G2391" i="3"/>
  <c r="F2391" i="3"/>
  <c r="E2391" i="3"/>
  <c r="D2391" i="3"/>
  <c r="C2391" i="3"/>
  <c r="B2391" i="3"/>
  <c r="A2391" i="3"/>
  <c r="G2390" i="3"/>
  <c r="F2390" i="3"/>
  <c r="E2390" i="3"/>
  <c r="D2390" i="3"/>
  <c r="C2390" i="3"/>
  <c r="B2390" i="3"/>
  <c r="A2390" i="3"/>
  <c r="G2389" i="3"/>
  <c r="F2389" i="3"/>
  <c r="E2389" i="3"/>
  <c r="D2389" i="3"/>
  <c r="C2389" i="3"/>
  <c r="B2389" i="3"/>
  <c r="A2389" i="3"/>
  <c r="G2388" i="3"/>
  <c r="F2388" i="3"/>
  <c r="E2388" i="3"/>
  <c r="D2388" i="3"/>
  <c r="B2388" i="3"/>
  <c r="A2388" i="3"/>
  <c r="G2387" i="3"/>
  <c r="F2387" i="3"/>
  <c r="E2387" i="3"/>
  <c r="D2387" i="3"/>
  <c r="C2387" i="3"/>
  <c r="B2387" i="3"/>
  <c r="A2387" i="3"/>
  <c r="G2386" i="3"/>
  <c r="F2386" i="3"/>
  <c r="E2386" i="3"/>
  <c r="D2386" i="3"/>
  <c r="C2386" i="3"/>
  <c r="B2386" i="3"/>
  <c r="A2386" i="3"/>
  <c r="G2385" i="3"/>
  <c r="F2385" i="3"/>
  <c r="E2385" i="3"/>
  <c r="D2385" i="3"/>
  <c r="C2385" i="3"/>
  <c r="A2385" i="3"/>
  <c r="G2384" i="3"/>
  <c r="F2384" i="3"/>
  <c r="E2384" i="3"/>
  <c r="D2384" i="3"/>
  <c r="C2384" i="3"/>
  <c r="B2384" i="3"/>
  <c r="A2384" i="3"/>
  <c r="G2383" i="3"/>
  <c r="F2383" i="3"/>
  <c r="E2383" i="3"/>
  <c r="D2383" i="3"/>
  <c r="C2383" i="3"/>
  <c r="B2383" i="3"/>
  <c r="A2383" i="3"/>
  <c r="G2382" i="3"/>
  <c r="F2382" i="3"/>
  <c r="E2382" i="3"/>
  <c r="D2382" i="3"/>
  <c r="C2382" i="3"/>
  <c r="B2382" i="3"/>
  <c r="A2382" i="3"/>
  <c r="G2381" i="3"/>
  <c r="F2381" i="3"/>
  <c r="E2381" i="3"/>
  <c r="D2381" i="3"/>
  <c r="C2381" i="3"/>
  <c r="B2381" i="3"/>
  <c r="A2381" i="3"/>
  <c r="G2380" i="3"/>
  <c r="F2380" i="3"/>
  <c r="E2380" i="3"/>
  <c r="D2380" i="3"/>
  <c r="C2380" i="3"/>
  <c r="B2380" i="3"/>
  <c r="A2380" i="3"/>
  <c r="G2379" i="3"/>
  <c r="F2379" i="3"/>
  <c r="E2379" i="3"/>
  <c r="D2379" i="3"/>
  <c r="C2379" i="3"/>
  <c r="B2379" i="3"/>
  <c r="A2379" i="3"/>
  <c r="G2378" i="3"/>
  <c r="F2378" i="3"/>
  <c r="E2378" i="3"/>
  <c r="D2378" i="3"/>
  <c r="C2378" i="3"/>
  <c r="B2378" i="3"/>
  <c r="A2378" i="3"/>
  <c r="G2377" i="3"/>
  <c r="F2377" i="3"/>
  <c r="E2377" i="3"/>
  <c r="D2377" i="3"/>
  <c r="C2377" i="3"/>
  <c r="B2377" i="3"/>
  <c r="A2377" i="3"/>
  <c r="G2376" i="3"/>
  <c r="F2376" i="3"/>
  <c r="E2376" i="3"/>
  <c r="D2376" i="3"/>
  <c r="C2376" i="3"/>
  <c r="B2376" i="3"/>
  <c r="A2376" i="3"/>
  <c r="G2375" i="3"/>
  <c r="F2375" i="3"/>
  <c r="E2375" i="3"/>
  <c r="D2375" i="3"/>
  <c r="C2375" i="3"/>
  <c r="B2375" i="3"/>
  <c r="A2375" i="3"/>
  <c r="G2374" i="3"/>
  <c r="F2374" i="3"/>
  <c r="E2374" i="3"/>
  <c r="D2374" i="3"/>
  <c r="C2374" i="3"/>
  <c r="B2374" i="3"/>
  <c r="A2374" i="3"/>
  <c r="G2373" i="3"/>
  <c r="F2373" i="3"/>
  <c r="E2373" i="3"/>
  <c r="D2373" i="3"/>
  <c r="C2373" i="3"/>
  <c r="B2373" i="3"/>
  <c r="A2373" i="3"/>
  <c r="G2372" i="3"/>
  <c r="F2372" i="3"/>
  <c r="E2372" i="3"/>
  <c r="D2372" i="3"/>
  <c r="C2372" i="3"/>
  <c r="B2372" i="3"/>
  <c r="A2372" i="3"/>
  <c r="G2371" i="3"/>
  <c r="F2371" i="3"/>
  <c r="E2371" i="3"/>
  <c r="D2371" i="3"/>
  <c r="C2371" i="3"/>
  <c r="A2371" i="3"/>
  <c r="G2370" i="3"/>
  <c r="F2370" i="3"/>
  <c r="E2370" i="3"/>
  <c r="D2370" i="3"/>
  <c r="C2370" i="3"/>
  <c r="B2370" i="3"/>
  <c r="A2370" i="3"/>
  <c r="G2369" i="3"/>
  <c r="F2369" i="3"/>
  <c r="E2369" i="3"/>
  <c r="D2369" i="3"/>
  <c r="C2369" i="3"/>
  <c r="B2369" i="3"/>
  <c r="A2369" i="3"/>
  <c r="G2368" i="3"/>
  <c r="F2368" i="3"/>
  <c r="E2368" i="3"/>
  <c r="D2368" i="3"/>
  <c r="C2368" i="3"/>
  <c r="B2368" i="3"/>
  <c r="A2368" i="3"/>
  <c r="G2367" i="3"/>
  <c r="F2367" i="3"/>
  <c r="E2367" i="3"/>
  <c r="D2367" i="3"/>
  <c r="C2367" i="3"/>
  <c r="B2367" i="3"/>
  <c r="A2367" i="3"/>
  <c r="G2366" i="3"/>
  <c r="F2366" i="3"/>
  <c r="E2366" i="3"/>
  <c r="D2366" i="3"/>
  <c r="C2366" i="3"/>
  <c r="B2366" i="3"/>
  <c r="A2366" i="3"/>
  <c r="G2365" i="3"/>
  <c r="F2365" i="3"/>
  <c r="E2365" i="3"/>
  <c r="D2365" i="3"/>
  <c r="C2365" i="3"/>
  <c r="B2365" i="3"/>
  <c r="A2365" i="3"/>
  <c r="G2364" i="3"/>
  <c r="F2364" i="3"/>
  <c r="E2364" i="3"/>
  <c r="D2364" i="3"/>
  <c r="C2364" i="3"/>
  <c r="B2364" i="3"/>
  <c r="A2364" i="3"/>
  <c r="G2363" i="3"/>
  <c r="F2363" i="3"/>
  <c r="E2363" i="3"/>
  <c r="D2363" i="3"/>
  <c r="C2363" i="3"/>
  <c r="B2363" i="3"/>
  <c r="A2363" i="3"/>
  <c r="G2362" i="3"/>
  <c r="F2362" i="3"/>
  <c r="E2362" i="3"/>
  <c r="D2362" i="3"/>
  <c r="C2362" i="3"/>
  <c r="B2362" i="3"/>
  <c r="A2362" i="3"/>
  <c r="G2361" i="3"/>
  <c r="F2361" i="3"/>
  <c r="E2361" i="3"/>
  <c r="D2361" i="3"/>
  <c r="C2361" i="3"/>
  <c r="B2361" i="3"/>
  <c r="A2361" i="3"/>
  <c r="G2360" i="3"/>
  <c r="F2360" i="3"/>
  <c r="E2360" i="3"/>
  <c r="D2360" i="3"/>
  <c r="C2360" i="3"/>
  <c r="B2360" i="3"/>
  <c r="A2360" i="3"/>
  <c r="G2359" i="3"/>
  <c r="F2359" i="3"/>
  <c r="E2359" i="3"/>
  <c r="D2359" i="3"/>
  <c r="C2359" i="3"/>
  <c r="B2359" i="3"/>
  <c r="A2359" i="3"/>
  <c r="G2358" i="3"/>
  <c r="F2358" i="3"/>
  <c r="E2358" i="3"/>
  <c r="D2358" i="3"/>
  <c r="C2358" i="3"/>
  <c r="B2358" i="3"/>
  <c r="A2358" i="3"/>
  <c r="G2357" i="3"/>
  <c r="F2357" i="3"/>
  <c r="E2357" i="3"/>
  <c r="D2357" i="3"/>
  <c r="C2357" i="3"/>
  <c r="B2357" i="3"/>
  <c r="A2357" i="3"/>
  <c r="G2356" i="3"/>
  <c r="F2356" i="3"/>
  <c r="E2356" i="3"/>
  <c r="D2356" i="3"/>
  <c r="C2356" i="3"/>
  <c r="B2356" i="3"/>
  <c r="A2356" i="3"/>
  <c r="G2355" i="3"/>
  <c r="F2355" i="3"/>
  <c r="E2355" i="3"/>
  <c r="D2355" i="3"/>
  <c r="C2355" i="3"/>
  <c r="B2355" i="3"/>
  <c r="A2355" i="3"/>
  <c r="G2354" i="3"/>
  <c r="F2354" i="3"/>
  <c r="E2354" i="3"/>
  <c r="D2354" i="3"/>
  <c r="C2354" i="3"/>
  <c r="B2354" i="3"/>
  <c r="A2354" i="3"/>
  <c r="G2353" i="3"/>
  <c r="F2353" i="3"/>
  <c r="E2353" i="3"/>
  <c r="D2353" i="3"/>
  <c r="C2353" i="3"/>
  <c r="B2353" i="3"/>
  <c r="A2353" i="3"/>
  <c r="G2352" i="3"/>
  <c r="F2352" i="3"/>
  <c r="E2352" i="3"/>
  <c r="D2352" i="3"/>
  <c r="C2352" i="3"/>
  <c r="B2352" i="3"/>
  <c r="A2352" i="3"/>
  <c r="G2351" i="3"/>
  <c r="F2351" i="3"/>
  <c r="E2351" i="3"/>
  <c r="D2351" i="3"/>
  <c r="C2351" i="3"/>
  <c r="B2351" i="3"/>
  <c r="A2351" i="3"/>
  <c r="G2350" i="3"/>
  <c r="F2350" i="3"/>
  <c r="E2350" i="3"/>
  <c r="D2350" i="3"/>
  <c r="C2350" i="3"/>
  <c r="A2350" i="3"/>
  <c r="G2349" i="3"/>
  <c r="F2349" i="3"/>
  <c r="E2349" i="3"/>
  <c r="D2349" i="3"/>
  <c r="C2349" i="3"/>
  <c r="B2349" i="3"/>
  <c r="A2349" i="3"/>
  <c r="G2348" i="3"/>
  <c r="F2348" i="3"/>
  <c r="E2348" i="3"/>
  <c r="D2348" i="3"/>
  <c r="C2348" i="3"/>
  <c r="B2348" i="3"/>
  <c r="A2348" i="3"/>
  <c r="G2347" i="3"/>
  <c r="F2347" i="3"/>
  <c r="E2347" i="3"/>
  <c r="D2347" i="3"/>
  <c r="C2347" i="3"/>
  <c r="B2347" i="3"/>
  <c r="A2347" i="3"/>
  <c r="G2346" i="3"/>
  <c r="F2346" i="3"/>
  <c r="E2346" i="3"/>
  <c r="D2346" i="3"/>
  <c r="C2346" i="3"/>
  <c r="B2346" i="3"/>
  <c r="A2346" i="3"/>
  <c r="G2345" i="3"/>
  <c r="F2345" i="3"/>
  <c r="E2345" i="3"/>
  <c r="D2345" i="3"/>
  <c r="C2345" i="3"/>
  <c r="B2345" i="3"/>
  <c r="A2345" i="3"/>
  <c r="G2344" i="3"/>
  <c r="F2344" i="3"/>
  <c r="E2344" i="3"/>
  <c r="D2344" i="3"/>
  <c r="C2344" i="3"/>
  <c r="B2344" i="3"/>
  <c r="A2344" i="3"/>
  <c r="G2343" i="3"/>
  <c r="F2343" i="3"/>
  <c r="E2343" i="3"/>
  <c r="D2343" i="3"/>
  <c r="C2343" i="3"/>
  <c r="B2343" i="3"/>
  <c r="A2343" i="3"/>
  <c r="G2342" i="3"/>
  <c r="F2342" i="3"/>
  <c r="E2342" i="3"/>
  <c r="D2342" i="3"/>
  <c r="C2342" i="3"/>
  <c r="B2342" i="3"/>
  <c r="A2342" i="3"/>
  <c r="G2341" i="3"/>
  <c r="F2341" i="3"/>
  <c r="E2341" i="3"/>
  <c r="D2341" i="3"/>
  <c r="C2341" i="3"/>
  <c r="B2341" i="3"/>
  <c r="A2341" i="3"/>
  <c r="G2340" i="3"/>
  <c r="F2340" i="3"/>
  <c r="E2340" i="3"/>
  <c r="D2340" i="3"/>
  <c r="C2340" i="3"/>
  <c r="B2340" i="3"/>
  <c r="A2340" i="3"/>
  <c r="G2339" i="3"/>
  <c r="F2339" i="3"/>
  <c r="E2339" i="3"/>
  <c r="D2339" i="3"/>
  <c r="C2339" i="3"/>
  <c r="B2339" i="3"/>
  <c r="A2339" i="3"/>
  <c r="G2338" i="3"/>
  <c r="F2338" i="3"/>
  <c r="E2338" i="3"/>
  <c r="D2338" i="3"/>
  <c r="A2338" i="3"/>
  <c r="G2337" i="3"/>
  <c r="F2337" i="3"/>
  <c r="E2337" i="3"/>
  <c r="D2337" i="3"/>
  <c r="C2337" i="3"/>
  <c r="B2337" i="3"/>
  <c r="A2337" i="3"/>
  <c r="G2336" i="3"/>
  <c r="F2336" i="3"/>
  <c r="E2336" i="3"/>
  <c r="D2336" i="3"/>
  <c r="C2336" i="3"/>
  <c r="B2336" i="3"/>
  <c r="A2336" i="3"/>
  <c r="G2335" i="3"/>
  <c r="F2335" i="3"/>
  <c r="E2335" i="3"/>
  <c r="D2335" i="3"/>
  <c r="C2335" i="3"/>
  <c r="B2335" i="3"/>
  <c r="A2335" i="3"/>
  <c r="G2334" i="3"/>
  <c r="F2334" i="3"/>
  <c r="E2334" i="3"/>
  <c r="D2334" i="3"/>
  <c r="C2334" i="3"/>
  <c r="B2334" i="3"/>
  <c r="A2334" i="3"/>
  <c r="G2333" i="3"/>
  <c r="F2333" i="3"/>
  <c r="E2333" i="3"/>
  <c r="D2333" i="3"/>
  <c r="C2333" i="3"/>
  <c r="B2333" i="3"/>
  <c r="A2333" i="3"/>
  <c r="G2332" i="3"/>
  <c r="F2332" i="3"/>
  <c r="E2332" i="3"/>
  <c r="D2332" i="3"/>
  <c r="A2332" i="3"/>
  <c r="G2331" i="3"/>
  <c r="F2331" i="3"/>
  <c r="E2331" i="3"/>
  <c r="D2331" i="3"/>
  <c r="C2331" i="3"/>
  <c r="B2331" i="3"/>
  <c r="A2331" i="3"/>
  <c r="G2330" i="3"/>
  <c r="F2330" i="3"/>
  <c r="E2330" i="3"/>
  <c r="D2330" i="3"/>
  <c r="C2330" i="3"/>
  <c r="B2330" i="3"/>
  <c r="A2330" i="3"/>
  <c r="G2329" i="3"/>
  <c r="F2329" i="3"/>
  <c r="E2329" i="3"/>
  <c r="D2329" i="3"/>
  <c r="C2329" i="3"/>
  <c r="B2329" i="3"/>
  <c r="A2329" i="3"/>
  <c r="G2328" i="3"/>
  <c r="F2328" i="3"/>
  <c r="E2328" i="3"/>
  <c r="D2328" i="3"/>
  <c r="C2328" i="3"/>
  <c r="B2328" i="3"/>
  <c r="A2328" i="3"/>
  <c r="G2327" i="3"/>
  <c r="F2327" i="3"/>
  <c r="E2327" i="3"/>
  <c r="D2327" i="3"/>
  <c r="C2327" i="3"/>
  <c r="B2327" i="3"/>
  <c r="A2327" i="3"/>
  <c r="G2326" i="3"/>
  <c r="F2326" i="3"/>
  <c r="E2326" i="3"/>
  <c r="D2326" i="3"/>
  <c r="C2326" i="3"/>
  <c r="B2326" i="3"/>
  <c r="A2326" i="3"/>
  <c r="G2325" i="3"/>
  <c r="F2325" i="3"/>
  <c r="E2325" i="3"/>
  <c r="D2325" i="3"/>
  <c r="C2325" i="3"/>
  <c r="B2325" i="3"/>
  <c r="A2325" i="3"/>
  <c r="G2324" i="3"/>
  <c r="F2324" i="3"/>
  <c r="E2324" i="3"/>
  <c r="D2324" i="3"/>
  <c r="C2324" i="3"/>
  <c r="B2324" i="3"/>
  <c r="A2324" i="3"/>
  <c r="G2323" i="3"/>
  <c r="F2323" i="3"/>
  <c r="E2323" i="3"/>
  <c r="D2323" i="3"/>
  <c r="C2323" i="3"/>
  <c r="A2323" i="3"/>
  <c r="G2322" i="3"/>
  <c r="F2322" i="3"/>
  <c r="E2322" i="3"/>
  <c r="D2322" i="3"/>
  <c r="C2322" i="3"/>
  <c r="B2322" i="3"/>
  <c r="A2322" i="3"/>
  <c r="G2321" i="3"/>
  <c r="F2321" i="3"/>
  <c r="E2321" i="3"/>
  <c r="D2321" i="3"/>
  <c r="C2321" i="3"/>
  <c r="B2321" i="3"/>
  <c r="A2321" i="3"/>
  <c r="G2320" i="3"/>
  <c r="F2320" i="3"/>
  <c r="E2320" i="3"/>
  <c r="D2320" i="3"/>
  <c r="C2320" i="3"/>
  <c r="B2320" i="3"/>
  <c r="A2320" i="3"/>
  <c r="G2319" i="3"/>
  <c r="F2319" i="3"/>
  <c r="E2319" i="3"/>
  <c r="D2319" i="3"/>
  <c r="C2319" i="3"/>
  <c r="B2319" i="3"/>
  <c r="A2319" i="3"/>
  <c r="G2318" i="3"/>
  <c r="F2318" i="3"/>
  <c r="E2318" i="3"/>
  <c r="D2318" i="3"/>
  <c r="C2318" i="3"/>
  <c r="B2318" i="3"/>
  <c r="A2318" i="3"/>
  <c r="G2317" i="3"/>
  <c r="F2317" i="3"/>
  <c r="E2317" i="3"/>
  <c r="D2317" i="3"/>
  <c r="C2317" i="3"/>
  <c r="B2317" i="3"/>
  <c r="A2317" i="3"/>
  <c r="G2316" i="3"/>
  <c r="F2316" i="3"/>
  <c r="E2316" i="3"/>
  <c r="D2316" i="3"/>
  <c r="C2316" i="3"/>
  <c r="B2316" i="3"/>
  <c r="A2316" i="3"/>
  <c r="G2315" i="3"/>
  <c r="F2315" i="3"/>
  <c r="E2315" i="3"/>
  <c r="D2315" i="3"/>
  <c r="B2315" i="3"/>
  <c r="A2315" i="3"/>
  <c r="G2314" i="3"/>
  <c r="F2314" i="3"/>
  <c r="E2314" i="3"/>
  <c r="D2314" i="3"/>
  <c r="C2314" i="3"/>
  <c r="B2314" i="3"/>
  <c r="A2314" i="3"/>
  <c r="G2313" i="3"/>
  <c r="F2313" i="3"/>
  <c r="E2313" i="3"/>
  <c r="D2313" i="3"/>
  <c r="C2313" i="3"/>
  <c r="B2313" i="3"/>
  <c r="A2313" i="3"/>
  <c r="G2312" i="3"/>
  <c r="F2312" i="3"/>
  <c r="E2312" i="3"/>
  <c r="D2312" i="3"/>
  <c r="C2312" i="3"/>
  <c r="B2312" i="3"/>
  <c r="A2312" i="3"/>
  <c r="G2311" i="3"/>
  <c r="F2311" i="3"/>
  <c r="E2311" i="3"/>
  <c r="D2311" i="3"/>
  <c r="C2311" i="3"/>
  <c r="B2311" i="3"/>
  <c r="A2311" i="3"/>
  <c r="G2310" i="3"/>
  <c r="F2310" i="3"/>
  <c r="E2310" i="3"/>
  <c r="D2310" i="3"/>
  <c r="C2310" i="3"/>
  <c r="B2310" i="3"/>
  <c r="A2310" i="3"/>
  <c r="G2309" i="3"/>
  <c r="F2309" i="3"/>
  <c r="E2309" i="3"/>
  <c r="D2309" i="3"/>
  <c r="C2309" i="3"/>
  <c r="B2309" i="3"/>
  <c r="A2309" i="3"/>
  <c r="G2308" i="3"/>
  <c r="F2308" i="3"/>
  <c r="E2308" i="3"/>
  <c r="D2308" i="3"/>
  <c r="C2308" i="3"/>
  <c r="B2308" i="3"/>
  <c r="A2308" i="3"/>
  <c r="G2307" i="3"/>
  <c r="F2307" i="3"/>
  <c r="E2307" i="3"/>
  <c r="D2307" i="3"/>
  <c r="C2307" i="3"/>
  <c r="B2307" i="3"/>
  <c r="A2307" i="3"/>
  <c r="G2306" i="3"/>
  <c r="F2306" i="3"/>
  <c r="E2306" i="3"/>
  <c r="D2306" i="3"/>
  <c r="C2306" i="3"/>
  <c r="B2306" i="3"/>
  <c r="A2306" i="3"/>
  <c r="G2305" i="3"/>
  <c r="F2305" i="3"/>
  <c r="E2305" i="3"/>
  <c r="D2305" i="3"/>
  <c r="C2305" i="3"/>
  <c r="B2305" i="3"/>
  <c r="A2305" i="3"/>
  <c r="G2304" i="3"/>
  <c r="F2304" i="3"/>
  <c r="E2304" i="3"/>
  <c r="D2304" i="3"/>
  <c r="C2304" i="3"/>
  <c r="B2304" i="3"/>
  <c r="A2304" i="3"/>
  <c r="G2303" i="3"/>
  <c r="F2303" i="3"/>
  <c r="E2303" i="3"/>
  <c r="D2303" i="3"/>
  <c r="A2303" i="3"/>
  <c r="G2302" i="3"/>
  <c r="F2302" i="3"/>
  <c r="E2302" i="3"/>
  <c r="D2302" i="3"/>
  <c r="C2302" i="3"/>
  <c r="B2302" i="3"/>
  <c r="A2302" i="3"/>
  <c r="G2301" i="3"/>
  <c r="F2301" i="3"/>
  <c r="E2301" i="3"/>
  <c r="D2301" i="3"/>
  <c r="A2301" i="3"/>
  <c r="G2300" i="3"/>
  <c r="F2300" i="3"/>
  <c r="E2300" i="3"/>
  <c r="D2300" i="3"/>
  <c r="C2300" i="3"/>
  <c r="B2300" i="3"/>
  <c r="A2300" i="3"/>
  <c r="G2299" i="3"/>
  <c r="F2299" i="3"/>
  <c r="E2299" i="3"/>
  <c r="D2299" i="3"/>
  <c r="C2299" i="3"/>
  <c r="B2299" i="3"/>
  <c r="A2299" i="3"/>
  <c r="G2298" i="3"/>
  <c r="F2298" i="3"/>
  <c r="E2298" i="3"/>
  <c r="D2298" i="3"/>
  <c r="C2298" i="3"/>
  <c r="B2298" i="3"/>
  <c r="A2298" i="3"/>
  <c r="G2297" i="3"/>
  <c r="F2297" i="3"/>
  <c r="E2297" i="3"/>
  <c r="D2297" i="3"/>
  <c r="C2297" i="3"/>
  <c r="B2297" i="3"/>
  <c r="A2297" i="3"/>
  <c r="G2296" i="3"/>
  <c r="F2296" i="3"/>
  <c r="E2296" i="3"/>
  <c r="D2296" i="3"/>
  <c r="C2296" i="3"/>
  <c r="B2296" i="3"/>
  <c r="A2296" i="3"/>
  <c r="G2295" i="3"/>
  <c r="F2295" i="3"/>
  <c r="E2295" i="3"/>
  <c r="D2295" i="3"/>
  <c r="C2295" i="3"/>
  <c r="B2295" i="3"/>
  <c r="A2295" i="3"/>
  <c r="G2294" i="3"/>
  <c r="F2294" i="3"/>
  <c r="E2294" i="3"/>
  <c r="D2294" i="3"/>
  <c r="C2294" i="3"/>
  <c r="B2294" i="3"/>
  <c r="A2294" i="3"/>
  <c r="G2293" i="3"/>
  <c r="F2293" i="3"/>
  <c r="E2293" i="3"/>
  <c r="D2293" i="3"/>
  <c r="C2293" i="3"/>
  <c r="B2293" i="3"/>
  <c r="A2293" i="3"/>
  <c r="G2292" i="3"/>
  <c r="F2292" i="3"/>
  <c r="E2292" i="3"/>
  <c r="D2292" i="3"/>
  <c r="C2292" i="3"/>
  <c r="B2292" i="3"/>
  <c r="A2292" i="3"/>
  <c r="G2291" i="3"/>
  <c r="F2291" i="3"/>
  <c r="E2291" i="3"/>
  <c r="D2291" i="3"/>
  <c r="A2291" i="3"/>
  <c r="G2290" i="3"/>
  <c r="F2290" i="3"/>
  <c r="E2290" i="3"/>
  <c r="D2290" i="3"/>
  <c r="C2290" i="3"/>
  <c r="B2290" i="3"/>
  <c r="A2290" i="3"/>
  <c r="G2289" i="3"/>
  <c r="F2289" i="3"/>
  <c r="E2289" i="3"/>
  <c r="D2289" i="3"/>
  <c r="C2289" i="3"/>
  <c r="B2289" i="3"/>
  <c r="A2289" i="3"/>
  <c r="G2288" i="3"/>
  <c r="F2288" i="3"/>
  <c r="E2288" i="3"/>
  <c r="D2288" i="3"/>
  <c r="C2288" i="3"/>
  <c r="B2288" i="3"/>
  <c r="A2288" i="3"/>
  <c r="G2287" i="3"/>
  <c r="F2287" i="3"/>
  <c r="E2287" i="3"/>
  <c r="D2287" i="3"/>
  <c r="C2287" i="3"/>
  <c r="B2287" i="3"/>
  <c r="A2287" i="3"/>
  <c r="G2286" i="3"/>
  <c r="F2286" i="3"/>
  <c r="E2286" i="3"/>
  <c r="D2286" i="3"/>
  <c r="C2286" i="3"/>
  <c r="B2286" i="3"/>
  <c r="A2286" i="3"/>
  <c r="G2285" i="3"/>
  <c r="F2285" i="3"/>
  <c r="E2285" i="3"/>
  <c r="D2285" i="3"/>
  <c r="C2285" i="3"/>
  <c r="B2285" i="3"/>
  <c r="A2285" i="3"/>
  <c r="G2284" i="3"/>
  <c r="F2284" i="3"/>
  <c r="E2284" i="3"/>
  <c r="D2284" i="3"/>
  <c r="C2284" i="3"/>
  <c r="B2284" i="3"/>
  <c r="A2284" i="3"/>
  <c r="G2283" i="3"/>
  <c r="F2283" i="3"/>
  <c r="E2283" i="3"/>
  <c r="D2283" i="3"/>
  <c r="C2283" i="3"/>
  <c r="B2283" i="3"/>
  <c r="A2283" i="3"/>
  <c r="G2282" i="3"/>
  <c r="F2282" i="3"/>
  <c r="E2282" i="3"/>
  <c r="D2282" i="3"/>
  <c r="C2282" i="3"/>
  <c r="B2282" i="3"/>
  <c r="A2282" i="3"/>
  <c r="G2281" i="3"/>
  <c r="F2281" i="3"/>
  <c r="E2281" i="3"/>
  <c r="D2281" i="3"/>
  <c r="C2281" i="3"/>
  <c r="B2281" i="3"/>
  <c r="A2281" i="3"/>
  <c r="G2280" i="3"/>
  <c r="F2280" i="3"/>
  <c r="E2280" i="3"/>
  <c r="D2280" i="3"/>
  <c r="C2280" i="3"/>
  <c r="B2280" i="3"/>
  <c r="A2280" i="3"/>
  <c r="G2279" i="3"/>
  <c r="F2279" i="3"/>
  <c r="E2279" i="3"/>
  <c r="D2279" i="3"/>
  <c r="C2279" i="3"/>
  <c r="B2279" i="3"/>
  <c r="A2279" i="3"/>
  <c r="G2278" i="3"/>
  <c r="F2278" i="3"/>
  <c r="E2278" i="3"/>
  <c r="D2278" i="3"/>
  <c r="B2278" i="3"/>
  <c r="A2278" i="3"/>
  <c r="G2277" i="3"/>
  <c r="F2277" i="3"/>
  <c r="E2277" i="3"/>
  <c r="D2277" i="3"/>
  <c r="B2277" i="3"/>
  <c r="A2277" i="3"/>
  <c r="G2276" i="3"/>
  <c r="F2276" i="3"/>
  <c r="E2276" i="3"/>
  <c r="D2276" i="3"/>
  <c r="C2276" i="3"/>
  <c r="B2276" i="3"/>
  <c r="A2276" i="3"/>
  <c r="G2275" i="3"/>
  <c r="F2275" i="3"/>
  <c r="E2275" i="3"/>
  <c r="D2275" i="3"/>
  <c r="C2275" i="3"/>
  <c r="B2275" i="3"/>
  <c r="A2275" i="3"/>
  <c r="G2274" i="3"/>
  <c r="F2274" i="3"/>
  <c r="E2274" i="3"/>
  <c r="D2274" i="3"/>
  <c r="C2274" i="3"/>
  <c r="B2274" i="3"/>
  <c r="A2274" i="3"/>
  <c r="G2273" i="3"/>
  <c r="F2273" i="3"/>
  <c r="E2273" i="3"/>
  <c r="D2273" i="3"/>
  <c r="C2273" i="3"/>
  <c r="B2273" i="3"/>
  <c r="A2273" i="3"/>
  <c r="G2272" i="3"/>
  <c r="F2272" i="3"/>
  <c r="E2272" i="3"/>
  <c r="D2272" i="3"/>
  <c r="C2272" i="3"/>
  <c r="A2272" i="3"/>
  <c r="G2271" i="3"/>
  <c r="F2271" i="3"/>
  <c r="E2271" i="3"/>
  <c r="D2271" i="3"/>
  <c r="C2271" i="3"/>
  <c r="B2271" i="3"/>
  <c r="A2271" i="3"/>
  <c r="G2270" i="3"/>
  <c r="F2270" i="3"/>
  <c r="E2270" i="3"/>
  <c r="D2270" i="3"/>
  <c r="C2270" i="3"/>
  <c r="B2270" i="3"/>
  <c r="A2270" i="3"/>
  <c r="G2269" i="3"/>
  <c r="F2269" i="3"/>
  <c r="E2269" i="3"/>
  <c r="D2269" i="3"/>
  <c r="C2269" i="3"/>
  <c r="B2269" i="3"/>
  <c r="A2269" i="3"/>
  <c r="G2268" i="3"/>
  <c r="F2268" i="3"/>
  <c r="E2268" i="3"/>
  <c r="D2268" i="3"/>
  <c r="C2268" i="3"/>
  <c r="B2268" i="3"/>
  <c r="A2268" i="3"/>
  <c r="G2267" i="3"/>
  <c r="F2267" i="3"/>
  <c r="E2267" i="3"/>
  <c r="D2267" i="3"/>
  <c r="C2267" i="3"/>
  <c r="B2267" i="3"/>
  <c r="A2267" i="3"/>
  <c r="G2266" i="3"/>
  <c r="F2266" i="3"/>
  <c r="E2266" i="3"/>
  <c r="D2266" i="3"/>
  <c r="C2266" i="3"/>
  <c r="B2266" i="3"/>
  <c r="A2266" i="3"/>
  <c r="G2265" i="3"/>
  <c r="F2265" i="3"/>
  <c r="E2265" i="3"/>
  <c r="D2265" i="3"/>
  <c r="C2265" i="3"/>
  <c r="B2265" i="3"/>
  <c r="A2265" i="3"/>
  <c r="G2264" i="3"/>
  <c r="F2264" i="3"/>
  <c r="E2264" i="3"/>
  <c r="D2264" i="3"/>
  <c r="C2264" i="3"/>
  <c r="B2264" i="3"/>
  <c r="A2264" i="3"/>
  <c r="G2263" i="3"/>
  <c r="F2263" i="3"/>
  <c r="E2263" i="3"/>
  <c r="D2263" i="3"/>
  <c r="C2263" i="3"/>
  <c r="B2263" i="3"/>
  <c r="A2263" i="3"/>
  <c r="G2262" i="3"/>
  <c r="F2262" i="3"/>
  <c r="E2262" i="3"/>
  <c r="D2262" i="3"/>
  <c r="A2262" i="3"/>
  <c r="G2261" i="3"/>
  <c r="F2261" i="3"/>
  <c r="E2261" i="3"/>
  <c r="D2261" i="3"/>
  <c r="C2261" i="3"/>
  <c r="B2261" i="3"/>
  <c r="A2261" i="3"/>
  <c r="G2260" i="3"/>
  <c r="F2260" i="3"/>
  <c r="E2260" i="3"/>
  <c r="D2260" i="3"/>
  <c r="C2260" i="3"/>
  <c r="B2260" i="3"/>
  <c r="A2260" i="3"/>
  <c r="G2259" i="3"/>
  <c r="F2259" i="3"/>
  <c r="E2259" i="3"/>
  <c r="D2259" i="3"/>
  <c r="C2259" i="3"/>
  <c r="B2259" i="3"/>
  <c r="A2259" i="3"/>
  <c r="G2258" i="3"/>
  <c r="F2258" i="3"/>
  <c r="E2258" i="3"/>
  <c r="D2258" i="3"/>
  <c r="C2258" i="3"/>
  <c r="B2258" i="3"/>
  <c r="A2258" i="3"/>
  <c r="G2257" i="3"/>
  <c r="F2257" i="3"/>
  <c r="E2257" i="3"/>
  <c r="D2257" i="3"/>
  <c r="C2257" i="3"/>
  <c r="B2257" i="3"/>
  <c r="A2257" i="3"/>
  <c r="G2256" i="3"/>
  <c r="F2256" i="3"/>
  <c r="E2256" i="3"/>
  <c r="D2256" i="3"/>
  <c r="C2256" i="3"/>
  <c r="B2256" i="3"/>
  <c r="A2256" i="3"/>
  <c r="G2255" i="3"/>
  <c r="F2255" i="3"/>
  <c r="E2255" i="3"/>
  <c r="D2255" i="3"/>
  <c r="C2255" i="3"/>
  <c r="B2255" i="3"/>
  <c r="A2255" i="3"/>
  <c r="G2254" i="3"/>
  <c r="F2254" i="3"/>
  <c r="E2254" i="3"/>
  <c r="D2254" i="3"/>
  <c r="C2254" i="3"/>
  <c r="B2254" i="3"/>
  <c r="A2254" i="3"/>
  <c r="G2253" i="3"/>
  <c r="F2253" i="3"/>
  <c r="E2253" i="3"/>
  <c r="D2253" i="3"/>
  <c r="C2253" i="3"/>
  <c r="B2253" i="3"/>
  <c r="A2253" i="3"/>
  <c r="G2252" i="3"/>
  <c r="F2252" i="3"/>
  <c r="E2252" i="3"/>
  <c r="D2252" i="3"/>
  <c r="C2252" i="3"/>
  <c r="B2252" i="3"/>
  <c r="A2252" i="3"/>
  <c r="G2251" i="3"/>
  <c r="F2251" i="3"/>
  <c r="E2251" i="3"/>
  <c r="D2251" i="3"/>
  <c r="C2251" i="3"/>
  <c r="B2251" i="3"/>
  <c r="A2251" i="3"/>
  <c r="G2250" i="3"/>
  <c r="F2250" i="3"/>
  <c r="E2250" i="3"/>
  <c r="D2250" i="3"/>
  <c r="A2250" i="3"/>
  <c r="G2249" i="3"/>
  <c r="F2249" i="3"/>
  <c r="E2249" i="3"/>
  <c r="D2249" i="3"/>
  <c r="C2249" i="3"/>
  <c r="B2249" i="3"/>
  <c r="A2249" i="3"/>
  <c r="G2248" i="3"/>
  <c r="F2248" i="3"/>
  <c r="E2248" i="3"/>
  <c r="D2248" i="3"/>
  <c r="C2248" i="3"/>
  <c r="B2248" i="3"/>
  <c r="A2248" i="3"/>
  <c r="G2247" i="3"/>
  <c r="F2247" i="3"/>
  <c r="E2247" i="3"/>
  <c r="D2247" i="3"/>
  <c r="C2247" i="3"/>
  <c r="B2247" i="3"/>
  <c r="A2247" i="3"/>
  <c r="G2246" i="3"/>
  <c r="F2246" i="3"/>
  <c r="E2246" i="3"/>
  <c r="D2246" i="3"/>
  <c r="C2246" i="3"/>
  <c r="B2246" i="3"/>
  <c r="A2246" i="3"/>
  <c r="G2245" i="3"/>
  <c r="F2245" i="3"/>
  <c r="E2245" i="3"/>
  <c r="D2245" i="3"/>
  <c r="C2245" i="3"/>
  <c r="B2245" i="3"/>
  <c r="A2245" i="3"/>
  <c r="G2244" i="3"/>
  <c r="F2244" i="3"/>
  <c r="E2244" i="3"/>
  <c r="D2244" i="3"/>
  <c r="C2244" i="3"/>
  <c r="B2244" i="3"/>
  <c r="A2244" i="3"/>
  <c r="G2243" i="3"/>
  <c r="F2243" i="3"/>
  <c r="E2243" i="3"/>
  <c r="D2243" i="3"/>
  <c r="C2243" i="3"/>
  <c r="B2243" i="3"/>
  <c r="A2243" i="3"/>
  <c r="G2242" i="3"/>
  <c r="F2242" i="3"/>
  <c r="E2242" i="3"/>
  <c r="D2242" i="3"/>
  <c r="C2242" i="3"/>
  <c r="B2242" i="3"/>
  <c r="A2242" i="3"/>
  <c r="G2241" i="3"/>
  <c r="F2241" i="3"/>
  <c r="E2241" i="3"/>
  <c r="D2241" i="3"/>
  <c r="C2241" i="3"/>
  <c r="B2241" i="3"/>
  <c r="A2241" i="3"/>
  <c r="G2240" i="3"/>
  <c r="F2240" i="3"/>
  <c r="E2240" i="3"/>
  <c r="D2240" i="3"/>
  <c r="C2240" i="3"/>
  <c r="B2240" i="3"/>
  <c r="A2240" i="3"/>
  <c r="G2239" i="3"/>
  <c r="F2239" i="3"/>
  <c r="E2239" i="3"/>
  <c r="D2239" i="3"/>
  <c r="C2239" i="3"/>
  <c r="B2239" i="3"/>
  <c r="A2239" i="3"/>
  <c r="G2238" i="3"/>
  <c r="F2238" i="3"/>
  <c r="E2238" i="3"/>
  <c r="D2238" i="3"/>
  <c r="C2238" i="3"/>
  <c r="B2238" i="3"/>
  <c r="A2238" i="3"/>
  <c r="G2237" i="3"/>
  <c r="F2237" i="3"/>
  <c r="E2237" i="3"/>
  <c r="D2237" i="3"/>
  <c r="C2237" i="3"/>
  <c r="B2237" i="3"/>
  <c r="A2237" i="3"/>
  <c r="G2236" i="3"/>
  <c r="F2236" i="3"/>
  <c r="E2236" i="3"/>
  <c r="D2236" i="3"/>
  <c r="C2236" i="3"/>
  <c r="B2236" i="3"/>
  <c r="A2236" i="3"/>
  <c r="G2235" i="3"/>
  <c r="F2235" i="3"/>
  <c r="E2235" i="3"/>
  <c r="D2235" i="3"/>
  <c r="C2235" i="3"/>
  <c r="B2235" i="3"/>
  <c r="A2235" i="3"/>
  <c r="G2234" i="3"/>
  <c r="F2234" i="3"/>
  <c r="E2234" i="3"/>
  <c r="D2234" i="3"/>
  <c r="C2234" i="3"/>
  <c r="B2234" i="3"/>
  <c r="A2234" i="3"/>
  <c r="G2233" i="3"/>
  <c r="F2233" i="3"/>
  <c r="E2233" i="3"/>
  <c r="D2233" i="3"/>
  <c r="C2233" i="3"/>
  <c r="B2233" i="3"/>
  <c r="A2233" i="3"/>
  <c r="G2232" i="3"/>
  <c r="F2232" i="3"/>
  <c r="E2232" i="3"/>
  <c r="D2232" i="3"/>
  <c r="C2232" i="3"/>
  <c r="B2232" i="3"/>
  <c r="A2232" i="3"/>
  <c r="G2231" i="3"/>
  <c r="F2231" i="3"/>
  <c r="E2231" i="3"/>
  <c r="D2231" i="3"/>
  <c r="C2231" i="3"/>
  <c r="B2231" i="3"/>
  <c r="A2231" i="3"/>
  <c r="G2230" i="3"/>
  <c r="F2230" i="3"/>
  <c r="E2230" i="3"/>
  <c r="D2230" i="3"/>
  <c r="C2230" i="3"/>
  <c r="B2230" i="3"/>
  <c r="A2230" i="3"/>
  <c r="G2229" i="3"/>
  <c r="F2229" i="3"/>
  <c r="E2229" i="3"/>
  <c r="D2229" i="3"/>
  <c r="C2229" i="3"/>
  <c r="B2229" i="3"/>
  <c r="A2229" i="3"/>
  <c r="G2228" i="3"/>
  <c r="F2228" i="3"/>
  <c r="E2228" i="3"/>
  <c r="D2228" i="3"/>
  <c r="C2228" i="3"/>
  <c r="B2228" i="3"/>
  <c r="A2228" i="3"/>
  <c r="G2227" i="3"/>
  <c r="F2227" i="3"/>
  <c r="E2227" i="3"/>
  <c r="D2227" i="3"/>
  <c r="C2227" i="3"/>
  <c r="B2227" i="3"/>
  <c r="A2227" i="3"/>
  <c r="G2226" i="3"/>
  <c r="F2226" i="3"/>
  <c r="E2226" i="3"/>
  <c r="D2226" i="3"/>
  <c r="C2226" i="3"/>
  <c r="B2226" i="3"/>
  <c r="A2226" i="3"/>
  <c r="G2225" i="3"/>
  <c r="F2225" i="3"/>
  <c r="E2225" i="3"/>
  <c r="D2225" i="3"/>
  <c r="C2225" i="3"/>
  <c r="B2225" i="3"/>
  <c r="A2225" i="3"/>
  <c r="G2224" i="3"/>
  <c r="F2224" i="3"/>
  <c r="E2224" i="3"/>
  <c r="D2224" i="3"/>
  <c r="C2224" i="3"/>
  <c r="B2224" i="3"/>
  <c r="A2224" i="3"/>
  <c r="G2223" i="3"/>
  <c r="F2223" i="3"/>
  <c r="E2223" i="3"/>
  <c r="D2223" i="3"/>
  <c r="C2223" i="3"/>
  <c r="B2223" i="3"/>
  <c r="A2223" i="3"/>
  <c r="G2222" i="3"/>
  <c r="F2222" i="3"/>
  <c r="E2222" i="3"/>
  <c r="D2222" i="3"/>
  <c r="C2222" i="3"/>
  <c r="B2222" i="3"/>
  <c r="A2222" i="3"/>
  <c r="G2221" i="3"/>
  <c r="F2221" i="3"/>
  <c r="E2221" i="3"/>
  <c r="D2221" i="3"/>
  <c r="C2221" i="3"/>
  <c r="B2221" i="3"/>
  <c r="A2221" i="3"/>
  <c r="G2220" i="3"/>
  <c r="F2220" i="3"/>
  <c r="E2220" i="3"/>
  <c r="D2220" i="3"/>
  <c r="C2220" i="3"/>
  <c r="B2220" i="3"/>
  <c r="A2220" i="3"/>
  <c r="G2219" i="3"/>
  <c r="F2219" i="3"/>
  <c r="E2219" i="3"/>
  <c r="D2219" i="3"/>
  <c r="C2219" i="3"/>
  <c r="B2219" i="3"/>
  <c r="A2219" i="3"/>
  <c r="G2218" i="3"/>
  <c r="F2218" i="3"/>
  <c r="E2218" i="3"/>
  <c r="D2218" i="3"/>
  <c r="C2218" i="3"/>
  <c r="B2218" i="3"/>
  <c r="A2218" i="3"/>
  <c r="G2217" i="3"/>
  <c r="F2217" i="3"/>
  <c r="E2217" i="3"/>
  <c r="D2217" i="3"/>
  <c r="C2217" i="3"/>
  <c r="B2217" i="3"/>
  <c r="A2217" i="3"/>
  <c r="G2216" i="3"/>
  <c r="F2216" i="3"/>
  <c r="E2216" i="3"/>
  <c r="D2216" i="3"/>
  <c r="C2216" i="3"/>
  <c r="B2216" i="3"/>
  <c r="A2216" i="3"/>
  <c r="G2215" i="3"/>
  <c r="F2215" i="3"/>
  <c r="E2215" i="3"/>
  <c r="D2215" i="3"/>
  <c r="C2215" i="3"/>
  <c r="B2215" i="3"/>
  <c r="A2215" i="3"/>
  <c r="G2214" i="3"/>
  <c r="F2214" i="3"/>
  <c r="E2214" i="3"/>
  <c r="D2214" i="3"/>
  <c r="C2214" i="3"/>
  <c r="B2214" i="3"/>
  <c r="A2214" i="3"/>
  <c r="G2213" i="3"/>
  <c r="F2213" i="3"/>
  <c r="E2213" i="3"/>
  <c r="D2213" i="3"/>
  <c r="C2213" i="3"/>
  <c r="B2213" i="3"/>
  <c r="A2213" i="3"/>
  <c r="G2212" i="3"/>
  <c r="F2212" i="3"/>
  <c r="E2212" i="3"/>
  <c r="D2212" i="3"/>
  <c r="C2212" i="3"/>
  <c r="B2212" i="3"/>
  <c r="A2212" i="3"/>
  <c r="G2211" i="3"/>
  <c r="F2211" i="3"/>
  <c r="E2211" i="3"/>
  <c r="D2211" i="3"/>
  <c r="C2211" i="3"/>
  <c r="B2211" i="3"/>
  <c r="A2211" i="3"/>
  <c r="G2210" i="3"/>
  <c r="F2210" i="3"/>
  <c r="E2210" i="3"/>
  <c r="D2210" i="3"/>
  <c r="C2210" i="3"/>
  <c r="B2210" i="3"/>
  <c r="A2210" i="3"/>
  <c r="G2209" i="3"/>
  <c r="F2209" i="3"/>
  <c r="E2209" i="3"/>
  <c r="D2209" i="3"/>
  <c r="C2209" i="3"/>
  <c r="B2209" i="3"/>
  <c r="A2209" i="3"/>
  <c r="G2208" i="3"/>
  <c r="F2208" i="3"/>
  <c r="E2208" i="3"/>
  <c r="D2208" i="3"/>
  <c r="C2208" i="3"/>
  <c r="B2208" i="3"/>
  <c r="A2208" i="3"/>
  <c r="G2207" i="3"/>
  <c r="F2207" i="3"/>
  <c r="E2207" i="3"/>
  <c r="D2207" i="3"/>
  <c r="A2207" i="3"/>
  <c r="G2206" i="3"/>
  <c r="F2206" i="3"/>
  <c r="E2206" i="3"/>
  <c r="D2206" i="3"/>
  <c r="C2206" i="3"/>
  <c r="B2206" i="3"/>
  <c r="A2206" i="3"/>
  <c r="G2205" i="3"/>
  <c r="F2205" i="3"/>
  <c r="E2205" i="3"/>
  <c r="D2205" i="3"/>
  <c r="C2205" i="3"/>
  <c r="A2205" i="3"/>
  <c r="G2204" i="3"/>
  <c r="F2204" i="3"/>
  <c r="E2204" i="3"/>
  <c r="D2204" i="3"/>
  <c r="C2204" i="3"/>
  <c r="B2204" i="3"/>
  <c r="A2204" i="3"/>
  <c r="G2203" i="3"/>
  <c r="F2203" i="3"/>
  <c r="E2203" i="3"/>
  <c r="D2203" i="3"/>
  <c r="C2203" i="3"/>
  <c r="B2203" i="3"/>
  <c r="A2203" i="3"/>
  <c r="G2202" i="3"/>
  <c r="F2202" i="3"/>
  <c r="E2202" i="3"/>
  <c r="D2202" i="3"/>
  <c r="B2202" i="3"/>
  <c r="A2202" i="3"/>
  <c r="G2201" i="3"/>
  <c r="F2201" i="3"/>
  <c r="E2201" i="3"/>
  <c r="D2201" i="3"/>
  <c r="C2201" i="3"/>
  <c r="B2201" i="3"/>
  <c r="A2201" i="3"/>
  <c r="G2200" i="3"/>
  <c r="F2200" i="3"/>
  <c r="E2200" i="3"/>
  <c r="D2200" i="3"/>
  <c r="C2200" i="3"/>
  <c r="A2200" i="3"/>
  <c r="G2199" i="3"/>
  <c r="F2199" i="3"/>
  <c r="E2199" i="3"/>
  <c r="D2199" i="3"/>
  <c r="C2199" i="3"/>
  <c r="B2199" i="3"/>
  <c r="A2199" i="3"/>
  <c r="G2198" i="3"/>
  <c r="F2198" i="3"/>
  <c r="E2198" i="3"/>
  <c r="D2198" i="3"/>
  <c r="C2198" i="3"/>
  <c r="B2198" i="3"/>
  <c r="A2198" i="3"/>
  <c r="G2197" i="3"/>
  <c r="F2197" i="3"/>
  <c r="E2197" i="3"/>
  <c r="D2197" i="3"/>
  <c r="C2197" i="3"/>
  <c r="A2197" i="3"/>
  <c r="G2196" i="3"/>
  <c r="F2196" i="3"/>
  <c r="E2196" i="3"/>
  <c r="D2196" i="3"/>
  <c r="C2196" i="3"/>
  <c r="B2196" i="3"/>
  <c r="A2196" i="3"/>
  <c r="G2195" i="3"/>
  <c r="F2195" i="3"/>
  <c r="E2195" i="3"/>
  <c r="D2195" i="3"/>
  <c r="C2195" i="3"/>
  <c r="B2195" i="3"/>
  <c r="A2195" i="3"/>
  <c r="G2194" i="3"/>
  <c r="F2194" i="3"/>
  <c r="E2194" i="3"/>
  <c r="D2194" i="3"/>
  <c r="C2194" i="3"/>
  <c r="B2194" i="3"/>
  <c r="A2194" i="3"/>
  <c r="G2193" i="3"/>
  <c r="F2193" i="3"/>
  <c r="E2193" i="3"/>
  <c r="D2193" i="3"/>
  <c r="C2193" i="3"/>
  <c r="B2193" i="3"/>
  <c r="A2193" i="3"/>
  <c r="G2192" i="3"/>
  <c r="F2192" i="3"/>
  <c r="E2192" i="3"/>
  <c r="D2192" i="3"/>
  <c r="C2192" i="3"/>
  <c r="B2192" i="3"/>
  <c r="A2192" i="3"/>
  <c r="G2191" i="3"/>
  <c r="F2191" i="3"/>
  <c r="E2191" i="3"/>
  <c r="D2191" i="3"/>
  <c r="C2191" i="3"/>
  <c r="B2191" i="3"/>
  <c r="A2191" i="3"/>
  <c r="G2190" i="3"/>
  <c r="F2190" i="3"/>
  <c r="E2190" i="3"/>
  <c r="D2190" i="3"/>
  <c r="C2190" i="3"/>
  <c r="B2190" i="3"/>
  <c r="A2190" i="3"/>
  <c r="G2189" i="3"/>
  <c r="F2189" i="3"/>
  <c r="E2189" i="3"/>
  <c r="D2189" i="3"/>
  <c r="C2189" i="3"/>
  <c r="B2189" i="3"/>
  <c r="A2189" i="3"/>
  <c r="G2188" i="3"/>
  <c r="F2188" i="3"/>
  <c r="E2188" i="3"/>
  <c r="D2188" i="3"/>
  <c r="C2188" i="3"/>
  <c r="B2188" i="3"/>
  <c r="A2188" i="3"/>
  <c r="G2187" i="3"/>
  <c r="F2187" i="3"/>
  <c r="E2187" i="3"/>
  <c r="D2187" i="3"/>
  <c r="C2187" i="3"/>
  <c r="B2187" i="3"/>
  <c r="A2187" i="3"/>
  <c r="G2186" i="3"/>
  <c r="F2186" i="3"/>
  <c r="E2186" i="3"/>
  <c r="D2186" i="3"/>
  <c r="C2186" i="3"/>
  <c r="B2186" i="3"/>
  <c r="A2186" i="3"/>
  <c r="G2185" i="3"/>
  <c r="F2185" i="3"/>
  <c r="E2185" i="3"/>
  <c r="D2185" i="3"/>
  <c r="C2185" i="3"/>
  <c r="B2185" i="3"/>
  <c r="A2185" i="3"/>
  <c r="G2184" i="3"/>
  <c r="F2184" i="3"/>
  <c r="E2184" i="3"/>
  <c r="D2184" i="3"/>
  <c r="C2184" i="3"/>
  <c r="B2184" i="3"/>
  <c r="A2184" i="3"/>
  <c r="G2183" i="3"/>
  <c r="F2183" i="3"/>
  <c r="E2183" i="3"/>
  <c r="D2183" i="3"/>
  <c r="C2183" i="3"/>
  <c r="B2183" i="3"/>
  <c r="A2183" i="3"/>
  <c r="G2182" i="3"/>
  <c r="F2182" i="3"/>
  <c r="E2182" i="3"/>
  <c r="D2182" i="3"/>
  <c r="C2182" i="3"/>
  <c r="B2182" i="3"/>
  <c r="A2182" i="3"/>
  <c r="G2181" i="3"/>
  <c r="F2181" i="3"/>
  <c r="E2181" i="3"/>
  <c r="D2181" i="3"/>
  <c r="C2181" i="3"/>
  <c r="B2181" i="3"/>
  <c r="A2181" i="3"/>
  <c r="G2180" i="3"/>
  <c r="F2180" i="3"/>
  <c r="E2180" i="3"/>
  <c r="D2180" i="3"/>
  <c r="C2180" i="3"/>
  <c r="B2180" i="3"/>
  <c r="A2180" i="3"/>
  <c r="G2179" i="3"/>
  <c r="F2179" i="3"/>
  <c r="E2179" i="3"/>
  <c r="D2179" i="3"/>
  <c r="C2179" i="3"/>
  <c r="B2179" i="3"/>
  <c r="A2179" i="3"/>
  <c r="G2178" i="3"/>
  <c r="F2178" i="3"/>
  <c r="E2178" i="3"/>
  <c r="D2178" i="3"/>
  <c r="C2178" i="3"/>
  <c r="B2178" i="3"/>
  <c r="A2178" i="3"/>
  <c r="G2177" i="3"/>
  <c r="F2177" i="3"/>
  <c r="E2177" i="3"/>
  <c r="D2177" i="3"/>
  <c r="C2177" i="3"/>
  <c r="B2177" i="3"/>
  <c r="A2177" i="3"/>
  <c r="G2176" i="3"/>
  <c r="F2176" i="3"/>
  <c r="E2176" i="3"/>
  <c r="D2176" i="3"/>
  <c r="C2176" i="3"/>
  <c r="B2176" i="3"/>
  <c r="A2176" i="3"/>
  <c r="G2175" i="3"/>
  <c r="F2175" i="3"/>
  <c r="E2175" i="3"/>
  <c r="D2175" i="3"/>
  <c r="C2175" i="3"/>
  <c r="B2175" i="3"/>
  <c r="A2175" i="3"/>
  <c r="G2174" i="3"/>
  <c r="F2174" i="3"/>
  <c r="E2174" i="3"/>
  <c r="D2174" i="3"/>
  <c r="C2174" i="3"/>
  <c r="B2174" i="3"/>
  <c r="A2174" i="3"/>
  <c r="G2173" i="3"/>
  <c r="F2173" i="3"/>
  <c r="E2173" i="3"/>
  <c r="D2173" i="3"/>
  <c r="C2173" i="3"/>
  <c r="A2173" i="3"/>
  <c r="G2172" i="3"/>
  <c r="F2172" i="3"/>
  <c r="E2172" i="3"/>
  <c r="D2172" i="3"/>
  <c r="C2172" i="3"/>
  <c r="B2172" i="3"/>
  <c r="A2172" i="3"/>
  <c r="G2171" i="3"/>
  <c r="F2171" i="3"/>
  <c r="E2171" i="3"/>
  <c r="D2171" i="3"/>
  <c r="C2171" i="3"/>
  <c r="B2171" i="3"/>
  <c r="A2171" i="3"/>
  <c r="G2170" i="3"/>
  <c r="F2170" i="3"/>
  <c r="E2170" i="3"/>
  <c r="D2170" i="3"/>
  <c r="C2170" i="3"/>
  <c r="A2170" i="3"/>
  <c r="G2169" i="3"/>
  <c r="F2169" i="3"/>
  <c r="E2169" i="3"/>
  <c r="D2169" i="3"/>
  <c r="C2169" i="3"/>
  <c r="B2169" i="3"/>
  <c r="A2169" i="3"/>
  <c r="G2168" i="3"/>
  <c r="F2168" i="3"/>
  <c r="E2168" i="3"/>
  <c r="D2168" i="3"/>
  <c r="C2168" i="3"/>
  <c r="B2168" i="3"/>
  <c r="A2168" i="3"/>
  <c r="G2167" i="3"/>
  <c r="F2167" i="3"/>
  <c r="E2167" i="3"/>
  <c r="D2167" i="3"/>
  <c r="C2167" i="3"/>
  <c r="B2167" i="3"/>
  <c r="A2167" i="3"/>
  <c r="G2166" i="3"/>
  <c r="F2166" i="3"/>
  <c r="E2166" i="3"/>
  <c r="D2166" i="3"/>
  <c r="C2166" i="3"/>
  <c r="B2166" i="3"/>
  <c r="A2166" i="3"/>
  <c r="G2165" i="3"/>
  <c r="F2165" i="3"/>
  <c r="E2165" i="3"/>
  <c r="D2165" i="3"/>
  <c r="C2165" i="3"/>
  <c r="B2165" i="3"/>
  <c r="A2165" i="3"/>
  <c r="G2164" i="3"/>
  <c r="F2164" i="3"/>
  <c r="E2164" i="3"/>
  <c r="D2164" i="3"/>
  <c r="C2164" i="3"/>
  <c r="B2164" i="3"/>
  <c r="A2164" i="3"/>
  <c r="G2163" i="3"/>
  <c r="F2163" i="3"/>
  <c r="E2163" i="3"/>
  <c r="D2163" i="3"/>
  <c r="C2163" i="3"/>
  <c r="B2163" i="3"/>
  <c r="A2163" i="3"/>
  <c r="G2162" i="3"/>
  <c r="F2162" i="3"/>
  <c r="E2162" i="3"/>
  <c r="D2162" i="3"/>
  <c r="C2162" i="3"/>
  <c r="B2162" i="3"/>
  <c r="A2162" i="3"/>
  <c r="G2161" i="3"/>
  <c r="F2161" i="3"/>
  <c r="E2161" i="3"/>
  <c r="D2161" i="3"/>
  <c r="C2161" i="3"/>
  <c r="B2161" i="3"/>
  <c r="A2161" i="3"/>
  <c r="G2160" i="3"/>
  <c r="F2160" i="3"/>
  <c r="E2160" i="3"/>
  <c r="D2160" i="3"/>
  <c r="C2160" i="3"/>
  <c r="B2160" i="3"/>
  <c r="A2160" i="3"/>
  <c r="G2159" i="3"/>
  <c r="F2159" i="3"/>
  <c r="E2159" i="3"/>
  <c r="D2159" i="3"/>
  <c r="C2159" i="3"/>
  <c r="B2159" i="3"/>
  <c r="A2159" i="3"/>
  <c r="G2158" i="3"/>
  <c r="F2158" i="3"/>
  <c r="E2158" i="3"/>
  <c r="D2158" i="3"/>
  <c r="C2158" i="3"/>
  <c r="B2158" i="3"/>
  <c r="A2158" i="3"/>
  <c r="G2157" i="3"/>
  <c r="F2157" i="3"/>
  <c r="E2157" i="3"/>
  <c r="D2157" i="3"/>
  <c r="C2157" i="3"/>
  <c r="A2157" i="3"/>
  <c r="G2156" i="3"/>
  <c r="F2156" i="3"/>
  <c r="E2156" i="3"/>
  <c r="D2156" i="3"/>
  <c r="C2156" i="3"/>
  <c r="B2156" i="3"/>
  <c r="A2156" i="3"/>
  <c r="G2155" i="3"/>
  <c r="F2155" i="3"/>
  <c r="E2155" i="3"/>
  <c r="D2155" i="3"/>
  <c r="C2155" i="3"/>
  <c r="B2155" i="3"/>
  <c r="A2155" i="3"/>
  <c r="G2154" i="3"/>
  <c r="F2154" i="3"/>
  <c r="E2154" i="3"/>
  <c r="D2154" i="3"/>
  <c r="C2154" i="3"/>
  <c r="B2154" i="3"/>
  <c r="A2154" i="3"/>
  <c r="G2153" i="3"/>
  <c r="F2153" i="3"/>
  <c r="E2153" i="3"/>
  <c r="D2153" i="3"/>
  <c r="C2153" i="3"/>
  <c r="B2153" i="3"/>
  <c r="A2153" i="3"/>
  <c r="G2152" i="3"/>
  <c r="F2152" i="3"/>
  <c r="E2152" i="3"/>
  <c r="D2152" i="3"/>
  <c r="C2152" i="3"/>
  <c r="B2152" i="3"/>
  <c r="A2152" i="3"/>
  <c r="G2151" i="3"/>
  <c r="F2151" i="3"/>
  <c r="E2151" i="3"/>
  <c r="D2151" i="3"/>
  <c r="C2151" i="3"/>
  <c r="B2151" i="3"/>
  <c r="A2151" i="3"/>
  <c r="G2150" i="3"/>
  <c r="F2150" i="3"/>
  <c r="E2150" i="3"/>
  <c r="D2150" i="3"/>
  <c r="C2150" i="3"/>
  <c r="A2150" i="3"/>
  <c r="G2149" i="3"/>
  <c r="F2149" i="3"/>
  <c r="E2149" i="3"/>
  <c r="D2149" i="3"/>
  <c r="C2149" i="3"/>
  <c r="B2149" i="3"/>
  <c r="A2149" i="3"/>
  <c r="G2148" i="3"/>
  <c r="F2148" i="3"/>
  <c r="E2148" i="3"/>
  <c r="D2148" i="3"/>
  <c r="C2148" i="3"/>
  <c r="B2148" i="3"/>
  <c r="A2148" i="3"/>
  <c r="G2147" i="3"/>
  <c r="F2147" i="3"/>
  <c r="E2147" i="3"/>
  <c r="D2147" i="3"/>
  <c r="C2147" i="3"/>
  <c r="B2147" i="3"/>
  <c r="A2147" i="3"/>
  <c r="G2146" i="3"/>
  <c r="F2146" i="3"/>
  <c r="E2146" i="3"/>
  <c r="D2146" i="3"/>
  <c r="C2146" i="3"/>
  <c r="B2146" i="3"/>
  <c r="A2146" i="3"/>
  <c r="G2145" i="3"/>
  <c r="F2145" i="3"/>
  <c r="E2145" i="3"/>
  <c r="D2145" i="3"/>
  <c r="B2145" i="3"/>
  <c r="A2145" i="3"/>
  <c r="G2144" i="3"/>
  <c r="F2144" i="3"/>
  <c r="E2144" i="3"/>
  <c r="D2144" i="3"/>
  <c r="C2144" i="3"/>
  <c r="B2144" i="3"/>
  <c r="A2144" i="3"/>
  <c r="G2143" i="3"/>
  <c r="F2143" i="3"/>
  <c r="E2143" i="3"/>
  <c r="D2143" i="3"/>
  <c r="C2143" i="3"/>
  <c r="B2143" i="3"/>
  <c r="A2143" i="3"/>
  <c r="G2142" i="3"/>
  <c r="F2142" i="3"/>
  <c r="E2142" i="3"/>
  <c r="D2142" i="3"/>
  <c r="C2142" i="3"/>
  <c r="B2142" i="3"/>
  <c r="A2142" i="3"/>
  <c r="G2141" i="3"/>
  <c r="F2141" i="3"/>
  <c r="E2141" i="3"/>
  <c r="D2141" i="3"/>
  <c r="C2141" i="3"/>
  <c r="B2141" i="3"/>
  <c r="A2141" i="3"/>
  <c r="G2140" i="3"/>
  <c r="F2140" i="3"/>
  <c r="E2140" i="3"/>
  <c r="D2140" i="3"/>
  <c r="C2140" i="3"/>
  <c r="B2140" i="3"/>
  <c r="A2140" i="3"/>
  <c r="G2139" i="3"/>
  <c r="F2139" i="3"/>
  <c r="E2139" i="3"/>
  <c r="D2139" i="3"/>
  <c r="C2139" i="3"/>
  <c r="B2139" i="3"/>
  <c r="A2139" i="3"/>
  <c r="G2138" i="3"/>
  <c r="F2138" i="3"/>
  <c r="E2138" i="3"/>
  <c r="D2138" i="3"/>
  <c r="C2138" i="3"/>
  <c r="B2138" i="3"/>
  <c r="A2138" i="3"/>
  <c r="G2137" i="3"/>
  <c r="F2137" i="3"/>
  <c r="E2137" i="3"/>
  <c r="D2137" i="3"/>
  <c r="C2137" i="3"/>
  <c r="A2137" i="3"/>
  <c r="G2136" i="3"/>
  <c r="F2136" i="3"/>
  <c r="E2136" i="3"/>
  <c r="D2136" i="3"/>
  <c r="A2136" i="3"/>
  <c r="G2135" i="3"/>
  <c r="F2135" i="3"/>
  <c r="E2135" i="3"/>
  <c r="D2135" i="3"/>
  <c r="C2135" i="3"/>
  <c r="B2135" i="3"/>
  <c r="A2135" i="3"/>
  <c r="G2134" i="3"/>
  <c r="F2134" i="3"/>
  <c r="E2134" i="3"/>
  <c r="D2134" i="3"/>
  <c r="C2134" i="3"/>
  <c r="A2134" i="3"/>
  <c r="G2133" i="3"/>
  <c r="F2133" i="3"/>
  <c r="E2133" i="3"/>
  <c r="D2133" i="3"/>
  <c r="C2133" i="3"/>
  <c r="B2133" i="3"/>
  <c r="A2133" i="3"/>
  <c r="G2132" i="3"/>
  <c r="F2132" i="3"/>
  <c r="E2132" i="3"/>
  <c r="D2132" i="3"/>
  <c r="C2132" i="3"/>
  <c r="B2132" i="3"/>
  <c r="A2132" i="3"/>
  <c r="G2131" i="3"/>
  <c r="F2131" i="3"/>
  <c r="E2131" i="3"/>
  <c r="D2131" i="3"/>
  <c r="C2131" i="3"/>
  <c r="B2131" i="3"/>
  <c r="A2131" i="3"/>
  <c r="G2130" i="3"/>
  <c r="F2130" i="3"/>
  <c r="E2130" i="3"/>
  <c r="D2130" i="3"/>
  <c r="C2130" i="3"/>
  <c r="B2130" i="3"/>
  <c r="A2130" i="3"/>
  <c r="G2129" i="3"/>
  <c r="F2129" i="3"/>
  <c r="E2129" i="3"/>
  <c r="D2129" i="3"/>
  <c r="C2129" i="3"/>
  <c r="B2129" i="3"/>
  <c r="A2129" i="3"/>
  <c r="G2128" i="3"/>
  <c r="F2128" i="3"/>
  <c r="E2128" i="3"/>
  <c r="D2128" i="3"/>
  <c r="C2128" i="3"/>
  <c r="B2128" i="3"/>
  <c r="A2128" i="3"/>
  <c r="G2127" i="3"/>
  <c r="F2127" i="3"/>
  <c r="E2127" i="3"/>
  <c r="D2127" i="3"/>
  <c r="C2127" i="3"/>
  <c r="B2127" i="3"/>
  <c r="A2127" i="3"/>
  <c r="G2126" i="3"/>
  <c r="F2126" i="3"/>
  <c r="E2126" i="3"/>
  <c r="D2126" i="3"/>
  <c r="C2126" i="3"/>
  <c r="B2126" i="3"/>
  <c r="A2126" i="3"/>
  <c r="G2125" i="3"/>
  <c r="F2125" i="3"/>
  <c r="E2125" i="3"/>
  <c r="D2125" i="3"/>
  <c r="C2125" i="3"/>
  <c r="B2125" i="3"/>
  <c r="A2125" i="3"/>
  <c r="G2124" i="3"/>
  <c r="F2124" i="3"/>
  <c r="E2124" i="3"/>
  <c r="D2124" i="3"/>
  <c r="C2124" i="3"/>
  <c r="B2124" i="3"/>
  <c r="A2124" i="3"/>
  <c r="G2123" i="3"/>
  <c r="F2123" i="3"/>
  <c r="E2123" i="3"/>
  <c r="D2123" i="3"/>
  <c r="C2123" i="3"/>
  <c r="B2123" i="3"/>
  <c r="A2123" i="3"/>
  <c r="G2122" i="3"/>
  <c r="F2122" i="3"/>
  <c r="E2122" i="3"/>
  <c r="D2122" i="3"/>
  <c r="C2122" i="3"/>
  <c r="B2122" i="3"/>
  <c r="A2122" i="3"/>
  <c r="G2121" i="3"/>
  <c r="F2121" i="3"/>
  <c r="E2121" i="3"/>
  <c r="D2121" i="3"/>
  <c r="C2121" i="3"/>
  <c r="B2121" i="3"/>
  <c r="A2121" i="3"/>
  <c r="G2120" i="3"/>
  <c r="F2120" i="3"/>
  <c r="E2120" i="3"/>
  <c r="D2120" i="3"/>
  <c r="C2120" i="3"/>
  <c r="B2120" i="3"/>
  <c r="A2120" i="3"/>
  <c r="G2119" i="3"/>
  <c r="F2119" i="3"/>
  <c r="E2119" i="3"/>
  <c r="D2119" i="3"/>
  <c r="C2119" i="3"/>
  <c r="B2119" i="3"/>
  <c r="A2119" i="3"/>
  <c r="G2118" i="3"/>
  <c r="F2118" i="3"/>
  <c r="E2118" i="3"/>
  <c r="D2118" i="3"/>
  <c r="C2118" i="3"/>
  <c r="B2118" i="3"/>
  <c r="A2118" i="3"/>
  <c r="G2117" i="3"/>
  <c r="F2117" i="3"/>
  <c r="E2117" i="3"/>
  <c r="D2117" i="3"/>
  <c r="C2117" i="3"/>
  <c r="B2117" i="3"/>
  <c r="A2117" i="3"/>
  <c r="G2116" i="3"/>
  <c r="F2116" i="3"/>
  <c r="E2116" i="3"/>
  <c r="D2116" i="3"/>
  <c r="C2116" i="3"/>
  <c r="B2116" i="3"/>
  <c r="A2116" i="3"/>
  <c r="G2115" i="3"/>
  <c r="F2115" i="3"/>
  <c r="E2115" i="3"/>
  <c r="D2115" i="3"/>
  <c r="C2115" i="3"/>
  <c r="B2115" i="3"/>
  <c r="A2115" i="3"/>
  <c r="G2114" i="3"/>
  <c r="F2114" i="3"/>
  <c r="E2114" i="3"/>
  <c r="D2114" i="3"/>
  <c r="C2114" i="3"/>
  <c r="B2114" i="3"/>
  <c r="A2114" i="3"/>
  <c r="G2113" i="3"/>
  <c r="F2113" i="3"/>
  <c r="E2113" i="3"/>
  <c r="D2113" i="3"/>
  <c r="C2113" i="3"/>
  <c r="B2113" i="3"/>
  <c r="A2113" i="3"/>
  <c r="G2112" i="3"/>
  <c r="F2112" i="3"/>
  <c r="E2112" i="3"/>
  <c r="D2112" i="3"/>
  <c r="C2112" i="3"/>
  <c r="B2112" i="3"/>
  <c r="A2112" i="3"/>
  <c r="G2111" i="3"/>
  <c r="F2111" i="3"/>
  <c r="E2111" i="3"/>
  <c r="D2111" i="3"/>
  <c r="C2111" i="3"/>
  <c r="B2111" i="3"/>
  <c r="A2111" i="3"/>
  <c r="G2110" i="3"/>
  <c r="F2110" i="3"/>
  <c r="E2110" i="3"/>
  <c r="D2110" i="3"/>
  <c r="A2110" i="3"/>
  <c r="G2109" i="3"/>
  <c r="F2109" i="3"/>
  <c r="E2109" i="3"/>
  <c r="D2109" i="3"/>
  <c r="B2109" i="3"/>
  <c r="A2109" i="3"/>
  <c r="G2108" i="3"/>
  <c r="F2108" i="3"/>
  <c r="E2108" i="3"/>
  <c r="D2108" i="3"/>
  <c r="C2108" i="3"/>
  <c r="B2108" i="3"/>
  <c r="A2108" i="3"/>
  <c r="G2107" i="3"/>
  <c r="F2107" i="3"/>
  <c r="E2107" i="3"/>
  <c r="D2107" i="3"/>
  <c r="C2107" i="3"/>
  <c r="B2107" i="3"/>
  <c r="A2107" i="3"/>
  <c r="G2106" i="3"/>
  <c r="F2106" i="3"/>
  <c r="E2106" i="3"/>
  <c r="D2106" i="3"/>
  <c r="C2106" i="3"/>
  <c r="B2106" i="3"/>
  <c r="A2106" i="3"/>
  <c r="G2105" i="3"/>
  <c r="F2105" i="3"/>
  <c r="E2105" i="3"/>
  <c r="D2105" i="3"/>
  <c r="C2105" i="3"/>
  <c r="B2105" i="3"/>
  <c r="A2105" i="3"/>
  <c r="G2104" i="3"/>
  <c r="F2104" i="3"/>
  <c r="E2104" i="3"/>
  <c r="D2104" i="3"/>
  <c r="C2104" i="3"/>
  <c r="B2104" i="3"/>
  <c r="A2104" i="3"/>
  <c r="G2103" i="3"/>
  <c r="F2103" i="3"/>
  <c r="E2103" i="3"/>
  <c r="D2103" i="3"/>
  <c r="C2103" i="3"/>
  <c r="B2103" i="3"/>
  <c r="A2103" i="3"/>
  <c r="G2102" i="3"/>
  <c r="F2102" i="3"/>
  <c r="E2102" i="3"/>
  <c r="D2102" i="3"/>
  <c r="C2102" i="3"/>
  <c r="B2102" i="3"/>
  <c r="A2102" i="3"/>
  <c r="G2101" i="3"/>
  <c r="F2101" i="3"/>
  <c r="E2101" i="3"/>
  <c r="D2101" i="3"/>
  <c r="C2101" i="3"/>
  <c r="B2101" i="3"/>
  <c r="A2101" i="3"/>
  <c r="G2100" i="3"/>
  <c r="F2100" i="3"/>
  <c r="E2100" i="3"/>
  <c r="D2100" i="3"/>
  <c r="C2100" i="3"/>
  <c r="B2100" i="3"/>
  <c r="A2100" i="3"/>
  <c r="G2099" i="3"/>
  <c r="F2099" i="3"/>
  <c r="E2099" i="3"/>
  <c r="D2099" i="3"/>
  <c r="C2099" i="3"/>
  <c r="B2099" i="3"/>
  <c r="A2099" i="3"/>
  <c r="G2098" i="3"/>
  <c r="F2098" i="3"/>
  <c r="E2098" i="3"/>
  <c r="D2098" i="3"/>
  <c r="C2098" i="3"/>
  <c r="B2098" i="3"/>
  <c r="A2098" i="3"/>
  <c r="G2097" i="3"/>
  <c r="F2097" i="3"/>
  <c r="E2097" i="3"/>
  <c r="D2097" i="3"/>
  <c r="C2097" i="3"/>
  <c r="B2097" i="3"/>
  <c r="A2097" i="3"/>
  <c r="G2096" i="3"/>
  <c r="F2096" i="3"/>
  <c r="E2096" i="3"/>
  <c r="D2096" i="3"/>
  <c r="C2096" i="3"/>
  <c r="B2096" i="3"/>
  <c r="A2096" i="3"/>
  <c r="G2095" i="3"/>
  <c r="F2095" i="3"/>
  <c r="E2095" i="3"/>
  <c r="D2095" i="3"/>
  <c r="B2095" i="3"/>
  <c r="A2095" i="3"/>
  <c r="G2094" i="3"/>
  <c r="F2094" i="3"/>
  <c r="E2094" i="3"/>
  <c r="D2094" i="3"/>
  <c r="C2094" i="3"/>
  <c r="B2094" i="3"/>
  <c r="A2094" i="3"/>
  <c r="G2093" i="3"/>
  <c r="F2093" i="3"/>
  <c r="E2093" i="3"/>
  <c r="D2093" i="3"/>
  <c r="C2093" i="3"/>
  <c r="B2093" i="3"/>
  <c r="A2093" i="3"/>
  <c r="G2092" i="3"/>
  <c r="F2092" i="3"/>
  <c r="E2092" i="3"/>
  <c r="D2092" i="3"/>
  <c r="C2092" i="3"/>
  <c r="B2092" i="3"/>
  <c r="A2092" i="3"/>
  <c r="G2091" i="3"/>
  <c r="F2091" i="3"/>
  <c r="E2091" i="3"/>
  <c r="D2091" i="3"/>
  <c r="C2091" i="3"/>
  <c r="B2091" i="3"/>
  <c r="A2091" i="3"/>
  <c r="G2090" i="3"/>
  <c r="F2090" i="3"/>
  <c r="E2090" i="3"/>
  <c r="D2090" i="3"/>
  <c r="C2090" i="3"/>
  <c r="B2090" i="3"/>
  <c r="A2090" i="3"/>
  <c r="G2089" i="3"/>
  <c r="F2089" i="3"/>
  <c r="E2089" i="3"/>
  <c r="D2089" i="3"/>
  <c r="C2089" i="3"/>
  <c r="B2089" i="3"/>
  <c r="A2089" i="3"/>
  <c r="G2088" i="3"/>
  <c r="F2088" i="3"/>
  <c r="E2088" i="3"/>
  <c r="D2088" i="3"/>
  <c r="C2088" i="3"/>
  <c r="B2088" i="3"/>
  <c r="A2088" i="3"/>
  <c r="G2087" i="3"/>
  <c r="F2087" i="3"/>
  <c r="E2087" i="3"/>
  <c r="D2087" i="3"/>
  <c r="C2087" i="3"/>
  <c r="B2087" i="3"/>
  <c r="A2087" i="3"/>
  <c r="G2086" i="3"/>
  <c r="F2086" i="3"/>
  <c r="E2086" i="3"/>
  <c r="D2086" i="3"/>
  <c r="C2086" i="3"/>
  <c r="B2086" i="3"/>
  <c r="A2086" i="3"/>
  <c r="G2085" i="3"/>
  <c r="F2085" i="3"/>
  <c r="E2085" i="3"/>
  <c r="D2085" i="3"/>
  <c r="C2085" i="3"/>
  <c r="B2085" i="3"/>
  <c r="A2085" i="3"/>
  <c r="G2084" i="3"/>
  <c r="F2084" i="3"/>
  <c r="E2084" i="3"/>
  <c r="D2084" i="3"/>
  <c r="C2084" i="3"/>
  <c r="B2084" i="3"/>
  <c r="A2084" i="3"/>
  <c r="G2083" i="3"/>
  <c r="F2083" i="3"/>
  <c r="E2083" i="3"/>
  <c r="D2083" i="3"/>
  <c r="C2083" i="3"/>
  <c r="B2083" i="3"/>
  <c r="A2083" i="3"/>
  <c r="G2082" i="3"/>
  <c r="F2082" i="3"/>
  <c r="E2082" i="3"/>
  <c r="D2082" i="3"/>
  <c r="C2082" i="3"/>
  <c r="B2082" i="3"/>
  <c r="A2082" i="3"/>
  <c r="G2081" i="3"/>
  <c r="F2081" i="3"/>
  <c r="E2081" i="3"/>
  <c r="D2081" i="3"/>
  <c r="C2081" i="3"/>
  <c r="B2081" i="3"/>
  <c r="A2081" i="3"/>
  <c r="G2080" i="3"/>
  <c r="F2080" i="3"/>
  <c r="E2080" i="3"/>
  <c r="D2080" i="3"/>
  <c r="C2080" i="3"/>
  <c r="B2080" i="3"/>
  <c r="A2080" i="3"/>
  <c r="G2079" i="3"/>
  <c r="F2079" i="3"/>
  <c r="E2079" i="3"/>
  <c r="D2079" i="3"/>
  <c r="C2079" i="3"/>
  <c r="B2079" i="3"/>
  <c r="A2079" i="3"/>
  <c r="G2078" i="3"/>
  <c r="F2078" i="3"/>
  <c r="E2078" i="3"/>
  <c r="D2078" i="3"/>
  <c r="C2078" i="3"/>
  <c r="B2078" i="3"/>
  <c r="A2078" i="3"/>
  <c r="G2077" i="3"/>
  <c r="F2077" i="3"/>
  <c r="E2077" i="3"/>
  <c r="D2077" i="3"/>
  <c r="C2077" i="3"/>
  <c r="B2077" i="3"/>
  <c r="A2077" i="3"/>
  <c r="G2076" i="3"/>
  <c r="F2076" i="3"/>
  <c r="E2076" i="3"/>
  <c r="D2076" i="3"/>
  <c r="C2076" i="3"/>
  <c r="B2076" i="3"/>
  <c r="A2076" i="3"/>
  <c r="G2075" i="3"/>
  <c r="F2075" i="3"/>
  <c r="E2075" i="3"/>
  <c r="D2075" i="3"/>
  <c r="C2075" i="3"/>
  <c r="B2075" i="3"/>
  <c r="A2075" i="3"/>
  <c r="G2074" i="3"/>
  <c r="F2074" i="3"/>
  <c r="E2074" i="3"/>
  <c r="D2074" i="3"/>
  <c r="C2074" i="3"/>
  <c r="B2074" i="3"/>
  <c r="A2074" i="3"/>
  <c r="G2073" i="3"/>
  <c r="F2073" i="3"/>
  <c r="E2073" i="3"/>
  <c r="D2073" i="3"/>
  <c r="C2073" i="3"/>
  <c r="B2073" i="3"/>
  <c r="A2073" i="3"/>
  <c r="G2072" i="3"/>
  <c r="F2072" i="3"/>
  <c r="E2072" i="3"/>
  <c r="D2072" i="3"/>
  <c r="C2072" i="3"/>
  <c r="B2072" i="3"/>
  <c r="A2072" i="3"/>
  <c r="G2071" i="3"/>
  <c r="F2071" i="3"/>
  <c r="E2071" i="3"/>
  <c r="D2071" i="3"/>
  <c r="C2071" i="3"/>
  <c r="B2071" i="3"/>
  <c r="A2071" i="3"/>
  <c r="G2070" i="3"/>
  <c r="F2070" i="3"/>
  <c r="E2070" i="3"/>
  <c r="D2070" i="3"/>
  <c r="C2070" i="3"/>
  <c r="B2070" i="3"/>
  <c r="A2070" i="3"/>
  <c r="G2069" i="3"/>
  <c r="F2069" i="3"/>
  <c r="E2069" i="3"/>
  <c r="D2069" i="3"/>
  <c r="C2069" i="3"/>
  <c r="B2069" i="3"/>
  <c r="A2069" i="3"/>
  <c r="G2068" i="3"/>
  <c r="F2068" i="3"/>
  <c r="E2068" i="3"/>
  <c r="D2068" i="3"/>
  <c r="C2068" i="3"/>
  <c r="B2068" i="3"/>
  <c r="A2068" i="3"/>
  <c r="G2067" i="3"/>
  <c r="F2067" i="3"/>
  <c r="E2067" i="3"/>
  <c r="D2067" i="3"/>
  <c r="C2067" i="3"/>
  <c r="B2067" i="3"/>
  <c r="A2067" i="3"/>
  <c r="G2066" i="3"/>
  <c r="F2066" i="3"/>
  <c r="E2066" i="3"/>
  <c r="D2066" i="3"/>
  <c r="C2066" i="3"/>
  <c r="B2066" i="3"/>
  <c r="A2066" i="3"/>
  <c r="G2065" i="3"/>
  <c r="F2065" i="3"/>
  <c r="E2065" i="3"/>
  <c r="C2065" i="3"/>
  <c r="A2065" i="3"/>
  <c r="G2064" i="3"/>
  <c r="F2064" i="3"/>
  <c r="E2064" i="3"/>
  <c r="D2064" i="3"/>
  <c r="C2064" i="3"/>
  <c r="A2064" i="3"/>
  <c r="G2063" i="3"/>
  <c r="F2063" i="3"/>
  <c r="E2063" i="3"/>
  <c r="D2063" i="3"/>
  <c r="C2063" i="3"/>
  <c r="B2063" i="3"/>
  <c r="A2063" i="3"/>
  <c r="G2062" i="3"/>
  <c r="F2062" i="3"/>
  <c r="E2062" i="3"/>
  <c r="D2062" i="3"/>
  <c r="C2062" i="3"/>
  <c r="B2062" i="3"/>
  <c r="A2062" i="3"/>
  <c r="G2061" i="3"/>
  <c r="F2061" i="3"/>
  <c r="E2061" i="3"/>
  <c r="D2061" i="3"/>
  <c r="C2061" i="3"/>
  <c r="B2061" i="3"/>
  <c r="A2061" i="3"/>
  <c r="G2060" i="3"/>
  <c r="F2060" i="3"/>
  <c r="E2060" i="3"/>
  <c r="D2060" i="3"/>
  <c r="C2060" i="3"/>
  <c r="B2060" i="3"/>
  <c r="A2060" i="3"/>
  <c r="G2059" i="3"/>
  <c r="F2059" i="3"/>
  <c r="E2059" i="3"/>
  <c r="D2059" i="3"/>
  <c r="C2059" i="3"/>
  <c r="B2059" i="3"/>
  <c r="A2059" i="3"/>
  <c r="G2058" i="3"/>
  <c r="F2058" i="3"/>
  <c r="E2058" i="3"/>
  <c r="D2058" i="3"/>
  <c r="C2058" i="3"/>
  <c r="B2058" i="3"/>
  <c r="A2058" i="3"/>
  <c r="G2057" i="3"/>
  <c r="F2057" i="3"/>
  <c r="E2057" i="3"/>
  <c r="D2057" i="3"/>
  <c r="C2057" i="3"/>
  <c r="B2057" i="3"/>
  <c r="A2057" i="3"/>
  <c r="G2056" i="3"/>
  <c r="F2056" i="3"/>
  <c r="E2056" i="3"/>
  <c r="D2056" i="3"/>
  <c r="C2056" i="3"/>
  <c r="B2056" i="3"/>
  <c r="A2056" i="3"/>
  <c r="G2055" i="3"/>
  <c r="F2055" i="3"/>
  <c r="E2055" i="3"/>
  <c r="D2055" i="3"/>
  <c r="C2055" i="3"/>
  <c r="B2055" i="3"/>
  <c r="A2055" i="3"/>
  <c r="G2054" i="3"/>
  <c r="F2054" i="3"/>
  <c r="E2054" i="3"/>
  <c r="D2054" i="3"/>
  <c r="C2054" i="3"/>
  <c r="B2054" i="3"/>
  <c r="A2054" i="3"/>
  <c r="G2053" i="3"/>
  <c r="F2053" i="3"/>
  <c r="E2053" i="3"/>
  <c r="D2053" i="3"/>
  <c r="C2053" i="3"/>
  <c r="B2053" i="3"/>
  <c r="A2053" i="3"/>
  <c r="G2052" i="3"/>
  <c r="F2052" i="3"/>
  <c r="E2052" i="3"/>
  <c r="D2052" i="3"/>
  <c r="C2052" i="3"/>
  <c r="B2052" i="3"/>
  <c r="A2052" i="3"/>
  <c r="G2051" i="3"/>
  <c r="F2051" i="3"/>
  <c r="E2051" i="3"/>
  <c r="D2051" i="3"/>
  <c r="C2051" i="3"/>
  <c r="B2051" i="3"/>
  <c r="A2051" i="3"/>
  <c r="G2050" i="3"/>
  <c r="F2050" i="3"/>
  <c r="E2050" i="3"/>
  <c r="D2050" i="3"/>
  <c r="C2050" i="3"/>
  <c r="B2050" i="3"/>
  <c r="A2050" i="3"/>
  <c r="G2049" i="3"/>
  <c r="F2049" i="3"/>
  <c r="E2049" i="3"/>
  <c r="D2049" i="3"/>
  <c r="C2049" i="3"/>
  <c r="B2049" i="3"/>
  <c r="A2049" i="3"/>
  <c r="G2048" i="3"/>
  <c r="F2048" i="3"/>
  <c r="E2048" i="3"/>
  <c r="D2048" i="3"/>
  <c r="C2048" i="3"/>
  <c r="B2048" i="3"/>
  <c r="A2048" i="3"/>
  <c r="G2047" i="3"/>
  <c r="F2047" i="3"/>
  <c r="E2047" i="3"/>
  <c r="D2047" i="3"/>
  <c r="C2047" i="3"/>
  <c r="B2047" i="3"/>
  <c r="A2047" i="3"/>
  <c r="G2046" i="3"/>
  <c r="F2046" i="3"/>
  <c r="E2046" i="3"/>
  <c r="D2046" i="3"/>
  <c r="A2046" i="3"/>
  <c r="G2045" i="3"/>
  <c r="F2045" i="3"/>
  <c r="E2045" i="3"/>
  <c r="D2045" i="3"/>
  <c r="C2045" i="3"/>
  <c r="B2045" i="3"/>
  <c r="A2045" i="3"/>
  <c r="G2044" i="3"/>
  <c r="F2044" i="3"/>
  <c r="E2044" i="3"/>
  <c r="D2044" i="3"/>
  <c r="C2044" i="3"/>
  <c r="B2044" i="3"/>
  <c r="A2044" i="3"/>
  <c r="G2043" i="3"/>
  <c r="F2043" i="3"/>
  <c r="E2043" i="3"/>
  <c r="D2043" i="3"/>
  <c r="C2043" i="3"/>
  <c r="B2043" i="3"/>
  <c r="A2043" i="3"/>
  <c r="G2042" i="3"/>
  <c r="F2042" i="3"/>
  <c r="E2042" i="3"/>
  <c r="D2042" i="3"/>
  <c r="C2042" i="3"/>
  <c r="B2042" i="3"/>
  <c r="A2042" i="3"/>
  <c r="G2041" i="3"/>
  <c r="F2041" i="3"/>
  <c r="E2041" i="3"/>
  <c r="D2041" i="3"/>
  <c r="C2041" i="3"/>
  <c r="B2041" i="3"/>
  <c r="A2041" i="3"/>
  <c r="G2040" i="3"/>
  <c r="F2040" i="3"/>
  <c r="E2040" i="3"/>
  <c r="D2040" i="3"/>
  <c r="C2040" i="3"/>
  <c r="B2040" i="3"/>
  <c r="A2040" i="3"/>
  <c r="G2039" i="3"/>
  <c r="F2039" i="3"/>
  <c r="E2039" i="3"/>
  <c r="D2039" i="3"/>
  <c r="C2039" i="3"/>
  <c r="B2039" i="3"/>
  <c r="A2039" i="3"/>
  <c r="G2038" i="3"/>
  <c r="F2038" i="3"/>
  <c r="E2038" i="3"/>
  <c r="D2038" i="3"/>
  <c r="C2038" i="3"/>
  <c r="B2038" i="3"/>
  <c r="A2038" i="3"/>
  <c r="G2037" i="3"/>
  <c r="F2037" i="3"/>
  <c r="E2037" i="3"/>
  <c r="D2037" i="3"/>
  <c r="C2037" i="3"/>
  <c r="B2037" i="3"/>
  <c r="A2037" i="3"/>
  <c r="G2036" i="3"/>
  <c r="F2036" i="3"/>
  <c r="E2036" i="3"/>
  <c r="D2036" i="3"/>
  <c r="C2036" i="3"/>
  <c r="B2036" i="3"/>
  <c r="A2036" i="3"/>
  <c r="G2035" i="3"/>
  <c r="F2035" i="3"/>
  <c r="E2035" i="3"/>
  <c r="D2035" i="3"/>
  <c r="C2035" i="3"/>
  <c r="B2035" i="3"/>
  <c r="A2035" i="3"/>
  <c r="G2034" i="3"/>
  <c r="F2034" i="3"/>
  <c r="E2034" i="3"/>
  <c r="D2034" i="3"/>
  <c r="C2034" i="3"/>
  <c r="B2034" i="3"/>
  <c r="A2034" i="3"/>
  <c r="G2033" i="3"/>
  <c r="F2033" i="3"/>
  <c r="E2033" i="3"/>
  <c r="D2033" i="3"/>
  <c r="C2033" i="3"/>
  <c r="B2033" i="3"/>
  <c r="A2033" i="3"/>
  <c r="G2032" i="3"/>
  <c r="F2032" i="3"/>
  <c r="E2032" i="3"/>
  <c r="D2032" i="3"/>
  <c r="C2032" i="3"/>
  <c r="B2032" i="3"/>
  <c r="A2032" i="3"/>
  <c r="G2031" i="3"/>
  <c r="F2031" i="3"/>
  <c r="E2031" i="3"/>
  <c r="D2031" i="3"/>
  <c r="C2031" i="3"/>
  <c r="B2031" i="3"/>
  <c r="A2031" i="3"/>
  <c r="G2030" i="3"/>
  <c r="F2030" i="3"/>
  <c r="E2030" i="3"/>
  <c r="D2030" i="3"/>
  <c r="A2030" i="3"/>
  <c r="G2029" i="3"/>
  <c r="F2029" i="3"/>
  <c r="E2029" i="3"/>
  <c r="D2029" i="3"/>
  <c r="C2029" i="3"/>
  <c r="B2029" i="3"/>
  <c r="A2029" i="3"/>
  <c r="G2028" i="3"/>
  <c r="F2028" i="3"/>
  <c r="E2028" i="3"/>
  <c r="D2028" i="3"/>
  <c r="C2028" i="3"/>
  <c r="B2028" i="3"/>
  <c r="A2028" i="3"/>
  <c r="G2027" i="3"/>
  <c r="F2027" i="3"/>
  <c r="E2027" i="3"/>
  <c r="D2027" i="3"/>
  <c r="C2027" i="3"/>
  <c r="B2027" i="3"/>
  <c r="A2027" i="3"/>
  <c r="G2026" i="3"/>
  <c r="F2026" i="3"/>
  <c r="E2026" i="3"/>
  <c r="D2026" i="3"/>
  <c r="C2026" i="3"/>
  <c r="B2026" i="3"/>
  <c r="A2026" i="3"/>
  <c r="G2025" i="3"/>
  <c r="F2025" i="3"/>
  <c r="E2025" i="3"/>
  <c r="D2025" i="3"/>
  <c r="C2025" i="3"/>
  <c r="B2025" i="3"/>
  <c r="A2025" i="3"/>
  <c r="G2024" i="3"/>
  <c r="F2024" i="3"/>
  <c r="E2024" i="3"/>
  <c r="D2024" i="3"/>
  <c r="C2024" i="3"/>
  <c r="B2024" i="3"/>
  <c r="A2024" i="3"/>
  <c r="G2023" i="3"/>
  <c r="F2023" i="3"/>
  <c r="E2023" i="3"/>
  <c r="D2023" i="3"/>
  <c r="C2023" i="3"/>
  <c r="B2023" i="3"/>
  <c r="A2023" i="3"/>
  <c r="G2022" i="3"/>
  <c r="F2022" i="3"/>
  <c r="E2022" i="3"/>
  <c r="D2022" i="3"/>
  <c r="A2022" i="3"/>
  <c r="G2021" i="3"/>
  <c r="F2021" i="3"/>
  <c r="E2021" i="3"/>
  <c r="D2021" i="3"/>
  <c r="A2021" i="3"/>
  <c r="G2020" i="3"/>
  <c r="F2020" i="3"/>
  <c r="E2020" i="3"/>
  <c r="D2020" i="3"/>
  <c r="C2020" i="3"/>
  <c r="B2020" i="3"/>
  <c r="A2020" i="3"/>
  <c r="G2019" i="3"/>
  <c r="F2019" i="3"/>
  <c r="E2019" i="3"/>
  <c r="D2019" i="3"/>
  <c r="C2019" i="3"/>
  <c r="B2019" i="3"/>
  <c r="A2019" i="3"/>
  <c r="G2018" i="3"/>
  <c r="F2018" i="3"/>
  <c r="E2018" i="3"/>
  <c r="D2018" i="3"/>
  <c r="C2018" i="3"/>
  <c r="B2018" i="3"/>
  <c r="A2018" i="3"/>
  <c r="G2017" i="3"/>
  <c r="F2017" i="3"/>
  <c r="E2017" i="3"/>
  <c r="D2017" i="3"/>
  <c r="C2017" i="3"/>
  <c r="B2017" i="3"/>
  <c r="A2017" i="3"/>
  <c r="G2016" i="3"/>
  <c r="F2016" i="3"/>
  <c r="E2016" i="3"/>
  <c r="D2016" i="3"/>
  <c r="C2016" i="3"/>
  <c r="B2016" i="3"/>
  <c r="A2016" i="3"/>
  <c r="G2015" i="3"/>
  <c r="F2015" i="3"/>
  <c r="E2015" i="3"/>
  <c r="D2015" i="3"/>
  <c r="C2015" i="3"/>
  <c r="B2015" i="3"/>
  <c r="A2015" i="3"/>
  <c r="G2014" i="3"/>
  <c r="F2014" i="3"/>
  <c r="E2014" i="3"/>
  <c r="D2014" i="3"/>
  <c r="C2014" i="3"/>
  <c r="B2014" i="3"/>
  <c r="A2014" i="3"/>
  <c r="G2013" i="3"/>
  <c r="F2013" i="3"/>
  <c r="E2013" i="3"/>
  <c r="D2013" i="3"/>
  <c r="C2013" i="3"/>
  <c r="B2013" i="3"/>
  <c r="A2013" i="3"/>
  <c r="G2012" i="3"/>
  <c r="F2012" i="3"/>
  <c r="E2012" i="3"/>
  <c r="D2012" i="3"/>
  <c r="C2012" i="3"/>
  <c r="B2012" i="3"/>
  <c r="A2012" i="3"/>
  <c r="G2011" i="3"/>
  <c r="F2011" i="3"/>
  <c r="E2011" i="3"/>
  <c r="D2011" i="3"/>
  <c r="C2011" i="3"/>
  <c r="B2011" i="3"/>
  <c r="A2011" i="3"/>
  <c r="G2010" i="3"/>
  <c r="F2010" i="3"/>
  <c r="E2010" i="3"/>
  <c r="D2010" i="3"/>
  <c r="C2010" i="3"/>
  <c r="B2010" i="3"/>
  <c r="A2010" i="3"/>
  <c r="G2009" i="3"/>
  <c r="F2009" i="3"/>
  <c r="E2009" i="3"/>
  <c r="D2009" i="3"/>
  <c r="C2009" i="3"/>
  <c r="B2009" i="3"/>
  <c r="A2009" i="3"/>
  <c r="G2008" i="3"/>
  <c r="F2008" i="3"/>
  <c r="E2008" i="3"/>
  <c r="D2008" i="3"/>
  <c r="C2008" i="3"/>
  <c r="B2008" i="3"/>
  <c r="A2008" i="3"/>
  <c r="G2007" i="3"/>
  <c r="F2007" i="3"/>
  <c r="E2007" i="3"/>
  <c r="D2007" i="3"/>
  <c r="C2007" i="3"/>
  <c r="B2007" i="3"/>
  <c r="A2007" i="3"/>
  <c r="G2006" i="3"/>
  <c r="F2006" i="3"/>
  <c r="E2006" i="3"/>
  <c r="D2006" i="3"/>
  <c r="C2006" i="3"/>
  <c r="B2006" i="3"/>
  <c r="A2006" i="3"/>
  <c r="G2005" i="3"/>
  <c r="F2005" i="3"/>
  <c r="E2005" i="3"/>
  <c r="D2005" i="3"/>
  <c r="C2005" i="3"/>
  <c r="B2005" i="3"/>
  <c r="A2005" i="3"/>
  <c r="G2004" i="3"/>
  <c r="F2004" i="3"/>
  <c r="E2004" i="3"/>
  <c r="D2004" i="3"/>
  <c r="C2004" i="3"/>
  <c r="B2004" i="3"/>
  <c r="A2004" i="3"/>
  <c r="G2003" i="3"/>
  <c r="F2003" i="3"/>
  <c r="E2003" i="3"/>
  <c r="D2003" i="3"/>
  <c r="C2003" i="3"/>
  <c r="B2003" i="3"/>
  <c r="A2003" i="3"/>
  <c r="G2002" i="3"/>
  <c r="F2002" i="3"/>
  <c r="E2002" i="3"/>
  <c r="D2002" i="3"/>
  <c r="C2002" i="3"/>
  <c r="B2002" i="3"/>
  <c r="A2002" i="3"/>
  <c r="G2001" i="3"/>
  <c r="F2001" i="3"/>
  <c r="E2001" i="3"/>
  <c r="D2001" i="3"/>
  <c r="C2001" i="3"/>
  <c r="A2001" i="3"/>
  <c r="G2000" i="3"/>
  <c r="F2000" i="3"/>
  <c r="E2000" i="3"/>
  <c r="D2000" i="3"/>
  <c r="C2000" i="3"/>
  <c r="B2000" i="3"/>
  <c r="A2000" i="3"/>
  <c r="G1999" i="3"/>
  <c r="F1999" i="3"/>
  <c r="E1999" i="3"/>
  <c r="D1999" i="3"/>
  <c r="C1999" i="3"/>
  <c r="B1999" i="3"/>
  <c r="A1999" i="3"/>
  <c r="G1998" i="3"/>
  <c r="F1998" i="3"/>
  <c r="E1998" i="3"/>
  <c r="D1998" i="3"/>
  <c r="C1998" i="3"/>
  <c r="B1998" i="3"/>
  <c r="A1998" i="3"/>
  <c r="G1997" i="3"/>
  <c r="F1997" i="3"/>
  <c r="E1997" i="3"/>
  <c r="D1997" i="3"/>
  <c r="C1997" i="3"/>
  <c r="B1997" i="3"/>
  <c r="A1997" i="3"/>
  <c r="G1996" i="3"/>
  <c r="F1996" i="3"/>
  <c r="E1996" i="3"/>
  <c r="D1996" i="3"/>
  <c r="C1996" i="3"/>
  <c r="B1996" i="3"/>
  <c r="A1996" i="3"/>
  <c r="G1995" i="3"/>
  <c r="F1995" i="3"/>
  <c r="E1995" i="3"/>
  <c r="D1995" i="3"/>
  <c r="C1995" i="3"/>
  <c r="B1995" i="3"/>
  <c r="A1995" i="3"/>
  <c r="G1994" i="3"/>
  <c r="F1994" i="3"/>
  <c r="E1994" i="3"/>
  <c r="D1994" i="3"/>
  <c r="C1994" i="3"/>
  <c r="B1994" i="3"/>
  <c r="A1994" i="3"/>
  <c r="G1993" i="3"/>
  <c r="F1993" i="3"/>
  <c r="E1993" i="3"/>
  <c r="D1993" i="3"/>
  <c r="C1993" i="3"/>
  <c r="B1993" i="3"/>
  <c r="A1993" i="3"/>
  <c r="G1992" i="3"/>
  <c r="F1992" i="3"/>
  <c r="E1992" i="3"/>
  <c r="D1992" i="3"/>
  <c r="C1992" i="3"/>
  <c r="B1992" i="3"/>
  <c r="A1992" i="3"/>
  <c r="G1991" i="3"/>
  <c r="F1991" i="3"/>
  <c r="E1991" i="3"/>
  <c r="D1991" i="3"/>
  <c r="C1991" i="3"/>
  <c r="B1991" i="3"/>
  <c r="A1991" i="3"/>
  <c r="G1990" i="3"/>
  <c r="F1990" i="3"/>
  <c r="E1990" i="3"/>
  <c r="D1990" i="3"/>
  <c r="C1990" i="3"/>
  <c r="B1990" i="3"/>
  <c r="A1990" i="3"/>
  <c r="G1989" i="3"/>
  <c r="F1989" i="3"/>
  <c r="E1989" i="3"/>
  <c r="D1989" i="3"/>
  <c r="C1989" i="3"/>
  <c r="B1989" i="3"/>
  <c r="A1989" i="3"/>
  <c r="G1988" i="3"/>
  <c r="F1988" i="3"/>
  <c r="E1988" i="3"/>
  <c r="D1988" i="3"/>
  <c r="C1988" i="3"/>
  <c r="B1988" i="3"/>
  <c r="A1988" i="3"/>
  <c r="G1987" i="3"/>
  <c r="F1987" i="3"/>
  <c r="E1987" i="3"/>
  <c r="D1987" i="3"/>
  <c r="C1987" i="3"/>
  <c r="B1987" i="3"/>
  <c r="A1987" i="3"/>
  <c r="G1986" i="3"/>
  <c r="F1986" i="3"/>
  <c r="E1986" i="3"/>
  <c r="D1986" i="3"/>
  <c r="C1986" i="3"/>
  <c r="B1986" i="3"/>
  <c r="A1986" i="3"/>
  <c r="G1985" i="3"/>
  <c r="F1985" i="3"/>
  <c r="E1985" i="3"/>
  <c r="D1985" i="3"/>
  <c r="C1985" i="3"/>
  <c r="B1985" i="3"/>
  <c r="A1985" i="3"/>
  <c r="G1984" i="3"/>
  <c r="F1984" i="3"/>
  <c r="E1984" i="3"/>
  <c r="D1984" i="3"/>
  <c r="C1984" i="3"/>
  <c r="B1984" i="3"/>
  <c r="A1984" i="3"/>
  <c r="G1983" i="3"/>
  <c r="F1983" i="3"/>
  <c r="E1983" i="3"/>
  <c r="D1983" i="3"/>
  <c r="A1983" i="3"/>
  <c r="G1982" i="3"/>
  <c r="F1982" i="3"/>
  <c r="E1982" i="3"/>
  <c r="D1982" i="3"/>
  <c r="C1982" i="3"/>
  <c r="B1982" i="3"/>
  <c r="A1982" i="3"/>
  <c r="G1981" i="3"/>
  <c r="F1981" i="3"/>
  <c r="E1981" i="3"/>
  <c r="D1981" i="3"/>
  <c r="C1981" i="3"/>
  <c r="A1981" i="3"/>
  <c r="G1980" i="3"/>
  <c r="F1980" i="3"/>
  <c r="E1980" i="3"/>
  <c r="D1980" i="3"/>
  <c r="C1980" i="3"/>
  <c r="B1980" i="3"/>
  <c r="A1980" i="3"/>
  <c r="G1979" i="3"/>
  <c r="F1979" i="3"/>
  <c r="E1979" i="3"/>
  <c r="D1979" i="3"/>
  <c r="C1979" i="3"/>
  <c r="A1979" i="3"/>
  <c r="G1978" i="3"/>
  <c r="F1978" i="3"/>
  <c r="E1978" i="3"/>
  <c r="D1978" i="3"/>
  <c r="C1978" i="3"/>
  <c r="A1978" i="3"/>
  <c r="G1977" i="3"/>
  <c r="F1977" i="3"/>
  <c r="E1977" i="3"/>
  <c r="D1977" i="3"/>
  <c r="C1977" i="3"/>
  <c r="B1977" i="3"/>
  <c r="A1977" i="3"/>
  <c r="G1976" i="3"/>
  <c r="F1976" i="3"/>
  <c r="E1976" i="3"/>
  <c r="D1976" i="3"/>
  <c r="C1976" i="3"/>
  <c r="B1976" i="3"/>
  <c r="A1976" i="3"/>
  <c r="G1975" i="3"/>
  <c r="F1975" i="3"/>
  <c r="E1975" i="3"/>
  <c r="D1975" i="3"/>
  <c r="C1975" i="3"/>
  <c r="B1975" i="3"/>
  <c r="A1975" i="3"/>
  <c r="G1974" i="3"/>
  <c r="F1974" i="3"/>
  <c r="E1974" i="3"/>
  <c r="D1974" i="3"/>
  <c r="A1974" i="3"/>
  <c r="G1973" i="3"/>
  <c r="F1973" i="3"/>
  <c r="E1973" i="3"/>
  <c r="D1973" i="3"/>
  <c r="A1973" i="3"/>
  <c r="G1972" i="3"/>
  <c r="F1972" i="3"/>
  <c r="E1972" i="3"/>
  <c r="D1972" i="3"/>
  <c r="C1972" i="3"/>
  <c r="B1972" i="3"/>
  <c r="A1972" i="3"/>
  <c r="G1971" i="3"/>
  <c r="F1971" i="3"/>
  <c r="E1971" i="3"/>
  <c r="D1971" i="3"/>
  <c r="A1971" i="3"/>
  <c r="G1970" i="3"/>
  <c r="F1970" i="3"/>
  <c r="E1970" i="3"/>
  <c r="D1970" i="3"/>
  <c r="A1970" i="3"/>
  <c r="G1969" i="3"/>
  <c r="F1969" i="3"/>
  <c r="E1969" i="3"/>
  <c r="D1969" i="3"/>
  <c r="C1969" i="3"/>
  <c r="B1969" i="3"/>
  <c r="A1969" i="3"/>
  <c r="G1968" i="3"/>
  <c r="F1968" i="3"/>
  <c r="E1968" i="3"/>
  <c r="D1968" i="3"/>
  <c r="C1968" i="3"/>
  <c r="B1968" i="3"/>
  <c r="A1968" i="3"/>
  <c r="G1967" i="3"/>
  <c r="F1967" i="3"/>
  <c r="E1967" i="3"/>
  <c r="D1967" i="3"/>
  <c r="C1967" i="3"/>
  <c r="A1967" i="3"/>
  <c r="G1966" i="3"/>
  <c r="F1966" i="3"/>
  <c r="E1966" i="3"/>
  <c r="D1966" i="3"/>
  <c r="C1966" i="3"/>
  <c r="B1966" i="3"/>
  <c r="A1966" i="3"/>
  <c r="G1965" i="3"/>
  <c r="F1965" i="3"/>
  <c r="E1965" i="3"/>
  <c r="D1965" i="3"/>
  <c r="C1965" i="3"/>
  <c r="B1965" i="3"/>
  <c r="A1965" i="3"/>
  <c r="G1964" i="3"/>
  <c r="F1964" i="3"/>
  <c r="E1964" i="3"/>
  <c r="D1964" i="3"/>
  <c r="C1964" i="3"/>
  <c r="B1964" i="3"/>
  <c r="A1964" i="3"/>
  <c r="G1963" i="3"/>
  <c r="F1963" i="3"/>
  <c r="E1963" i="3"/>
  <c r="D1963" i="3"/>
  <c r="C1963" i="3"/>
  <c r="B1963" i="3"/>
  <c r="A1963" i="3"/>
  <c r="G1962" i="3"/>
  <c r="F1962" i="3"/>
  <c r="E1962" i="3"/>
  <c r="D1962" i="3"/>
  <c r="C1962" i="3"/>
  <c r="B1962" i="3"/>
  <c r="A1962" i="3"/>
  <c r="G1961" i="3"/>
  <c r="F1961" i="3"/>
  <c r="E1961" i="3"/>
  <c r="D1961" i="3"/>
  <c r="C1961" i="3"/>
  <c r="B1961" i="3"/>
  <c r="A1961" i="3"/>
  <c r="G1960" i="3"/>
  <c r="F1960" i="3"/>
  <c r="E1960" i="3"/>
  <c r="D1960" i="3"/>
  <c r="C1960" i="3"/>
  <c r="B1960" i="3"/>
  <c r="A1960" i="3"/>
  <c r="G1959" i="3"/>
  <c r="F1959" i="3"/>
  <c r="E1959" i="3"/>
  <c r="D1959" i="3"/>
  <c r="C1959" i="3"/>
  <c r="B1959" i="3"/>
  <c r="A1959" i="3"/>
  <c r="G1958" i="3"/>
  <c r="F1958" i="3"/>
  <c r="E1958" i="3"/>
  <c r="D1958" i="3"/>
  <c r="C1958" i="3"/>
  <c r="B1958" i="3"/>
  <c r="A1958" i="3"/>
  <c r="G1957" i="3"/>
  <c r="F1957" i="3"/>
  <c r="E1957" i="3"/>
  <c r="D1957" i="3"/>
  <c r="C1957" i="3"/>
  <c r="B1957" i="3"/>
  <c r="A1957" i="3"/>
  <c r="G1956" i="3"/>
  <c r="F1956" i="3"/>
  <c r="E1956" i="3"/>
  <c r="D1956" i="3"/>
  <c r="C1956" i="3"/>
  <c r="A1956" i="3"/>
  <c r="G1955" i="3"/>
  <c r="F1955" i="3"/>
  <c r="E1955" i="3"/>
  <c r="D1955" i="3"/>
  <c r="C1955" i="3"/>
  <c r="A1955" i="3"/>
  <c r="G1954" i="3"/>
  <c r="F1954" i="3"/>
  <c r="E1954" i="3"/>
  <c r="D1954" i="3"/>
  <c r="A1954" i="3"/>
  <c r="G1953" i="3"/>
  <c r="F1953" i="3"/>
  <c r="E1953" i="3"/>
  <c r="D1953" i="3"/>
  <c r="C1953" i="3"/>
  <c r="B1953" i="3"/>
  <c r="A1953" i="3"/>
  <c r="G1952" i="3"/>
  <c r="F1952" i="3"/>
  <c r="E1952" i="3"/>
  <c r="D1952" i="3"/>
  <c r="C1952" i="3"/>
  <c r="B1952" i="3"/>
  <c r="A1952" i="3"/>
  <c r="G1951" i="3"/>
  <c r="F1951" i="3"/>
  <c r="E1951" i="3"/>
  <c r="D1951" i="3"/>
  <c r="C1951" i="3"/>
  <c r="B1951" i="3"/>
  <c r="A1951" i="3"/>
  <c r="G1950" i="3"/>
  <c r="F1950" i="3"/>
  <c r="E1950" i="3"/>
  <c r="D1950" i="3"/>
  <c r="A1950" i="3"/>
  <c r="G1949" i="3"/>
  <c r="F1949" i="3"/>
  <c r="E1949" i="3"/>
  <c r="D1949" i="3"/>
  <c r="A1949" i="3"/>
  <c r="G1948" i="3"/>
  <c r="F1948" i="3"/>
  <c r="E1948" i="3"/>
  <c r="D1948" i="3"/>
  <c r="C1948" i="3"/>
  <c r="A1948" i="3"/>
  <c r="G1947" i="3"/>
  <c r="F1947" i="3"/>
  <c r="E1947" i="3"/>
  <c r="D1947" i="3"/>
  <c r="C1947" i="3"/>
  <c r="B1947" i="3"/>
  <c r="A1947" i="3"/>
  <c r="G1946" i="3"/>
  <c r="F1946" i="3"/>
  <c r="E1946" i="3"/>
  <c r="D1946" i="3"/>
  <c r="C1946" i="3"/>
  <c r="B1946" i="3"/>
  <c r="A1946" i="3"/>
  <c r="G1945" i="3"/>
  <c r="F1945" i="3"/>
  <c r="E1945" i="3"/>
  <c r="D1945" i="3"/>
  <c r="C1945" i="3"/>
  <c r="B1945" i="3"/>
  <c r="A1945" i="3"/>
  <c r="G1944" i="3"/>
  <c r="F1944" i="3"/>
  <c r="E1944" i="3"/>
  <c r="D1944" i="3"/>
  <c r="C1944" i="3"/>
  <c r="B1944" i="3"/>
  <c r="A1944" i="3"/>
  <c r="G1943" i="3"/>
  <c r="F1943" i="3"/>
  <c r="E1943" i="3"/>
  <c r="D1943" i="3"/>
  <c r="C1943" i="3"/>
  <c r="B1943" i="3"/>
  <c r="A1943" i="3"/>
  <c r="G1942" i="3"/>
  <c r="F1942" i="3"/>
  <c r="E1942" i="3"/>
  <c r="D1942" i="3"/>
  <c r="C1942" i="3"/>
  <c r="B1942" i="3"/>
  <c r="A1942" i="3"/>
  <c r="G1941" i="3"/>
  <c r="F1941" i="3"/>
  <c r="E1941" i="3"/>
  <c r="D1941" i="3"/>
  <c r="C1941" i="3"/>
  <c r="B1941" i="3"/>
  <c r="A1941" i="3"/>
  <c r="G1940" i="3"/>
  <c r="F1940" i="3"/>
  <c r="E1940" i="3"/>
  <c r="D1940" i="3"/>
  <c r="C1940" i="3"/>
  <c r="B1940" i="3"/>
  <c r="A1940" i="3"/>
  <c r="G1939" i="3"/>
  <c r="F1939" i="3"/>
  <c r="E1939" i="3"/>
  <c r="D1939" i="3"/>
  <c r="C1939" i="3"/>
  <c r="B1939" i="3"/>
  <c r="A1939" i="3"/>
  <c r="G1938" i="3"/>
  <c r="F1938" i="3"/>
  <c r="E1938" i="3"/>
  <c r="D1938" i="3"/>
  <c r="C1938" i="3"/>
  <c r="B1938" i="3"/>
  <c r="A1938" i="3"/>
  <c r="G1937" i="3"/>
  <c r="F1937" i="3"/>
  <c r="E1937" i="3"/>
  <c r="D1937" i="3"/>
  <c r="C1937" i="3"/>
  <c r="B1937" i="3"/>
  <c r="A1937" i="3"/>
  <c r="G1936" i="3"/>
  <c r="F1936" i="3"/>
  <c r="E1936" i="3"/>
  <c r="D1936" i="3"/>
  <c r="C1936" i="3"/>
  <c r="B1936" i="3"/>
  <c r="A1936" i="3"/>
  <c r="G1935" i="3"/>
  <c r="F1935" i="3"/>
  <c r="E1935" i="3"/>
  <c r="D1935" i="3"/>
  <c r="C1935" i="3"/>
  <c r="B1935" i="3"/>
  <c r="A1935" i="3"/>
  <c r="G1934" i="3"/>
  <c r="F1934" i="3"/>
  <c r="E1934" i="3"/>
  <c r="D1934" i="3"/>
  <c r="C1934" i="3"/>
  <c r="B1934" i="3"/>
  <c r="A1934" i="3"/>
  <c r="G1933" i="3"/>
  <c r="F1933" i="3"/>
  <c r="E1933" i="3"/>
  <c r="D1933" i="3"/>
  <c r="C1933" i="3"/>
  <c r="B1933" i="3"/>
  <c r="A1933" i="3"/>
  <c r="G1932" i="3"/>
  <c r="F1932" i="3"/>
  <c r="E1932" i="3"/>
  <c r="D1932" i="3"/>
  <c r="C1932" i="3"/>
  <c r="B1932" i="3"/>
  <c r="A1932" i="3"/>
  <c r="G1931" i="3"/>
  <c r="F1931" i="3"/>
  <c r="E1931" i="3"/>
  <c r="D1931" i="3"/>
  <c r="C1931" i="3"/>
  <c r="B1931" i="3"/>
  <c r="A1931" i="3"/>
  <c r="G1930" i="3"/>
  <c r="F1930" i="3"/>
  <c r="E1930" i="3"/>
  <c r="D1930" i="3"/>
  <c r="C1930" i="3"/>
  <c r="A1930" i="3"/>
  <c r="G1929" i="3"/>
  <c r="F1929" i="3"/>
  <c r="E1929" i="3"/>
  <c r="D1929" i="3"/>
  <c r="C1929" i="3"/>
  <c r="B1929" i="3"/>
  <c r="A1929" i="3"/>
  <c r="G1928" i="3"/>
  <c r="F1928" i="3"/>
  <c r="E1928" i="3"/>
  <c r="D1928" i="3"/>
  <c r="C1928" i="3"/>
  <c r="B1928" i="3"/>
  <c r="A1928" i="3"/>
  <c r="G1927" i="3"/>
  <c r="F1927" i="3"/>
  <c r="E1927" i="3"/>
  <c r="D1927" i="3"/>
  <c r="C1927" i="3"/>
  <c r="B1927" i="3"/>
  <c r="A1927" i="3"/>
  <c r="G1926" i="3"/>
  <c r="F1926" i="3"/>
  <c r="E1926" i="3"/>
  <c r="D1926" i="3"/>
  <c r="C1926" i="3"/>
  <c r="B1926" i="3"/>
  <c r="A1926" i="3"/>
  <c r="G1925" i="3"/>
  <c r="F1925" i="3"/>
  <c r="E1925" i="3"/>
  <c r="D1925" i="3"/>
  <c r="A1925" i="3"/>
  <c r="G1924" i="3"/>
  <c r="F1924" i="3"/>
  <c r="E1924" i="3"/>
  <c r="D1924" i="3"/>
  <c r="C1924" i="3"/>
  <c r="B1924" i="3"/>
  <c r="A1924" i="3"/>
  <c r="G1923" i="3"/>
  <c r="F1923" i="3"/>
  <c r="E1923" i="3"/>
  <c r="D1923" i="3"/>
  <c r="C1923" i="3"/>
  <c r="B1923" i="3"/>
  <c r="A1923" i="3"/>
  <c r="G1922" i="3"/>
  <c r="F1922" i="3"/>
  <c r="E1922" i="3"/>
  <c r="D1922" i="3"/>
  <c r="C1922" i="3"/>
  <c r="B1922" i="3"/>
  <c r="A1922" i="3"/>
  <c r="G1921" i="3"/>
  <c r="F1921" i="3"/>
  <c r="E1921" i="3"/>
  <c r="D1921" i="3"/>
  <c r="A1921" i="3"/>
  <c r="G1920" i="3"/>
  <c r="F1920" i="3"/>
  <c r="E1920" i="3"/>
  <c r="C1920" i="3"/>
  <c r="A1920" i="3"/>
  <c r="G1919" i="3"/>
  <c r="F1919" i="3"/>
  <c r="E1919" i="3"/>
  <c r="D1919" i="3"/>
  <c r="C1919" i="3"/>
  <c r="B1919" i="3"/>
  <c r="A1919" i="3"/>
  <c r="G1918" i="3"/>
  <c r="F1918" i="3"/>
  <c r="E1918" i="3"/>
  <c r="D1918" i="3"/>
  <c r="C1918" i="3"/>
  <c r="B1918" i="3"/>
  <c r="A1918" i="3"/>
  <c r="G1917" i="3"/>
  <c r="F1917" i="3"/>
  <c r="E1917" i="3"/>
  <c r="D1917" i="3"/>
  <c r="C1917" i="3"/>
  <c r="B1917" i="3"/>
  <c r="A1917" i="3"/>
  <c r="G1916" i="3"/>
  <c r="F1916" i="3"/>
  <c r="E1916" i="3"/>
  <c r="D1916" i="3"/>
  <c r="C1916" i="3"/>
  <c r="B1916" i="3"/>
  <c r="A1916" i="3"/>
  <c r="G1915" i="3"/>
  <c r="F1915" i="3"/>
  <c r="E1915" i="3"/>
  <c r="D1915" i="3"/>
  <c r="C1915" i="3"/>
  <c r="B1915" i="3"/>
  <c r="A1915" i="3"/>
  <c r="G1914" i="3"/>
  <c r="F1914" i="3"/>
  <c r="E1914" i="3"/>
  <c r="D1914" i="3"/>
  <c r="C1914" i="3"/>
  <c r="B1914" i="3"/>
  <c r="A1914" i="3"/>
  <c r="G1913" i="3"/>
  <c r="F1913" i="3"/>
  <c r="E1913" i="3"/>
  <c r="D1913" i="3"/>
  <c r="C1913" i="3"/>
  <c r="B1913" i="3"/>
  <c r="A1913" i="3"/>
  <c r="G1912" i="3"/>
  <c r="F1912" i="3"/>
  <c r="E1912" i="3"/>
  <c r="D1912" i="3"/>
  <c r="C1912" i="3"/>
  <c r="B1912" i="3"/>
  <c r="A1912" i="3"/>
  <c r="G1911" i="3"/>
  <c r="F1911" i="3"/>
  <c r="E1911" i="3"/>
  <c r="D1911" i="3"/>
  <c r="C1911" i="3"/>
  <c r="A1911" i="3"/>
  <c r="G1910" i="3"/>
  <c r="F1910" i="3"/>
  <c r="E1910" i="3"/>
  <c r="D1910" i="3"/>
  <c r="C1910" i="3"/>
  <c r="B1910" i="3"/>
  <c r="A1910" i="3"/>
  <c r="G1909" i="3"/>
  <c r="F1909" i="3"/>
  <c r="E1909" i="3"/>
  <c r="D1909" i="3"/>
  <c r="C1909" i="3"/>
  <c r="B1909" i="3"/>
  <c r="A1909" i="3"/>
  <c r="G1908" i="3"/>
  <c r="F1908" i="3"/>
  <c r="E1908" i="3"/>
  <c r="D1908" i="3"/>
  <c r="C1908" i="3"/>
  <c r="B1908" i="3"/>
  <c r="A1908" i="3"/>
  <c r="G1907" i="3"/>
  <c r="F1907" i="3"/>
  <c r="E1907" i="3"/>
  <c r="D1907" i="3"/>
  <c r="A1907" i="3"/>
  <c r="G1906" i="3"/>
  <c r="F1906" i="3"/>
  <c r="E1906" i="3"/>
  <c r="D1906" i="3"/>
  <c r="C1906" i="3"/>
  <c r="B1906" i="3"/>
  <c r="A1906" i="3"/>
  <c r="G1905" i="3"/>
  <c r="F1905" i="3"/>
  <c r="E1905" i="3"/>
  <c r="D1905" i="3"/>
  <c r="C1905" i="3"/>
  <c r="B1905" i="3"/>
  <c r="A1905" i="3"/>
  <c r="G1904" i="3"/>
  <c r="F1904" i="3"/>
  <c r="E1904" i="3"/>
  <c r="D1904" i="3"/>
  <c r="C1904" i="3"/>
  <c r="B1904" i="3"/>
  <c r="A1904" i="3"/>
  <c r="G1903" i="3"/>
  <c r="F1903" i="3"/>
  <c r="E1903" i="3"/>
  <c r="D1903" i="3"/>
  <c r="C1903" i="3"/>
  <c r="B1903" i="3"/>
  <c r="A1903" i="3"/>
  <c r="G1902" i="3"/>
  <c r="F1902" i="3"/>
  <c r="E1902" i="3"/>
  <c r="D1902" i="3"/>
  <c r="C1902" i="3"/>
  <c r="B1902" i="3"/>
  <c r="A1902" i="3"/>
  <c r="G1901" i="3"/>
  <c r="F1901" i="3"/>
  <c r="E1901" i="3"/>
  <c r="D1901" i="3"/>
  <c r="C1901" i="3"/>
  <c r="B1901" i="3"/>
  <c r="A1901" i="3"/>
  <c r="G1900" i="3"/>
  <c r="F1900" i="3"/>
  <c r="E1900" i="3"/>
  <c r="D1900" i="3"/>
  <c r="C1900" i="3"/>
  <c r="B1900" i="3"/>
  <c r="A1900" i="3"/>
  <c r="G1899" i="3"/>
  <c r="F1899" i="3"/>
  <c r="E1899" i="3"/>
  <c r="D1899" i="3"/>
  <c r="B1899" i="3"/>
  <c r="A1899" i="3"/>
  <c r="G1898" i="3"/>
  <c r="F1898" i="3"/>
  <c r="E1898" i="3"/>
  <c r="D1898" i="3"/>
  <c r="C1898" i="3"/>
  <c r="B1898" i="3"/>
  <c r="A1898" i="3"/>
  <c r="G1897" i="3"/>
  <c r="F1897" i="3"/>
  <c r="E1897" i="3"/>
  <c r="D1897" i="3"/>
  <c r="C1897" i="3"/>
  <c r="B1897" i="3"/>
  <c r="A1897" i="3"/>
  <c r="G1896" i="3"/>
  <c r="F1896" i="3"/>
  <c r="E1896" i="3"/>
  <c r="D1896" i="3"/>
  <c r="C1896" i="3"/>
  <c r="B1896" i="3"/>
  <c r="A1896" i="3"/>
  <c r="G1895" i="3"/>
  <c r="F1895" i="3"/>
  <c r="E1895" i="3"/>
  <c r="D1895" i="3"/>
  <c r="C1895" i="3"/>
  <c r="B1895" i="3"/>
  <c r="A1895" i="3"/>
  <c r="G1894" i="3"/>
  <c r="F1894" i="3"/>
  <c r="E1894" i="3"/>
  <c r="D1894" i="3"/>
  <c r="C1894" i="3"/>
  <c r="B1894" i="3"/>
  <c r="A1894" i="3"/>
  <c r="G1893" i="3"/>
  <c r="F1893" i="3"/>
  <c r="E1893" i="3"/>
  <c r="D1893" i="3"/>
  <c r="C1893" i="3"/>
  <c r="B1893" i="3"/>
  <c r="A1893" i="3"/>
  <c r="G1892" i="3"/>
  <c r="F1892" i="3"/>
  <c r="E1892" i="3"/>
  <c r="C1892" i="3"/>
  <c r="A1892" i="3"/>
  <c r="G1891" i="3"/>
  <c r="F1891" i="3"/>
  <c r="E1891" i="3"/>
  <c r="D1891" i="3"/>
  <c r="C1891" i="3"/>
  <c r="B1891" i="3"/>
  <c r="A1891" i="3"/>
  <c r="G1890" i="3"/>
  <c r="F1890" i="3"/>
  <c r="E1890" i="3"/>
  <c r="D1890" i="3"/>
  <c r="C1890" i="3"/>
  <c r="B1890" i="3"/>
  <c r="A1890" i="3"/>
  <c r="G1889" i="3"/>
  <c r="F1889" i="3"/>
  <c r="E1889" i="3"/>
  <c r="D1889" i="3"/>
  <c r="C1889" i="3"/>
  <c r="B1889" i="3"/>
  <c r="A1889" i="3"/>
  <c r="G1888" i="3"/>
  <c r="F1888" i="3"/>
  <c r="E1888" i="3"/>
  <c r="D1888" i="3"/>
  <c r="C1888" i="3"/>
  <c r="B1888" i="3"/>
  <c r="A1888" i="3"/>
  <c r="G1887" i="3"/>
  <c r="F1887" i="3"/>
  <c r="E1887" i="3"/>
  <c r="D1887" i="3"/>
  <c r="C1887" i="3"/>
  <c r="B1887" i="3"/>
  <c r="A1887" i="3"/>
  <c r="G1886" i="3"/>
  <c r="F1886" i="3"/>
  <c r="E1886" i="3"/>
  <c r="A1886" i="3"/>
  <c r="G1885" i="3"/>
  <c r="F1885" i="3"/>
  <c r="E1885" i="3"/>
  <c r="D1885" i="3"/>
  <c r="C1885" i="3"/>
  <c r="B1885" i="3"/>
  <c r="A1885" i="3"/>
  <c r="G1884" i="3"/>
  <c r="F1884" i="3"/>
  <c r="E1884" i="3"/>
  <c r="D1884" i="3"/>
  <c r="C1884" i="3"/>
  <c r="B1884" i="3"/>
  <c r="A1884" i="3"/>
  <c r="G1883" i="3"/>
  <c r="F1883" i="3"/>
  <c r="E1883" i="3"/>
  <c r="D1883" i="3"/>
  <c r="C1883" i="3"/>
  <c r="A1883" i="3"/>
  <c r="G1882" i="3"/>
  <c r="F1882" i="3"/>
  <c r="E1882" i="3"/>
  <c r="D1882" i="3"/>
  <c r="C1882" i="3"/>
  <c r="B1882" i="3"/>
  <c r="A1882" i="3"/>
  <c r="G1881" i="3"/>
  <c r="F1881" i="3"/>
  <c r="E1881" i="3"/>
  <c r="D1881" i="3"/>
  <c r="C1881" i="3"/>
  <c r="B1881" i="3"/>
  <c r="A1881" i="3"/>
  <c r="G1880" i="3"/>
  <c r="F1880" i="3"/>
  <c r="E1880" i="3"/>
  <c r="D1880" i="3"/>
  <c r="C1880" i="3"/>
  <c r="B1880" i="3"/>
  <c r="A1880" i="3"/>
  <c r="G1879" i="3"/>
  <c r="F1879" i="3"/>
  <c r="E1879" i="3"/>
  <c r="D1879" i="3"/>
  <c r="C1879" i="3"/>
  <c r="B1879" i="3"/>
  <c r="A1879" i="3"/>
  <c r="G1878" i="3"/>
  <c r="F1878" i="3"/>
  <c r="E1878" i="3"/>
  <c r="D1878" i="3"/>
  <c r="C1878" i="3"/>
  <c r="B1878" i="3"/>
  <c r="A1878" i="3"/>
  <c r="G1877" i="3"/>
  <c r="F1877" i="3"/>
  <c r="E1877" i="3"/>
  <c r="D1877" i="3"/>
  <c r="C1877" i="3"/>
  <c r="B1877" i="3"/>
  <c r="A1877" i="3"/>
  <c r="G1876" i="3"/>
  <c r="F1876" i="3"/>
  <c r="E1876" i="3"/>
  <c r="D1876" i="3"/>
  <c r="C1876" i="3"/>
  <c r="A1876" i="3"/>
  <c r="G1875" i="3"/>
  <c r="F1875" i="3"/>
  <c r="E1875" i="3"/>
  <c r="D1875" i="3"/>
  <c r="C1875" i="3"/>
  <c r="B1875" i="3"/>
  <c r="A1875" i="3"/>
  <c r="G1874" i="3"/>
  <c r="F1874" i="3"/>
  <c r="E1874" i="3"/>
  <c r="D1874" i="3"/>
  <c r="A1874" i="3"/>
  <c r="G1873" i="3"/>
  <c r="F1873" i="3"/>
  <c r="E1873" i="3"/>
  <c r="D1873" i="3"/>
  <c r="C1873" i="3"/>
  <c r="B1873" i="3"/>
  <c r="A1873" i="3"/>
  <c r="G1872" i="3"/>
  <c r="F1872" i="3"/>
  <c r="E1872" i="3"/>
  <c r="D1872" i="3"/>
  <c r="C1872" i="3"/>
  <c r="B1872" i="3"/>
  <c r="A1872" i="3"/>
  <c r="G1871" i="3"/>
  <c r="F1871" i="3"/>
  <c r="E1871" i="3"/>
  <c r="D1871" i="3"/>
  <c r="C1871" i="3"/>
  <c r="B1871" i="3"/>
  <c r="A1871" i="3"/>
  <c r="G1870" i="3"/>
  <c r="F1870" i="3"/>
  <c r="E1870" i="3"/>
  <c r="D1870" i="3"/>
  <c r="C1870" i="3"/>
  <c r="B1870" i="3"/>
  <c r="A1870" i="3"/>
  <c r="G1869" i="3"/>
  <c r="F1869" i="3"/>
  <c r="E1869" i="3"/>
  <c r="D1869" i="3"/>
  <c r="C1869" i="3"/>
  <c r="B1869" i="3"/>
  <c r="A1869" i="3"/>
  <c r="G1868" i="3"/>
  <c r="F1868" i="3"/>
  <c r="E1868" i="3"/>
  <c r="D1868" i="3"/>
  <c r="C1868" i="3"/>
  <c r="A1868" i="3"/>
  <c r="G1867" i="3"/>
  <c r="F1867" i="3"/>
  <c r="E1867" i="3"/>
  <c r="D1867" i="3"/>
  <c r="C1867" i="3"/>
  <c r="B1867" i="3"/>
  <c r="A1867" i="3"/>
  <c r="G1866" i="3"/>
  <c r="F1866" i="3"/>
  <c r="E1866" i="3"/>
  <c r="D1866" i="3"/>
  <c r="C1866" i="3"/>
  <c r="B1866" i="3"/>
  <c r="A1866" i="3"/>
  <c r="G1865" i="3"/>
  <c r="F1865" i="3"/>
  <c r="E1865" i="3"/>
  <c r="D1865" i="3"/>
  <c r="C1865" i="3"/>
  <c r="B1865" i="3"/>
  <c r="A1865" i="3"/>
  <c r="G1864" i="3"/>
  <c r="F1864" i="3"/>
  <c r="E1864" i="3"/>
  <c r="D1864" i="3"/>
  <c r="A1864" i="3"/>
  <c r="G1863" i="3"/>
  <c r="F1863" i="3"/>
  <c r="E1863" i="3"/>
  <c r="D1863" i="3"/>
  <c r="C1863" i="3"/>
  <c r="A1863" i="3"/>
  <c r="G1862" i="3"/>
  <c r="F1862" i="3"/>
  <c r="E1862" i="3"/>
  <c r="D1862" i="3"/>
  <c r="C1862" i="3"/>
  <c r="B1862" i="3"/>
  <c r="A1862" i="3"/>
  <c r="G1861" i="3"/>
  <c r="F1861" i="3"/>
  <c r="E1861" i="3"/>
  <c r="D1861" i="3"/>
  <c r="C1861" i="3"/>
  <c r="B1861" i="3"/>
  <c r="A1861" i="3"/>
  <c r="G1860" i="3"/>
  <c r="F1860" i="3"/>
  <c r="E1860" i="3"/>
  <c r="D1860" i="3"/>
  <c r="C1860" i="3"/>
  <c r="B1860" i="3"/>
  <c r="A1860" i="3"/>
  <c r="G1859" i="3"/>
  <c r="F1859" i="3"/>
  <c r="E1859" i="3"/>
  <c r="D1859" i="3"/>
  <c r="C1859" i="3"/>
  <c r="B1859" i="3"/>
  <c r="A1859" i="3"/>
  <c r="G1858" i="3"/>
  <c r="F1858" i="3"/>
  <c r="E1858" i="3"/>
  <c r="D1858" i="3"/>
  <c r="C1858" i="3"/>
  <c r="B1858" i="3"/>
  <c r="A1858" i="3"/>
  <c r="G1857" i="3"/>
  <c r="F1857" i="3"/>
  <c r="E1857" i="3"/>
  <c r="D1857" i="3"/>
  <c r="C1857" i="3"/>
  <c r="B1857" i="3"/>
  <c r="A1857" i="3"/>
  <c r="G1856" i="3"/>
  <c r="F1856" i="3"/>
  <c r="E1856" i="3"/>
  <c r="D1856" i="3"/>
  <c r="C1856" i="3"/>
  <c r="B1856" i="3"/>
  <c r="A1856" i="3"/>
  <c r="G1855" i="3"/>
  <c r="F1855" i="3"/>
  <c r="E1855" i="3"/>
  <c r="D1855" i="3"/>
  <c r="C1855" i="3"/>
  <c r="B1855" i="3"/>
  <c r="A1855" i="3"/>
  <c r="G1854" i="3"/>
  <c r="F1854" i="3"/>
  <c r="E1854" i="3"/>
  <c r="D1854" i="3"/>
  <c r="C1854" i="3"/>
  <c r="B1854" i="3"/>
  <c r="A1854" i="3"/>
  <c r="G1853" i="3"/>
  <c r="F1853" i="3"/>
  <c r="E1853" i="3"/>
  <c r="D1853" i="3"/>
  <c r="C1853" i="3"/>
  <c r="B1853" i="3"/>
  <c r="A1853" i="3"/>
  <c r="G1852" i="3"/>
  <c r="F1852" i="3"/>
  <c r="E1852" i="3"/>
  <c r="D1852" i="3"/>
  <c r="A1852" i="3"/>
  <c r="G1851" i="3"/>
  <c r="F1851" i="3"/>
  <c r="E1851" i="3"/>
  <c r="D1851" i="3"/>
  <c r="A1851" i="3"/>
  <c r="G1850" i="3"/>
  <c r="F1850" i="3"/>
  <c r="E1850" i="3"/>
  <c r="D1850" i="3"/>
  <c r="C1850" i="3"/>
  <c r="B1850" i="3"/>
  <c r="A1850" i="3"/>
  <c r="G1849" i="3"/>
  <c r="F1849" i="3"/>
  <c r="E1849" i="3"/>
  <c r="D1849" i="3"/>
  <c r="C1849" i="3"/>
  <c r="A1849" i="3"/>
  <c r="G1848" i="3"/>
  <c r="F1848" i="3"/>
  <c r="E1848" i="3"/>
  <c r="D1848" i="3"/>
  <c r="C1848" i="3"/>
  <c r="B1848" i="3"/>
  <c r="A1848" i="3"/>
  <c r="G1847" i="3"/>
  <c r="F1847" i="3"/>
  <c r="E1847" i="3"/>
  <c r="D1847" i="3"/>
  <c r="C1847" i="3"/>
  <c r="B1847" i="3"/>
  <c r="A1847" i="3"/>
  <c r="G1846" i="3"/>
  <c r="F1846" i="3"/>
  <c r="E1846" i="3"/>
  <c r="D1846" i="3"/>
  <c r="C1846" i="3"/>
  <c r="B1846" i="3"/>
  <c r="A1846" i="3"/>
  <c r="G1845" i="3"/>
  <c r="F1845" i="3"/>
  <c r="E1845" i="3"/>
  <c r="D1845" i="3"/>
  <c r="C1845" i="3"/>
  <c r="B1845" i="3"/>
  <c r="A1845" i="3"/>
  <c r="G1844" i="3"/>
  <c r="F1844" i="3"/>
  <c r="E1844" i="3"/>
  <c r="D1844" i="3"/>
  <c r="C1844" i="3"/>
  <c r="B1844" i="3"/>
  <c r="A1844" i="3"/>
  <c r="G1843" i="3"/>
  <c r="F1843" i="3"/>
  <c r="E1843" i="3"/>
  <c r="D1843" i="3"/>
  <c r="C1843" i="3"/>
  <c r="B1843" i="3"/>
  <c r="A1843" i="3"/>
  <c r="G1842" i="3"/>
  <c r="F1842" i="3"/>
  <c r="E1842" i="3"/>
  <c r="D1842" i="3"/>
  <c r="A1842" i="3"/>
  <c r="G1841" i="3"/>
  <c r="F1841" i="3"/>
  <c r="E1841" i="3"/>
  <c r="D1841" i="3"/>
  <c r="C1841" i="3"/>
  <c r="B1841" i="3"/>
  <c r="A1841" i="3"/>
  <c r="G1840" i="3"/>
  <c r="F1840" i="3"/>
  <c r="E1840" i="3"/>
  <c r="D1840" i="3"/>
  <c r="C1840" i="3"/>
  <c r="B1840" i="3"/>
  <c r="A1840" i="3"/>
  <c r="G1839" i="3"/>
  <c r="F1839" i="3"/>
  <c r="E1839" i="3"/>
  <c r="D1839" i="3"/>
  <c r="C1839" i="3"/>
  <c r="B1839" i="3"/>
  <c r="A1839" i="3"/>
  <c r="G1838" i="3"/>
  <c r="F1838" i="3"/>
  <c r="E1838" i="3"/>
  <c r="D1838" i="3"/>
  <c r="A1838" i="3"/>
  <c r="G1837" i="3"/>
  <c r="F1837" i="3"/>
  <c r="E1837" i="3"/>
  <c r="D1837" i="3"/>
  <c r="C1837" i="3"/>
  <c r="B1837" i="3"/>
  <c r="A1837" i="3"/>
  <c r="G1836" i="3"/>
  <c r="F1836" i="3"/>
  <c r="E1836" i="3"/>
  <c r="D1836" i="3"/>
  <c r="C1836" i="3"/>
  <c r="B1836" i="3"/>
  <c r="A1836" i="3"/>
  <c r="G1835" i="3"/>
  <c r="F1835" i="3"/>
  <c r="E1835" i="3"/>
  <c r="D1835" i="3"/>
  <c r="C1835" i="3"/>
  <c r="B1835" i="3"/>
  <c r="A1835" i="3"/>
  <c r="G1834" i="3"/>
  <c r="F1834" i="3"/>
  <c r="E1834" i="3"/>
  <c r="D1834" i="3"/>
  <c r="C1834" i="3"/>
  <c r="B1834" i="3"/>
  <c r="A1834" i="3"/>
  <c r="G1833" i="3"/>
  <c r="F1833" i="3"/>
  <c r="E1833" i="3"/>
  <c r="D1833" i="3"/>
  <c r="C1833" i="3"/>
  <c r="B1833" i="3"/>
  <c r="A1833" i="3"/>
  <c r="G1832" i="3"/>
  <c r="F1832" i="3"/>
  <c r="E1832" i="3"/>
  <c r="D1832" i="3"/>
  <c r="C1832" i="3"/>
  <c r="B1832" i="3"/>
  <c r="A1832" i="3"/>
  <c r="G1831" i="3"/>
  <c r="F1831" i="3"/>
  <c r="E1831" i="3"/>
  <c r="D1831" i="3"/>
  <c r="C1831" i="3"/>
  <c r="B1831" i="3"/>
  <c r="A1831" i="3"/>
  <c r="G1830" i="3"/>
  <c r="F1830" i="3"/>
  <c r="E1830" i="3"/>
  <c r="D1830" i="3"/>
  <c r="C1830" i="3"/>
  <c r="B1830" i="3"/>
  <c r="A1830" i="3"/>
  <c r="G1829" i="3"/>
  <c r="F1829" i="3"/>
  <c r="E1829" i="3"/>
  <c r="D1829" i="3"/>
  <c r="C1829" i="3"/>
  <c r="B1829" i="3"/>
  <c r="A1829" i="3"/>
  <c r="G1828" i="3"/>
  <c r="F1828" i="3"/>
  <c r="E1828" i="3"/>
  <c r="D1828" i="3"/>
  <c r="C1828" i="3"/>
  <c r="B1828" i="3"/>
  <c r="A1828" i="3"/>
  <c r="G1827" i="3"/>
  <c r="F1827" i="3"/>
  <c r="E1827" i="3"/>
  <c r="D1827" i="3"/>
  <c r="C1827" i="3"/>
  <c r="B1827" i="3"/>
  <c r="A1827" i="3"/>
  <c r="G1826" i="3"/>
  <c r="F1826" i="3"/>
  <c r="E1826" i="3"/>
  <c r="D1826" i="3"/>
  <c r="A1826" i="3"/>
  <c r="G1825" i="3"/>
  <c r="F1825" i="3"/>
  <c r="E1825" i="3"/>
  <c r="D1825" i="3"/>
  <c r="C1825" i="3"/>
  <c r="B1825" i="3"/>
  <c r="A1825" i="3"/>
  <c r="G1824" i="3"/>
  <c r="F1824" i="3"/>
  <c r="E1824" i="3"/>
  <c r="D1824" i="3"/>
  <c r="C1824" i="3"/>
  <c r="B1824" i="3"/>
  <c r="A1824" i="3"/>
  <c r="G1823" i="3"/>
  <c r="F1823" i="3"/>
  <c r="E1823" i="3"/>
  <c r="D1823" i="3"/>
  <c r="C1823" i="3"/>
  <c r="B1823" i="3"/>
  <c r="A1823" i="3"/>
  <c r="G1822" i="3"/>
  <c r="F1822" i="3"/>
  <c r="E1822" i="3"/>
  <c r="D1822" i="3"/>
  <c r="C1822" i="3"/>
  <c r="B1822" i="3"/>
  <c r="A1822" i="3"/>
  <c r="G1821" i="3"/>
  <c r="F1821" i="3"/>
  <c r="E1821" i="3"/>
  <c r="D1821" i="3"/>
  <c r="C1821" i="3"/>
  <c r="B1821" i="3"/>
  <c r="A1821" i="3"/>
  <c r="G1820" i="3"/>
  <c r="F1820" i="3"/>
  <c r="E1820" i="3"/>
  <c r="D1820" i="3"/>
  <c r="C1820" i="3"/>
  <c r="B1820" i="3"/>
  <c r="A1820" i="3"/>
  <c r="G1819" i="3"/>
  <c r="F1819" i="3"/>
  <c r="E1819" i="3"/>
  <c r="D1819" i="3"/>
  <c r="C1819" i="3"/>
  <c r="B1819" i="3"/>
  <c r="A1819" i="3"/>
  <c r="G1818" i="3"/>
  <c r="F1818" i="3"/>
  <c r="E1818" i="3"/>
  <c r="D1818" i="3"/>
  <c r="C1818" i="3"/>
  <c r="B1818" i="3"/>
  <c r="A1818" i="3"/>
  <c r="G1817" i="3"/>
  <c r="F1817" i="3"/>
  <c r="E1817" i="3"/>
  <c r="D1817" i="3"/>
  <c r="C1817" i="3"/>
  <c r="A1817" i="3"/>
  <c r="G1816" i="3"/>
  <c r="F1816" i="3"/>
  <c r="E1816" i="3"/>
  <c r="D1816" i="3"/>
  <c r="C1816" i="3"/>
  <c r="B1816" i="3"/>
  <c r="A1816" i="3"/>
  <c r="G1815" i="3"/>
  <c r="F1815" i="3"/>
  <c r="E1815" i="3"/>
  <c r="D1815" i="3"/>
  <c r="C1815" i="3"/>
  <c r="A1815" i="3"/>
  <c r="G1814" i="3"/>
  <c r="F1814" i="3"/>
  <c r="E1814" i="3"/>
  <c r="D1814" i="3"/>
  <c r="C1814" i="3"/>
  <c r="B1814" i="3"/>
  <c r="A1814" i="3"/>
  <c r="G1813" i="3"/>
  <c r="F1813" i="3"/>
  <c r="E1813" i="3"/>
  <c r="D1813" i="3"/>
  <c r="C1813" i="3"/>
  <c r="B1813" i="3"/>
  <c r="A1813" i="3"/>
  <c r="G1812" i="3"/>
  <c r="F1812" i="3"/>
  <c r="E1812" i="3"/>
  <c r="D1812" i="3"/>
  <c r="C1812" i="3"/>
  <c r="A1812" i="3"/>
  <c r="G1811" i="3"/>
  <c r="F1811" i="3"/>
  <c r="E1811" i="3"/>
  <c r="D1811" i="3"/>
  <c r="C1811" i="3"/>
  <c r="B1811" i="3"/>
  <c r="A1811" i="3"/>
  <c r="G1810" i="3"/>
  <c r="F1810" i="3"/>
  <c r="E1810" i="3"/>
  <c r="D1810" i="3"/>
  <c r="C1810" i="3"/>
  <c r="B1810" i="3"/>
  <c r="A1810" i="3"/>
  <c r="G1809" i="3"/>
  <c r="F1809" i="3"/>
  <c r="E1809" i="3"/>
  <c r="D1809" i="3"/>
  <c r="C1809" i="3"/>
  <c r="B1809" i="3"/>
  <c r="A1809" i="3"/>
  <c r="G1808" i="3"/>
  <c r="F1808" i="3"/>
  <c r="E1808" i="3"/>
  <c r="D1808" i="3"/>
  <c r="C1808" i="3"/>
  <c r="B1808" i="3"/>
  <c r="A1808" i="3"/>
  <c r="G1807" i="3"/>
  <c r="F1807" i="3"/>
  <c r="E1807" i="3"/>
  <c r="D1807" i="3"/>
  <c r="C1807" i="3"/>
  <c r="B1807" i="3"/>
  <c r="A1807" i="3"/>
  <c r="G1806" i="3"/>
  <c r="F1806" i="3"/>
  <c r="E1806" i="3"/>
  <c r="D1806" i="3"/>
  <c r="C1806" i="3"/>
  <c r="B1806" i="3"/>
  <c r="A1806" i="3"/>
  <c r="G1805" i="3"/>
  <c r="F1805" i="3"/>
  <c r="E1805" i="3"/>
  <c r="D1805" i="3"/>
  <c r="C1805" i="3"/>
  <c r="B1805" i="3"/>
  <c r="A1805" i="3"/>
  <c r="G1804" i="3"/>
  <c r="F1804" i="3"/>
  <c r="E1804" i="3"/>
  <c r="D1804" i="3"/>
  <c r="C1804" i="3"/>
  <c r="B1804" i="3"/>
  <c r="A1804" i="3"/>
  <c r="G1803" i="3"/>
  <c r="F1803" i="3"/>
  <c r="E1803" i="3"/>
  <c r="D1803" i="3"/>
  <c r="C1803" i="3"/>
  <c r="B1803" i="3"/>
  <c r="A1803" i="3"/>
  <c r="G1802" i="3"/>
  <c r="F1802" i="3"/>
  <c r="E1802" i="3"/>
  <c r="D1802" i="3"/>
  <c r="C1802" i="3"/>
  <c r="B1802" i="3"/>
  <c r="A1802" i="3"/>
  <c r="G1801" i="3"/>
  <c r="F1801" i="3"/>
  <c r="E1801" i="3"/>
  <c r="D1801" i="3"/>
  <c r="C1801" i="3"/>
  <c r="B1801" i="3"/>
  <c r="A1801" i="3"/>
  <c r="G1800" i="3"/>
  <c r="F1800" i="3"/>
  <c r="E1800" i="3"/>
  <c r="D1800" i="3"/>
  <c r="C1800" i="3"/>
  <c r="A1800" i="3"/>
  <c r="G1799" i="3"/>
  <c r="F1799" i="3"/>
  <c r="E1799" i="3"/>
  <c r="D1799" i="3"/>
  <c r="C1799" i="3"/>
  <c r="B1799" i="3"/>
  <c r="A1799" i="3"/>
  <c r="G1798" i="3"/>
  <c r="F1798" i="3"/>
  <c r="E1798" i="3"/>
  <c r="D1798" i="3"/>
  <c r="A1798" i="3"/>
  <c r="G1797" i="3"/>
  <c r="F1797" i="3"/>
  <c r="E1797" i="3"/>
  <c r="D1797" i="3"/>
  <c r="C1797" i="3"/>
  <c r="B1797" i="3"/>
  <c r="A1797" i="3"/>
  <c r="G1796" i="3"/>
  <c r="F1796" i="3"/>
  <c r="E1796" i="3"/>
  <c r="D1796" i="3"/>
  <c r="C1796" i="3"/>
  <c r="B1796" i="3"/>
  <c r="A1796" i="3"/>
  <c r="G1795" i="3"/>
  <c r="F1795" i="3"/>
  <c r="E1795" i="3"/>
  <c r="D1795" i="3"/>
  <c r="C1795" i="3"/>
  <c r="B1795" i="3"/>
  <c r="A1795" i="3"/>
  <c r="G1794" i="3"/>
  <c r="F1794" i="3"/>
  <c r="E1794" i="3"/>
  <c r="D1794" i="3"/>
  <c r="C1794" i="3"/>
  <c r="B1794" i="3"/>
  <c r="A1794" i="3"/>
  <c r="G1793" i="3"/>
  <c r="F1793" i="3"/>
  <c r="E1793" i="3"/>
  <c r="D1793" i="3"/>
  <c r="C1793" i="3"/>
  <c r="B1793" i="3"/>
  <c r="A1793" i="3"/>
  <c r="G1792" i="3"/>
  <c r="F1792" i="3"/>
  <c r="E1792" i="3"/>
  <c r="D1792" i="3"/>
  <c r="C1792" i="3"/>
  <c r="B1792" i="3"/>
  <c r="A1792" i="3"/>
  <c r="G1791" i="3"/>
  <c r="F1791" i="3"/>
  <c r="E1791" i="3"/>
  <c r="D1791" i="3"/>
  <c r="C1791" i="3"/>
  <c r="B1791" i="3"/>
  <c r="A1791" i="3"/>
  <c r="G1790" i="3"/>
  <c r="F1790" i="3"/>
  <c r="E1790" i="3"/>
  <c r="D1790" i="3"/>
  <c r="C1790" i="3"/>
  <c r="B1790" i="3"/>
  <c r="A1790" i="3"/>
  <c r="G1789" i="3"/>
  <c r="F1789" i="3"/>
  <c r="E1789" i="3"/>
  <c r="D1789" i="3"/>
  <c r="C1789" i="3"/>
  <c r="B1789" i="3"/>
  <c r="A1789" i="3"/>
  <c r="G1788" i="3"/>
  <c r="F1788" i="3"/>
  <c r="E1788" i="3"/>
  <c r="D1788" i="3"/>
  <c r="C1788" i="3"/>
  <c r="B1788" i="3"/>
  <c r="A1788" i="3"/>
  <c r="G1787" i="3"/>
  <c r="F1787" i="3"/>
  <c r="E1787" i="3"/>
  <c r="D1787" i="3"/>
  <c r="C1787" i="3"/>
  <c r="B1787" i="3"/>
  <c r="A1787" i="3"/>
  <c r="G1786" i="3"/>
  <c r="F1786" i="3"/>
  <c r="E1786" i="3"/>
  <c r="D1786" i="3"/>
  <c r="C1786" i="3"/>
  <c r="B1786" i="3"/>
  <c r="A1786" i="3"/>
  <c r="G1785" i="3"/>
  <c r="F1785" i="3"/>
  <c r="E1785" i="3"/>
  <c r="D1785" i="3"/>
  <c r="C1785" i="3"/>
  <c r="B1785" i="3"/>
  <c r="A1785" i="3"/>
  <c r="G1784" i="3"/>
  <c r="F1784" i="3"/>
  <c r="E1784" i="3"/>
  <c r="D1784" i="3"/>
  <c r="C1784" i="3"/>
  <c r="A1784" i="3"/>
  <c r="G1783" i="3"/>
  <c r="F1783" i="3"/>
  <c r="E1783" i="3"/>
  <c r="D1783" i="3"/>
  <c r="C1783" i="3"/>
  <c r="B1783" i="3"/>
  <c r="A1783" i="3"/>
  <c r="G1782" i="3"/>
  <c r="F1782" i="3"/>
  <c r="E1782" i="3"/>
  <c r="D1782" i="3"/>
  <c r="C1782" i="3"/>
  <c r="B1782" i="3"/>
  <c r="A1782" i="3"/>
  <c r="G1781" i="3"/>
  <c r="F1781" i="3"/>
  <c r="E1781" i="3"/>
  <c r="D1781" i="3"/>
  <c r="B1781" i="3"/>
  <c r="A1781" i="3"/>
  <c r="G1780" i="3"/>
  <c r="F1780" i="3"/>
  <c r="E1780" i="3"/>
  <c r="D1780" i="3"/>
  <c r="C1780" i="3"/>
  <c r="B1780" i="3"/>
  <c r="A1780" i="3"/>
  <c r="G1779" i="3"/>
  <c r="F1779" i="3"/>
  <c r="E1779" i="3"/>
  <c r="D1779" i="3"/>
  <c r="C1779" i="3"/>
  <c r="B1779" i="3"/>
  <c r="A1779" i="3"/>
  <c r="G1778" i="3"/>
  <c r="F1778" i="3"/>
  <c r="E1778" i="3"/>
  <c r="D1778" i="3"/>
  <c r="C1778" i="3"/>
  <c r="B1778" i="3"/>
  <c r="A1778" i="3"/>
  <c r="G1777" i="3"/>
  <c r="F1777" i="3"/>
  <c r="E1777" i="3"/>
  <c r="D1777" i="3"/>
  <c r="C1777" i="3"/>
  <c r="B1777" i="3"/>
  <c r="A1777" i="3"/>
  <c r="G1776" i="3"/>
  <c r="F1776" i="3"/>
  <c r="E1776" i="3"/>
  <c r="D1776" i="3"/>
  <c r="C1776" i="3"/>
  <c r="B1776" i="3"/>
  <c r="A1776" i="3"/>
  <c r="G1775" i="3"/>
  <c r="F1775" i="3"/>
  <c r="E1775" i="3"/>
  <c r="D1775" i="3"/>
  <c r="B1775" i="3"/>
  <c r="A1775" i="3"/>
  <c r="G1774" i="3"/>
  <c r="F1774" i="3"/>
  <c r="E1774" i="3"/>
  <c r="D1774" i="3"/>
  <c r="C1774" i="3"/>
  <c r="B1774" i="3"/>
  <c r="A1774" i="3"/>
  <c r="G1773" i="3"/>
  <c r="F1773" i="3"/>
  <c r="E1773" i="3"/>
  <c r="D1773" i="3"/>
  <c r="A1773" i="3"/>
  <c r="G1772" i="3"/>
  <c r="F1772" i="3"/>
  <c r="E1772" i="3"/>
  <c r="D1772" i="3"/>
  <c r="C1772" i="3"/>
  <c r="B1772" i="3"/>
  <c r="A1772" i="3"/>
  <c r="G1771" i="3"/>
  <c r="F1771" i="3"/>
  <c r="E1771" i="3"/>
  <c r="D1771" i="3"/>
  <c r="C1771" i="3"/>
  <c r="B1771" i="3"/>
  <c r="A1771" i="3"/>
  <c r="G1770" i="3"/>
  <c r="F1770" i="3"/>
  <c r="E1770" i="3"/>
  <c r="D1770" i="3"/>
  <c r="C1770" i="3"/>
  <c r="B1770" i="3"/>
  <c r="A1770" i="3"/>
  <c r="G1769" i="3"/>
  <c r="F1769" i="3"/>
  <c r="E1769" i="3"/>
  <c r="D1769" i="3"/>
  <c r="C1769" i="3"/>
  <c r="B1769" i="3"/>
  <c r="A1769" i="3"/>
  <c r="G1768" i="3"/>
  <c r="F1768" i="3"/>
  <c r="E1768" i="3"/>
  <c r="D1768" i="3"/>
  <c r="C1768" i="3"/>
  <c r="B1768" i="3"/>
  <c r="A1768" i="3"/>
  <c r="G1767" i="3"/>
  <c r="F1767" i="3"/>
  <c r="E1767" i="3"/>
  <c r="D1767" i="3"/>
  <c r="C1767" i="3"/>
  <c r="B1767" i="3"/>
  <c r="A1767" i="3"/>
  <c r="G1766" i="3"/>
  <c r="F1766" i="3"/>
  <c r="E1766" i="3"/>
  <c r="D1766" i="3"/>
  <c r="C1766" i="3"/>
  <c r="B1766" i="3"/>
  <c r="A1766" i="3"/>
  <c r="G1765" i="3"/>
  <c r="F1765" i="3"/>
  <c r="E1765" i="3"/>
  <c r="D1765" i="3"/>
  <c r="C1765" i="3"/>
  <c r="B1765" i="3"/>
  <c r="A1765" i="3"/>
  <c r="G1764" i="3"/>
  <c r="F1764" i="3"/>
  <c r="E1764" i="3"/>
  <c r="D1764" i="3"/>
  <c r="C1764" i="3"/>
  <c r="B1764" i="3"/>
  <c r="A1764" i="3"/>
  <c r="G1763" i="3"/>
  <c r="F1763" i="3"/>
  <c r="E1763" i="3"/>
  <c r="D1763" i="3"/>
  <c r="A1763" i="3"/>
  <c r="G1762" i="3"/>
  <c r="F1762" i="3"/>
  <c r="E1762" i="3"/>
  <c r="D1762" i="3"/>
  <c r="C1762" i="3"/>
  <c r="B1762" i="3"/>
  <c r="A1762" i="3"/>
  <c r="G1761" i="3"/>
  <c r="F1761" i="3"/>
  <c r="E1761" i="3"/>
  <c r="D1761" i="3"/>
  <c r="C1761" i="3"/>
  <c r="B1761" i="3"/>
  <c r="A1761" i="3"/>
  <c r="G1760" i="3"/>
  <c r="F1760" i="3"/>
  <c r="E1760" i="3"/>
  <c r="D1760" i="3"/>
  <c r="C1760" i="3"/>
  <c r="B1760" i="3"/>
  <c r="A1760" i="3"/>
  <c r="G1759" i="3"/>
  <c r="F1759" i="3"/>
  <c r="E1759" i="3"/>
  <c r="D1759" i="3"/>
  <c r="C1759" i="3"/>
  <c r="B1759" i="3"/>
  <c r="A1759" i="3"/>
  <c r="G1758" i="3"/>
  <c r="F1758" i="3"/>
  <c r="E1758" i="3"/>
  <c r="D1758" i="3"/>
  <c r="C1758" i="3"/>
  <c r="B1758" i="3"/>
  <c r="A1758" i="3"/>
  <c r="G1757" i="3"/>
  <c r="F1757" i="3"/>
  <c r="E1757" i="3"/>
  <c r="D1757" i="3"/>
  <c r="C1757" i="3"/>
  <c r="B1757" i="3"/>
  <c r="A1757" i="3"/>
  <c r="G1756" i="3"/>
  <c r="F1756" i="3"/>
  <c r="E1756" i="3"/>
  <c r="D1756" i="3"/>
  <c r="C1756" i="3"/>
  <c r="B1756" i="3"/>
  <c r="A1756" i="3"/>
  <c r="G1755" i="3"/>
  <c r="F1755" i="3"/>
  <c r="E1755" i="3"/>
  <c r="D1755" i="3"/>
  <c r="C1755" i="3"/>
  <c r="B1755" i="3"/>
  <c r="A1755" i="3"/>
  <c r="G1754" i="3"/>
  <c r="F1754" i="3"/>
  <c r="E1754" i="3"/>
  <c r="D1754" i="3"/>
  <c r="C1754" i="3"/>
  <c r="B1754" i="3"/>
  <c r="A1754" i="3"/>
  <c r="G1753" i="3"/>
  <c r="F1753" i="3"/>
  <c r="E1753" i="3"/>
  <c r="D1753" i="3"/>
  <c r="C1753" i="3"/>
  <c r="B1753" i="3"/>
  <c r="A1753" i="3"/>
  <c r="G1752" i="3"/>
  <c r="F1752" i="3"/>
  <c r="E1752" i="3"/>
  <c r="D1752" i="3"/>
  <c r="C1752" i="3"/>
  <c r="B1752" i="3"/>
  <c r="A1752" i="3"/>
  <c r="G1751" i="3"/>
  <c r="F1751" i="3"/>
  <c r="E1751" i="3"/>
  <c r="D1751" i="3"/>
  <c r="A1751" i="3"/>
  <c r="G1750" i="3"/>
  <c r="F1750" i="3"/>
  <c r="E1750" i="3"/>
  <c r="D1750" i="3"/>
  <c r="C1750" i="3"/>
  <c r="B1750" i="3"/>
  <c r="A1750" i="3"/>
  <c r="G1749" i="3"/>
  <c r="F1749" i="3"/>
  <c r="E1749" i="3"/>
  <c r="D1749" i="3"/>
  <c r="A1749" i="3"/>
  <c r="G1748" i="3"/>
  <c r="F1748" i="3"/>
  <c r="E1748" i="3"/>
  <c r="D1748" i="3"/>
  <c r="C1748" i="3"/>
  <c r="B1748" i="3"/>
  <c r="A1748" i="3"/>
  <c r="G1747" i="3"/>
  <c r="F1747" i="3"/>
  <c r="E1747" i="3"/>
  <c r="D1747" i="3"/>
  <c r="C1747" i="3"/>
  <c r="B1747" i="3"/>
  <c r="A1747" i="3"/>
  <c r="G1746" i="3"/>
  <c r="F1746" i="3"/>
  <c r="E1746" i="3"/>
  <c r="D1746" i="3"/>
  <c r="C1746" i="3"/>
  <c r="B1746" i="3"/>
  <c r="A1746" i="3"/>
  <c r="G1745" i="3"/>
  <c r="F1745" i="3"/>
  <c r="E1745" i="3"/>
  <c r="D1745" i="3"/>
  <c r="C1745" i="3"/>
  <c r="B1745" i="3"/>
  <c r="A1745" i="3"/>
  <c r="G1744" i="3"/>
  <c r="F1744" i="3"/>
  <c r="E1744" i="3"/>
  <c r="D1744" i="3"/>
  <c r="C1744" i="3"/>
  <c r="A1744" i="3"/>
  <c r="G1743" i="3"/>
  <c r="F1743" i="3"/>
  <c r="E1743" i="3"/>
  <c r="D1743" i="3"/>
  <c r="C1743" i="3"/>
  <c r="B1743" i="3"/>
  <c r="A1743" i="3"/>
  <c r="G1742" i="3"/>
  <c r="F1742" i="3"/>
  <c r="E1742" i="3"/>
  <c r="D1742" i="3"/>
  <c r="C1742" i="3"/>
  <c r="B1742" i="3"/>
  <c r="A1742" i="3"/>
  <c r="G1741" i="3"/>
  <c r="F1741" i="3"/>
  <c r="E1741" i="3"/>
  <c r="D1741" i="3"/>
  <c r="C1741" i="3"/>
  <c r="B1741" i="3"/>
  <c r="A1741" i="3"/>
  <c r="G1740" i="3"/>
  <c r="F1740" i="3"/>
  <c r="E1740" i="3"/>
  <c r="D1740" i="3"/>
  <c r="A1740" i="3"/>
  <c r="G1739" i="3"/>
  <c r="F1739" i="3"/>
  <c r="E1739" i="3"/>
  <c r="D1739" i="3"/>
  <c r="C1739" i="3"/>
  <c r="B1739" i="3"/>
  <c r="A1739" i="3"/>
  <c r="G1738" i="3"/>
  <c r="F1738" i="3"/>
  <c r="E1738" i="3"/>
  <c r="D1738" i="3"/>
  <c r="C1738" i="3"/>
  <c r="B1738" i="3"/>
  <c r="A1738" i="3"/>
  <c r="G1737" i="3"/>
  <c r="F1737" i="3"/>
  <c r="E1737" i="3"/>
  <c r="D1737" i="3"/>
  <c r="C1737" i="3"/>
  <c r="B1737" i="3"/>
  <c r="A1737" i="3"/>
  <c r="G1736" i="3"/>
  <c r="F1736" i="3"/>
  <c r="E1736" i="3"/>
  <c r="D1736" i="3"/>
  <c r="C1736" i="3"/>
  <c r="B1736" i="3"/>
  <c r="A1736" i="3"/>
  <c r="G1735" i="3"/>
  <c r="F1735" i="3"/>
  <c r="E1735" i="3"/>
  <c r="D1735" i="3"/>
  <c r="C1735" i="3"/>
  <c r="B1735" i="3"/>
  <c r="A1735" i="3"/>
  <c r="G1734" i="3"/>
  <c r="F1734" i="3"/>
  <c r="E1734" i="3"/>
  <c r="D1734" i="3"/>
  <c r="C1734" i="3"/>
  <c r="B1734" i="3"/>
  <c r="A1734" i="3"/>
  <c r="G1733" i="3"/>
  <c r="F1733" i="3"/>
  <c r="E1733" i="3"/>
  <c r="D1733" i="3"/>
  <c r="C1733" i="3"/>
  <c r="B1733" i="3"/>
  <c r="A1733" i="3"/>
  <c r="G1732" i="3"/>
  <c r="F1732" i="3"/>
  <c r="E1732" i="3"/>
  <c r="D1732" i="3"/>
  <c r="C1732" i="3"/>
  <c r="B1732" i="3"/>
  <c r="A1732" i="3"/>
  <c r="G1731" i="3"/>
  <c r="F1731" i="3"/>
  <c r="E1731" i="3"/>
  <c r="D1731" i="3"/>
  <c r="C1731" i="3"/>
  <c r="B1731" i="3"/>
  <c r="A1731" i="3"/>
  <c r="G1730" i="3"/>
  <c r="F1730" i="3"/>
  <c r="E1730" i="3"/>
  <c r="D1730" i="3"/>
  <c r="C1730" i="3"/>
  <c r="B1730" i="3"/>
  <c r="A1730" i="3"/>
  <c r="G1729" i="3"/>
  <c r="F1729" i="3"/>
  <c r="E1729" i="3"/>
  <c r="D1729" i="3"/>
  <c r="C1729" i="3"/>
  <c r="B1729" i="3"/>
  <c r="A1729" i="3"/>
  <c r="G1728" i="3"/>
  <c r="F1728" i="3"/>
  <c r="E1728" i="3"/>
  <c r="D1728" i="3"/>
  <c r="C1728" i="3"/>
  <c r="B1728" i="3"/>
  <c r="A1728" i="3"/>
  <c r="G1727" i="3"/>
  <c r="F1727" i="3"/>
  <c r="E1727" i="3"/>
  <c r="D1727" i="3"/>
  <c r="C1727" i="3"/>
  <c r="B1727" i="3"/>
  <c r="A1727" i="3"/>
  <c r="G1726" i="3"/>
  <c r="F1726" i="3"/>
  <c r="E1726" i="3"/>
  <c r="D1726" i="3"/>
  <c r="C1726" i="3"/>
  <c r="B1726" i="3"/>
  <c r="A1726" i="3"/>
  <c r="G1725" i="3"/>
  <c r="F1725" i="3"/>
  <c r="E1725" i="3"/>
  <c r="D1725" i="3"/>
  <c r="C1725" i="3"/>
  <c r="B1725" i="3"/>
  <c r="A1725" i="3"/>
  <c r="G1724" i="3"/>
  <c r="F1724" i="3"/>
  <c r="E1724" i="3"/>
  <c r="D1724" i="3"/>
  <c r="A1724" i="3"/>
  <c r="G1723" i="3"/>
  <c r="F1723" i="3"/>
  <c r="E1723" i="3"/>
  <c r="D1723" i="3"/>
  <c r="C1723" i="3"/>
  <c r="B1723" i="3"/>
  <c r="A1723" i="3"/>
  <c r="G1722" i="3"/>
  <c r="F1722" i="3"/>
  <c r="E1722" i="3"/>
  <c r="D1722" i="3"/>
  <c r="C1722" i="3"/>
  <c r="B1722" i="3"/>
  <c r="A1722" i="3"/>
  <c r="G1721" i="3"/>
  <c r="F1721" i="3"/>
  <c r="E1721" i="3"/>
  <c r="D1721" i="3"/>
  <c r="C1721" i="3"/>
  <c r="B1721" i="3"/>
  <c r="A1721" i="3"/>
  <c r="G1720" i="3"/>
  <c r="F1720" i="3"/>
  <c r="E1720" i="3"/>
  <c r="D1720" i="3"/>
  <c r="C1720" i="3"/>
  <c r="B1720" i="3"/>
  <c r="A1720" i="3"/>
  <c r="G1719" i="3"/>
  <c r="F1719" i="3"/>
  <c r="E1719" i="3"/>
  <c r="D1719" i="3"/>
  <c r="C1719" i="3"/>
  <c r="B1719" i="3"/>
  <c r="A1719" i="3"/>
  <c r="G1718" i="3"/>
  <c r="F1718" i="3"/>
  <c r="E1718" i="3"/>
  <c r="D1718" i="3"/>
  <c r="C1718" i="3"/>
  <c r="B1718" i="3"/>
  <c r="A1718" i="3"/>
  <c r="G1717" i="3"/>
  <c r="F1717" i="3"/>
  <c r="E1717" i="3"/>
  <c r="D1717" i="3"/>
  <c r="C1717" i="3"/>
  <c r="B1717" i="3"/>
  <c r="A1717" i="3"/>
  <c r="G1716" i="3"/>
  <c r="F1716" i="3"/>
  <c r="E1716" i="3"/>
  <c r="D1716" i="3"/>
  <c r="C1716" i="3"/>
  <c r="B1716" i="3"/>
  <c r="A1716" i="3"/>
  <c r="G1715" i="3"/>
  <c r="F1715" i="3"/>
  <c r="E1715" i="3"/>
  <c r="D1715" i="3"/>
  <c r="C1715" i="3"/>
  <c r="B1715" i="3"/>
  <c r="A1715" i="3"/>
  <c r="G1714" i="3"/>
  <c r="F1714" i="3"/>
  <c r="E1714" i="3"/>
  <c r="D1714" i="3"/>
  <c r="C1714" i="3"/>
  <c r="A1714" i="3"/>
  <c r="G1713" i="3"/>
  <c r="F1713" i="3"/>
  <c r="E1713" i="3"/>
  <c r="D1713" i="3"/>
  <c r="C1713" i="3"/>
  <c r="B1713" i="3"/>
  <c r="A1713" i="3"/>
  <c r="G1712" i="3"/>
  <c r="F1712" i="3"/>
  <c r="E1712" i="3"/>
  <c r="D1712" i="3"/>
  <c r="C1712" i="3"/>
  <c r="B1712" i="3"/>
  <c r="A1712" i="3"/>
  <c r="G1711" i="3"/>
  <c r="F1711" i="3"/>
  <c r="E1711" i="3"/>
  <c r="D1711" i="3"/>
  <c r="C1711" i="3"/>
  <c r="B1711" i="3"/>
  <c r="A1711" i="3"/>
  <c r="G1710" i="3"/>
  <c r="F1710" i="3"/>
  <c r="E1710" i="3"/>
  <c r="D1710" i="3"/>
  <c r="C1710" i="3"/>
  <c r="B1710" i="3"/>
  <c r="A1710" i="3"/>
  <c r="G1709" i="3"/>
  <c r="F1709" i="3"/>
  <c r="E1709" i="3"/>
  <c r="D1709" i="3"/>
  <c r="C1709" i="3"/>
  <c r="B1709" i="3"/>
  <c r="A1709" i="3"/>
  <c r="G1708" i="3"/>
  <c r="F1708" i="3"/>
  <c r="E1708" i="3"/>
  <c r="D1708" i="3"/>
  <c r="C1708" i="3"/>
  <c r="B1708" i="3"/>
  <c r="A1708" i="3"/>
  <c r="G1707" i="3"/>
  <c r="F1707" i="3"/>
  <c r="E1707" i="3"/>
  <c r="D1707" i="3"/>
  <c r="C1707" i="3"/>
  <c r="B1707" i="3"/>
  <c r="A1707" i="3"/>
  <c r="G1706" i="3"/>
  <c r="F1706" i="3"/>
  <c r="E1706" i="3"/>
  <c r="D1706" i="3"/>
  <c r="C1706" i="3"/>
  <c r="B1706" i="3"/>
  <c r="A1706" i="3"/>
  <c r="G1705" i="3"/>
  <c r="F1705" i="3"/>
  <c r="E1705" i="3"/>
  <c r="D1705" i="3"/>
  <c r="C1705" i="3"/>
  <c r="B1705" i="3"/>
  <c r="A1705" i="3"/>
  <c r="G1704" i="3"/>
  <c r="F1704" i="3"/>
  <c r="E1704" i="3"/>
  <c r="D1704" i="3"/>
  <c r="C1704" i="3"/>
  <c r="B1704" i="3"/>
  <c r="A1704" i="3"/>
  <c r="G1703" i="3"/>
  <c r="F1703" i="3"/>
  <c r="E1703" i="3"/>
  <c r="D1703" i="3"/>
  <c r="C1703" i="3"/>
  <c r="B1703" i="3"/>
  <c r="A1703" i="3"/>
  <c r="G1702" i="3"/>
  <c r="F1702" i="3"/>
  <c r="E1702" i="3"/>
  <c r="D1702" i="3"/>
  <c r="C1702" i="3"/>
  <c r="B1702" i="3"/>
  <c r="A1702" i="3"/>
  <c r="G1701" i="3"/>
  <c r="F1701" i="3"/>
  <c r="E1701" i="3"/>
  <c r="D1701" i="3"/>
  <c r="C1701" i="3"/>
  <c r="B1701" i="3"/>
  <c r="A1701" i="3"/>
  <c r="G1700" i="3"/>
  <c r="F1700" i="3"/>
  <c r="E1700" i="3"/>
  <c r="D1700" i="3"/>
  <c r="C1700" i="3"/>
  <c r="B1700" i="3"/>
  <c r="A1700" i="3"/>
  <c r="G1699" i="3"/>
  <c r="F1699" i="3"/>
  <c r="E1699" i="3"/>
  <c r="D1699" i="3"/>
  <c r="C1699" i="3"/>
  <c r="B1699" i="3"/>
  <c r="A1699" i="3"/>
  <c r="G1698" i="3"/>
  <c r="F1698" i="3"/>
  <c r="E1698" i="3"/>
  <c r="D1698" i="3"/>
  <c r="C1698" i="3"/>
  <c r="A1698" i="3"/>
  <c r="G1697" i="3"/>
  <c r="F1697" i="3"/>
  <c r="E1697" i="3"/>
  <c r="D1697" i="3"/>
  <c r="C1697" i="3"/>
  <c r="B1697" i="3"/>
  <c r="A1697" i="3"/>
  <c r="G1696" i="3"/>
  <c r="F1696" i="3"/>
  <c r="E1696" i="3"/>
  <c r="D1696" i="3"/>
  <c r="C1696" i="3"/>
  <c r="B1696" i="3"/>
  <c r="A1696" i="3"/>
  <c r="G1695" i="3"/>
  <c r="F1695" i="3"/>
  <c r="E1695" i="3"/>
  <c r="D1695" i="3"/>
  <c r="C1695" i="3"/>
  <c r="B1695" i="3"/>
  <c r="A1695" i="3"/>
  <c r="G1694" i="3"/>
  <c r="F1694" i="3"/>
  <c r="E1694" i="3"/>
  <c r="D1694" i="3"/>
  <c r="C1694" i="3"/>
  <c r="B1694" i="3"/>
  <c r="A1694" i="3"/>
  <c r="G1693" i="3"/>
  <c r="F1693" i="3"/>
  <c r="E1693" i="3"/>
  <c r="D1693" i="3"/>
  <c r="C1693" i="3"/>
  <c r="B1693" i="3"/>
  <c r="A1693" i="3"/>
  <c r="G1692" i="3"/>
  <c r="F1692" i="3"/>
  <c r="E1692" i="3"/>
  <c r="D1692" i="3"/>
  <c r="C1692" i="3"/>
  <c r="B1692" i="3"/>
  <c r="A1692" i="3"/>
  <c r="G1691" i="3"/>
  <c r="F1691" i="3"/>
  <c r="E1691" i="3"/>
  <c r="D1691" i="3"/>
  <c r="C1691" i="3"/>
  <c r="B1691" i="3"/>
  <c r="A1691" i="3"/>
  <c r="G1690" i="3"/>
  <c r="F1690" i="3"/>
  <c r="E1690" i="3"/>
  <c r="D1690" i="3"/>
  <c r="C1690" i="3"/>
  <c r="B1690" i="3"/>
  <c r="A1690" i="3"/>
  <c r="G1689" i="3"/>
  <c r="F1689" i="3"/>
  <c r="E1689" i="3"/>
  <c r="D1689" i="3"/>
  <c r="C1689" i="3"/>
  <c r="B1689" i="3"/>
  <c r="A1689" i="3"/>
  <c r="G1688" i="3"/>
  <c r="F1688" i="3"/>
  <c r="E1688" i="3"/>
  <c r="D1688" i="3"/>
  <c r="C1688" i="3"/>
  <c r="B1688" i="3"/>
  <c r="A1688" i="3"/>
  <c r="G1687" i="3"/>
  <c r="F1687" i="3"/>
  <c r="E1687" i="3"/>
  <c r="D1687" i="3"/>
  <c r="A1687" i="3"/>
  <c r="G1686" i="3"/>
  <c r="F1686" i="3"/>
  <c r="E1686" i="3"/>
  <c r="D1686" i="3"/>
  <c r="C1686" i="3"/>
  <c r="B1686" i="3"/>
  <c r="A1686" i="3"/>
  <c r="G1685" i="3"/>
  <c r="F1685" i="3"/>
  <c r="E1685" i="3"/>
  <c r="D1685" i="3"/>
  <c r="C1685" i="3"/>
  <c r="B1685" i="3"/>
  <c r="A1685" i="3"/>
  <c r="G1684" i="3"/>
  <c r="F1684" i="3"/>
  <c r="E1684" i="3"/>
  <c r="D1684" i="3"/>
  <c r="C1684" i="3"/>
  <c r="B1684" i="3"/>
  <c r="A1684" i="3"/>
  <c r="G1683" i="3"/>
  <c r="F1683" i="3"/>
  <c r="E1683" i="3"/>
  <c r="D1683" i="3"/>
  <c r="C1683" i="3"/>
  <c r="B1683" i="3"/>
  <c r="A1683" i="3"/>
  <c r="G1682" i="3"/>
  <c r="F1682" i="3"/>
  <c r="E1682" i="3"/>
  <c r="D1682" i="3"/>
  <c r="C1682" i="3"/>
  <c r="B1682" i="3"/>
  <c r="A1682" i="3"/>
  <c r="G1681" i="3"/>
  <c r="F1681" i="3"/>
  <c r="E1681" i="3"/>
  <c r="D1681" i="3"/>
  <c r="C1681" i="3"/>
  <c r="B1681" i="3"/>
  <c r="A1681" i="3"/>
  <c r="G1680" i="3"/>
  <c r="F1680" i="3"/>
  <c r="E1680" i="3"/>
  <c r="D1680" i="3"/>
  <c r="C1680" i="3"/>
  <c r="B1680" i="3"/>
  <c r="A1680" i="3"/>
  <c r="G1679" i="3"/>
  <c r="F1679" i="3"/>
  <c r="E1679" i="3"/>
  <c r="D1679" i="3"/>
  <c r="C1679" i="3"/>
  <c r="B1679" i="3"/>
  <c r="A1679" i="3"/>
  <c r="G1678" i="3"/>
  <c r="F1678" i="3"/>
  <c r="E1678" i="3"/>
  <c r="D1678" i="3"/>
  <c r="C1678" i="3"/>
  <c r="B1678" i="3"/>
  <c r="A1678" i="3"/>
  <c r="G1677" i="3"/>
  <c r="F1677" i="3"/>
  <c r="E1677" i="3"/>
  <c r="D1677" i="3"/>
  <c r="C1677" i="3"/>
  <c r="B1677" i="3"/>
  <c r="A1677" i="3"/>
  <c r="G1676" i="3"/>
  <c r="F1676" i="3"/>
  <c r="E1676" i="3"/>
  <c r="D1676" i="3"/>
  <c r="C1676" i="3"/>
  <c r="B1676" i="3"/>
  <c r="A1676" i="3"/>
  <c r="G1675" i="3"/>
  <c r="F1675" i="3"/>
  <c r="E1675" i="3"/>
  <c r="D1675" i="3"/>
  <c r="C1675" i="3"/>
  <c r="B1675" i="3"/>
  <c r="A1675" i="3"/>
  <c r="G1674" i="3"/>
  <c r="F1674" i="3"/>
  <c r="E1674" i="3"/>
  <c r="D1674" i="3"/>
  <c r="C1674" i="3"/>
  <c r="B1674" i="3"/>
  <c r="A1674" i="3"/>
  <c r="G1673" i="3"/>
  <c r="F1673" i="3"/>
  <c r="E1673" i="3"/>
  <c r="D1673" i="3"/>
  <c r="C1673" i="3"/>
  <c r="B1673" i="3"/>
  <c r="A1673" i="3"/>
  <c r="G1672" i="3"/>
  <c r="F1672" i="3"/>
  <c r="E1672" i="3"/>
  <c r="D1672" i="3"/>
  <c r="C1672" i="3"/>
  <c r="B1672" i="3"/>
  <c r="A1672" i="3"/>
  <c r="G1671" i="3"/>
  <c r="F1671" i="3"/>
  <c r="E1671" i="3"/>
  <c r="D1671" i="3"/>
  <c r="C1671" i="3"/>
  <c r="B1671" i="3"/>
  <c r="A1671" i="3"/>
  <c r="G1670" i="3"/>
  <c r="F1670" i="3"/>
  <c r="E1670" i="3"/>
  <c r="D1670" i="3"/>
  <c r="C1670" i="3"/>
  <c r="B1670" i="3"/>
  <c r="A1670" i="3"/>
  <c r="G1669" i="3"/>
  <c r="F1669" i="3"/>
  <c r="E1669" i="3"/>
  <c r="D1669" i="3"/>
  <c r="C1669" i="3"/>
  <c r="B1669" i="3"/>
  <c r="A1669" i="3"/>
  <c r="G1668" i="3"/>
  <c r="F1668" i="3"/>
  <c r="E1668" i="3"/>
  <c r="D1668" i="3"/>
  <c r="C1668" i="3"/>
  <c r="B1668" i="3"/>
  <c r="A1668" i="3"/>
  <c r="G1667" i="3"/>
  <c r="F1667" i="3"/>
  <c r="E1667" i="3"/>
  <c r="D1667" i="3"/>
  <c r="C1667" i="3"/>
  <c r="B1667" i="3"/>
  <c r="A1667" i="3"/>
  <c r="G1666" i="3"/>
  <c r="F1666" i="3"/>
  <c r="E1666" i="3"/>
  <c r="D1666" i="3"/>
  <c r="C1666" i="3"/>
  <c r="B1666" i="3"/>
  <c r="A1666" i="3"/>
  <c r="G1665" i="3"/>
  <c r="F1665" i="3"/>
  <c r="E1665" i="3"/>
  <c r="D1665" i="3"/>
  <c r="C1665" i="3"/>
  <c r="B1665" i="3"/>
  <c r="A1665" i="3"/>
  <c r="G1664" i="3"/>
  <c r="F1664" i="3"/>
  <c r="E1664" i="3"/>
  <c r="D1664" i="3"/>
  <c r="C1664" i="3"/>
  <c r="B1664" i="3"/>
  <c r="A1664" i="3"/>
  <c r="G1663" i="3"/>
  <c r="F1663" i="3"/>
  <c r="E1663" i="3"/>
  <c r="D1663" i="3"/>
  <c r="C1663" i="3"/>
  <c r="B1663" i="3"/>
  <c r="A1663" i="3"/>
  <c r="G1662" i="3"/>
  <c r="F1662" i="3"/>
  <c r="E1662" i="3"/>
  <c r="D1662" i="3"/>
  <c r="C1662" i="3"/>
  <c r="B1662" i="3"/>
  <c r="A1662" i="3"/>
  <c r="G1661" i="3"/>
  <c r="F1661" i="3"/>
  <c r="E1661" i="3"/>
  <c r="D1661" i="3"/>
  <c r="C1661" i="3"/>
  <c r="B1661" i="3"/>
  <c r="A1661" i="3"/>
  <c r="G1660" i="3"/>
  <c r="F1660" i="3"/>
  <c r="E1660" i="3"/>
  <c r="D1660" i="3"/>
  <c r="C1660" i="3"/>
  <c r="B1660" i="3"/>
  <c r="A1660" i="3"/>
  <c r="G1659" i="3"/>
  <c r="F1659" i="3"/>
  <c r="E1659" i="3"/>
  <c r="D1659" i="3"/>
  <c r="C1659" i="3"/>
  <c r="B1659" i="3"/>
  <c r="A1659" i="3"/>
  <c r="G1658" i="3"/>
  <c r="F1658" i="3"/>
  <c r="E1658" i="3"/>
  <c r="D1658" i="3"/>
  <c r="C1658" i="3"/>
  <c r="B1658" i="3"/>
  <c r="A1658" i="3"/>
  <c r="G1657" i="3"/>
  <c r="F1657" i="3"/>
  <c r="E1657" i="3"/>
  <c r="D1657" i="3"/>
  <c r="C1657" i="3"/>
  <c r="B1657" i="3"/>
  <c r="A1657" i="3"/>
  <c r="G1656" i="3"/>
  <c r="F1656" i="3"/>
  <c r="E1656" i="3"/>
  <c r="D1656" i="3"/>
  <c r="C1656" i="3"/>
  <c r="B1656" i="3"/>
  <c r="A1656" i="3"/>
  <c r="G1655" i="3"/>
  <c r="F1655" i="3"/>
  <c r="E1655" i="3"/>
  <c r="D1655" i="3"/>
  <c r="C1655" i="3"/>
  <c r="A1655" i="3"/>
  <c r="G1654" i="3"/>
  <c r="F1654" i="3"/>
  <c r="E1654" i="3"/>
  <c r="D1654" i="3"/>
  <c r="C1654" i="3"/>
  <c r="B1654" i="3"/>
  <c r="A1654" i="3"/>
  <c r="G1653" i="3"/>
  <c r="F1653" i="3"/>
  <c r="E1653" i="3"/>
  <c r="D1653" i="3"/>
  <c r="C1653" i="3"/>
  <c r="B1653" i="3"/>
  <c r="A1653" i="3"/>
  <c r="G1652" i="3"/>
  <c r="F1652" i="3"/>
  <c r="E1652" i="3"/>
  <c r="D1652" i="3"/>
  <c r="C1652" i="3"/>
  <c r="B1652" i="3"/>
  <c r="A1652" i="3"/>
  <c r="G1651" i="3"/>
  <c r="F1651" i="3"/>
  <c r="E1651" i="3"/>
  <c r="D1651" i="3"/>
  <c r="C1651" i="3"/>
  <c r="B1651" i="3"/>
  <c r="A1651" i="3"/>
  <c r="G1650" i="3"/>
  <c r="F1650" i="3"/>
  <c r="E1650" i="3"/>
  <c r="D1650" i="3"/>
  <c r="B1650" i="3"/>
  <c r="A1650" i="3"/>
  <c r="G1649" i="3"/>
  <c r="F1649" i="3"/>
  <c r="E1649" i="3"/>
  <c r="D1649" i="3"/>
  <c r="C1649" i="3"/>
  <c r="B1649" i="3"/>
  <c r="A1649" i="3"/>
  <c r="G1648" i="3"/>
  <c r="F1648" i="3"/>
  <c r="E1648" i="3"/>
  <c r="D1648" i="3"/>
  <c r="C1648" i="3"/>
  <c r="B1648" i="3"/>
  <c r="A1648" i="3"/>
  <c r="G1647" i="3"/>
  <c r="F1647" i="3"/>
  <c r="E1647" i="3"/>
  <c r="D1647" i="3"/>
  <c r="C1647" i="3"/>
  <c r="B1647" i="3"/>
  <c r="A1647" i="3"/>
  <c r="G1646" i="3"/>
  <c r="F1646" i="3"/>
  <c r="E1646" i="3"/>
  <c r="D1646" i="3"/>
  <c r="C1646" i="3"/>
  <c r="B1646" i="3"/>
  <c r="A1646" i="3"/>
  <c r="G1645" i="3"/>
  <c r="F1645" i="3"/>
  <c r="E1645" i="3"/>
  <c r="D1645" i="3"/>
  <c r="C1645" i="3"/>
  <c r="B1645" i="3"/>
  <c r="A1645" i="3"/>
  <c r="G1644" i="3"/>
  <c r="F1644" i="3"/>
  <c r="E1644" i="3"/>
  <c r="D1644" i="3"/>
  <c r="C1644" i="3"/>
  <c r="B1644" i="3"/>
  <c r="A1644" i="3"/>
  <c r="G1643" i="3"/>
  <c r="F1643" i="3"/>
  <c r="E1643" i="3"/>
  <c r="D1643" i="3"/>
  <c r="C1643" i="3"/>
  <c r="B1643" i="3"/>
  <c r="A1643" i="3"/>
  <c r="G1642" i="3"/>
  <c r="F1642" i="3"/>
  <c r="E1642" i="3"/>
  <c r="D1642" i="3"/>
  <c r="C1642" i="3"/>
  <c r="B1642" i="3"/>
  <c r="A1642" i="3"/>
  <c r="G1641" i="3"/>
  <c r="F1641" i="3"/>
  <c r="E1641" i="3"/>
  <c r="D1641" i="3"/>
  <c r="C1641" i="3"/>
  <c r="B1641" i="3"/>
  <c r="A1641" i="3"/>
  <c r="G1640" i="3"/>
  <c r="F1640" i="3"/>
  <c r="E1640" i="3"/>
  <c r="D1640" i="3"/>
  <c r="C1640" i="3"/>
  <c r="B1640" i="3"/>
  <c r="A1640" i="3"/>
  <c r="G1639" i="3"/>
  <c r="F1639" i="3"/>
  <c r="E1639" i="3"/>
  <c r="D1639" i="3"/>
  <c r="C1639" i="3"/>
  <c r="B1639" i="3"/>
  <c r="A1639" i="3"/>
  <c r="G1638" i="3"/>
  <c r="F1638" i="3"/>
  <c r="E1638" i="3"/>
  <c r="D1638" i="3"/>
  <c r="C1638" i="3"/>
  <c r="B1638" i="3"/>
  <c r="A1638" i="3"/>
  <c r="G1637" i="3"/>
  <c r="F1637" i="3"/>
  <c r="E1637" i="3"/>
  <c r="D1637" i="3"/>
  <c r="C1637" i="3"/>
  <c r="B1637" i="3"/>
  <c r="A1637" i="3"/>
  <c r="G1636" i="3"/>
  <c r="F1636" i="3"/>
  <c r="E1636" i="3"/>
  <c r="D1636" i="3"/>
  <c r="C1636" i="3"/>
  <c r="B1636" i="3"/>
  <c r="A1636" i="3"/>
  <c r="G1635" i="3"/>
  <c r="F1635" i="3"/>
  <c r="E1635" i="3"/>
  <c r="D1635" i="3"/>
  <c r="C1635" i="3"/>
  <c r="B1635" i="3"/>
  <c r="A1635" i="3"/>
  <c r="G1634" i="3"/>
  <c r="F1634" i="3"/>
  <c r="E1634" i="3"/>
  <c r="D1634" i="3"/>
  <c r="A1634" i="3"/>
  <c r="G1633" i="3"/>
  <c r="F1633" i="3"/>
  <c r="E1633" i="3"/>
  <c r="D1633" i="3"/>
  <c r="C1633" i="3"/>
  <c r="B1633" i="3"/>
  <c r="A1633" i="3"/>
  <c r="G1632" i="3"/>
  <c r="F1632" i="3"/>
  <c r="E1632" i="3"/>
  <c r="D1632" i="3"/>
  <c r="B1632" i="3"/>
  <c r="A1632" i="3"/>
  <c r="G1631" i="3"/>
  <c r="F1631" i="3"/>
  <c r="E1631" i="3"/>
  <c r="D1631" i="3"/>
  <c r="C1631" i="3"/>
  <c r="A1631" i="3"/>
  <c r="G1630" i="3"/>
  <c r="F1630" i="3"/>
  <c r="E1630" i="3"/>
  <c r="D1630" i="3"/>
  <c r="C1630" i="3"/>
  <c r="B1630" i="3"/>
  <c r="A1630" i="3"/>
  <c r="G1629" i="3"/>
  <c r="F1629" i="3"/>
  <c r="E1629" i="3"/>
  <c r="D1629" i="3"/>
  <c r="C1629" i="3"/>
  <c r="B1629" i="3"/>
  <c r="A1629" i="3"/>
  <c r="G1628" i="3"/>
  <c r="F1628" i="3"/>
  <c r="E1628" i="3"/>
  <c r="D1628" i="3"/>
  <c r="C1628" i="3"/>
  <c r="B1628" i="3"/>
  <c r="A1628" i="3"/>
  <c r="G1627" i="3"/>
  <c r="F1627" i="3"/>
  <c r="E1627" i="3"/>
  <c r="D1627" i="3"/>
  <c r="C1627" i="3"/>
  <c r="B1627" i="3"/>
  <c r="A1627" i="3"/>
  <c r="G1626" i="3"/>
  <c r="F1626" i="3"/>
  <c r="E1626" i="3"/>
  <c r="D1626" i="3"/>
  <c r="C1626" i="3"/>
  <c r="B1626" i="3"/>
  <c r="A1626" i="3"/>
  <c r="G1625" i="3"/>
  <c r="F1625" i="3"/>
  <c r="E1625" i="3"/>
  <c r="D1625" i="3"/>
  <c r="C1625" i="3"/>
  <c r="B1625" i="3"/>
  <c r="A1625" i="3"/>
  <c r="G1624" i="3"/>
  <c r="F1624" i="3"/>
  <c r="E1624" i="3"/>
  <c r="D1624" i="3"/>
  <c r="C1624" i="3"/>
  <c r="B1624" i="3"/>
  <c r="A1624" i="3"/>
  <c r="G1623" i="3"/>
  <c r="F1623" i="3"/>
  <c r="E1623" i="3"/>
  <c r="D1623" i="3"/>
  <c r="C1623" i="3"/>
  <c r="B1623" i="3"/>
  <c r="A1623" i="3"/>
  <c r="G1622" i="3"/>
  <c r="F1622" i="3"/>
  <c r="E1622" i="3"/>
  <c r="D1622" i="3"/>
  <c r="C1622" i="3"/>
  <c r="B1622" i="3"/>
  <c r="A1622" i="3"/>
  <c r="G1621" i="3"/>
  <c r="F1621" i="3"/>
  <c r="E1621" i="3"/>
  <c r="D1621" i="3"/>
  <c r="C1621" i="3"/>
  <c r="B1621" i="3"/>
  <c r="A1621" i="3"/>
  <c r="G1620" i="3"/>
  <c r="F1620" i="3"/>
  <c r="E1620" i="3"/>
  <c r="D1620" i="3"/>
  <c r="C1620" i="3"/>
  <c r="B1620" i="3"/>
  <c r="A1620" i="3"/>
  <c r="G1619" i="3"/>
  <c r="F1619" i="3"/>
  <c r="E1619" i="3"/>
  <c r="D1619" i="3"/>
  <c r="C1619" i="3"/>
  <c r="B1619" i="3"/>
  <c r="A1619" i="3"/>
  <c r="G1618" i="3"/>
  <c r="F1618" i="3"/>
  <c r="E1618" i="3"/>
  <c r="D1618" i="3"/>
  <c r="C1618" i="3"/>
  <c r="B1618" i="3"/>
  <c r="A1618" i="3"/>
  <c r="G1617" i="3"/>
  <c r="F1617" i="3"/>
  <c r="E1617" i="3"/>
  <c r="D1617" i="3"/>
  <c r="C1617" i="3"/>
  <c r="B1617" i="3"/>
  <c r="A1617" i="3"/>
  <c r="G1616" i="3"/>
  <c r="F1616" i="3"/>
  <c r="E1616" i="3"/>
  <c r="D1616" i="3"/>
  <c r="C1616" i="3"/>
  <c r="B1616" i="3"/>
  <c r="A1616" i="3"/>
  <c r="G1615" i="3"/>
  <c r="F1615" i="3"/>
  <c r="E1615" i="3"/>
  <c r="D1615" i="3"/>
  <c r="C1615" i="3"/>
  <c r="B1615" i="3"/>
  <c r="A1615" i="3"/>
  <c r="G1614" i="3"/>
  <c r="F1614" i="3"/>
  <c r="E1614" i="3"/>
  <c r="D1614" i="3"/>
  <c r="C1614" i="3"/>
  <c r="B1614" i="3"/>
  <c r="A1614" i="3"/>
  <c r="G1613" i="3"/>
  <c r="F1613" i="3"/>
  <c r="E1613" i="3"/>
  <c r="D1613" i="3"/>
  <c r="C1613" i="3"/>
  <c r="B1613" i="3"/>
  <c r="A1613" i="3"/>
  <c r="G1612" i="3"/>
  <c r="F1612" i="3"/>
  <c r="E1612" i="3"/>
  <c r="D1612" i="3"/>
  <c r="C1612" i="3"/>
  <c r="B1612" i="3"/>
  <c r="A1612" i="3"/>
  <c r="G1611" i="3"/>
  <c r="F1611" i="3"/>
  <c r="E1611" i="3"/>
  <c r="D1611" i="3"/>
  <c r="C1611" i="3"/>
  <c r="B1611" i="3"/>
  <c r="A1611" i="3"/>
  <c r="G1610" i="3"/>
  <c r="F1610" i="3"/>
  <c r="E1610" i="3"/>
  <c r="D1610" i="3"/>
  <c r="C1610" i="3"/>
  <c r="B1610" i="3"/>
  <c r="A1610" i="3"/>
  <c r="G1609" i="3"/>
  <c r="F1609" i="3"/>
  <c r="E1609" i="3"/>
  <c r="D1609" i="3"/>
  <c r="A1609" i="3"/>
  <c r="G1608" i="3"/>
  <c r="F1608" i="3"/>
  <c r="E1608" i="3"/>
  <c r="D1608" i="3"/>
  <c r="C1608" i="3"/>
  <c r="B1608" i="3"/>
  <c r="A1608" i="3"/>
  <c r="G1607" i="3"/>
  <c r="F1607" i="3"/>
  <c r="E1607" i="3"/>
  <c r="D1607" i="3"/>
  <c r="C1607" i="3"/>
  <c r="B1607" i="3"/>
  <c r="A1607" i="3"/>
  <c r="G1606" i="3"/>
  <c r="F1606" i="3"/>
  <c r="E1606" i="3"/>
  <c r="D1606" i="3"/>
  <c r="C1606" i="3"/>
  <c r="B1606" i="3"/>
  <c r="A1606" i="3"/>
  <c r="G1605" i="3"/>
  <c r="F1605" i="3"/>
  <c r="E1605" i="3"/>
  <c r="D1605" i="3"/>
  <c r="C1605" i="3"/>
  <c r="B1605" i="3"/>
  <c r="A1605" i="3"/>
  <c r="G1604" i="3"/>
  <c r="F1604" i="3"/>
  <c r="E1604" i="3"/>
  <c r="D1604" i="3"/>
  <c r="C1604" i="3"/>
  <c r="B1604" i="3"/>
  <c r="A1604" i="3"/>
  <c r="G1603" i="3"/>
  <c r="F1603" i="3"/>
  <c r="E1603" i="3"/>
  <c r="D1603" i="3"/>
  <c r="C1603" i="3"/>
  <c r="B1603" i="3"/>
  <c r="A1603" i="3"/>
  <c r="G1602" i="3"/>
  <c r="F1602" i="3"/>
  <c r="E1602" i="3"/>
  <c r="D1602" i="3"/>
  <c r="C1602" i="3"/>
  <c r="B1602" i="3"/>
  <c r="A1602" i="3"/>
  <c r="G1601" i="3"/>
  <c r="F1601" i="3"/>
  <c r="E1601" i="3"/>
  <c r="D1601" i="3"/>
  <c r="C1601" i="3"/>
  <c r="B1601" i="3"/>
  <c r="A1601" i="3"/>
  <c r="G1600" i="3"/>
  <c r="F1600" i="3"/>
  <c r="E1600" i="3"/>
  <c r="D1600" i="3"/>
  <c r="C1600" i="3"/>
  <c r="B1600" i="3"/>
  <c r="A1600" i="3"/>
  <c r="G1599" i="3"/>
  <c r="F1599" i="3"/>
  <c r="E1599" i="3"/>
  <c r="D1599" i="3"/>
  <c r="C1599" i="3"/>
  <c r="B1599" i="3"/>
  <c r="A1599" i="3"/>
  <c r="G1598" i="3"/>
  <c r="F1598" i="3"/>
  <c r="E1598" i="3"/>
  <c r="D1598" i="3"/>
  <c r="C1598" i="3"/>
  <c r="B1598" i="3"/>
  <c r="A1598" i="3"/>
  <c r="G1597" i="3"/>
  <c r="F1597" i="3"/>
  <c r="E1597" i="3"/>
  <c r="D1597" i="3"/>
  <c r="C1597" i="3"/>
  <c r="B1597" i="3"/>
  <c r="A1597" i="3"/>
  <c r="G1596" i="3"/>
  <c r="F1596" i="3"/>
  <c r="E1596" i="3"/>
  <c r="D1596" i="3"/>
  <c r="C1596" i="3"/>
  <c r="B1596" i="3"/>
  <c r="A1596" i="3"/>
  <c r="G1595" i="3"/>
  <c r="F1595" i="3"/>
  <c r="E1595" i="3"/>
  <c r="D1595" i="3"/>
  <c r="C1595" i="3"/>
  <c r="B1595" i="3"/>
  <c r="A1595" i="3"/>
  <c r="G1594" i="3"/>
  <c r="F1594" i="3"/>
  <c r="E1594" i="3"/>
  <c r="D1594" i="3"/>
  <c r="C1594" i="3"/>
  <c r="B1594" i="3"/>
  <c r="A1594" i="3"/>
  <c r="G1593" i="3"/>
  <c r="F1593" i="3"/>
  <c r="E1593" i="3"/>
  <c r="D1593" i="3"/>
  <c r="C1593" i="3"/>
  <c r="B1593" i="3"/>
  <c r="A1593" i="3"/>
  <c r="G1592" i="3"/>
  <c r="F1592" i="3"/>
  <c r="E1592" i="3"/>
  <c r="D1592" i="3"/>
  <c r="C1592" i="3"/>
  <c r="B1592" i="3"/>
  <c r="A1592" i="3"/>
  <c r="G1591" i="3"/>
  <c r="F1591" i="3"/>
  <c r="E1591" i="3"/>
  <c r="D1591" i="3"/>
  <c r="C1591" i="3"/>
  <c r="B1591" i="3"/>
  <c r="A1591" i="3"/>
  <c r="G1590" i="3"/>
  <c r="F1590" i="3"/>
  <c r="E1590" i="3"/>
  <c r="D1590" i="3"/>
  <c r="C1590" i="3"/>
  <c r="B1590" i="3"/>
  <c r="A1590" i="3"/>
  <c r="G1589" i="3"/>
  <c r="F1589" i="3"/>
  <c r="E1589" i="3"/>
  <c r="D1589" i="3"/>
  <c r="C1589" i="3"/>
  <c r="B1589" i="3"/>
  <c r="A1589" i="3"/>
  <c r="G1588" i="3"/>
  <c r="F1588" i="3"/>
  <c r="E1588" i="3"/>
  <c r="D1588" i="3"/>
  <c r="C1588" i="3"/>
  <c r="B1588" i="3"/>
  <c r="A1588" i="3"/>
  <c r="G1587" i="3"/>
  <c r="F1587" i="3"/>
  <c r="E1587" i="3"/>
  <c r="D1587" i="3"/>
  <c r="C1587" i="3"/>
  <c r="B1587" i="3"/>
  <c r="A1587" i="3"/>
  <c r="G1586" i="3"/>
  <c r="F1586" i="3"/>
  <c r="E1586" i="3"/>
  <c r="D1586" i="3"/>
  <c r="C1586" i="3"/>
  <c r="B1586" i="3"/>
  <c r="A1586" i="3"/>
  <c r="G1585" i="3"/>
  <c r="F1585" i="3"/>
  <c r="E1585" i="3"/>
  <c r="D1585" i="3"/>
  <c r="C1585" i="3"/>
  <c r="B1585" i="3"/>
  <c r="A1585" i="3"/>
  <c r="G1584" i="3"/>
  <c r="F1584" i="3"/>
  <c r="E1584" i="3"/>
  <c r="D1584" i="3"/>
  <c r="C1584" i="3"/>
  <c r="B1584" i="3"/>
  <c r="A1584" i="3"/>
  <c r="G1583" i="3"/>
  <c r="F1583" i="3"/>
  <c r="E1583" i="3"/>
  <c r="D1583" i="3"/>
  <c r="C1583" i="3"/>
  <c r="B1583" i="3"/>
  <c r="A1583" i="3"/>
  <c r="G1582" i="3"/>
  <c r="F1582" i="3"/>
  <c r="E1582" i="3"/>
  <c r="D1582" i="3"/>
  <c r="C1582" i="3"/>
  <c r="B1582" i="3"/>
  <c r="A1582" i="3"/>
  <c r="G1581" i="3"/>
  <c r="F1581" i="3"/>
  <c r="E1581" i="3"/>
  <c r="D1581" i="3"/>
  <c r="C1581" i="3"/>
  <c r="B1581" i="3"/>
  <c r="A1581" i="3"/>
  <c r="G1580" i="3"/>
  <c r="F1580" i="3"/>
  <c r="E1580" i="3"/>
  <c r="D1580" i="3"/>
  <c r="C1580" i="3"/>
  <c r="B1580" i="3"/>
  <c r="A1580" i="3"/>
  <c r="G1579" i="3"/>
  <c r="F1579" i="3"/>
  <c r="E1579" i="3"/>
  <c r="D1579" i="3"/>
  <c r="C1579" i="3"/>
  <c r="A1579" i="3"/>
  <c r="G1578" i="3"/>
  <c r="F1578" i="3"/>
  <c r="E1578" i="3"/>
  <c r="D1578" i="3"/>
  <c r="C1578" i="3"/>
  <c r="B1578" i="3"/>
  <c r="A1578" i="3"/>
  <c r="G1577" i="3"/>
  <c r="F1577" i="3"/>
  <c r="E1577" i="3"/>
  <c r="D1577" i="3"/>
  <c r="C1577" i="3"/>
  <c r="B1577" i="3"/>
  <c r="A1577" i="3"/>
  <c r="G1576" i="3"/>
  <c r="F1576" i="3"/>
  <c r="E1576" i="3"/>
  <c r="D1576" i="3"/>
  <c r="C1576" i="3"/>
  <c r="B1576" i="3"/>
  <c r="A1576" i="3"/>
  <c r="G1575" i="3"/>
  <c r="F1575" i="3"/>
  <c r="E1575" i="3"/>
  <c r="D1575" i="3"/>
  <c r="C1575" i="3"/>
  <c r="B1575" i="3"/>
  <c r="A1575" i="3"/>
  <c r="G1574" i="3"/>
  <c r="F1574" i="3"/>
  <c r="E1574" i="3"/>
  <c r="D1574" i="3"/>
  <c r="C1574" i="3"/>
  <c r="B1574" i="3"/>
  <c r="A1574" i="3"/>
  <c r="G1573" i="3"/>
  <c r="F1573" i="3"/>
  <c r="E1573" i="3"/>
  <c r="D1573" i="3"/>
  <c r="A1573" i="3"/>
  <c r="G1572" i="3"/>
  <c r="F1572" i="3"/>
  <c r="E1572" i="3"/>
  <c r="D1572" i="3"/>
  <c r="C1572" i="3"/>
  <c r="B1572" i="3"/>
  <c r="A1572" i="3"/>
  <c r="G1571" i="3"/>
  <c r="F1571" i="3"/>
  <c r="E1571" i="3"/>
  <c r="D1571" i="3"/>
  <c r="C1571" i="3"/>
  <c r="B1571" i="3"/>
  <c r="A1571" i="3"/>
  <c r="G1570" i="3"/>
  <c r="F1570" i="3"/>
  <c r="E1570" i="3"/>
  <c r="D1570" i="3"/>
  <c r="C1570" i="3"/>
  <c r="B1570" i="3"/>
  <c r="A1570" i="3"/>
  <c r="G1569" i="3"/>
  <c r="F1569" i="3"/>
  <c r="E1569" i="3"/>
  <c r="D1569" i="3"/>
  <c r="C1569" i="3"/>
  <c r="B1569" i="3"/>
  <c r="A1569" i="3"/>
  <c r="G1568" i="3"/>
  <c r="F1568" i="3"/>
  <c r="E1568" i="3"/>
  <c r="D1568" i="3"/>
  <c r="C1568" i="3"/>
  <c r="B1568" i="3"/>
  <c r="A1568" i="3"/>
  <c r="G1567" i="3"/>
  <c r="F1567" i="3"/>
  <c r="E1567" i="3"/>
  <c r="D1567" i="3"/>
  <c r="C1567" i="3"/>
  <c r="B1567" i="3"/>
  <c r="A1567" i="3"/>
  <c r="G1566" i="3"/>
  <c r="F1566" i="3"/>
  <c r="E1566" i="3"/>
  <c r="D1566" i="3"/>
  <c r="B1566" i="3"/>
  <c r="A1566" i="3"/>
  <c r="G1565" i="3"/>
  <c r="F1565" i="3"/>
  <c r="E1565" i="3"/>
  <c r="D1565" i="3"/>
  <c r="C1565" i="3"/>
  <c r="B1565" i="3"/>
  <c r="A1565" i="3"/>
  <c r="G1564" i="3"/>
  <c r="F1564" i="3"/>
  <c r="E1564" i="3"/>
  <c r="D1564" i="3"/>
  <c r="C1564" i="3"/>
  <c r="B1564" i="3"/>
  <c r="A1564" i="3"/>
  <c r="G1563" i="3"/>
  <c r="F1563" i="3"/>
  <c r="E1563" i="3"/>
  <c r="D1563" i="3"/>
  <c r="C1563" i="3"/>
  <c r="B1563" i="3"/>
  <c r="A1563" i="3"/>
  <c r="G1562" i="3"/>
  <c r="F1562" i="3"/>
  <c r="E1562" i="3"/>
  <c r="D1562" i="3"/>
  <c r="C1562" i="3"/>
  <c r="B1562" i="3"/>
  <c r="A1562" i="3"/>
  <c r="G1561" i="3"/>
  <c r="F1561" i="3"/>
  <c r="E1561" i="3"/>
  <c r="D1561" i="3"/>
  <c r="C1561" i="3"/>
  <c r="B1561" i="3"/>
  <c r="A1561" i="3"/>
  <c r="G1560" i="3"/>
  <c r="F1560" i="3"/>
  <c r="E1560" i="3"/>
  <c r="D1560" i="3"/>
  <c r="C1560" i="3"/>
  <c r="A1560" i="3"/>
  <c r="G1559" i="3"/>
  <c r="F1559" i="3"/>
  <c r="E1559" i="3"/>
  <c r="D1559" i="3"/>
  <c r="C1559" i="3"/>
  <c r="B1559" i="3"/>
  <c r="A1559" i="3"/>
  <c r="G1558" i="3"/>
  <c r="F1558" i="3"/>
  <c r="E1558" i="3"/>
  <c r="D1558" i="3"/>
  <c r="C1558" i="3"/>
  <c r="B1558" i="3"/>
  <c r="A1558" i="3"/>
  <c r="G1557" i="3"/>
  <c r="F1557" i="3"/>
  <c r="E1557" i="3"/>
  <c r="D1557" i="3"/>
  <c r="C1557" i="3"/>
  <c r="B1557" i="3"/>
  <c r="A1557" i="3"/>
  <c r="G1556" i="3"/>
  <c r="F1556" i="3"/>
  <c r="E1556" i="3"/>
  <c r="D1556" i="3"/>
  <c r="C1556" i="3"/>
  <c r="B1556" i="3"/>
  <c r="A1556" i="3"/>
  <c r="G1555" i="3"/>
  <c r="F1555" i="3"/>
  <c r="E1555" i="3"/>
  <c r="D1555" i="3"/>
  <c r="C1555" i="3"/>
  <c r="B1555" i="3"/>
  <c r="A1555" i="3"/>
  <c r="G1554" i="3"/>
  <c r="F1554" i="3"/>
  <c r="E1554" i="3"/>
  <c r="D1554" i="3"/>
  <c r="C1554" i="3"/>
  <c r="B1554" i="3"/>
  <c r="A1554" i="3"/>
  <c r="G1553" i="3"/>
  <c r="F1553" i="3"/>
  <c r="E1553" i="3"/>
  <c r="D1553" i="3"/>
  <c r="C1553" i="3"/>
  <c r="A1553" i="3"/>
  <c r="G1552" i="3"/>
  <c r="F1552" i="3"/>
  <c r="E1552" i="3"/>
  <c r="D1552" i="3"/>
  <c r="C1552" i="3"/>
  <c r="B1552" i="3"/>
  <c r="A1552" i="3"/>
  <c r="G1551" i="3"/>
  <c r="F1551" i="3"/>
  <c r="E1551" i="3"/>
  <c r="D1551" i="3"/>
  <c r="C1551" i="3"/>
  <c r="B1551" i="3"/>
  <c r="A1551" i="3"/>
  <c r="G1550" i="3"/>
  <c r="F1550" i="3"/>
  <c r="E1550" i="3"/>
  <c r="D1550" i="3"/>
  <c r="C1550" i="3"/>
  <c r="B1550" i="3"/>
  <c r="A1550" i="3"/>
  <c r="G1549" i="3"/>
  <c r="F1549" i="3"/>
  <c r="E1549" i="3"/>
  <c r="D1549" i="3"/>
  <c r="C1549" i="3"/>
  <c r="B1549" i="3"/>
  <c r="A1549" i="3"/>
  <c r="G1548" i="3"/>
  <c r="F1548" i="3"/>
  <c r="E1548" i="3"/>
  <c r="D1548" i="3"/>
  <c r="C1548" i="3"/>
  <c r="B1548" i="3"/>
  <c r="A1548" i="3"/>
  <c r="G1547" i="3"/>
  <c r="F1547" i="3"/>
  <c r="E1547" i="3"/>
  <c r="D1547" i="3"/>
  <c r="C1547" i="3"/>
  <c r="B1547" i="3"/>
  <c r="A1547" i="3"/>
  <c r="G1546" i="3"/>
  <c r="F1546" i="3"/>
  <c r="E1546" i="3"/>
  <c r="D1546" i="3"/>
  <c r="C1546" i="3"/>
  <c r="B1546" i="3"/>
  <c r="A1546" i="3"/>
  <c r="G1545" i="3"/>
  <c r="F1545" i="3"/>
  <c r="E1545" i="3"/>
  <c r="D1545" i="3"/>
  <c r="C1545" i="3"/>
  <c r="B1545" i="3"/>
  <c r="A1545" i="3"/>
  <c r="G1544" i="3"/>
  <c r="F1544" i="3"/>
  <c r="E1544" i="3"/>
  <c r="D1544" i="3"/>
  <c r="C1544" i="3"/>
  <c r="B1544" i="3"/>
  <c r="A1544" i="3"/>
  <c r="G1543" i="3"/>
  <c r="F1543" i="3"/>
  <c r="E1543" i="3"/>
  <c r="D1543" i="3"/>
  <c r="C1543" i="3"/>
  <c r="B1543" i="3"/>
  <c r="A1543" i="3"/>
  <c r="G1542" i="3"/>
  <c r="F1542" i="3"/>
  <c r="E1542" i="3"/>
  <c r="D1542" i="3"/>
  <c r="C1542" i="3"/>
  <c r="B1542" i="3"/>
  <c r="A1542" i="3"/>
  <c r="G1541" i="3"/>
  <c r="F1541" i="3"/>
  <c r="E1541" i="3"/>
  <c r="D1541" i="3"/>
  <c r="A1541" i="3"/>
  <c r="G1540" i="3"/>
  <c r="F1540" i="3"/>
  <c r="E1540" i="3"/>
  <c r="D1540" i="3"/>
  <c r="C1540" i="3"/>
  <c r="B1540" i="3"/>
  <c r="A1540" i="3"/>
  <c r="G1539" i="3"/>
  <c r="F1539" i="3"/>
  <c r="E1539" i="3"/>
  <c r="D1539" i="3"/>
  <c r="C1539" i="3"/>
  <c r="B1539" i="3"/>
  <c r="A1539" i="3"/>
  <c r="G1538" i="3"/>
  <c r="F1538" i="3"/>
  <c r="E1538" i="3"/>
  <c r="D1538" i="3"/>
  <c r="C1538" i="3"/>
  <c r="B1538" i="3"/>
  <c r="A1538" i="3"/>
  <c r="G1537" i="3"/>
  <c r="F1537" i="3"/>
  <c r="E1537" i="3"/>
  <c r="D1537" i="3"/>
  <c r="C1537" i="3"/>
  <c r="B1537" i="3"/>
  <c r="A1537" i="3"/>
  <c r="G1536" i="3"/>
  <c r="F1536" i="3"/>
  <c r="E1536" i="3"/>
  <c r="D1536" i="3"/>
  <c r="C1536" i="3"/>
  <c r="B1536" i="3"/>
  <c r="A1536" i="3"/>
  <c r="G1535" i="3"/>
  <c r="F1535" i="3"/>
  <c r="E1535" i="3"/>
  <c r="D1535" i="3"/>
  <c r="C1535" i="3"/>
  <c r="B1535" i="3"/>
  <c r="A1535" i="3"/>
  <c r="G1534" i="3"/>
  <c r="F1534" i="3"/>
  <c r="E1534" i="3"/>
  <c r="D1534" i="3"/>
  <c r="C1534" i="3"/>
  <c r="B1534" i="3"/>
  <c r="A1534" i="3"/>
  <c r="G1533" i="3"/>
  <c r="F1533" i="3"/>
  <c r="E1533" i="3"/>
  <c r="D1533" i="3"/>
  <c r="C1533" i="3"/>
  <c r="A1533" i="3"/>
  <c r="G1532" i="3"/>
  <c r="F1532" i="3"/>
  <c r="E1532" i="3"/>
  <c r="D1532" i="3"/>
  <c r="C1532" i="3"/>
  <c r="B1532" i="3"/>
  <c r="A1532" i="3"/>
  <c r="G1531" i="3"/>
  <c r="F1531" i="3"/>
  <c r="E1531" i="3"/>
  <c r="D1531" i="3"/>
  <c r="C1531" i="3"/>
  <c r="B1531" i="3"/>
  <c r="A1531" i="3"/>
  <c r="G1530" i="3"/>
  <c r="F1530" i="3"/>
  <c r="E1530" i="3"/>
  <c r="D1530" i="3"/>
  <c r="C1530" i="3"/>
  <c r="B1530" i="3"/>
  <c r="A1530" i="3"/>
  <c r="G1529" i="3"/>
  <c r="F1529" i="3"/>
  <c r="E1529" i="3"/>
  <c r="D1529" i="3"/>
  <c r="C1529" i="3"/>
  <c r="B1529" i="3"/>
  <c r="A1529" i="3"/>
  <c r="G1528" i="3"/>
  <c r="F1528" i="3"/>
  <c r="E1528" i="3"/>
  <c r="D1528" i="3"/>
  <c r="C1528" i="3"/>
  <c r="B1528" i="3"/>
  <c r="A1528" i="3"/>
  <c r="G1527" i="3"/>
  <c r="F1527" i="3"/>
  <c r="E1527" i="3"/>
  <c r="D1527" i="3"/>
  <c r="C1527" i="3"/>
  <c r="B1527" i="3"/>
  <c r="A1527" i="3"/>
  <c r="G1526" i="3"/>
  <c r="F1526" i="3"/>
  <c r="E1526" i="3"/>
  <c r="D1526" i="3"/>
  <c r="C1526" i="3"/>
  <c r="B1526" i="3"/>
  <c r="A1526" i="3"/>
  <c r="G1525" i="3"/>
  <c r="F1525" i="3"/>
  <c r="E1525" i="3"/>
  <c r="D1525" i="3"/>
  <c r="C1525" i="3"/>
  <c r="A1525" i="3"/>
  <c r="G1524" i="3"/>
  <c r="F1524" i="3"/>
  <c r="E1524" i="3"/>
  <c r="D1524" i="3"/>
  <c r="C1524" i="3"/>
  <c r="B1524" i="3"/>
  <c r="A1524" i="3"/>
  <c r="G1523" i="3"/>
  <c r="F1523" i="3"/>
  <c r="E1523" i="3"/>
  <c r="D1523" i="3"/>
  <c r="C1523" i="3"/>
  <c r="B1523" i="3"/>
  <c r="A1523" i="3"/>
  <c r="G1522" i="3"/>
  <c r="F1522" i="3"/>
  <c r="E1522" i="3"/>
  <c r="D1522" i="3"/>
  <c r="C1522" i="3"/>
  <c r="B1522" i="3"/>
  <c r="A1522" i="3"/>
  <c r="G1521" i="3"/>
  <c r="F1521" i="3"/>
  <c r="E1521" i="3"/>
  <c r="D1521" i="3"/>
  <c r="C1521" i="3"/>
  <c r="A1521" i="3"/>
  <c r="G1520" i="3"/>
  <c r="F1520" i="3"/>
  <c r="E1520" i="3"/>
  <c r="D1520" i="3"/>
  <c r="C1520" i="3"/>
  <c r="B1520" i="3"/>
  <c r="A1520" i="3"/>
  <c r="G1519" i="3"/>
  <c r="F1519" i="3"/>
  <c r="E1519" i="3"/>
  <c r="D1519" i="3"/>
  <c r="C1519" i="3"/>
  <c r="B1519" i="3"/>
  <c r="A1519" i="3"/>
  <c r="G1518" i="3"/>
  <c r="F1518" i="3"/>
  <c r="E1518" i="3"/>
  <c r="D1518" i="3"/>
  <c r="C1518" i="3"/>
  <c r="B1518" i="3"/>
  <c r="A1518" i="3"/>
  <c r="G1517" i="3"/>
  <c r="F1517" i="3"/>
  <c r="E1517" i="3"/>
  <c r="D1517" i="3"/>
  <c r="C1517" i="3"/>
  <c r="B1517" i="3"/>
  <c r="A1517" i="3"/>
  <c r="G1516" i="3"/>
  <c r="F1516" i="3"/>
  <c r="E1516" i="3"/>
  <c r="D1516" i="3"/>
  <c r="C1516" i="3"/>
  <c r="B1516" i="3"/>
  <c r="A1516" i="3"/>
  <c r="G1515" i="3"/>
  <c r="F1515" i="3"/>
  <c r="E1515" i="3"/>
  <c r="D1515" i="3"/>
  <c r="C1515" i="3"/>
  <c r="B1515" i="3"/>
  <c r="A1515" i="3"/>
  <c r="G1514" i="3"/>
  <c r="F1514" i="3"/>
  <c r="E1514" i="3"/>
  <c r="D1514" i="3"/>
  <c r="C1514" i="3"/>
  <c r="B1514" i="3"/>
  <c r="A1514" i="3"/>
  <c r="G1513" i="3"/>
  <c r="F1513" i="3"/>
  <c r="E1513" i="3"/>
  <c r="D1513" i="3"/>
  <c r="C1513" i="3"/>
  <c r="B1513" i="3"/>
  <c r="A1513" i="3"/>
  <c r="G1512" i="3"/>
  <c r="F1512" i="3"/>
  <c r="E1512" i="3"/>
  <c r="D1512" i="3"/>
  <c r="C1512" i="3"/>
  <c r="B1512" i="3"/>
  <c r="A1512" i="3"/>
  <c r="G1511" i="3"/>
  <c r="F1511" i="3"/>
  <c r="E1511" i="3"/>
  <c r="D1511" i="3"/>
  <c r="C1511" i="3"/>
  <c r="B1511" i="3"/>
  <c r="A1511" i="3"/>
  <c r="G1510" i="3"/>
  <c r="F1510" i="3"/>
  <c r="E1510" i="3"/>
  <c r="D1510" i="3"/>
  <c r="A1510" i="3"/>
  <c r="G1509" i="3"/>
  <c r="F1509" i="3"/>
  <c r="E1509" i="3"/>
  <c r="D1509" i="3"/>
  <c r="C1509" i="3"/>
  <c r="B1509" i="3"/>
  <c r="A1509" i="3"/>
  <c r="G1508" i="3"/>
  <c r="F1508" i="3"/>
  <c r="E1508" i="3"/>
  <c r="D1508" i="3"/>
  <c r="C1508" i="3"/>
  <c r="B1508" i="3"/>
  <c r="A1508" i="3"/>
  <c r="G1507" i="3"/>
  <c r="F1507" i="3"/>
  <c r="E1507" i="3"/>
  <c r="D1507" i="3"/>
  <c r="C1507" i="3"/>
  <c r="B1507" i="3"/>
  <c r="A1507" i="3"/>
  <c r="G1506" i="3"/>
  <c r="F1506" i="3"/>
  <c r="E1506" i="3"/>
  <c r="D1506" i="3"/>
  <c r="C1506" i="3"/>
  <c r="B1506" i="3"/>
  <c r="A1506" i="3"/>
  <c r="G1505" i="3"/>
  <c r="F1505" i="3"/>
  <c r="E1505" i="3"/>
  <c r="D1505" i="3"/>
  <c r="C1505" i="3"/>
  <c r="B1505" i="3"/>
  <c r="A1505" i="3"/>
  <c r="G1504" i="3"/>
  <c r="F1504" i="3"/>
  <c r="E1504" i="3"/>
  <c r="D1504" i="3"/>
  <c r="C1504" i="3"/>
  <c r="B1504" i="3"/>
  <c r="A1504" i="3"/>
  <c r="G1503" i="3"/>
  <c r="F1503" i="3"/>
  <c r="E1503" i="3"/>
  <c r="D1503" i="3"/>
  <c r="C1503" i="3"/>
  <c r="B1503" i="3"/>
  <c r="A1503" i="3"/>
  <c r="G1502" i="3"/>
  <c r="F1502" i="3"/>
  <c r="E1502" i="3"/>
  <c r="D1502" i="3"/>
  <c r="C1502" i="3"/>
  <c r="A1502" i="3"/>
  <c r="G1501" i="3"/>
  <c r="F1501" i="3"/>
  <c r="E1501" i="3"/>
  <c r="D1501" i="3"/>
  <c r="C1501" i="3"/>
  <c r="B1501" i="3"/>
  <c r="A1501" i="3"/>
  <c r="G1500" i="3"/>
  <c r="F1500" i="3"/>
  <c r="E1500" i="3"/>
  <c r="D1500" i="3"/>
  <c r="C1500" i="3"/>
  <c r="B1500" i="3"/>
  <c r="A1500" i="3"/>
  <c r="G1499" i="3"/>
  <c r="F1499" i="3"/>
  <c r="E1499" i="3"/>
  <c r="D1499" i="3"/>
  <c r="C1499" i="3"/>
  <c r="B1499" i="3"/>
  <c r="A1499" i="3"/>
  <c r="G1498" i="3"/>
  <c r="F1498" i="3"/>
  <c r="E1498" i="3"/>
  <c r="D1498" i="3"/>
  <c r="C1498" i="3"/>
  <c r="B1498" i="3"/>
  <c r="A1498" i="3"/>
  <c r="G1497" i="3"/>
  <c r="F1497" i="3"/>
  <c r="E1497" i="3"/>
  <c r="D1497" i="3"/>
  <c r="A1497" i="3"/>
  <c r="G1496" i="3"/>
  <c r="F1496" i="3"/>
  <c r="E1496" i="3"/>
  <c r="D1496" i="3"/>
  <c r="C1496" i="3"/>
  <c r="B1496" i="3"/>
  <c r="A1496" i="3"/>
  <c r="G1495" i="3"/>
  <c r="F1495" i="3"/>
  <c r="E1495" i="3"/>
  <c r="D1495" i="3"/>
  <c r="C1495" i="3"/>
  <c r="B1495" i="3"/>
  <c r="A1495" i="3"/>
  <c r="G1494" i="3"/>
  <c r="F1494" i="3"/>
  <c r="E1494" i="3"/>
  <c r="D1494" i="3"/>
  <c r="C1494" i="3"/>
  <c r="B1494" i="3"/>
  <c r="A1494" i="3"/>
  <c r="G1493" i="3"/>
  <c r="F1493" i="3"/>
  <c r="E1493" i="3"/>
  <c r="D1493" i="3"/>
  <c r="C1493" i="3"/>
  <c r="B1493" i="3"/>
  <c r="A1493" i="3"/>
  <c r="G1492" i="3"/>
  <c r="F1492" i="3"/>
  <c r="E1492" i="3"/>
  <c r="D1492" i="3"/>
  <c r="C1492" i="3"/>
  <c r="B1492" i="3"/>
  <c r="A1492" i="3"/>
  <c r="G1491" i="3"/>
  <c r="F1491" i="3"/>
  <c r="E1491" i="3"/>
  <c r="D1491" i="3"/>
  <c r="C1491" i="3"/>
  <c r="B1491" i="3"/>
  <c r="A1491" i="3"/>
  <c r="G1490" i="3"/>
  <c r="F1490" i="3"/>
  <c r="E1490" i="3"/>
  <c r="D1490" i="3"/>
  <c r="C1490" i="3"/>
  <c r="A1490" i="3"/>
  <c r="G1489" i="3"/>
  <c r="F1489" i="3"/>
  <c r="E1489" i="3"/>
  <c r="D1489" i="3"/>
  <c r="C1489" i="3"/>
  <c r="B1489" i="3"/>
  <c r="A1489" i="3"/>
  <c r="G1488" i="3"/>
  <c r="F1488" i="3"/>
  <c r="E1488" i="3"/>
  <c r="D1488" i="3"/>
  <c r="C1488" i="3"/>
  <c r="B1488" i="3"/>
  <c r="A1488" i="3"/>
  <c r="G1487" i="3"/>
  <c r="F1487" i="3"/>
  <c r="E1487" i="3"/>
  <c r="D1487" i="3"/>
  <c r="C1487" i="3"/>
  <c r="B1487" i="3"/>
  <c r="A1487" i="3"/>
  <c r="G1486" i="3"/>
  <c r="F1486" i="3"/>
  <c r="E1486" i="3"/>
  <c r="D1486" i="3"/>
  <c r="C1486" i="3"/>
  <c r="B1486" i="3"/>
  <c r="A1486" i="3"/>
  <c r="G1485" i="3"/>
  <c r="F1485" i="3"/>
  <c r="E1485" i="3"/>
  <c r="D1485" i="3"/>
  <c r="C1485" i="3"/>
  <c r="A1485" i="3"/>
  <c r="G1484" i="3"/>
  <c r="F1484" i="3"/>
  <c r="E1484" i="3"/>
  <c r="D1484" i="3"/>
  <c r="A1484" i="3"/>
  <c r="G1483" i="3"/>
  <c r="F1483" i="3"/>
  <c r="E1483" i="3"/>
  <c r="D1483" i="3"/>
  <c r="C1483" i="3"/>
  <c r="B1483" i="3"/>
  <c r="A1483" i="3"/>
  <c r="G1482" i="3"/>
  <c r="F1482" i="3"/>
  <c r="E1482" i="3"/>
  <c r="D1482" i="3"/>
  <c r="C1482" i="3"/>
  <c r="B1482" i="3"/>
  <c r="A1482" i="3"/>
  <c r="G1481" i="3"/>
  <c r="F1481" i="3"/>
  <c r="E1481" i="3"/>
  <c r="D1481" i="3"/>
  <c r="A1481" i="3"/>
  <c r="G1480" i="3"/>
  <c r="F1480" i="3"/>
  <c r="E1480" i="3"/>
  <c r="D1480" i="3"/>
  <c r="C1480" i="3"/>
  <c r="B1480" i="3"/>
  <c r="A1480" i="3"/>
  <c r="G1479" i="3"/>
  <c r="F1479" i="3"/>
  <c r="E1479" i="3"/>
  <c r="D1479" i="3"/>
  <c r="C1479" i="3"/>
  <c r="B1479" i="3"/>
  <c r="A1479" i="3"/>
  <c r="G1478" i="3"/>
  <c r="F1478" i="3"/>
  <c r="E1478" i="3"/>
  <c r="D1478" i="3"/>
  <c r="C1478" i="3"/>
  <c r="B1478" i="3"/>
  <c r="A1478" i="3"/>
  <c r="G1477" i="3"/>
  <c r="F1477" i="3"/>
  <c r="E1477" i="3"/>
  <c r="D1477" i="3"/>
  <c r="C1477" i="3"/>
  <c r="B1477" i="3"/>
  <c r="A1477" i="3"/>
  <c r="G1476" i="3"/>
  <c r="F1476" i="3"/>
  <c r="E1476" i="3"/>
  <c r="D1476" i="3"/>
  <c r="C1476" i="3"/>
  <c r="B1476" i="3"/>
  <c r="A1476" i="3"/>
  <c r="G1475" i="3"/>
  <c r="F1475" i="3"/>
  <c r="E1475" i="3"/>
  <c r="D1475" i="3"/>
  <c r="C1475" i="3"/>
  <c r="B1475" i="3"/>
  <c r="A1475" i="3"/>
  <c r="G1474" i="3"/>
  <c r="F1474" i="3"/>
  <c r="E1474" i="3"/>
  <c r="D1474" i="3"/>
  <c r="C1474" i="3"/>
  <c r="B1474" i="3"/>
  <c r="A1474" i="3"/>
  <c r="G1473" i="3"/>
  <c r="F1473" i="3"/>
  <c r="E1473" i="3"/>
  <c r="D1473" i="3"/>
  <c r="C1473" i="3"/>
  <c r="B1473" i="3"/>
  <c r="A1473" i="3"/>
  <c r="G1472" i="3"/>
  <c r="F1472" i="3"/>
  <c r="E1472" i="3"/>
  <c r="D1472" i="3"/>
  <c r="C1472" i="3"/>
  <c r="B1472" i="3"/>
  <c r="A1472" i="3"/>
  <c r="G1471" i="3"/>
  <c r="F1471" i="3"/>
  <c r="E1471" i="3"/>
  <c r="D1471" i="3"/>
  <c r="C1471" i="3"/>
  <c r="B1471" i="3"/>
  <c r="A1471" i="3"/>
  <c r="G1470" i="3"/>
  <c r="F1470" i="3"/>
  <c r="E1470" i="3"/>
  <c r="D1470" i="3"/>
  <c r="C1470" i="3"/>
  <c r="B1470" i="3"/>
  <c r="A1470" i="3"/>
  <c r="G1469" i="3"/>
  <c r="F1469" i="3"/>
  <c r="E1469" i="3"/>
  <c r="D1469" i="3"/>
  <c r="C1469" i="3"/>
  <c r="B1469" i="3"/>
  <c r="A1469" i="3"/>
  <c r="G1468" i="3"/>
  <c r="F1468" i="3"/>
  <c r="E1468" i="3"/>
  <c r="D1468" i="3"/>
  <c r="C1468" i="3"/>
  <c r="A1468" i="3"/>
  <c r="G1467" i="3"/>
  <c r="F1467" i="3"/>
  <c r="E1467" i="3"/>
  <c r="D1467" i="3"/>
  <c r="C1467" i="3"/>
  <c r="B1467" i="3"/>
  <c r="A1467" i="3"/>
  <c r="G1466" i="3"/>
  <c r="F1466" i="3"/>
  <c r="E1466" i="3"/>
  <c r="D1466" i="3"/>
  <c r="C1466" i="3"/>
  <c r="B1466" i="3"/>
  <c r="A1466" i="3"/>
  <c r="G1465" i="3"/>
  <c r="F1465" i="3"/>
  <c r="E1465" i="3"/>
  <c r="D1465" i="3"/>
  <c r="C1465" i="3"/>
  <c r="B1465" i="3"/>
  <c r="A1465" i="3"/>
  <c r="G1464" i="3"/>
  <c r="F1464" i="3"/>
  <c r="E1464" i="3"/>
  <c r="D1464" i="3"/>
  <c r="C1464" i="3"/>
  <c r="B1464" i="3"/>
  <c r="A1464" i="3"/>
  <c r="G1463" i="3"/>
  <c r="F1463" i="3"/>
  <c r="E1463" i="3"/>
  <c r="D1463" i="3"/>
  <c r="C1463" i="3"/>
  <c r="B1463" i="3"/>
  <c r="A1463" i="3"/>
  <c r="G1462" i="3"/>
  <c r="F1462" i="3"/>
  <c r="E1462" i="3"/>
  <c r="D1462" i="3"/>
  <c r="C1462" i="3"/>
  <c r="B1462" i="3"/>
  <c r="A1462" i="3"/>
  <c r="G1461" i="3"/>
  <c r="F1461" i="3"/>
  <c r="E1461" i="3"/>
  <c r="D1461" i="3"/>
  <c r="A1461" i="3"/>
  <c r="G1460" i="3"/>
  <c r="F1460" i="3"/>
  <c r="E1460" i="3"/>
  <c r="D1460" i="3"/>
  <c r="C1460" i="3"/>
  <c r="A1460" i="3"/>
  <c r="G1459" i="3"/>
  <c r="F1459" i="3"/>
  <c r="E1459" i="3"/>
  <c r="D1459" i="3"/>
  <c r="C1459" i="3"/>
  <c r="B1459" i="3"/>
  <c r="A1459" i="3"/>
  <c r="G1458" i="3"/>
  <c r="F1458" i="3"/>
  <c r="E1458" i="3"/>
  <c r="D1458" i="3"/>
  <c r="C1458" i="3"/>
  <c r="B1458" i="3"/>
  <c r="A1458" i="3"/>
  <c r="G1457" i="3"/>
  <c r="F1457" i="3"/>
  <c r="E1457" i="3"/>
  <c r="D1457" i="3"/>
  <c r="C1457" i="3"/>
  <c r="B1457" i="3"/>
  <c r="A1457" i="3"/>
  <c r="G1456" i="3"/>
  <c r="F1456" i="3"/>
  <c r="E1456" i="3"/>
  <c r="D1456" i="3"/>
  <c r="C1456" i="3"/>
  <c r="B1456" i="3"/>
  <c r="A1456" i="3"/>
  <c r="G1455" i="3"/>
  <c r="F1455" i="3"/>
  <c r="E1455" i="3"/>
  <c r="D1455" i="3"/>
  <c r="C1455" i="3"/>
  <c r="A1455" i="3"/>
  <c r="G1454" i="3"/>
  <c r="F1454" i="3"/>
  <c r="E1454" i="3"/>
  <c r="D1454" i="3"/>
  <c r="C1454" i="3"/>
  <c r="B1454" i="3"/>
  <c r="A1454" i="3"/>
  <c r="G1453" i="3"/>
  <c r="F1453" i="3"/>
  <c r="E1453" i="3"/>
  <c r="D1453" i="3"/>
  <c r="C1453" i="3"/>
  <c r="B1453" i="3"/>
  <c r="A1453" i="3"/>
  <c r="G1452" i="3"/>
  <c r="F1452" i="3"/>
  <c r="E1452" i="3"/>
  <c r="D1452" i="3"/>
  <c r="C1452" i="3"/>
  <c r="B1452" i="3"/>
  <c r="A1452" i="3"/>
  <c r="G1451" i="3"/>
  <c r="F1451" i="3"/>
  <c r="E1451" i="3"/>
  <c r="D1451" i="3"/>
  <c r="C1451" i="3"/>
  <c r="B1451" i="3"/>
  <c r="A1451" i="3"/>
  <c r="G1450" i="3"/>
  <c r="F1450" i="3"/>
  <c r="E1450" i="3"/>
  <c r="D1450" i="3"/>
  <c r="C1450" i="3"/>
  <c r="B1450" i="3"/>
  <c r="A1450" i="3"/>
  <c r="G1449" i="3"/>
  <c r="F1449" i="3"/>
  <c r="E1449" i="3"/>
  <c r="D1449" i="3"/>
  <c r="C1449" i="3"/>
  <c r="B1449" i="3"/>
  <c r="A1449" i="3"/>
  <c r="G1448" i="3"/>
  <c r="F1448" i="3"/>
  <c r="E1448" i="3"/>
  <c r="D1448" i="3"/>
  <c r="C1448" i="3"/>
  <c r="B1448" i="3"/>
  <c r="A1448" i="3"/>
  <c r="G1447" i="3"/>
  <c r="F1447" i="3"/>
  <c r="E1447" i="3"/>
  <c r="D1447" i="3"/>
  <c r="C1447" i="3"/>
  <c r="B1447" i="3"/>
  <c r="A1447" i="3"/>
  <c r="G1446" i="3"/>
  <c r="F1446" i="3"/>
  <c r="E1446" i="3"/>
  <c r="D1446" i="3"/>
  <c r="C1446" i="3"/>
  <c r="B1446" i="3"/>
  <c r="A1446" i="3"/>
  <c r="G1445" i="3"/>
  <c r="F1445" i="3"/>
  <c r="E1445" i="3"/>
  <c r="D1445" i="3"/>
  <c r="C1445" i="3"/>
  <c r="B1445" i="3"/>
  <c r="A1445" i="3"/>
  <c r="G1444" i="3"/>
  <c r="F1444" i="3"/>
  <c r="E1444" i="3"/>
  <c r="D1444" i="3"/>
  <c r="C1444" i="3"/>
  <c r="B1444" i="3"/>
  <c r="A1444" i="3"/>
  <c r="G1443" i="3"/>
  <c r="F1443" i="3"/>
  <c r="E1443" i="3"/>
  <c r="D1443" i="3"/>
  <c r="C1443" i="3"/>
  <c r="B1443" i="3"/>
  <c r="A1443" i="3"/>
  <c r="G1442" i="3"/>
  <c r="F1442" i="3"/>
  <c r="E1442" i="3"/>
  <c r="D1442" i="3"/>
  <c r="C1442" i="3"/>
  <c r="B1442" i="3"/>
  <c r="A1442" i="3"/>
  <c r="G1441" i="3"/>
  <c r="F1441" i="3"/>
  <c r="E1441" i="3"/>
  <c r="D1441" i="3"/>
  <c r="B1441" i="3"/>
  <c r="A1441" i="3"/>
  <c r="G1440" i="3"/>
  <c r="F1440" i="3"/>
  <c r="E1440" i="3"/>
  <c r="D1440" i="3"/>
  <c r="C1440" i="3"/>
  <c r="B1440" i="3"/>
  <c r="A1440" i="3"/>
  <c r="G1439" i="3"/>
  <c r="F1439" i="3"/>
  <c r="E1439" i="3"/>
  <c r="D1439" i="3"/>
  <c r="C1439" i="3"/>
  <c r="B1439" i="3"/>
  <c r="A1439" i="3"/>
  <c r="G1438" i="3"/>
  <c r="F1438" i="3"/>
  <c r="E1438" i="3"/>
  <c r="D1438" i="3"/>
  <c r="C1438" i="3"/>
  <c r="B1438" i="3"/>
  <c r="A1438" i="3"/>
  <c r="G1437" i="3"/>
  <c r="F1437" i="3"/>
  <c r="E1437" i="3"/>
  <c r="D1437" i="3"/>
  <c r="C1437" i="3"/>
  <c r="B1437" i="3"/>
  <c r="A1437" i="3"/>
  <c r="G1436" i="3"/>
  <c r="F1436" i="3"/>
  <c r="E1436" i="3"/>
  <c r="D1436" i="3"/>
  <c r="C1436" i="3"/>
  <c r="B1436" i="3"/>
  <c r="A1436" i="3"/>
  <c r="G1435" i="3"/>
  <c r="F1435" i="3"/>
  <c r="E1435" i="3"/>
  <c r="D1435" i="3"/>
  <c r="C1435" i="3"/>
  <c r="B1435" i="3"/>
  <c r="A1435" i="3"/>
  <c r="G1434" i="3"/>
  <c r="F1434" i="3"/>
  <c r="E1434" i="3"/>
  <c r="D1434" i="3"/>
  <c r="C1434" i="3"/>
  <c r="B1434" i="3"/>
  <c r="A1434" i="3"/>
  <c r="G1433" i="3"/>
  <c r="F1433" i="3"/>
  <c r="E1433" i="3"/>
  <c r="D1433" i="3"/>
  <c r="C1433" i="3"/>
  <c r="B1433" i="3"/>
  <c r="A1433" i="3"/>
  <c r="G1432" i="3"/>
  <c r="F1432" i="3"/>
  <c r="E1432" i="3"/>
  <c r="D1432" i="3"/>
  <c r="C1432" i="3"/>
  <c r="B1432" i="3"/>
  <c r="A1432" i="3"/>
  <c r="G1431" i="3"/>
  <c r="F1431" i="3"/>
  <c r="E1431" i="3"/>
  <c r="D1431" i="3"/>
  <c r="C1431" i="3"/>
  <c r="B1431" i="3"/>
  <c r="A1431" i="3"/>
  <c r="G1430" i="3"/>
  <c r="F1430" i="3"/>
  <c r="E1430" i="3"/>
  <c r="D1430" i="3"/>
  <c r="C1430" i="3"/>
  <c r="B1430" i="3"/>
  <c r="A1430" i="3"/>
  <c r="G1429" i="3"/>
  <c r="F1429" i="3"/>
  <c r="E1429" i="3"/>
  <c r="D1429" i="3"/>
  <c r="C1429" i="3"/>
  <c r="B1429" i="3"/>
  <c r="A1429" i="3"/>
  <c r="G1428" i="3"/>
  <c r="F1428" i="3"/>
  <c r="E1428" i="3"/>
  <c r="D1428" i="3"/>
  <c r="C1428" i="3"/>
  <c r="A1428" i="3"/>
  <c r="G1427" i="3"/>
  <c r="F1427" i="3"/>
  <c r="E1427" i="3"/>
  <c r="D1427" i="3"/>
  <c r="C1427" i="3"/>
  <c r="B1427" i="3"/>
  <c r="A1427" i="3"/>
  <c r="G1426" i="3"/>
  <c r="F1426" i="3"/>
  <c r="E1426" i="3"/>
  <c r="D1426" i="3"/>
  <c r="C1426" i="3"/>
  <c r="B1426" i="3"/>
  <c r="A1426" i="3"/>
  <c r="G1425" i="3"/>
  <c r="F1425" i="3"/>
  <c r="E1425" i="3"/>
  <c r="D1425" i="3"/>
  <c r="C1425" i="3"/>
  <c r="B1425" i="3"/>
  <c r="A1425" i="3"/>
  <c r="G1424" i="3"/>
  <c r="F1424" i="3"/>
  <c r="E1424" i="3"/>
  <c r="D1424" i="3"/>
  <c r="C1424" i="3"/>
  <c r="B1424" i="3"/>
  <c r="A1424" i="3"/>
  <c r="G1423" i="3"/>
  <c r="F1423" i="3"/>
  <c r="E1423" i="3"/>
  <c r="D1423" i="3"/>
  <c r="C1423" i="3"/>
  <c r="B1423" i="3"/>
  <c r="A1423" i="3"/>
  <c r="G1422" i="3"/>
  <c r="F1422" i="3"/>
  <c r="E1422" i="3"/>
  <c r="D1422" i="3"/>
  <c r="C1422" i="3"/>
  <c r="B1422" i="3"/>
  <c r="A1422" i="3"/>
  <c r="G1421" i="3"/>
  <c r="F1421" i="3"/>
  <c r="E1421" i="3"/>
  <c r="D1421" i="3"/>
  <c r="C1421" i="3"/>
  <c r="B1421" i="3"/>
  <c r="A1421" i="3"/>
  <c r="G1420" i="3"/>
  <c r="F1420" i="3"/>
  <c r="E1420" i="3"/>
  <c r="D1420" i="3"/>
  <c r="C1420" i="3"/>
  <c r="B1420" i="3"/>
  <c r="A1420" i="3"/>
  <c r="G1419" i="3"/>
  <c r="F1419" i="3"/>
  <c r="E1419" i="3"/>
  <c r="D1419" i="3"/>
  <c r="C1419" i="3"/>
  <c r="A1419" i="3"/>
  <c r="G1418" i="3"/>
  <c r="F1418" i="3"/>
  <c r="E1418" i="3"/>
  <c r="D1418" i="3"/>
  <c r="C1418" i="3"/>
  <c r="B1418" i="3"/>
  <c r="A1418" i="3"/>
  <c r="G1417" i="3"/>
  <c r="F1417" i="3"/>
  <c r="E1417" i="3"/>
  <c r="D1417" i="3"/>
  <c r="C1417" i="3"/>
  <c r="A1417" i="3"/>
  <c r="G1416" i="3"/>
  <c r="F1416" i="3"/>
  <c r="E1416" i="3"/>
  <c r="D1416" i="3"/>
  <c r="C1416" i="3"/>
  <c r="B1416" i="3"/>
  <c r="A1416" i="3"/>
  <c r="G1415" i="3"/>
  <c r="F1415" i="3"/>
  <c r="E1415" i="3"/>
  <c r="D1415" i="3"/>
  <c r="C1415" i="3"/>
  <c r="B1415" i="3"/>
  <c r="A1415" i="3"/>
  <c r="G1414" i="3"/>
  <c r="F1414" i="3"/>
  <c r="E1414" i="3"/>
  <c r="D1414" i="3"/>
  <c r="C1414" i="3"/>
  <c r="B1414" i="3"/>
  <c r="A1414" i="3"/>
  <c r="G1413" i="3"/>
  <c r="F1413" i="3"/>
  <c r="E1413" i="3"/>
  <c r="D1413" i="3"/>
  <c r="C1413" i="3"/>
  <c r="A1413" i="3"/>
  <c r="G1412" i="3"/>
  <c r="F1412" i="3"/>
  <c r="E1412" i="3"/>
  <c r="D1412" i="3"/>
  <c r="C1412" i="3"/>
  <c r="B1412" i="3"/>
  <c r="A1412" i="3"/>
  <c r="G1411" i="3"/>
  <c r="F1411" i="3"/>
  <c r="E1411" i="3"/>
  <c r="D1411" i="3"/>
  <c r="C1411" i="3"/>
  <c r="B1411" i="3"/>
  <c r="A1411" i="3"/>
  <c r="G1410" i="3"/>
  <c r="F1410" i="3"/>
  <c r="E1410" i="3"/>
  <c r="D1410" i="3"/>
  <c r="C1410" i="3"/>
  <c r="B1410" i="3"/>
  <c r="A1410" i="3"/>
  <c r="G1409" i="3"/>
  <c r="F1409" i="3"/>
  <c r="E1409" i="3"/>
  <c r="D1409" i="3"/>
  <c r="C1409" i="3"/>
  <c r="B1409" i="3"/>
  <c r="A1409" i="3"/>
  <c r="G1408" i="3"/>
  <c r="F1408" i="3"/>
  <c r="E1408" i="3"/>
  <c r="D1408" i="3"/>
  <c r="C1408" i="3"/>
  <c r="B1408" i="3"/>
  <c r="A1408" i="3"/>
  <c r="G1407" i="3"/>
  <c r="F1407" i="3"/>
  <c r="E1407" i="3"/>
  <c r="D1407" i="3"/>
  <c r="C1407" i="3"/>
  <c r="A1407" i="3"/>
  <c r="G1406" i="3"/>
  <c r="F1406" i="3"/>
  <c r="E1406" i="3"/>
  <c r="D1406" i="3"/>
  <c r="C1406" i="3"/>
  <c r="B1406" i="3"/>
  <c r="A1406" i="3"/>
  <c r="G1405" i="3"/>
  <c r="F1405" i="3"/>
  <c r="E1405" i="3"/>
  <c r="D1405" i="3"/>
  <c r="C1405" i="3"/>
  <c r="B1405" i="3"/>
  <c r="A1405" i="3"/>
  <c r="G1404" i="3"/>
  <c r="F1404" i="3"/>
  <c r="E1404" i="3"/>
  <c r="D1404" i="3"/>
  <c r="C1404" i="3"/>
  <c r="B1404" i="3"/>
  <c r="A1404" i="3"/>
  <c r="G1403" i="3"/>
  <c r="F1403" i="3"/>
  <c r="E1403" i="3"/>
  <c r="D1403" i="3"/>
  <c r="C1403" i="3"/>
  <c r="B1403" i="3"/>
  <c r="A1403" i="3"/>
  <c r="G1402" i="3"/>
  <c r="F1402" i="3"/>
  <c r="E1402" i="3"/>
  <c r="D1402" i="3"/>
  <c r="C1402" i="3"/>
  <c r="A1402" i="3"/>
  <c r="G1401" i="3"/>
  <c r="F1401" i="3"/>
  <c r="E1401" i="3"/>
  <c r="D1401" i="3"/>
  <c r="C1401" i="3"/>
  <c r="B1401" i="3"/>
  <c r="A1401" i="3"/>
  <c r="G1400" i="3"/>
  <c r="F1400" i="3"/>
  <c r="E1400" i="3"/>
  <c r="D1400" i="3"/>
  <c r="C1400" i="3"/>
  <c r="B1400" i="3"/>
  <c r="A1400" i="3"/>
  <c r="G1399" i="3"/>
  <c r="F1399" i="3"/>
  <c r="E1399" i="3"/>
  <c r="D1399" i="3"/>
  <c r="C1399" i="3"/>
  <c r="B1399" i="3"/>
  <c r="A1399" i="3"/>
  <c r="G1398" i="3"/>
  <c r="F1398" i="3"/>
  <c r="E1398" i="3"/>
  <c r="D1398" i="3"/>
  <c r="C1398" i="3"/>
  <c r="B1398" i="3"/>
  <c r="A1398" i="3"/>
  <c r="G1397" i="3"/>
  <c r="F1397" i="3"/>
  <c r="E1397" i="3"/>
  <c r="D1397" i="3"/>
  <c r="C1397" i="3"/>
  <c r="B1397" i="3"/>
  <c r="A1397" i="3"/>
  <c r="G1396" i="3"/>
  <c r="F1396" i="3"/>
  <c r="E1396" i="3"/>
  <c r="D1396" i="3"/>
  <c r="C1396" i="3"/>
  <c r="B1396" i="3"/>
  <c r="A1396" i="3"/>
  <c r="G1395" i="3"/>
  <c r="F1395" i="3"/>
  <c r="E1395" i="3"/>
  <c r="D1395" i="3"/>
  <c r="A1395" i="3"/>
  <c r="G1394" i="3"/>
  <c r="F1394" i="3"/>
  <c r="E1394" i="3"/>
  <c r="D1394" i="3"/>
  <c r="C1394" i="3"/>
  <c r="B1394" i="3"/>
  <c r="A1394" i="3"/>
  <c r="G1393" i="3"/>
  <c r="F1393" i="3"/>
  <c r="E1393" i="3"/>
  <c r="D1393" i="3"/>
  <c r="C1393" i="3"/>
  <c r="B1393" i="3"/>
  <c r="A1393" i="3"/>
  <c r="G1392" i="3"/>
  <c r="F1392" i="3"/>
  <c r="E1392" i="3"/>
  <c r="D1392" i="3"/>
  <c r="C1392" i="3"/>
  <c r="B1392" i="3"/>
  <c r="A1392" i="3"/>
  <c r="G1391" i="3"/>
  <c r="F1391" i="3"/>
  <c r="E1391" i="3"/>
  <c r="D1391" i="3"/>
  <c r="C1391" i="3"/>
  <c r="A1391" i="3"/>
  <c r="G1390" i="3"/>
  <c r="F1390" i="3"/>
  <c r="E1390" i="3"/>
  <c r="D1390" i="3"/>
  <c r="C1390" i="3"/>
  <c r="A1390" i="3"/>
  <c r="G1389" i="3"/>
  <c r="F1389" i="3"/>
  <c r="E1389" i="3"/>
  <c r="D1389" i="3"/>
  <c r="C1389" i="3"/>
  <c r="B1389" i="3"/>
  <c r="A1389" i="3"/>
  <c r="G1388" i="3"/>
  <c r="F1388" i="3"/>
  <c r="E1388" i="3"/>
  <c r="D1388" i="3"/>
  <c r="C1388" i="3"/>
  <c r="B1388" i="3"/>
  <c r="A1388" i="3"/>
  <c r="G1387" i="3"/>
  <c r="F1387" i="3"/>
  <c r="E1387" i="3"/>
  <c r="D1387" i="3"/>
  <c r="C1387" i="3"/>
  <c r="A1387" i="3"/>
  <c r="G1386" i="3"/>
  <c r="F1386" i="3"/>
  <c r="E1386" i="3"/>
  <c r="D1386" i="3"/>
  <c r="C1386" i="3"/>
  <c r="B1386" i="3"/>
  <c r="A1386" i="3"/>
  <c r="G1385" i="3"/>
  <c r="F1385" i="3"/>
  <c r="E1385" i="3"/>
  <c r="D1385" i="3"/>
  <c r="C1385" i="3"/>
  <c r="B1385" i="3"/>
  <c r="A1385" i="3"/>
  <c r="G1384" i="3"/>
  <c r="F1384" i="3"/>
  <c r="E1384" i="3"/>
  <c r="D1384" i="3"/>
  <c r="C1384" i="3"/>
  <c r="B1384" i="3"/>
  <c r="A1384" i="3"/>
  <c r="G1383" i="3"/>
  <c r="F1383" i="3"/>
  <c r="E1383" i="3"/>
  <c r="D1383" i="3"/>
  <c r="C1383" i="3"/>
  <c r="B1383" i="3"/>
  <c r="A1383" i="3"/>
  <c r="G1382" i="3"/>
  <c r="F1382" i="3"/>
  <c r="E1382" i="3"/>
  <c r="D1382" i="3"/>
  <c r="C1382" i="3"/>
  <c r="B1382" i="3"/>
  <c r="A1382" i="3"/>
  <c r="G1381" i="3"/>
  <c r="F1381" i="3"/>
  <c r="E1381" i="3"/>
  <c r="D1381" i="3"/>
  <c r="C1381" i="3"/>
  <c r="B1381" i="3"/>
  <c r="A1381" i="3"/>
  <c r="G1380" i="3"/>
  <c r="F1380" i="3"/>
  <c r="E1380" i="3"/>
  <c r="D1380" i="3"/>
  <c r="C1380" i="3"/>
  <c r="B1380" i="3"/>
  <c r="A1380" i="3"/>
  <c r="G1379" i="3"/>
  <c r="F1379" i="3"/>
  <c r="E1379" i="3"/>
  <c r="D1379" i="3"/>
  <c r="C1379" i="3"/>
  <c r="B1379" i="3"/>
  <c r="A1379" i="3"/>
  <c r="G1378" i="3"/>
  <c r="F1378" i="3"/>
  <c r="E1378" i="3"/>
  <c r="D1378" i="3"/>
  <c r="C1378" i="3"/>
  <c r="B1378" i="3"/>
  <c r="A1378" i="3"/>
  <c r="G1377" i="3"/>
  <c r="F1377" i="3"/>
  <c r="E1377" i="3"/>
  <c r="D1377" i="3"/>
  <c r="C1377" i="3"/>
  <c r="B1377" i="3"/>
  <c r="A1377" i="3"/>
  <c r="G1376" i="3"/>
  <c r="F1376" i="3"/>
  <c r="E1376" i="3"/>
  <c r="D1376" i="3"/>
  <c r="C1376" i="3"/>
  <c r="B1376" i="3"/>
  <c r="A1376" i="3"/>
  <c r="G1375" i="3"/>
  <c r="F1375" i="3"/>
  <c r="E1375" i="3"/>
  <c r="D1375" i="3"/>
  <c r="C1375" i="3"/>
  <c r="B1375" i="3"/>
  <c r="A1375" i="3"/>
  <c r="G1374" i="3"/>
  <c r="F1374" i="3"/>
  <c r="E1374" i="3"/>
  <c r="D1374" i="3"/>
  <c r="C1374" i="3"/>
  <c r="B1374" i="3"/>
  <c r="A1374" i="3"/>
  <c r="G1373" i="3"/>
  <c r="F1373" i="3"/>
  <c r="E1373" i="3"/>
  <c r="D1373" i="3"/>
  <c r="B1373" i="3"/>
  <c r="A1373" i="3"/>
  <c r="G1372" i="3"/>
  <c r="F1372" i="3"/>
  <c r="E1372" i="3"/>
  <c r="D1372" i="3"/>
  <c r="C1372" i="3"/>
  <c r="B1372" i="3"/>
  <c r="A1372" i="3"/>
  <c r="G1371" i="3"/>
  <c r="F1371" i="3"/>
  <c r="E1371" i="3"/>
  <c r="D1371" i="3"/>
  <c r="C1371" i="3"/>
  <c r="B1371" i="3"/>
  <c r="A1371" i="3"/>
  <c r="G1370" i="3"/>
  <c r="F1370" i="3"/>
  <c r="E1370" i="3"/>
  <c r="D1370" i="3"/>
  <c r="C1370" i="3"/>
  <c r="B1370" i="3"/>
  <c r="A1370" i="3"/>
  <c r="G1369" i="3"/>
  <c r="F1369" i="3"/>
  <c r="E1369" i="3"/>
  <c r="D1369" i="3"/>
  <c r="C1369" i="3"/>
  <c r="B1369" i="3"/>
  <c r="A1369" i="3"/>
  <c r="G1368" i="3"/>
  <c r="F1368" i="3"/>
  <c r="E1368" i="3"/>
  <c r="D1368" i="3"/>
  <c r="C1368" i="3"/>
  <c r="B1368" i="3"/>
  <c r="A1368" i="3"/>
  <c r="G1367" i="3"/>
  <c r="F1367" i="3"/>
  <c r="E1367" i="3"/>
  <c r="D1367" i="3"/>
  <c r="C1367" i="3"/>
  <c r="B1367" i="3"/>
  <c r="A1367" i="3"/>
  <c r="G1366" i="3"/>
  <c r="F1366" i="3"/>
  <c r="E1366" i="3"/>
  <c r="D1366" i="3"/>
  <c r="C1366" i="3"/>
  <c r="A1366" i="3"/>
  <c r="G1365" i="3"/>
  <c r="F1365" i="3"/>
  <c r="E1365" i="3"/>
  <c r="D1365" i="3"/>
  <c r="C1365" i="3"/>
  <c r="B1365" i="3"/>
  <c r="A1365" i="3"/>
  <c r="G1364" i="3"/>
  <c r="F1364" i="3"/>
  <c r="E1364" i="3"/>
  <c r="D1364" i="3"/>
  <c r="C1364" i="3"/>
  <c r="B1364" i="3"/>
  <c r="A1364" i="3"/>
  <c r="G1363" i="3"/>
  <c r="F1363" i="3"/>
  <c r="E1363" i="3"/>
  <c r="D1363" i="3"/>
  <c r="C1363" i="3"/>
  <c r="B1363" i="3"/>
  <c r="A1363" i="3"/>
  <c r="G1362" i="3"/>
  <c r="F1362" i="3"/>
  <c r="E1362" i="3"/>
  <c r="D1362" i="3"/>
  <c r="C1362" i="3"/>
  <c r="B1362" i="3"/>
  <c r="A1362" i="3"/>
  <c r="G1361" i="3"/>
  <c r="F1361" i="3"/>
  <c r="E1361" i="3"/>
  <c r="D1361" i="3"/>
  <c r="C1361" i="3"/>
  <c r="B1361" i="3"/>
  <c r="A1361" i="3"/>
  <c r="G1360" i="3"/>
  <c r="F1360" i="3"/>
  <c r="E1360" i="3"/>
  <c r="D1360" i="3"/>
  <c r="A1360" i="3"/>
  <c r="G1359" i="3"/>
  <c r="F1359" i="3"/>
  <c r="E1359" i="3"/>
  <c r="D1359" i="3"/>
  <c r="A1359" i="3"/>
  <c r="G1358" i="3"/>
  <c r="F1358" i="3"/>
  <c r="E1358" i="3"/>
  <c r="D1358" i="3"/>
  <c r="C1358" i="3"/>
  <c r="B1358" i="3"/>
  <c r="A1358" i="3"/>
  <c r="G1357" i="3"/>
  <c r="F1357" i="3"/>
  <c r="E1357" i="3"/>
  <c r="D1357" i="3"/>
  <c r="C1357" i="3"/>
  <c r="B1357" i="3"/>
  <c r="A1357" i="3"/>
  <c r="G1356" i="3"/>
  <c r="F1356" i="3"/>
  <c r="E1356" i="3"/>
  <c r="D1356" i="3"/>
  <c r="C1356" i="3"/>
  <c r="B1356" i="3"/>
  <c r="A1356" i="3"/>
  <c r="G1355" i="3"/>
  <c r="F1355" i="3"/>
  <c r="E1355" i="3"/>
  <c r="D1355" i="3"/>
  <c r="C1355" i="3"/>
  <c r="B1355" i="3"/>
  <c r="A1355" i="3"/>
  <c r="G1354" i="3"/>
  <c r="F1354" i="3"/>
  <c r="E1354" i="3"/>
  <c r="D1354" i="3"/>
  <c r="C1354" i="3"/>
  <c r="B1354" i="3"/>
  <c r="A1354" i="3"/>
  <c r="G1353" i="3"/>
  <c r="F1353" i="3"/>
  <c r="E1353" i="3"/>
  <c r="D1353" i="3"/>
  <c r="C1353" i="3"/>
  <c r="B1353" i="3"/>
  <c r="A1353" i="3"/>
  <c r="G1352" i="3"/>
  <c r="F1352" i="3"/>
  <c r="E1352" i="3"/>
  <c r="D1352" i="3"/>
  <c r="C1352" i="3"/>
  <c r="B1352" i="3"/>
  <c r="A1352" i="3"/>
  <c r="G1351" i="3"/>
  <c r="F1351" i="3"/>
  <c r="E1351" i="3"/>
  <c r="D1351" i="3"/>
  <c r="C1351" i="3"/>
  <c r="B1351" i="3"/>
  <c r="A1351" i="3"/>
  <c r="G1350" i="3"/>
  <c r="F1350" i="3"/>
  <c r="E1350" i="3"/>
  <c r="D1350" i="3"/>
  <c r="C1350" i="3"/>
  <c r="B1350" i="3"/>
  <c r="A1350" i="3"/>
  <c r="G1349" i="3"/>
  <c r="F1349" i="3"/>
  <c r="E1349" i="3"/>
  <c r="D1349" i="3"/>
  <c r="C1349" i="3"/>
  <c r="B1349" i="3"/>
  <c r="A1349" i="3"/>
  <c r="G1348" i="3"/>
  <c r="F1348" i="3"/>
  <c r="E1348" i="3"/>
  <c r="D1348" i="3"/>
  <c r="C1348" i="3"/>
  <c r="B1348" i="3"/>
  <c r="A1348" i="3"/>
  <c r="G1347" i="3"/>
  <c r="F1347" i="3"/>
  <c r="E1347" i="3"/>
  <c r="D1347" i="3"/>
  <c r="C1347" i="3"/>
  <c r="B1347" i="3"/>
  <c r="A1347" i="3"/>
  <c r="G1346" i="3"/>
  <c r="F1346" i="3"/>
  <c r="E1346" i="3"/>
  <c r="D1346" i="3"/>
  <c r="C1346" i="3"/>
  <c r="B1346" i="3"/>
  <c r="A1346" i="3"/>
  <c r="G1345" i="3"/>
  <c r="F1345" i="3"/>
  <c r="E1345" i="3"/>
  <c r="D1345" i="3"/>
  <c r="A1345" i="3"/>
  <c r="G1344" i="3"/>
  <c r="F1344" i="3"/>
  <c r="E1344" i="3"/>
  <c r="D1344" i="3"/>
  <c r="C1344" i="3"/>
  <c r="B1344" i="3"/>
  <c r="A1344" i="3"/>
  <c r="G1343" i="3"/>
  <c r="F1343" i="3"/>
  <c r="E1343" i="3"/>
  <c r="D1343" i="3"/>
  <c r="C1343" i="3"/>
  <c r="B1343" i="3"/>
  <c r="A1343" i="3"/>
  <c r="G1342" i="3"/>
  <c r="F1342" i="3"/>
  <c r="E1342" i="3"/>
  <c r="D1342" i="3"/>
  <c r="C1342" i="3"/>
  <c r="B1342" i="3"/>
  <c r="A1342" i="3"/>
  <c r="G1341" i="3"/>
  <c r="F1341" i="3"/>
  <c r="E1341" i="3"/>
  <c r="D1341" i="3"/>
  <c r="C1341" i="3"/>
  <c r="B1341" i="3"/>
  <c r="A1341" i="3"/>
  <c r="G1340" i="3"/>
  <c r="F1340" i="3"/>
  <c r="E1340" i="3"/>
  <c r="D1340" i="3"/>
  <c r="A1340" i="3"/>
  <c r="G1339" i="3"/>
  <c r="F1339" i="3"/>
  <c r="E1339" i="3"/>
  <c r="D1339" i="3"/>
  <c r="C1339" i="3"/>
  <c r="B1339" i="3"/>
  <c r="A1339" i="3"/>
  <c r="G1338" i="3"/>
  <c r="F1338" i="3"/>
  <c r="E1338" i="3"/>
  <c r="D1338" i="3"/>
  <c r="C1338" i="3"/>
  <c r="B1338" i="3"/>
  <c r="A1338" i="3"/>
  <c r="G1337" i="3"/>
  <c r="F1337" i="3"/>
  <c r="E1337" i="3"/>
  <c r="D1337" i="3"/>
  <c r="C1337" i="3"/>
  <c r="B1337" i="3"/>
  <c r="A1337" i="3"/>
  <c r="G1336" i="3"/>
  <c r="F1336" i="3"/>
  <c r="E1336" i="3"/>
  <c r="D1336" i="3"/>
  <c r="C1336" i="3"/>
  <c r="B1336" i="3"/>
  <c r="A1336" i="3"/>
  <c r="G1335" i="3"/>
  <c r="F1335" i="3"/>
  <c r="E1335" i="3"/>
  <c r="D1335" i="3"/>
  <c r="C1335" i="3"/>
  <c r="B1335" i="3"/>
  <c r="A1335" i="3"/>
  <c r="G1334" i="3"/>
  <c r="F1334" i="3"/>
  <c r="E1334" i="3"/>
  <c r="D1334" i="3"/>
  <c r="C1334" i="3"/>
  <c r="B1334" i="3"/>
  <c r="A1334" i="3"/>
  <c r="G1333" i="3"/>
  <c r="F1333" i="3"/>
  <c r="E1333" i="3"/>
  <c r="D1333" i="3"/>
  <c r="C1333" i="3"/>
  <c r="B1333" i="3"/>
  <c r="A1333" i="3"/>
  <c r="G1332" i="3"/>
  <c r="F1332" i="3"/>
  <c r="E1332" i="3"/>
  <c r="D1332" i="3"/>
  <c r="C1332" i="3"/>
  <c r="B1332" i="3"/>
  <c r="A1332" i="3"/>
  <c r="G1331" i="3"/>
  <c r="F1331" i="3"/>
  <c r="E1331" i="3"/>
  <c r="D1331" i="3"/>
  <c r="C1331" i="3"/>
  <c r="B1331" i="3"/>
  <c r="A1331" i="3"/>
  <c r="G1330" i="3"/>
  <c r="F1330" i="3"/>
  <c r="E1330" i="3"/>
  <c r="D1330" i="3"/>
  <c r="C1330" i="3"/>
  <c r="B1330" i="3"/>
  <c r="A1330" i="3"/>
  <c r="G1329" i="3"/>
  <c r="F1329" i="3"/>
  <c r="E1329" i="3"/>
  <c r="D1329" i="3"/>
  <c r="C1329" i="3"/>
  <c r="A1329" i="3"/>
  <c r="G1328" i="3"/>
  <c r="F1328" i="3"/>
  <c r="E1328" i="3"/>
  <c r="D1328" i="3"/>
  <c r="C1328" i="3"/>
  <c r="B1328" i="3"/>
  <c r="A1328" i="3"/>
  <c r="G1327" i="3"/>
  <c r="F1327" i="3"/>
  <c r="E1327" i="3"/>
  <c r="D1327" i="3"/>
  <c r="C1327" i="3"/>
  <c r="B1327" i="3"/>
  <c r="A1327" i="3"/>
  <c r="G1326" i="3"/>
  <c r="F1326" i="3"/>
  <c r="E1326" i="3"/>
  <c r="D1326" i="3"/>
  <c r="C1326" i="3"/>
  <c r="B1326" i="3"/>
  <c r="A1326" i="3"/>
  <c r="G1325" i="3"/>
  <c r="F1325" i="3"/>
  <c r="E1325" i="3"/>
  <c r="D1325" i="3"/>
  <c r="C1325" i="3"/>
  <c r="B1325" i="3"/>
  <c r="A1325" i="3"/>
  <c r="G1324" i="3"/>
  <c r="F1324" i="3"/>
  <c r="E1324" i="3"/>
  <c r="D1324" i="3"/>
  <c r="C1324" i="3"/>
  <c r="B1324" i="3"/>
  <c r="A1324" i="3"/>
  <c r="G1323" i="3"/>
  <c r="F1323" i="3"/>
  <c r="E1323" i="3"/>
  <c r="D1323" i="3"/>
  <c r="C1323" i="3"/>
  <c r="B1323" i="3"/>
  <c r="A1323" i="3"/>
  <c r="G1322" i="3"/>
  <c r="F1322" i="3"/>
  <c r="E1322" i="3"/>
  <c r="D1322" i="3"/>
  <c r="C1322" i="3"/>
  <c r="A1322" i="3"/>
  <c r="G1321" i="3"/>
  <c r="F1321" i="3"/>
  <c r="E1321" i="3"/>
  <c r="D1321" i="3"/>
  <c r="C1321" i="3"/>
  <c r="B1321" i="3"/>
  <c r="A1321" i="3"/>
  <c r="G1320" i="3"/>
  <c r="F1320" i="3"/>
  <c r="E1320" i="3"/>
  <c r="D1320" i="3"/>
  <c r="C1320" i="3"/>
  <c r="B1320" i="3"/>
  <c r="A1320" i="3"/>
  <c r="G1319" i="3"/>
  <c r="F1319" i="3"/>
  <c r="E1319" i="3"/>
  <c r="D1319" i="3"/>
  <c r="C1319" i="3"/>
  <c r="B1319" i="3"/>
  <c r="A1319" i="3"/>
  <c r="G1318" i="3"/>
  <c r="F1318" i="3"/>
  <c r="E1318" i="3"/>
  <c r="D1318" i="3"/>
  <c r="C1318" i="3"/>
  <c r="A1318" i="3"/>
  <c r="G1317" i="3"/>
  <c r="F1317" i="3"/>
  <c r="E1317" i="3"/>
  <c r="D1317" i="3"/>
  <c r="C1317" i="3"/>
  <c r="B1317" i="3"/>
  <c r="A1317" i="3"/>
  <c r="G1316" i="3"/>
  <c r="F1316" i="3"/>
  <c r="E1316" i="3"/>
  <c r="D1316" i="3"/>
  <c r="C1316" i="3"/>
  <c r="B1316" i="3"/>
  <c r="A1316" i="3"/>
  <c r="G1315" i="3"/>
  <c r="F1315" i="3"/>
  <c r="E1315" i="3"/>
  <c r="D1315" i="3"/>
  <c r="C1315" i="3"/>
  <c r="B1315" i="3"/>
  <c r="A1315" i="3"/>
  <c r="G1314" i="3"/>
  <c r="F1314" i="3"/>
  <c r="E1314" i="3"/>
  <c r="D1314" i="3"/>
  <c r="C1314" i="3"/>
  <c r="B1314" i="3"/>
  <c r="A1314" i="3"/>
  <c r="G1313" i="3"/>
  <c r="F1313" i="3"/>
  <c r="E1313" i="3"/>
  <c r="D1313" i="3"/>
  <c r="C1313" i="3"/>
  <c r="B1313" i="3"/>
  <c r="A1313" i="3"/>
  <c r="G1312" i="3"/>
  <c r="F1312" i="3"/>
  <c r="E1312" i="3"/>
  <c r="D1312" i="3"/>
  <c r="C1312" i="3"/>
  <c r="B1312" i="3"/>
  <c r="A1312" i="3"/>
  <c r="G1311" i="3"/>
  <c r="F1311" i="3"/>
  <c r="E1311" i="3"/>
  <c r="D1311" i="3"/>
  <c r="C1311" i="3"/>
  <c r="B1311" i="3"/>
  <c r="A1311" i="3"/>
  <c r="G1310" i="3"/>
  <c r="F1310" i="3"/>
  <c r="E1310" i="3"/>
  <c r="D1310" i="3"/>
  <c r="C1310" i="3"/>
  <c r="B1310" i="3"/>
  <c r="A1310" i="3"/>
  <c r="G1309" i="3"/>
  <c r="F1309" i="3"/>
  <c r="E1309" i="3"/>
  <c r="D1309" i="3"/>
  <c r="C1309" i="3"/>
  <c r="B1309" i="3"/>
  <c r="A1309" i="3"/>
  <c r="G1308" i="3"/>
  <c r="F1308" i="3"/>
  <c r="E1308" i="3"/>
  <c r="D1308" i="3"/>
  <c r="C1308" i="3"/>
  <c r="B1308" i="3"/>
  <c r="A1308" i="3"/>
  <c r="G1307" i="3"/>
  <c r="F1307" i="3"/>
  <c r="E1307" i="3"/>
  <c r="D1307" i="3"/>
  <c r="C1307" i="3"/>
  <c r="B1307" i="3"/>
  <c r="A1307" i="3"/>
  <c r="G1306" i="3"/>
  <c r="F1306" i="3"/>
  <c r="E1306" i="3"/>
  <c r="D1306" i="3"/>
  <c r="C1306" i="3"/>
  <c r="B1306" i="3"/>
  <c r="A1306" i="3"/>
  <c r="G1305" i="3"/>
  <c r="F1305" i="3"/>
  <c r="E1305" i="3"/>
  <c r="D1305" i="3"/>
  <c r="C1305" i="3"/>
  <c r="B1305" i="3"/>
  <c r="A1305" i="3"/>
  <c r="G1304" i="3"/>
  <c r="F1304" i="3"/>
  <c r="E1304" i="3"/>
  <c r="D1304" i="3"/>
  <c r="C1304" i="3"/>
  <c r="B1304" i="3"/>
  <c r="A1304" i="3"/>
  <c r="G1303" i="3"/>
  <c r="F1303" i="3"/>
  <c r="E1303" i="3"/>
  <c r="D1303" i="3"/>
  <c r="C1303" i="3"/>
  <c r="B1303" i="3"/>
  <c r="A1303" i="3"/>
  <c r="G1302" i="3"/>
  <c r="F1302" i="3"/>
  <c r="E1302" i="3"/>
  <c r="D1302" i="3"/>
  <c r="C1302" i="3"/>
  <c r="B1302" i="3"/>
  <c r="A1302" i="3"/>
  <c r="G1301" i="3"/>
  <c r="F1301" i="3"/>
  <c r="E1301" i="3"/>
  <c r="D1301" i="3"/>
  <c r="C1301" i="3"/>
  <c r="B1301" i="3"/>
  <c r="A1301" i="3"/>
  <c r="G1300" i="3"/>
  <c r="F1300" i="3"/>
  <c r="E1300" i="3"/>
  <c r="D1300" i="3"/>
  <c r="C1300" i="3"/>
  <c r="B1300" i="3"/>
  <c r="A1300" i="3"/>
  <c r="G1299" i="3"/>
  <c r="F1299" i="3"/>
  <c r="E1299" i="3"/>
  <c r="D1299" i="3"/>
  <c r="C1299" i="3"/>
  <c r="B1299" i="3"/>
  <c r="A1299" i="3"/>
  <c r="G1298" i="3"/>
  <c r="F1298" i="3"/>
  <c r="E1298" i="3"/>
  <c r="D1298" i="3"/>
  <c r="A1298" i="3"/>
  <c r="G1297" i="3"/>
  <c r="F1297" i="3"/>
  <c r="E1297" i="3"/>
  <c r="D1297" i="3"/>
  <c r="C1297" i="3"/>
  <c r="B1297" i="3"/>
  <c r="A1297" i="3"/>
  <c r="G1296" i="3"/>
  <c r="F1296" i="3"/>
  <c r="E1296" i="3"/>
  <c r="D1296" i="3"/>
  <c r="C1296" i="3"/>
  <c r="B1296" i="3"/>
  <c r="A1296" i="3"/>
  <c r="G1295" i="3"/>
  <c r="F1295" i="3"/>
  <c r="E1295" i="3"/>
  <c r="D1295" i="3"/>
  <c r="C1295" i="3"/>
  <c r="B1295" i="3"/>
  <c r="A1295" i="3"/>
  <c r="G1294" i="3"/>
  <c r="F1294" i="3"/>
  <c r="E1294" i="3"/>
  <c r="D1294" i="3"/>
  <c r="C1294" i="3"/>
  <c r="B1294" i="3"/>
  <c r="A1294" i="3"/>
  <c r="G1293" i="3"/>
  <c r="F1293" i="3"/>
  <c r="E1293" i="3"/>
  <c r="D1293" i="3"/>
  <c r="C1293" i="3"/>
  <c r="B1293" i="3"/>
  <c r="A1293" i="3"/>
  <c r="G1292" i="3"/>
  <c r="F1292" i="3"/>
  <c r="E1292" i="3"/>
  <c r="D1292" i="3"/>
  <c r="A1292" i="3"/>
  <c r="G1291" i="3"/>
  <c r="F1291" i="3"/>
  <c r="E1291" i="3"/>
  <c r="D1291" i="3"/>
  <c r="C1291" i="3"/>
  <c r="B1291" i="3"/>
  <c r="A1291" i="3"/>
  <c r="G1290" i="3"/>
  <c r="F1290" i="3"/>
  <c r="E1290" i="3"/>
  <c r="D1290" i="3"/>
  <c r="C1290" i="3"/>
  <c r="B1290" i="3"/>
  <c r="A1290" i="3"/>
  <c r="G1289" i="3"/>
  <c r="F1289" i="3"/>
  <c r="E1289" i="3"/>
  <c r="D1289" i="3"/>
  <c r="C1289" i="3"/>
  <c r="B1289" i="3"/>
  <c r="A1289" i="3"/>
  <c r="G1288" i="3"/>
  <c r="F1288" i="3"/>
  <c r="E1288" i="3"/>
  <c r="D1288" i="3"/>
  <c r="C1288" i="3"/>
  <c r="B1288" i="3"/>
  <c r="A1288" i="3"/>
  <c r="G1287" i="3"/>
  <c r="F1287" i="3"/>
  <c r="E1287" i="3"/>
  <c r="D1287" i="3"/>
  <c r="C1287" i="3"/>
  <c r="A1287" i="3"/>
  <c r="G1286" i="3"/>
  <c r="F1286" i="3"/>
  <c r="E1286" i="3"/>
  <c r="D1286" i="3"/>
  <c r="C1286" i="3"/>
  <c r="B1286" i="3"/>
  <c r="A1286" i="3"/>
  <c r="G1285" i="3"/>
  <c r="F1285" i="3"/>
  <c r="E1285" i="3"/>
  <c r="D1285" i="3"/>
  <c r="C1285" i="3"/>
  <c r="B1285" i="3"/>
  <c r="A1285" i="3"/>
  <c r="G1284" i="3"/>
  <c r="F1284" i="3"/>
  <c r="E1284" i="3"/>
  <c r="D1284" i="3"/>
  <c r="C1284" i="3"/>
  <c r="B1284" i="3"/>
  <c r="A1284" i="3"/>
  <c r="G1283" i="3"/>
  <c r="F1283" i="3"/>
  <c r="E1283" i="3"/>
  <c r="D1283" i="3"/>
  <c r="C1283" i="3"/>
  <c r="B1283" i="3"/>
  <c r="A1283" i="3"/>
  <c r="G1282" i="3"/>
  <c r="F1282" i="3"/>
  <c r="E1282" i="3"/>
  <c r="D1282" i="3"/>
  <c r="C1282" i="3"/>
  <c r="B1282" i="3"/>
  <c r="A1282" i="3"/>
  <c r="G1281" i="3"/>
  <c r="F1281" i="3"/>
  <c r="E1281" i="3"/>
  <c r="D1281" i="3"/>
  <c r="C1281" i="3"/>
  <c r="B1281" i="3"/>
  <c r="A1281" i="3"/>
  <c r="G1280" i="3"/>
  <c r="F1280" i="3"/>
  <c r="E1280" i="3"/>
  <c r="D1280" i="3"/>
  <c r="C1280" i="3"/>
  <c r="B1280" i="3"/>
  <c r="A1280" i="3"/>
  <c r="G1279" i="3"/>
  <c r="F1279" i="3"/>
  <c r="E1279" i="3"/>
  <c r="D1279" i="3"/>
  <c r="C1279" i="3"/>
  <c r="A1279" i="3"/>
  <c r="G1278" i="3"/>
  <c r="F1278" i="3"/>
  <c r="E1278" i="3"/>
  <c r="D1278" i="3"/>
  <c r="C1278" i="3"/>
  <c r="B1278" i="3"/>
  <c r="A1278" i="3"/>
  <c r="G1277" i="3"/>
  <c r="F1277" i="3"/>
  <c r="E1277" i="3"/>
  <c r="D1277" i="3"/>
  <c r="C1277" i="3"/>
  <c r="B1277" i="3"/>
  <c r="A1277" i="3"/>
  <c r="G1276" i="3"/>
  <c r="F1276" i="3"/>
  <c r="E1276" i="3"/>
  <c r="D1276" i="3"/>
  <c r="C1276" i="3"/>
  <c r="B1276" i="3"/>
  <c r="A1276" i="3"/>
  <c r="G1275" i="3"/>
  <c r="F1275" i="3"/>
  <c r="E1275" i="3"/>
  <c r="D1275" i="3"/>
  <c r="C1275" i="3"/>
  <c r="B1275" i="3"/>
  <c r="A1275" i="3"/>
  <c r="G1274" i="3"/>
  <c r="F1274" i="3"/>
  <c r="E1274" i="3"/>
  <c r="D1274" i="3"/>
  <c r="C1274" i="3"/>
  <c r="B1274" i="3"/>
  <c r="A1274" i="3"/>
  <c r="G1273" i="3"/>
  <c r="F1273" i="3"/>
  <c r="E1273" i="3"/>
  <c r="D1273" i="3"/>
  <c r="C1273" i="3"/>
  <c r="B1273" i="3"/>
  <c r="A1273" i="3"/>
  <c r="G1272" i="3"/>
  <c r="F1272" i="3"/>
  <c r="E1272" i="3"/>
  <c r="D1272" i="3"/>
  <c r="B1272" i="3"/>
  <c r="A1272" i="3"/>
  <c r="G1271" i="3"/>
  <c r="F1271" i="3"/>
  <c r="E1271" i="3"/>
  <c r="D1271" i="3"/>
  <c r="C1271" i="3"/>
  <c r="B1271" i="3"/>
  <c r="A1271" i="3"/>
  <c r="G1270" i="3"/>
  <c r="F1270" i="3"/>
  <c r="E1270" i="3"/>
  <c r="D1270" i="3"/>
  <c r="C1270" i="3"/>
  <c r="B1270" i="3"/>
  <c r="A1270" i="3"/>
  <c r="G1269" i="3"/>
  <c r="F1269" i="3"/>
  <c r="E1269" i="3"/>
  <c r="D1269" i="3"/>
  <c r="C1269" i="3"/>
  <c r="B1269" i="3"/>
  <c r="A1269" i="3"/>
  <c r="G1268" i="3"/>
  <c r="F1268" i="3"/>
  <c r="E1268" i="3"/>
  <c r="D1268" i="3"/>
  <c r="C1268" i="3"/>
  <c r="B1268" i="3"/>
  <c r="A1268" i="3"/>
  <c r="G1267" i="3"/>
  <c r="F1267" i="3"/>
  <c r="E1267" i="3"/>
  <c r="D1267" i="3"/>
  <c r="C1267" i="3"/>
  <c r="B1267" i="3"/>
  <c r="A1267" i="3"/>
  <c r="G1266" i="3"/>
  <c r="F1266" i="3"/>
  <c r="E1266" i="3"/>
  <c r="D1266" i="3"/>
  <c r="C1266" i="3"/>
  <c r="B1266" i="3"/>
  <c r="A1266" i="3"/>
  <c r="G1265" i="3"/>
  <c r="F1265" i="3"/>
  <c r="E1265" i="3"/>
  <c r="D1265" i="3"/>
  <c r="C1265" i="3"/>
  <c r="B1265" i="3"/>
  <c r="A1265" i="3"/>
  <c r="G1264" i="3"/>
  <c r="F1264" i="3"/>
  <c r="E1264" i="3"/>
  <c r="D1264" i="3"/>
  <c r="C1264" i="3"/>
  <c r="B1264" i="3"/>
  <c r="A1264" i="3"/>
  <c r="G1263" i="3"/>
  <c r="F1263" i="3"/>
  <c r="E1263" i="3"/>
  <c r="D1263" i="3"/>
  <c r="C1263" i="3"/>
  <c r="B1263" i="3"/>
  <c r="A1263" i="3"/>
  <c r="G1262" i="3"/>
  <c r="F1262" i="3"/>
  <c r="E1262" i="3"/>
  <c r="D1262" i="3"/>
  <c r="C1262" i="3"/>
  <c r="B1262" i="3"/>
  <c r="A1262" i="3"/>
  <c r="G1261" i="3"/>
  <c r="F1261" i="3"/>
  <c r="E1261" i="3"/>
  <c r="D1261" i="3"/>
  <c r="C1261" i="3"/>
  <c r="B1261" i="3"/>
  <c r="A1261" i="3"/>
  <c r="G1260" i="3"/>
  <c r="F1260" i="3"/>
  <c r="E1260" i="3"/>
  <c r="D1260" i="3"/>
  <c r="C1260" i="3"/>
  <c r="B1260" i="3"/>
  <c r="A1260" i="3"/>
  <c r="G1259" i="3"/>
  <c r="F1259" i="3"/>
  <c r="E1259" i="3"/>
  <c r="D1259" i="3"/>
  <c r="C1259" i="3"/>
  <c r="B1259" i="3"/>
  <c r="A1259" i="3"/>
  <c r="G1258" i="3"/>
  <c r="F1258" i="3"/>
  <c r="E1258" i="3"/>
  <c r="D1258" i="3"/>
  <c r="C1258" i="3"/>
  <c r="B1258" i="3"/>
  <c r="A1258" i="3"/>
  <c r="G1257" i="3"/>
  <c r="F1257" i="3"/>
  <c r="E1257" i="3"/>
  <c r="D1257" i="3"/>
  <c r="C1257" i="3"/>
  <c r="B1257" i="3"/>
  <c r="A1257" i="3"/>
  <c r="G1256" i="3"/>
  <c r="F1256" i="3"/>
  <c r="E1256" i="3"/>
  <c r="D1256" i="3"/>
  <c r="C1256" i="3"/>
  <c r="B1256" i="3"/>
  <c r="A1256" i="3"/>
  <c r="G1255" i="3"/>
  <c r="F1255" i="3"/>
  <c r="E1255" i="3"/>
  <c r="D1255" i="3"/>
  <c r="C1255" i="3"/>
  <c r="B1255" i="3"/>
  <c r="A1255" i="3"/>
  <c r="G1254" i="3"/>
  <c r="F1254" i="3"/>
  <c r="E1254" i="3"/>
  <c r="D1254" i="3"/>
  <c r="C1254" i="3"/>
  <c r="B1254" i="3"/>
  <c r="A1254" i="3"/>
  <c r="G1253" i="3"/>
  <c r="F1253" i="3"/>
  <c r="E1253" i="3"/>
  <c r="D1253" i="3"/>
  <c r="C1253" i="3"/>
  <c r="B1253" i="3"/>
  <c r="A1253" i="3"/>
  <c r="G1252" i="3"/>
  <c r="F1252" i="3"/>
  <c r="E1252" i="3"/>
  <c r="D1252" i="3"/>
  <c r="C1252" i="3"/>
  <c r="B1252" i="3"/>
  <c r="A1252" i="3"/>
  <c r="G1251" i="3"/>
  <c r="F1251" i="3"/>
  <c r="E1251" i="3"/>
  <c r="D1251" i="3"/>
  <c r="A1251" i="3"/>
  <c r="G1250" i="3"/>
  <c r="F1250" i="3"/>
  <c r="E1250" i="3"/>
  <c r="D1250" i="3"/>
  <c r="C1250" i="3"/>
  <c r="B1250" i="3"/>
  <c r="A1250" i="3"/>
  <c r="G1249" i="3"/>
  <c r="F1249" i="3"/>
  <c r="E1249" i="3"/>
  <c r="D1249" i="3"/>
  <c r="C1249" i="3"/>
  <c r="B1249" i="3"/>
  <c r="A1249" i="3"/>
  <c r="G1248" i="3"/>
  <c r="F1248" i="3"/>
  <c r="E1248" i="3"/>
  <c r="D1248" i="3"/>
  <c r="C1248" i="3"/>
  <c r="B1248" i="3"/>
  <c r="A1248" i="3"/>
  <c r="G1247" i="3"/>
  <c r="F1247" i="3"/>
  <c r="E1247" i="3"/>
  <c r="D1247" i="3"/>
  <c r="C1247" i="3"/>
  <c r="B1247" i="3"/>
  <c r="A1247" i="3"/>
  <c r="G1246" i="3"/>
  <c r="F1246" i="3"/>
  <c r="E1246" i="3"/>
  <c r="D1246" i="3"/>
  <c r="C1246" i="3"/>
  <c r="B1246" i="3"/>
  <c r="A1246" i="3"/>
  <c r="G1245" i="3"/>
  <c r="F1245" i="3"/>
  <c r="E1245" i="3"/>
  <c r="D1245" i="3"/>
  <c r="C1245" i="3"/>
  <c r="B1245" i="3"/>
  <c r="A1245" i="3"/>
  <c r="G1244" i="3"/>
  <c r="F1244" i="3"/>
  <c r="E1244" i="3"/>
  <c r="D1244" i="3"/>
  <c r="C1244" i="3"/>
  <c r="B1244" i="3"/>
  <c r="A1244" i="3"/>
  <c r="G1243" i="3"/>
  <c r="F1243" i="3"/>
  <c r="E1243" i="3"/>
  <c r="D1243" i="3"/>
  <c r="C1243" i="3"/>
  <c r="B1243" i="3"/>
  <c r="A1243" i="3"/>
  <c r="G1242" i="3"/>
  <c r="F1242" i="3"/>
  <c r="E1242" i="3"/>
  <c r="D1242" i="3"/>
  <c r="C1242" i="3"/>
  <c r="B1242" i="3"/>
  <c r="A1242" i="3"/>
  <c r="G1241" i="3"/>
  <c r="F1241" i="3"/>
  <c r="E1241" i="3"/>
  <c r="D1241" i="3"/>
  <c r="C1241" i="3"/>
  <c r="B1241" i="3"/>
  <c r="A1241" i="3"/>
  <c r="G1240" i="3"/>
  <c r="F1240" i="3"/>
  <c r="E1240" i="3"/>
  <c r="D1240" i="3"/>
  <c r="C1240" i="3"/>
  <c r="B1240" i="3"/>
  <c r="A1240" i="3"/>
  <c r="G1239" i="3"/>
  <c r="F1239" i="3"/>
  <c r="E1239" i="3"/>
  <c r="D1239" i="3"/>
  <c r="C1239" i="3"/>
  <c r="B1239" i="3"/>
  <c r="A1239" i="3"/>
  <c r="G1238" i="3"/>
  <c r="F1238" i="3"/>
  <c r="E1238" i="3"/>
  <c r="D1238" i="3"/>
  <c r="C1238" i="3"/>
  <c r="B1238" i="3"/>
  <c r="A1238" i="3"/>
  <c r="G1237" i="3"/>
  <c r="F1237" i="3"/>
  <c r="E1237" i="3"/>
  <c r="D1237" i="3"/>
  <c r="C1237" i="3"/>
  <c r="B1237" i="3"/>
  <c r="A1237" i="3"/>
  <c r="G1236" i="3"/>
  <c r="F1236" i="3"/>
  <c r="E1236" i="3"/>
  <c r="D1236" i="3"/>
  <c r="C1236" i="3"/>
  <c r="B1236" i="3"/>
  <c r="A1236" i="3"/>
  <c r="G1235" i="3"/>
  <c r="F1235" i="3"/>
  <c r="E1235" i="3"/>
  <c r="D1235" i="3"/>
  <c r="C1235" i="3"/>
  <c r="B1235" i="3"/>
  <c r="A1235" i="3"/>
  <c r="G1234" i="3"/>
  <c r="F1234" i="3"/>
  <c r="E1234" i="3"/>
  <c r="D1234" i="3"/>
  <c r="C1234" i="3"/>
  <c r="B1234" i="3"/>
  <c r="A1234" i="3"/>
  <c r="G1233" i="3"/>
  <c r="F1233" i="3"/>
  <c r="E1233" i="3"/>
  <c r="D1233" i="3"/>
  <c r="C1233" i="3"/>
  <c r="B1233" i="3"/>
  <c r="A1233" i="3"/>
  <c r="G1232" i="3"/>
  <c r="F1232" i="3"/>
  <c r="E1232" i="3"/>
  <c r="D1232" i="3"/>
  <c r="C1232" i="3"/>
  <c r="B1232" i="3"/>
  <c r="A1232" i="3"/>
  <c r="G1231" i="3"/>
  <c r="F1231" i="3"/>
  <c r="E1231" i="3"/>
  <c r="D1231" i="3"/>
  <c r="C1231" i="3"/>
  <c r="B1231" i="3"/>
  <c r="A1231" i="3"/>
  <c r="G1230" i="3"/>
  <c r="F1230" i="3"/>
  <c r="E1230" i="3"/>
  <c r="D1230" i="3"/>
  <c r="C1230" i="3"/>
  <c r="B1230" i="3"/>
  <c r="A1230" i="3"/>
  <c r="G1229" i="3"/>
  <c r="F1229" i="3"/>
  <c r="E1229" i="3"/>
  <c r="D1229" i="3"/>
  <c r="C1229" i="3"/>
  <c r="B1229" i="3"/>
  <c r="A1229" i="3"/>
  <c r="G1228" i="3"/>
  <c r="F1228" i="3"/>
  <c r="E1228" i="3"/>
  <c r="D1228" i="3"/>
  <c r="C1228" i="3"/>
  <c r="B1228" i="3"/>
  <c r="A1228" i="3"/>
  <c r="G1227" i="3"/>
  <c r="F1227" i="3"/>
  <c r="E1227" i="3"/>
  <c r="D1227" i="3"/>
  <c r="C1227" i="3"/>
  <c r="B1227" i="3"/>
  <c r="A1227" i="3"/>
  <c r="G1226" i="3"/>
  <c r="F1226" i="3"/>
  <c r="E1226" i="3"/>
  <c r="D1226" i="3"/>
  <c r="C1226" i="3"/>
  <c r="B1226" i="3"/>
  <c r="A1226" i="3"/>
  <c r="G1225" i="3"/>
  <c r="F1225" i="3"/>
  <c r="E1225" i="3"/>
  <c r="D1225" i="3"/>
  <c r="C1225" i="3"/>
  <c r="B1225" i="3"/>
  <c r="A1225" i="3"/>
  <c r="G1224" i="3"/>
  <c r="F1224" i="3"/>
  <c r="E1224" i="3"/>
  <c r="D1224" i="3"/>
  <c r="C1224" i="3"/>
  <c r="B1224" i="3"/>
  <c r="A1224" i="3"/>
  <c r="G1223" i="3"/>
  <c r="F1223" i="3"/>
  <c r="E1223" i="3"/>
  <c r="D1223" i="3"/>
  <c r="C1223" i="3"/>
  <c r="A1223" i="3"/>
  <c r="G1222" i="3"/>
  <c r="F1222" i="3"/>
  <c r="E1222" i="3"/>
  <c r="D1222" i="3"/>
  <c r="C1222" i="3"/>
  <c r="B1222" i="3"/>
  <c r="A1222" i="3"/>
  <c r="G1221" i="3"/>
  <c r="F1221" i="3"/>
  <c r="E1221" i="3"/>
  <c r="D1221" i="3"/>
  <c r="C1221" i="3"/>
  <c r="B1221" i="3"/>
  <c r="A1221" i="3"/>
  <c r="G1220" i="3"/>
  <c r="F1220" i="3"/>
  <c r="E1220" i="3"/>
  <c r="D1220" i="3"/>
  <c r="B1220" i="3"/>
  <c r="A1220" i="3"/>
  <c r="G1219" i="3"/>
  <c r="F1219" i="3"/>
  <c r="E1219" i="3"/>
  <c r="D1219" i="3"/>
  <c r="C1219" i="3"/>
  <c r="B1219" i="3"/>
  <c r="A1219" i="3"/>
  <c r="G1218" i="3"/>
  <c r="F1218" i="3"/>
  <c r="E1218" i="3"/>
  <c r="D1218" i="3"/>
  <c r="C1218" i="3"/>
  <c r="B1218" i="3"/>
  <c r="A1218" i="3"/>
  <c r="G1217" i="3"/>
  <c r="F1217" i="3"/>
  <c r="E1217" i="3"/>
  <c r="D1217" i="3"/>
  <c r="C1217" i="3"/>
  <c r="B1217" i="3"/>
  <c r="A1217" i="3"/>
  <c r="G1216" i="3"/>
  <c r="F1216" i="3"/>
  <c r="E1216" i="3"/>
  <c r="D1216" i="3"/>
  <c r="C1216" i="3"/>
  <c r="B1216" i="3"/>
  <c r="A1216" i="3"/>
  <c r="G1215" i="3"/>
  <c r="F1215" i="3"/>
  <c r="E1215" i="3"/>
  <c r="D1215" i="3"/>
  <c r="C1215" i="3"/>
  <c r="B1215" i="3"/>
  <c r="A1215" i="3"/>
  <c r="G1214" i="3"/>
  <c r="F1214" i="3"/>
  <c r="E1214" i="3"/>
  <c r="D1214" i="3"/>
  <c r="C1214" i="3"/>
  <c r="B1214" i="3"/>
  <c r="A1214" i="3"/>
  <c r="G1213" i="3"/>
  <c r="F1213" i="3"/>
  <c r="E1213" i="3"/>
  <c r="D1213" i="3"/>
  <c r="C1213" i="3"/>
  <c r="B1213" i="3"/>
  <c r="A1213" i="3"/>
  <c r="G1212" i="3"/>
  <c r="F1212" i="3"/>
  <c r="E1212" i="3"/>
  <c r="D1212" i="3"/>
  <c r="C1212" i="3"/>
  <c r="B1212" i="3"/>
  <c r="A1212" i="3"/>
  <c r="G1211" i="3"/>
  <c r="F1211" i="3"/>
  <c r="E1211" i="3"/>
  <c r="D1211" i="3"/>
  <c r="C1211" i="3"/>
  <c r="B1211" i="3"/>
  <c r="A1211" i="3"/>
  <c r="G1210" i="3"/>
  <c r="F1210" i="3"/>
  <c r="E1210" i="3"/>
  <c r="D1210" i="3"/>
  <c r="C1210" i="3"/>
  <c r="B1210" i="3"/>
  <c r="A1210" i="3"/>
  <c r="G1209" i="3"/>
  <c r="F1209" i="3"/>
  <c r="E1209" i="3"/>
  <c r="D1209" i="3"/>
  <c r="C1209" i="3"/>
  <c r="A1209" i="3"/>
  <c r="G1208" i="3"/>
  <c r="F1208" i="3"/>
  <c r="E1208" i="3"/>
  <c r="D1208" i="3"/>
  <c r="C1208" i="3"/>
  <c r="B1208" i="3"/>
  <c r="A1208" i="3"/>
  <c r="G1207" i="3"/>
  <c r="F1207" i="3"/>
  <c r="E1207" i="3"/>
  <c r="D1207" i="3"/>
  <c r="C1207" i="3"/>
  <c r="B1207" i="3"/>
  <c r="A1207" i="3"/>
  <c r="G1206" i="3"/>
  <c r="F1206" i="3"/>
  <c r="E1206" i="3"/>
  <c r="D1206" i="3"/>
  <c r="B1206" i="3"/>
  <c r="A1206" i="3"/>
  <c r="G1205" i="3"/>
  <c r="F1205" i="3"/>
  <c r="E1205" i="3"/>
  <c r="D1205" i="3"/>
  <c r="C1205" i="3"/>
  <c r="B1205" i="3"/>
  <c r="A1205" i="3"/>
  <c r="G1204" i="3"/>
  <c r="F1204" i="3"/>
  <c r="E1204" i="3"/>
  <c r="D1204" i="3"/>
  <c r="C1204" i="3"/>
  <c r="B1204" i="3"/>
  <c r="A1204" i="3"/>
  <c r="G1203" i="3"/>
  <c r="F1203" i="3"/>
  <c r="E1203" i="3"/>
  <c r="D1203" i="3"/>
  <c r="C1203" i="3"/>
  <c r="B1203" i="3"/>
  <c r="A1203" i="3"/>
  <c r="G1202" i="3"/>
  <c r="F1202" i="3"/>
  <c r="E1202" i="3"/>
  <c r="D1202" i="3"/>
  <c r="C1202" i="3"/>
  <c r="B1202" i="3"/>
  <c r="A1202" i="3"/>
  <c r="G1201" i="3"/>
  <c r="F1201" i="3"/>
  <c r="E1201" i="3"/>
  <c r="D1201" i="3"/>
  <c r="C1201" i="3"/>
  <c r="B1201" i="3"/>
  <c r="A1201" i="3"/>
  <c r="G1200" i="3"/>
  <c r="F1200" i="3"/>
  <c r="E1200" i="3"/>
  <c r="D1200" i="3"/>
  <c r="C1200" i="3"/>
  <c r="B1200" i="3"/>
  <c r="A1200" i="3"/>
  <c r="G1199" i="3"/>
  <c r="F1199" i="3"/>
  <c r="E1199" i="3"/>
  <c r="D1199" i="3"/>
  <c r="C1199" i="3"/>
  <c r="B1199" i="3"/>
  <c r="A1199" i="3"/>
  <c r="G1198" i="3"/>
  <c r="F1198" i="3"/>
  <c r="E1198" i="3"/>
  <c r="D1198" i="3"/>
  <c r="C1198" i="3"/>
  <c r="B1198" i="3"/>
  <c r="A1198" i="3"/>
  <c r="G1197" i="3"/>
  <c r="F1197" i="3"/>
  <c r="E1197" i="3"/>
  <c r="D1197" i="3"/>
  <c r="C1197" i="3"/>
  <c r="B1197" i="3"/>
  <c r="A1197" i="3"/>
  <c r="G1196" i="3"/>
  <c r="F1196" i="3"/>
  <c r="E1196" i="3"/>
  <c r="D1196" i="3"/>
  <c r="C1196" i="3"/>
  <c r="B1196" i="3"/>
  <c r="A1196" i="3"/>
  <c r="G1195" i="3"/>
  <c r="F1195" i="3"/>
  <c r="E1195" i="3"/>
  <c r="D1195" i="3"/>
  <c r="C1195" i="3"/>
  <c r="B1195" i="3"/>
  <c r="A1195" i="3"/>
  <c r="G1194" i="3"/>
  <c r="F1194" i="3"/>
  <c r="E1194" i="3"/>
  <c r="D1194" i="3"/>
  <c r="C1194" i="3"/>
  <c r="B1194" i="3"/>
  <c r="A1194" i="3"/>
  <c r="G1193" i="3"/>
  <c r="F1193" i="3"/>
  <c r="E1193" i="3"/>
  <c r="D1193" i="3"/>
  <c r="C1193" i="3"/>
  <c r="B1193" i="3"/>
  <c r="A1193" i="3"/>
  <c r="G1192" i="3"/>
  <c r="F1192" i="3"/>
  <c r="E1192" i="3"/>
  <c r="D1192" i="3"/>
  <c r="C1192" i="3"/>
  <c r="B1192" i="3"/>
  <c r="A1192" i="3"/>
  <c r="G1191" i="3"/>
  <c r="F1191" i="3"/>
  <c r="E1191" i="3"/>
  <c r="D1191" i="3"/>
  <c r="C1191" i="3"/>
  <c r="B1191" i="3"/>
  <c r="A1191" i="3"/>
  <c r="G1190" i="3"/>
  <c r="F1190" i="3"/>
  <c r="E1190" i="3"/>
  <c r="D1190" i="3"/>
  <c r="C1190" i="3"/>
  <c r="B1190" i="3"/>
  <c r="A1190" i="3"/>
  <c r="G1189" i="3"/>
  <c r="F1189" i="3"/>
  <c r="E1189" i="3"/>
  <c r="D1189" i="3"/>
  <c r="C1189" i="3"/>
  <c r="B1189" i="3"/>
  <c r="A1189" i="3"/>
  <c r="G1188" i="3"/>
  <c r="F1188" i="3"/>
  <c r="E1188" i="3"/>
  <c r="D1188" i="3"/>
  <c r="C1188" i="3"/>
  <c r="B1188" i="3"/>
  <c r="A1188" i="3"/>
  <c r="G1187" i="3"/>
  <c r="F1187" i="3"/>
  <c r="E1187" i="3"/>
  <c r="D1187" i="3"/>
  <c r="C1187" i="3"/>
  <c r="B1187" i="3"/>
  <c r="A1187" i="3"/>
  <c r="G1186" i="3"/>
  <c r="F1186" i="3"/>
  <c r="E1186" i="3"/>
  <c r="D1186" i="3"/>
  <c r="C1186" i="3"/>
  <c r="A1186" i="3"/>
  <c r="G1185" i="3"/>
  <c r="F1185" i="3"/>
  <c r="E1185" i="3"/>
  <c r="D1185" i="3"/>
  <c r="C1185" i="3"/>
  <c r="B1185" i="3"/>
  <c r="A1185" i="3"/>
  <c r="G1184" i="3"/>
  <c r="F1184" i="3"/>
  <c r="E1184" i="3"/>
  <c r="D1184" i="3"/>
  <c r="C1184" i="3"/>
  <c r="B1184" i="3"/>
  <c r="A1184" i="3"/>
  <c r="G1183" i="3"/>
  <c r="F1183" i="3"/>
  <c r="E1183" i="3"/>
  <c r="D1183" i="3"/>
  <c r="C1183" i="3"/>
  <c r="A1183" i="3"/>
  <c r="G1182" i="3"/>
  <c r="F1182" i="3"/>
  <c r="E1182" i="3"/>
  <c r="D1182" i="3"/>
  <c r="C1182" i="3"/>
  <c r="A1182" i="3"/>
  <c r="G1181" i="3"/>
  <c r="F1181" i="3"/>
  <c r="E1181" i="3"/>
  <c r="D1181" i="3"/>
  <c r="C1181" i="3"/>
  <c r="B1181" i="3"/>
  <c r="A1181" i="3"/>
  <c r="G1180" i="3"/>
  <c r="F1180" i="3"/>
  <c r="E1180" i="3"/>
  <c r="D1180" i="3"/>
  <c r="C1180" i="3"/>
  <c r="B1180" i="3"/>
  <c r="A1180" i="3"/>
  <c r="G1179" i="3"/>
  <c r="F1179" i="3"/>
  <c r="E1179" i="3"/>
  <c r="D1179" i="3"/>
  <c r="C1179" i="3"/>
  <c r="B1179" i="3"/>
  <c r="A1179" i="3"/>
  <c r="G1178" i="3"/>
  <c r="F1178" i="3"/>
  <c r="E1178" i="3"/>
  <c r="D1178" i="3"/>
  <c r="C1178" i="3"/>
  <c r="B1178" i="3"/>
  <c r="A1178" i="3"/>
  <c r="G1177" i="3"/>
  <c r="F1177" i="3"/>
  <c r="E1177" i="3"/>
  <c r="D1177" i="3"/>
  <c r="C1177" i="3"/>
  <c r="B1177" i="3"/>
  <c r="A1177" i="3"/>
  <c r="G1176" i="3"/>
  <c r="F1176" i="3"/>
  <c r="E1176" i="3"/>
  <c r="D1176" i="3"/>
  <c r="C1176" i="3"/>
  <c r="B1176" i="3"/>
  <c r="A1176" i="3"/>
  <c r="G1175" i="3"/>
  <c r="F1175" i="3"/>
  <c r="E1175" i="3"/>
  <c r="D1175" i="3"/>
  <c r="C1175" i="3"/>
  <c r="B1175" i="3"/>
  <c r="A1175" i="3"/>
  <c r="G1174" i="3"/>
  <c r="F1174" i="3"/>
  <c r="E1174" i="3"/>
  <c r="D1174" i="3"/>
  <c r="C1174" i="3"/>
  <c r="B1174" i="3"/>
  <c r="A1174" i="3"/>
  <c r="G1173" i="3"/>
  <c r="F1173" i="3"/>
  <c r="E1173" i="3"/>
  <c r="D1173" i="3"/>
  <c r="C1173" i="3"/>
  <c r="B1173" i="3"/>
  <c r="A1173" i="3"/>
  <c r="G1172" i="3"/>
  <c r="F1172" i="3"/>
  <c r="E1172" i="3"/>
  <c r="D1172" i="3"/>
  <c r="C1172" i="3"/>
  <c r="B1172" i="3"/>
  <c r="A1172" i="3"/>
  <c r="G1171" i="3"/>
  <c r="F1171" i="3"/>
  <c r="E1171" i="3"/>
  <c r="D1171" i="3"/>
  <c r="C1171" i="3"/>
  <c r="B1171" i="3"/>
  <c r="A1171" i="3"/>
  <c r="G1170" i="3"/>
  <c r="F1170" i="3"/>
  <c r="E1170" i="3"/>
  <c r="D1170" i="3"/>
  <c r="C1170" i="3"/>
  <c r="B1170" i="3"/>
  <c r="A1170" i="3"/>
  <c r="G1169" i="3"/>
  <c r="F1169" i="3"/>
  <c r="E1169" i="3"/>
  <c r="D1169" i="3"/>
  <c r="C1169" i="3"/>
  <c r="B1169" i="3"/>
  <c r="A1169" i="3"/>
  <c r="G1168" i="3"/>
  <c r="F1168" i="3"/>
  <c r="E1168" i="3"/>
  <c r="D1168" i="3"/>
  <c r="C1168" i="3"/>
  <c r="B1168" i="3"/>
  <c r="A1168" i="3"/>
  <c r="G1167" i="3"/>
  <c r="F1167" i="3"/>
  <c r="E1167" i="3"/>
  <c r="D1167" i="3"/>
  <c r="C1167" i="3"/>
  <c r="B1167" i="3"/>
  <c r="A1167" i="3"/>
  <c r="G1166" i="3"/>
  <c r="F1166" i="3"/>
  <c r="E1166" i="3"/>
  <c r="D1166" i="3"/>
  <c r="C1166" i="3"/>
  <c r="B1166" i="3"/>
  <c r="A1166" i="3"/>
  <c r="G1165" i="3"/>
  <c r="F1165" i="3"/>
  <c r="E1165" i="3"/>
  <c r="D1165" i="3"/>
  <c r="C1165" i="3"/>
  <c r="B1165" i="3"/>
  <c r="A1165" i="3"/>
  <c r="G1164" i="3"/>
  <c r="F1164" i="3"/>
  <c r="E1164" i="3"/>
  <c r="D1164" i="3"/>
  <c r="C1164" i="3"/>
  <c r="B1164" i="3"/>
  <c r="A1164" i="3"/>
  <c r="G1163" i="3"/>
  <c r="F1163" i="3"/>
  <c r="E1163" i="3"/>
  <c r="D1163" i="3"/>
  <c r="C1163" i="3"/>
  <c r="B1163" i="3"/>
  <c r="A1163" i="3"/>
  <c r="G1162" i="3"/>
  <c r="F1162" i="3"/>
  <c r="E1162" i="3"/>
  <c r="D1162" i="3"/>
  <c r="C1162" i="3"/>
  <c r="B1162" i="3"/>
  <c r="A1162" i="3"/>
  <c r="G1161" i="3"/>
  <c r="F1161" i="3"/>
  <c r="E1161" i="3"/>
  <c r="D1161" i="3"/>
  <c r="C1161" i="3"/>
  <c r="B1161" i="3"/>
  <c r="A1161" i="3"/>
  <c r="G1160" i="3"/>
  <c r="F1160" i="3"/>
  <c r="E1160" i="3"/>
  <c r="D1160" i="3"/>
  <c r="C1160" i="3"/>
  <c r="B1160" i="3"/>
  <c r="A1160" i="3"/>
  <c r="G1159" i="3"/>
  <c r="F1159" i="3"/>
  <c r="E1159" i="3"/>
  <c r="D1159" i="3"/>
  <c r="C1159" i="3"/>
  <c r="B1159" i="3"/>
  <c r="A1159" i="3"/>
  <c r="G1158" i="3"/>
  <c r="F1158" i="3"/>
  <c r="E1158" i="3"/>
  <c r="D1158" i="3"/>
  <c r="A1158" i="3"/>
  <c r="G1157" i="3"/>
  <c r="F1157" i="3"/>
  <c r="E1157" i="3"/>
  <c r="D1157" i="3"/>
  <c r="C1157" i="3"/>
  <c r="B1157" i="3"/>
  <c r="A1157" i="3"/>
  <c r="G1156" i="3"/>
  <c r="F1156" i="3"/>
  <c r="E1156" i="3"/>
  <c r="D1156" i="3"/>
  <c r="C1156" i="3"/>
  <c r="A1156" i="3"/>
  <c r="G1155" i="3"/>
  <c r="F1155" i="3"/>
  <c r="E1155" i="3"/>
  <c r="D1155" i="3"/>
  <c r="C1155" i="3"/>
  <c r="B1155" i="3"/>
  <c r="A1155" i="3"/>
  <c r="G1154" i="3"/>
  <c r="F1154" i="3"/>
  <c r="E1154" i="3"/>
  <c r="D1154" i="3"/>
  <c r="C1154" i="3"/>
  <c r="B1154" i="3"/>
  <c r="A1154" i="3"/>
  <c r="G1153" i="3"/>
  <c r="F1153" i="3"/>
  <c r="E1153" i="3"/>
  <c r="D1153" i="3"/>
  <c r="C1153" i="3"/>
  <c r="B1153" i="3"/>
  <c r="A1153" i="3"/>
  <c r="G1152" i="3"/>
  <c r="F1152" i="3"/>
  <c r="E1152" i="3"/>
  <c r="D1152" i="3"/>
  <c r="C1152" i="3"/>
  <c r="B1152" i="3"/>
  <c r="A1152" i="3"/>
  <c r="G1151" i="3"/>
  <c r="F1151" i="3"/>
  <c r="E1151" i="3"/>
  <c r="D1151" i="3"/>
  <c r="C1151" i="3"/>
  <c r="B1151" i="3"/>
  <c r="A1151" i="3"/>
  <c r="G1150" i="3"/>
  <c r="F1150" i="3"/>
  <c r="E1150" i="3"/>
  <c r="D1150" i="3"/>
  <c r="C1150" i="3"/>
  <c r="A1150" i="3"/>
  <c r="G1149" i="3"/>
  <c r="F1149" i="3"/>
  <c r="E1149" i="3"/>
  <c r="D1149" i="3"/>
  <c r="C1149" i="3"/>
  <c r="B1149" i="3"/>
  <c r="A1149" i="3"/>
  <c r="G1148" i="3"/>
  <c r="F1148" i="3"/>
  <c r="E1148" i="3"/>
  <c r="D1148" i="3"/>
  <c r="C1148" i="3"/>
  <c r="B1148" i="3"/>
  <c r="A1148" i="3"/>
  <c r="G1147" i="3"/>
  <c r="F1147" i="3"/>
  <c r="E1147" i="3"/>
  <c r="D1147" i="3"/>
  <c r="C1147" i="3"/>
  <c r="B1147" i="3"/>
  <c r="A1147" i="3"/>
  <c r="G1146" i="3"/>
  <c r="F1146" i="3"/>
  <c r="E1146" i="3"/>
  <c r="D1146" i="3"/>
  <c r="C1146" i="3"/>
  <c r="B1146" i="3"/>
  <c r="A1146" i="3"/>
  <c r="G1145" i="3"/>
  <c r="F1145" i="3"/>
  <c r="E1145" i="3"/>
  <c r="D1145" i="3"/>
  <c r="C1145" i="3"/>
  <c r="B1145" i="3"/>
  <c r="A1145" i="3"/>
  <c r="G1144" i="3"/>
  <c r="F1144" i="3"/>
  <c r="E1144" i="3"/>
  <c r="D1144" i="3"/>
  <c r="C1144" i="3"/>
  <c r="B1144" i="3"/>
  <c r="A1144" i="3"/>
  <c r="G1143" i="3"/>
  <c r="F1143" i="3"/>
  <c r="E1143" i="3"/>
  <c r="D1143" i="3"/>
  <c r="C1143" i="3"/>
  <c r="B1143" i="3"/>
  <c r="A1143" i="3"/>
  <c r="G1142" i="3"/>
  <c r="F1142" i="3"/>
  <c r="E1142" i="3"/>
  <c r="D1142" i="3"/>
  <c r="C1142" i="3"/>
  <c r="A1142" i="3"/>
  <c r="G1141" i="3"/>
  <c r="F1141" i="3"/>
  <c r="E1141" i="3"/>
  <c r="D1141" i="3"/>
  <c r="A1141" i="3"/>
  <c r="G1140" i="3"/>
  <c r="F1140" i="3"/>
  <c r="E1140" i="3"/>
  <c r="D1140" i="3"/>
  <c r="C1140" i="3"/>
  <c r="B1140" i="3"/>
  <c r="A1140" i="3"/>
  <c r="G1139" i="3"/>
  <c r="F1139" i="3"/>
  <c r="E1139" i="3"/>
  <c r="D1139" i="3"/>
  <c r="C1139" i="3"/>
  <c r="B1139" i="3"/>
  <c r="A1139" i="3"/>
  <c r="G1138" i="3"/>
  <c r="F1138" i="3"/>
  <c r="E1138" i="3"/>
  <c r="D1138" i="3"/>
  <c r="C1138" i="3"/>
  <c r="A1138" i="3"/>
  <c r="G1137" i="3"/>
  <c r="F1137" i="3"/>
  <c r="E1137" i="3"/>
  <c r="D1137" i="3"/>
  <c r="C1137" i="3"/>
  <c r="B1137" i="3"/>
  <c r="A1137" i="3"/>
  <c r="G1136" i="3"/>
  <c r="F1136" i="3"/>
  <c r="E1136" i="3"/>
  <c r="D1136" i="3"/>
  <c r="C1136" i="3"/>
  <c r="B1136" i="3"/>
  <c r="A1136" i="3"/>
  <c r="G1135" i="3"/>
  <c r="F1135" i="3"/>
  <c r="E1135" i="3"/>
  <c r="D1135" i="3"/>
  <c r="A1135" i="3"/>
  <c r="G1134" i="3"/>
  <c r="F1134" i="3"/>
  <c r="E1134" i="3"/>
  <c r="D1134" i="3"/>
  <c r="C1134" i="3"/>
  <c r="B1134" i="3"/>
  <c r="A1134" i="3"/>
  <c r="G1133" i="3"/>
  <c r="F1133" i="3"/>
  <c r="E1133" i="3"/>
  <c r="D1133" i="3"/>
  <c r="C1133" i="3"/>
  <c r="B1133" i="3"/>
  <c r="A1133" i="3"/>
  <c r="G1132" i="3"/>
  <c r="F1132" i="3"/>
  <c r="E1132" i="3"/>
  <c r="D1132" i="3"/>
  <c r="C1132" i="3"/>
  <c r="B1132" i="3"/>
  <c r="A1132" i="3"/>
  <c r="G1131" i="3"/>
  <c r="F1131" i="3"/>
  <c r="E1131" i="3"/>
  <c r="D1131" i="3"/>
  <c r="C1131" i="3"/>
  <c r="B1131" i="3"/>
  <c r="A1131" i="3"/>
  <c r="G1130" i="3"/>
  <c r="F1130" i="3"/>
  <c r="E1130" i="3"/>
  <c r="D1130" i="3"/>
  <c r="C1130" i="3"/>
  <c r="A1130" i="3"/>
  <c r="G1129" i="3"/>
  <c r="F1129" i="3"/>
  <c r="E1129" i="3"/>
  <c r="D1129" i="3"/>
  <c r="C1129" i="3"/>
  <c r="B1129" i="3"/>
  <c r="A1129" i="3"/>
  <c r="G1128" i="3"/>
  <c r="F1128" i="3"/>
  <c r="E1128" i="3"/>
  <c r="D1128" i="3"/>
  <c r="C1128" i="3"/>
  <c r="B1128" i="3"/>
  <c r="A1128" i="3"/>
  <c r="G1127" i="3"/>
  <c r="F1127" i="3"/>
  <c r="E1127" i="3"/>
  <c r="D1127" i="3"/>
  <c r="C1127" i="3"/>
  <c r="B1127" i="3"/>
  <c r="A1127" i="3"/>
  <c r="G1126" i="3"/>
  <c r="F1126" i="3"/>
  <c r="E1126" i="3"/>
  <c r="D1126" i="3"/>
  <c r="C1126" i="3"/>
  <c r="B1126" i="3"/>
  <c r="A1126" i="3"/>
  <c r="G1125" i="3"/>
  <c r="F1125" i="3"/>
  <c r="E1125" i="3"/>
  <c r="D1125" i="3"/>
  <c r="C1125" i="3"/>
  <c r="B1125" i="3"/>
  <c r="A1125" i="3"/>
  <c r="G1124" i="3"/>
  <c r="F1124" i="3"/>
  <c r="E1124" i="3"/>
  <c r="D1124" i="3"/>
  <c r="C1124" i="3"/>
  <c r="B1124" i="3"/>
  <c r="A1124" i="3"/>
  <c r="G1123" i="3"/>
  <c r="F1123" i="3"/>
  <c r="E1123" i="3"/>
  <c r="D1123" i="3"/>
  <c r="C1123" i="3"/>
  <c r="B1123" i="3"/>
  <c r="A1123" i="3"/>
  <c r="G1122" i="3"/>
  <c r="F1122" i="3"/>
  <c r="E1122" i="3"/>
  <c r="D1122" i="3"/>
  <c r="C1122" i="3"/>
  <c r="A1122" i="3"/>
  <c r="G1121" i="3"/>
  <c r="F1121" i="3"/>
  <c r="E1121" i="3"/>
  <c r="D1121" i="3"/>
  <c r="C1121" i="3"/>
  <c r="B1121" i="3"/>
  <c r="A1121" i="3"/>
  <c r="G1120" i="3"/>
  <c r="F1120" i="3"/>
  <c r="E1120" i="3"/>
  <c r="D1120" i="3"/>
  <c r="C1120" i="3"/>
  <c r="B1120" i="3"/>
  <c r="A1120" i="3"/>
  <c r="G1119" i="3"/>
  <c r="F1119" i="3"/>
  <c r="E1119" i="3"/>
  <c r="D1119" i="3"/>
  <c r="C1119" i="3"/>
  <c r="B1119" i="3"/>
  <c r="A1119" i="3"/>
  <c r="G1118" i="3"/>
  <c r="F1118" i="3"/>
  <c r="E1118" i="3"/>
  <c r="D1118" i="3"/>
  <c r="C1118" i="3"/>
  <c r="A1118" i="3"/>
  <c r="G1117" i="3"/>
  <c r="F1117" i="3"/>
  <c r="E1117" i="3"/>
  <c r="D1117" i="3"/>
  <c r="C1117" i="3"/>
  <c r="B1117" i="3"/>
  <c r="A1117" i="3"/>
  <c r="G1116" i="3"/>
  <c r="F1116" i="3"/>
  <c r="E1116" i="3"/>
  <c r="D1116" i="3"/>
  <c r="C1116" i="3"/>
  <c r="B1116" i="3"/>
  <c r="A1116" i="3"/>
  <c r="G1115" i="3"/>
  <c r="F1115" i="3"/>
  <c r="E1115" i="3"/>
  <c r="D1115" i="3"/>
  <c r="C1115" i="3"/>
  <c r="B1115" i="3"/>
  <c r="A1115" i="3"/>
  <c r="G1114" i="3"/>
  <c r="F1114" i="3"/>
  <c r="E1114" i="3"/>
  <c r="D1114" i="3"/>
  <c r="C1114" i="3"/>
  <c r="B1114" i="3"/>
  <c r="A1114" i="3"/>
  <c r="G1113" i="3"/>
  <c r="F1113" i="3"/>
  <c r="E1113" i="3"/>
  <c r="D1113" i="3"/>
  <c r="C1113" i="3"/>
  <c r="B1113" i="3"/>
  <c r="A1113" i="3"/>
  <c r="G1112" i="3"/>
  <c r="F1112" i="3"/>
  <c r="E1112" i="3"/>
  <c r="D1112" i="3"/>
  <c r="C1112" i="3"/>
  <c r="B1112" i="3"/>
  <c r="A1112" i="3"/>
  <c r="G1111" i="3"/>
  <c r="F1111" i="3"/>
  <c r="E1111" i="3"/>
  <c r="D1111" i="3"/>
  <c r="C1111" i="3"/>
  <c r="B1111" i="3"/>
  <c r="A1111" i="3"/>
  <c r="G1110" i="3"/>
  <c r="F1110" i="3"/>
  <c r="E1110" i="3"/>
  <c r="D1110" i="3"/>
  <c r="C1110" i="3"/>
  <c r="B1110" i="3"/>
  <c r="A1110" i="3"/>
  <c r="G1109" i="3"/>
  <c r="F1109" i="3"/>
  <c r="E1109" i="3"/>
  <c r="D1109" i="3"/>
  <c r="C1109" i="3"/>
  <c r="B1109" i="3"/>
  <c r="A1109" i="3"/>
  <c r="G1108" i="3"/>
  <c r="F1108" i="3"/>
  <c r="E1108" i="3"/>
  <c r="D1108" i="3"/>
  <c r="C1108" i="3"/>
  <c r="B1108" i="3"/>
  <c r="A1108" i="3"/>
  <c r="G1107" i="3"/>
  <c r="F1107" i="3"/>
  <c r="E1107" i="3"/>
  <c r="D1107" i="3"/>
  <c r="C1107" i="3"/>
  <c r="B1107" i="3"/>
  <c r="A1107" i="3"/>
  <c r="G1106" i="3"/>
  <c r="F1106" i="3"/>
  <c r="E1106" i="3"/>
  <c r="D1106" i="3"/>
  <c r="C1106" i="3"/>
  <c r="B1106" i="3"/>
  <c r="A1106" i="3"/>
  <c r="G1105" i="3"/>
  <c r="F1105" i="3"/>
  <c r="E1105" i="3"/>
  <c r="D1105" i="3"/>
  <c r="C1105" i="3"/>
  <c r="B1105" i="3"/>
  <c r="A1105" i="3"/>
  <c r="G1104" i="3"/>
  <c r="F1104" i="3"/>
  <c r="E1104" i="3"/>
  <c r="D1104" i="3"/>
  <c r="C1104" i="3"/>
  <c r="B1104" i="3"/>
  <c r="A1104" i="3"/>
  <c r="G1103" i="3"/>
  <c r="F1103" i="3"/>
  <c r="E1103" i="3"/>
  <c r="D1103" i="3"/>
  <c r="C1103" i="3"/>
  <c r="B1103" i="3"/>
  <c r="A1103" i="3"/>
  <c r="G1102" i="3"/>
  <c r="F1102" i="3"/>
  <c r="E1102" i="3"/>
  <c r="D1102" i="3"/>
  <c r="C1102" i="3"/>
  <c r="B1102" i="3"/>
  <c r="A1102" i="3"/>
  <c r="G1101" i="3"/>
  <c r="F1101" i="3"/>
  <c r="E1101" i="3"/>
  <c r="D1101" i="3"/>
  <c r="C1101" i="3"/>
  <c r="B1101" i="3"/>
  <c r="A1101" i="3"/>
  <c r="G1100" i="3"/>
  <c r="F1100" i="3"/>
  <c r="E1100" i="3"/>
  <c r="D1100" i="3"/>
  <c r="C1100" i="3"/>
  <c r="B1100" i="3"/>
  <c r="A1100" i="3"/>
  <c r="G1099" i="3"/>
  <c r="F1099" i="3"/>
  <c r="E1099" i="3"/>
  <c r="D1099" i="3"/>
  <c r="C1099" i="3"/>
  <c r="B1099" i="3"/>
  <c r="A1099" i="3"/>
  <c r="G1098" i="3"/>
  <c r="F1098" i="3"/>
  <c r="E1098" i="3"/>
  <c r="D1098" i="3"/>
  <c r="C1098" i="3"/>
  <c r="B1098" i="3"/>
  <c r="A1098" i="3"/>
  <c r="G1097" i="3"/>
  <c r="F1097" i="3"/>
  <c r="E1097" i="3"/>
  <c r="D1097" i="3"/>
  <c r="C1097" i="3"/>
  <c r="B1097" i="3"/>
  <c r="A1097" i="3"/>
  <c r="G1096" i="3"/>
  <c r="F1096" i="3"/>
  <c r="E1096" i="3"/>
  <c r="D1096" i="3"/>
  <c r="C1096" i="3"/>
  <c r="B1096" i="3"/>
  <c r="A1096" i="3"/>
  <c r="G1095" i="3"/>
  <c r="F1095" i="3"/>
  <c r="E1095" i="3"/>
  <c r="D1095" i="3"/>
  <c r="C1095" i="3"/>
  <c r="B1095" i="3"/>
  <c r="A1095" i="3"/>
  <c r="G1094" i="3"/>
  <c r="F1094" i="3"/>
  <c r="E1094" i="3"/>
  <c r="D1094" i="3"/>
  <c r="C1094" i="3"/>
  <c r="B1094" i="3"/>
  <c r="A1094" i="3"/>
  <c r="G1093" i="3"/>
  <c r="F1093" i="3"/>
  <c r="E1093" i="3"/>
  <c r="D1093" i="3"/>
  <c r="C1093" i="3"/>
  <c r="B1093" i="3"/>
  <c r="A1093" i="3"/>
  <c r="G1092" i="3"/>
  <c r="F1092" i="3"/>
  <c r="E1092" i="3"/>
  <c r="D1092" i="3"/>
  <c r="C1092" i="3"/>
  <c r="B1092" i="3"/>
  <c r="A1092" i="3"/>
  <c r="G1091" i="3"/>
  <c r="F1091" i="3"/>
  <c r="E1091" i="3"/>
  <c r="D1091" i="3"/>
  <c r="A1091" i="3"/>
  <c r="G1090" i="3"/>
  <c r="F1090" i="3"/>
  <c r="E1090" i="3"/>
  <c r="D1090" i="3"/>
  <c r="A1090" i="3"/>
  <c r="G1089" i="3"/>
  <c r="F1089" i="3"/>
  <c r="E1089" i="3"/>
  <c r="D1089" i="3"/>
  <c r="C1089" i="3"/>
  <c r="B1089" i="3"/>
  <c r="A1089" i="3"/>
  <c r="G1088" i="3"/>
  <c r="F1088" i="3"/>
  <c r="E1088" i="3"/>
  <c r="D1088" i="3"/>
  <c r="C1088" i="3"/>
  <c r="B1088" i="3"/>
  <c r="A1088" i="3"/>
  <c r="G1087" i="3"/>
  <c r="F1087" i="3"/>
  <c r="E1087" i="3"/>
  <c r="D1087" i="3"/>
  <c r="C1087" i="3"/>
  <c r="A1087" i="3"/>
  <c r="G1086" i="3"/>
  <c r="F1086" i="3"/>
  <c r="E1086" i="3"/>
  <c r="D1086" i="3"/>
  <c r="C1086" i="3"/>
  <c r="B1086" i="3"/>
  <c r="A1086" i="3"/>
  <c r="G1085" i="3"/>
  <c r="F1085" i="3"/>
  <c r="E1085" i="3"/>
  <c r="D1085" i="3"/>
  <c r="A1085" i="3"/>
  <c r="G1084" i="3"/>
  <c r="F1084" i="3"/>
  <c r="E1084" i="3"/>
  <c r="D1084" i="3"/>
  <c r="C1084" i="3"/>
  <c r="B1084" i="3"/>
  <c r="A1084" i="3"/>
  <c r="G1083" i="3"/>
  <c r="F1083" i="3"/>
  <c r="E1083" i="3"/>
  <c r="D1083" i="3"/>
  <c r="C1083" i="3"/>
  <c r="B1083" i="3"/>
  <c r="A1083" i="3"/>
  <c r="G1082" i="3"/>
  <c r="F1082" i="3"/>
  <c r="E1082" i="3"/>
  <c r="D1082" i="3"/>
  <c r="C1082" i="3"/>
  <c r="A1082" i="3"/>
  <c r="G1081" i="3"/>
  <c r="F1081" i="3"/>
  <c r="E1081" i="3"/>
  <c r="D1081" i="3"/>
  <c r="C1081" i="3"/>
  <c r="B1081" i="3"/>
  <c r="A1081" i="3"/>
  <c r="G1080" i="3"/>
  <c r="F1080" i="3"/>
  <c r="E1080" i="3"/>
  <c r="D1080" i="3"/>
  <c r="A1080" i="3"/>
  <c r="G1079" i="3"/>
  <c r="F1079" i="3"/>
  <c r="E1079" i="3"/>
  <c r="D1079" i="3"/>
  <c r="C1079" i="3"/>
  <c r="B1079" i="3"/>
  <c r="A1079" i="3"/>
  <c r="G1078" i="3"/>
  <c r="F1078" i="3"/>
  <c r="E1078" i="3"/>
  <c r="D1078" i="3"/>
  <c r="C1078" i="3"/>
  <c r="B1078" i="3"/>
  <c r="A1078" i="3"/>
  <c r="G1077" i="3"/>
  <c r="F1077" i="3"/>
  <c r="E1077" i="3"/>
  <c r="D1077" i="3"/>
  <c r="A1077" i="3"/>
  <c r="G1076" i="3"/>
  <c r="F1076" i="3"/>
  <c r="E1076" i="3"/>
  <c r="D1076" i="3"/>
  <c r="A1076" i="3"/>
  <c r="G1075" i="3"/>
  <c r="F1075" i="3"/>
  <c r="E1075" i="3"/>
  <c r="D1075" i="3"/>
  <c r="C1075" i="3"/>
  <c r="B1075" i="3"/>
  <c r="A1075" i="3"/>
  <c r="G1074" i="3"/>
  <c r="F1074" i="3"/>
  <c r="E1074" i="3"/>
  <c r="D1074" i="3"/>
  <c r="C1074" i="3"/>
  <c r="B1074" i="3"/>
  <c r="A1074" i="3"/>
  <c r="G1073" i="3"/>
  <c r="F1073" i="3"/>
  <c r="E1073" i="3"/>
  <c r="D1073" i="3"/>
  <c r="C1073" i="3"/>
  <c r="B1073" i="3"/>
  <c r="A1073" i="3"/>
  <c r="G1072" i="3"/>
  <c r="F1072" i="3"/>
  <c r="E1072" i="3"/>
  <c r="D1072" i="3"/>
  <c r="C1072" i="3"/>
  <c r="A1072" i="3"/>
  <c r="G1071" i="3"/>
  <c r="F1071" i="3"/>
  <c r="E1071" i="3"/>
  <c r="D1071" i="3"/>
  <c r="C1071" i="3"/>
  <c r="B1071" i="3"/>
  <c r="A1071" i="3"/>
  <c r="G1070" i="3"/>
  <c r="F1070" i="3"/>
  <c r="E1070" i="3"/>
  <c r="D1070" i="3"/>
  <c r="C1070" i="3"/>
  <c r="B1070" i="3"/>
  <c r="A1070" i="3"/>
  <c r="G1069" i="3"/>
  <c r="F1069" i="3"/>
  <c r="E1069" i="3"/>
  <c r="D1069" i="3"/>
  <c r="C1069" i="3"/>
  <c r="B1069" i="3"/>
  <c r="A1069" i="3"/>
  <c r="G1068" i="3"/>
  <c r="F1068" i="3"/>
  <c r="E1068" i="3"/>
  <c r="D1068" i="3"/>
  <c r="C1068" i="3"/>
  <c r="B1068" i="3"/>
  <c r="A1068" i="3"/>
  <c r="G1067" i="3"/>
  <c r="F1067" i="3"/>
  <c r="E1067" i="3"/>
  <c r="D1067" i="3"/>
  <c r="C1067" i="3"/>
  <c r="B1067" i="3"/>
  <c r="A1067" i="3"/>
  <c r="G1066" i="3"/>
  <c r="F1066" i="3"/>
  <c r="E1066" i="3"/>
  <c r="D1066" i="3"/>
  <c r="C1066" i="3"/>
  <c r="B1066" i="3"/>
  <c r="A1066" i="3"/>
  <c r="G1065" i="3"/>
  <c r="F1065" i="3"/>
  <c r="E1065" i="3"/>
  <c r="D1065" i="3"/>
  <c r="C1065" i="3"/>
  <c r="B1065" i="3"/>
  <c r="A1065" i="3"/>
  <c r="G1064" i="3"/>
  <c r="F1064" i="3"/>
  <c r="E1064" i="3"/>
  <c r="D1064" i="3"/>
  <c r="C1064" i="3"/>
  <c r="B1064" i="3"/>
  <c r="A1064" i="3"/>
  <c r="G1063" i="3"/>
  <c r="F1063" i="3"/>
  <c r="E1063" i="3"/>
  <c r="D1063" i="3"/>
  <c r="C1063" i="3"/>
  <c r="B1063" i="3"/>
  <c r="A1063" i="3"/>
  <c r="G1062" i="3"/>
  <c r="F1062" i="3"/>
  <c r="E1062" i="3"/>
  <c r="D1062" i="3"/>
  <c r="C1062" i="3"/>
  <c r="B1062" i="3"/>
  <c r="A1062" i="3"/>
  <c r="G1061" i="3"/>
  <c r="F1061" i="3"/>
  <c r="E1061" i="3"/>
  <c r="D1061" i="3"/>
  <c r="C1061" i="3"/>
  <c r="A1061" i="3"/>
  <c r="G1060" i="3"/>
  <c r="F1060" i="3"/>
  <c r="E1060" i="3"/>
  <c r="D1060" i="3"/>
  <c r="B1060" i="3"/>
  <c r="A1060" i="3"/>
  <c r="G1059" i="3"/>
  <c r="F1059" i="3"/>
  <c r="E1059" i="3"/>
  <c r="D1059" i="3"/>
  <c r="C1059" i="3"/>
  <c r="B1059" i="3"/>
  <c r="A1059" i="3"/>
  <c r="G1058" i="3"/>
  <c r="F1058" i="3"/>
  <c r="E1058" i="3"/>
  <c r="D1058" i="3"/>
  <c r="C1058" i="3"/>
  <c r="B1058" i="3"/>
  <c r="A1058" i="3"/>
  <c r="G1057" i="3"/>
  <c r="F1057" i="3"/>
  <c r="E1057" i="3"/>
  <c r="D1057" i="3"/>
  <c r="C1057" i="3"/>
  <c r="B1057" i="3"/>
  <c r="A1057" i="3"/>
  <c r="G1056" i="3"/>
  <c r="F1056" i="3"/>
  <c r="E1056" i="3"/>
  <c r="D1056" i="3"/>
  <c r="B1056" i="3"/>
  <c r="A1056" i="3"/>
  <c r="G1055" i="3"/>
  <c r="F1055" i="3"/>
  <c r="E1055" i="3"/>
  <c r="D1055" i="3"/>
  <c r="C1055" i="3"/>
  <c r="B1055" i="3"/>
  <c r="A1055" i="3"/>
  <c r="G1054" i="3"/>
  <c r="F1054" i="3"/>
  <c r="E1054" i="3"/>
  <c r="D1054" i="3"/>
  <c r="A1054" i="3"/>
  <c r="G1053" i="3"/>
  <c r="F1053" i="3"/>
  <c r="E1053" i="3"/>
  <c r="D1053" i="3"/>
  <c r="C1053" i="3"/>
  <c r="B1053" i="3"/>
  <c r="A1053" i="3"/>
  <c r="G1052" i="3"/>
  <c r="F1052" i="3"/>
  <c r="E1052" i="3"/>
  <c r="D1052" i="3"/>
  <c r="C1052" i="3"/>
  <c r="B1052" i="3"/>
  <c r="A1052" i="3"/>
  <c r="G1051" i="3"/>
  <c r="F1051" i="3"/>
  <c r="E1051" i="3"/>
  <c r="D1051" i="3"/>
  <c r="C1051" i="3"/>
  <c r="B1051" i="3"/>
  <c r="A1051" i="3"/>
  <c r="G1050" i="3"/>
  <c r="F1050" i="3"/>
  <c r="E1050" i="3"/>
  <c r="D1050" i="3"/>
  <c r="C1050" i="3"/>
  <c r="B1050" i="3"/>
  <c r="A1050" i="3"/>
  <c r="G1049" i="3"/>
  <c r="F1049" i="3"/>
  <c r="E1049" i="3"/>
  <c r="D1049" i="3"/>
  <c r="C1049" i="3"/>
  <c r="B1049" i="3"/>
  <c r="A1049" i="3"/>
  <c r="G1048" i="3"/>
  <c r="F1048" i="3"/>
  <c r="E1048" i="3"/>
  <c r="D1048" i="3"/>
  <c r="C1048" i="3"/>
  <c r="B1048" i="3"/>
  <c r="A1048" i="3"/>
  <c r="G1047" i="3"/>
  <c r="F1047" i="3"/>
  <c r="E1047" i="3"/>
  <c r="D1047" i="3"/>
  <c r="C1047" i="3"/>
  <c r="B1047" i="3"/>
  <c r="A1047" i="3"/>
  <c r="G1046" i="3"/>
  <c r="F1046" i="3"/>
  <c r="E1046" i="3"/>
  <c r="D1046" i="3"/>
  <c r="C1046" i="3"/>
  <c r="B1046" i="3"/>
  <c r="A1046" i="3"/>
  <c r="G1045" i="3"/>
  <c r="F1045" i="3"/>
  <c r="E1045" i="3"/>
  <c r="D1045" i="3"/>
  <c r="C1045" i="3"/>
  <c r="B1045" i="3"/>
  <c r="A1045" i="3"/>
  <c r="G1044" i="3"/>
  <c r="F1044" i="3"/>
  <c r="E1044" i="3"/>
  <c r="D1044" i="3"/>
  <c r="A1044" i="3"/>
  <c r="G1043" i="3"/>
  <c r="F1043" i="3"/>
  <c r="E1043" i="3"/>
  <c r="D1043" i="3"/>
  <c r="C1043" i="3"/>
  <c r="B1043" i="3"/>
  <c r="A1043" i="3"/>
  <c r="G1042" i="3"/>
  <c r="F1042" i="3"/>
  <c r="E1042" i="3"/>
  <c r="D1042" i="3"/>
  <c r="C1042" i="3"/>
  <c r="B1042" i="3"/>
  <c r="A1042" i="3"/>
  <c r="G1041" i="3"/>
  <c r="F1041" i="3"/>
  <c r="E1041" i="3"/>
  <c r="D1041" i="3"/>
  <c r="C1041" i="3"/>
  <c r="B1041" i="3"/>
  <c r="A1041" i="3"/>
  <c r="G1040" i="3"/>
  <c r="F1040" i="3"/>
  <c r="E1040" i="3"/>
  <c r="D1040" i="3"/>
  <c r="C1040" i="3"/>
  <c r="B1040" i="3"/>
  <c r="A1040" i="3"/>
  <c r="G1039" i="3"/>
  <c r="F1039" i="3"/>
  <c r="E1039" i="3"/>
  <c r="D1039" i="3"/>
  <c r="C1039" i="3"/>
  <c r="B1039" i="3"/>
  <c r="A1039" i="3"/>
  <c r="G1038" i="3"/>
  <c r="F1038" i="3"/>
  <c r="E1038" i="3"/>
  <c r="D1038" i="3"/>
  <c r="C1038" i="3"/>
  <c r="B1038" i="3"/>
  <c r="A1038" i="3"/>
  <c r="G1037" i="3"/>
  <c r="F1037" i="3"/>
  <c r="E1037" i="3"/>
  <c r="D1037" i="3"/>
  <c r="C1037" i="3"/>
  <c r="B1037" i="3"/>
  <c r="A1037" i="3"/>
  <c r="G1036" i="3"/>
  <c r="F1036" i="3"/>
  <c r="E1036" i="3"/>
  <c r="D1036" i="3"/>
  <c r="C1036" i="3"/>
  <c r="B1036" i="3"/>
  <c r="A1036" i="3"/>
  <c r="G1035" i="3"/>
  <c r="F1035" i="3"/>
  <c r="E1035" i="3"/>
  <c r="D1035" i="3"/>
  <c r="C1035" i="3"/>
  <c r="B1035" i="3"/>
  <c r="A1035" i="3"/>
  <c r="G1034" i="3"/>
  <c r="F1034" i="3"/>
  <c r="E1034" i="3"/>
  <c r="D1034" i="3"/>
  <c r="C1034" i="3"/>
  <c r="B1034" i="3"/>
  <c r="A1034" i="3"/>
  <c r="G1033" i="3"/>
  <c r="F1033" i="3"/>
  <c r="E1033" i="3"/>
  <c r="D1033" i="3"/>
  <c r="C1033" i="3"/>
  <c r="B1033" i="3"/>
  <c r="A1033" i="3"/>
  <c r="G1032" i="3"/>
  <c r="F1032" i="3"/>
  <c r="E1032" i="3"/>
  <c r="D1032" i="3"/>
  <c r="C1032" i="3"/>
  <c r="B1032" i="3"/>
  <c r="A1032" i="3"/>
  <c r="G1031" i="3"/>
  <c r="F1031" i="3"/>
  <c r="E1031" i="3"/>
  <c r="D1031" i="3"/>
  <c r="C1031" i="3"/>
  <c r="A1031" i="3"/>
  <c r="G1030" i="3"/>
  <c r="F1030" i="3"/>
  <c r="E1030" i="3"/>
  <c r="D1030" i="3"/>
  <c r="C1030" i="3"/>
  <c r="B1030" i="3"/>
  <c r="A1030" i="3"/>
  <c r="G1029" i="3"/>
  <c r="F1029" i="3"/>
  <c r="E1029" i="3"/>
  <c r="D1029" i="3"/>
  <c r="C1029" i="3"/>
  <c r="B1029" i="3"/>
  <c r="A1029" i="3"/>
  <c r="G1028" i="3"/>
  <c r="F1028" i="3"/>
  <c r="E1028" i="3"/>
  <c r="D1028" i="3"/>
  <c r="C1028" i="3"/>
  <c r="A1028" i="3"/>
  <c r="G1027" i="3"/>
  <c r="F1027" i="3"/>
  <c r="E1027" i="3"/>
  <c r="D1027" i="3"/>
  <c r="A1027" i="3"/>
  <c r="G1026" i="3"/>
  <c r="F1026" i="3"/>
  <c r="E1026" i="3"/>
  <c r="D1026" i="3"/>
  <c r="C1026" i="3"/>
  <c r="B1026" i="3"/>
  <c r="A1026" i="3"/>
  <c r="G1025" i="3"/>
  <c r="F1025" i="3"/>
  <c r="E1025" i="3"/>
  <c r="D1025" i="3"/>
  <c r="C1025" i="3"/>
  <c r="B1025" i="3"/>
  <c r="A1025" i="3"/>
  <c r="G1024" i="3"/>
  <c r="F1024" i="3"/>
  <c r="E1024" i="3"/>
  <c r="D1024" i="3"/>
  <c r="C1024" i="3"/>
  <c r="B1024" i="3"/>
  <c r="A1024" i="3"/>
  <c r="G1023" i="3"/>
  <c r="F1023" i="3"/>
  <c r="E1023" i="3"/>
  <c r="D1023" i="3"/>
  <c r="C1023" i="3"/>
  <c r="B1023" i="3"/>
  <c r="A1023" i="3"/>
  <c r="G1022" i="3"/>
  <c r="F1022" i="3"/>
  <c r="E1022" i="3"/>
  <c r="D1022" i="3"/>
  <c r="A1022" i="3"/>
  <c r="G1021" i="3"/>
  <c r="F1021" i="3"/>
  <c r="E1021" i="3"/>
  <c r="D1021" i="3"/>
  <c r="C1021" i="3"/>
  <c r="B1021" i="3"/>
  <c r="A1021" i="3"/>
  <c r="G1020" i="3"/>
  <c r="F1020" i="3"/>
  <c r="E1020" i="3"/>
  <c r="D1020" i="3"/>
  <c r="C1020" i="3"/>
  <c r="B1020" i="3"/>
  <c r="A1020" i="3"/>
  <c r="G1019" i="3"/>
  <c r="F1019" i="3"/>
  <c r="E1019" i="3"/>
  <c r="D1019" i="3"/>
  <c r="C1019" i="3"/>
  <c r="B1019" i="3"/>
  <c r="A1019" i="3"/>
  <c r="G1018" i="3"/>
  <c r="F1018" i="3"/>
  <c r="E1018" i="3"/>
  <c r="D1018" i="3"/>
  <c r="C1018" i="3"/>
  <c r="B1018" i="3"/>
  <c r="A1018" i="3"/>
  <c r="G1017" i="3"/>
  <c r="F1017" i="3"/>
  <c r="E1017" i="3"/>
  <c r="D1017" i="3"/>
  <c r="C1017" i="3"/>
  <c r="B1017" i="3"/>
  <c r="A1017" i="3"/>
  <c r="G1016" i="3"/>
  <c r="F1016" i="3"/>
  <c r="E1016" i="3"/>
  <c r="D1016" i="3"/>
  <c r="A1016" i="3"/>
  <c r="G1015" i="3"/>
  <c r="F1015" i="3"/>
  <c r="E1015" i="3"/>
  <c r="D1015" i="3"/>
  <c r="C1015" i="3"/>
  <c r="A1015" i="3"/>
  <c r="G1014" i="3"/>
  <c r="F1014" i="3"/>
  <c r="E1014" i="3"/>
  <c r="D1014" i="3"/>
  <c r="C1014" i="3"/>
  <c r="B1014" i="3"/>
  <c r="A1014" i="3"/>
  <c r="G1013" i="3"/>
  <c r="F1013" i="3"/>
  <c r="E1013" i="3"/>
  <c r="D1013" i="3"/>
  <c r="C1013" i="3"/>
  <c r="B1013" i="3"/>
  <c r="A1013" i="3"/>
  <c r="G1012" i="3"/>
  <c r="F1012" i="3"/>
  <c r="E1012" i="3"/>
  <c r="D1012" i="3"/>
  <c r="C1012" i="3"/>
  <c r="B1012" i="3"/>
  <c r="A1012" i="3"/>
  <c r="G1011" i="3"/>
  <c r="F1011" i="3"/>
  <c r="E1011" i="3"/>
  <c r="D1011" i="3"/>
  <c r="C1011" i="3"/>
  <c r="B1011" i="3"/>
  <c r="A1011" i="3"/>
  <c r="G1010" i="3"/>
  <c r="F1010" i="3"/>
  <c r="E1010" i="3"/>
  <c r="D1010" i="3"/>
  <c r="C1010" i="3"/>
  <c r="B1010" i="3"/>
  <c r="A1010" i="3"/>
  <c r="G1009" i="3"/>
  <c r="F1009" i="3"/>
  <c r="E1009" i="3"/>
  <c r="D1009" i="3"/>
  <c r="A1009" i="3"/>
  <c r="G1008" i="3"/>
  <c r="F1008" i="3"/>
  <c r="E1008" i="3"/>
  <c r="D1008" i="3"/>
  <c r="C1008" i="3"/>
  <c r="A1008" i="3"/>
  <c r="G1007" i="3"/>
  <c r="F1007" i="3"/>
  <c r="E1007" i="3"/>
  <c r="D1007" i="3"/>
  <c r="C1007" i="3"/>
  <c r="A1007" i="3"/>
  <c r="G1006" i="3"/>
  <c r="F1006" i="3"/>
  <c r="E1006" i="3"/>
  <c r="D1006" i="3"/>
  <c r="C1006" i="3"/>
  <c r="A1006" i="3"/>
  <c r="G1005" i="3"/>
  <c r="F1005" i="3"/>
  <c r="E1005" i="3"/>
  <c r="D1005" i="3"/>
  <c r="C1005" i="3"/>
  <c r="B1005" i="3"/>
  <c r="A1005" i="3"/>
  <c r="G1004" i="3"/>
  <c r="F1004" i="3"/>
  <c r="E1004" i="3"/>
  <c r="D1004" i="3"/>
  <c r="C1004" i="3"/>
  <c r="B1004" i="3"/>
  <c r="A1004" i="3"/>
  <c r="G1003" i="3"/>
  <c r="F1003" i="3"/>
  <c r="E1003" i="3"/>
  <c r="D1003" i="3"/>
  <c r="B1003" i="3"/>
  <c r="A1003" i="3"/>
  <c r="G1002" i="3"/>
  <c r="F1002" i="3"/>
  <c r="E1002" i="3"/>
  <c r="D1002" i="3"/>
  <c r="C1002" i="3"/>
  <c r="B1002" i="3"/>
  <c r="A1002" i="3"/>
  <c r="G1001" i="3"/>
  <c r="F1001" i="3"/>
  <c r="E1001" i="3"/>
  <c r="D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B996" i="3"/>
  <c r="A996" i="3"/>
  <c r="G995" i="3"/>
  <c r="F995" i="3"/>
  <c r="E995" i="3"/>
  <c r="D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A981" i="3"/>
  <c r="G980" i="3"/>
  <c r="F980" i="3"/>
  <c r="E980" i="3"/>
  <c r="D980" i="3"/>
  <c r="A980" i="3"/>
  <c r="G979" i="3"/>
  <c r="F979" i="3"/>
  <c r="E979" i="3"/>
  <c r="D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A956" i="3"/>
  <c r="G955" i="3"/>
  <c r="F955" i="3"/>
  <c r="E955" i="3"/>
  <c r="D955" i="3"/>
  <c r="A955" i="3"/>
  <c r="G954" i="3"/>
  <c r="F954" i="3"/>
  <c r="E954" i="3"/>
  <c r="D954" i="3"/>
  <c r="C954" i="3"/>
  <c r="B954" i="3"/>
  <c r="A954" i="3"/>
  <c r="G953" i="3"/>
  <c r="F953" i="3"/>
  <c r="E953" i="3"/>
  <c r="D953" i="3"/>
  <c r="C953" i="3"/>
  <c r="A953" i="3"/>
  <c r="G952" i="3"/>
  <c r="F952" i="3"/>
  <c r="E952" i="3"/>
  <c r="D952" i="3"/>
  <c r="C952" i="3"/>
  <c r="B952" i="3"/>
  <c r="A952" i="3"/>
  <c r="G951" i="3"/>
  <c r="F951" i="3"/>
  <c r="E951" i="3"/>
  <c r="D951" i="3"/>
  <c r="A951" i="3"/>
  <c r="G950" i="3"/>
  <c r="F950" i="3"/>
  <c r="E950" i="3"/>
  <c r="D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A945" i="3"/>
  <c r="G944" i="3"/>
  <c r="F944" i="3"/>
  <c r="E944" i="3"/>
  <c r="D944" i="3"/>
  <c r="C944" i="3"/>
  <c r="B944" i="3"/>
  <c r="A944" i="3"/>
  <c r="G943" i="3"/>
  <c r="F943" i="3"/>
  <c r="E943" i="3"/>
  <c r="D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A939" i="3"/>
  <c r="G938" i="3"/>
  <c r="F938" i="3"/>
  <c r="E938" i="3"/>
  <c r="D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A934" i="3"/>
  <c r="G933" i="3"/>
  <c r="F933" i="3"/>
  <c r="E933" i="3"/>
  <c r="D933" i="3"/>
  <c r="C933" i="3"/>
  <c r="B933" i="3"/>
  <c r="A933" i="3"/>
  <c r="G932" i="3"/>
  <c r="F932" i="3"/>
  <c r="E932" i="3"/>
  <c r="D932" i="3"/>
  <c r="B932" i="3"/>
  <c r="A932" i="3"/>
  <c r="G931" i="3"/>
  <c r="F931" i="3"/>
  <c r="E931" i="3"/>
  <c r="D931" i="3"/>
  <c r="C931" i="3"/>
  <c r="B931" i="3"/>
  <c r="A931" i="3"/>
  <c r="G930" i="3"/>
  <c r="F930" i="3"/>
  <c r="E930" i="3"/>
  <c r="D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A926" i="3"/>
  <c r="G925" i="3"/>
  <c r="F925" i="3"/>
  <c r="E925" i="3"/>
  <c r="D925" i="3"/>
  <c r="C925" i="3"/>
  <c r="A925" i="3"/>
  <c r="G924" i="3"/>
  <c r="F924" i="3"/>
  <c r="E924" i="3"/>
  <c r="D924" i="3"/>
  <c r="C924" i="3"/>
  <c r="B924" i="3"/>
  <c r="A924" i="3"/>
  <c r="G923" i="3"/>
  <c r="F923" i="3"/>
  <c r="E923" i="3"/>
  <c r="D923" i="3"/>
  <c r="A923" i="3"/>
  <c r="G922" i="3"/>
  <c r="F922" i="3"/>
  <c r="E922" i="3"/>
  <c r="D922" i="3"/>
  <c r="A922" i="3"/>
  <c r="G921" i="3"/>
  <c r="F921" i="3"/>
  <c r="E921" i="3"/>
  <c r="D921" i="3"/>
  <c r="C921" i="3"/>
  <c r="B921" i="3"/>
  <c r="A921" i="3"/>
  <c r="G920" i="3"/>
  <c r="F920" i="3"/>
  <c r="E920" i="3"/>
  <c r="D920" i="3"/>
  <c r="C920" i="3"/>
  <c r="A920" i="3"/>
  <c r="G919" i="3"/>
  <c r="F919" i="3"/>
  <c r="E919" i="3"/>
  <c r="D919" i="3"/>
  <c r="C919" i="3"/>
  <c r="B919" i="3"/>
  <c r="A919" i="3"/>
  <c r="G918" i="3"/>
  <c r="F918" i="3"/>
  <c r="E918" i="3"/>
  <c r="D918" i="3"/>
  <c r="C918" i="3"/>
  <c r="B918" i="3"/>
  <c r="A918" i="3"/>
  <c r="G917" i="3"/>
  <c r="F917" i="3"/>
  <c r="E917" i="3"/>
  <c r="D917" i="3"/>
  <c r="C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A913" i="3"/>
  <c r="G912" i="3"/>
  <c r="F912" i="3"/>
  <c r="E912" i="3"/>
  <c r="D912" i="3"/>
  <c r="C912" i="3"/>
  <c r="B912" i="3"/>
  <c r="A912" i="3"/>
  <c r="G911" i="3"/>
  <c r="F911" i="3"/>
  <c r="E911" i="3"/>
  <c r="D911" i="3"/>
  <c r="A911" i="3"/>
  <c r="G910" i="3"/>
  <c r="F910" i="3"/>
  <c r="E910" i="3"/>
  <c r="D910" i="3"/>
  <c r="B910" i="3"/>
  <c r="A910" i="3"/>
  <c r="G909" i="3"/>
  <c r="F909" i="3"/>
  <c r="E909" i="3"/>
  <c r="D909" i="3"/>
  <c r="C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A899" i="3"/>
  <c r="G898" i="3"/>
  <c r="F898" i="3"/>
  <c r="E898" i="3"/>
  <c r="D898" i="3"/>
  <c r="C898" i="3"/>
  <c r="A898" i="3"/>
  <c r="G897" i="3"/>
  <c r="F897" i="3"/>
  <c r="E897" i="3"/>
  <c r="D897" i="3"/>
  <c r="C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A889" i="3"/>
  <c r="G888" i="3"/>
  <c r="F888" i="3"/>
  <c r="E888" i="3"/>
  <c r="D888" i="3"/>
  <c r="C888" i="3"/>
  <c r="A888" i="3"/>
  <c r="G887" i="3"/>
  <c r="F887" i="3"/>
  <c r="E887" i="3"/>
  <c r="D887" i="3"/>
  <c r="A887" i="3"/>
  <c r="G886" i="3"/>
  <c r="F886" i="3"/>
  <c r="E886" i="3"/>
  <c r="D886" i="3"/>
  <c r="C886" i="3"/>
  <c r="A886" i="3"/>
  <c r="G885" i="3"/>
  <c r="F885" i="3"/>
  <c r="E885" i="3"/>
  <c r="D885" i="3"/>
  <c r="C885" i="3"/>
  <c r="B885" i="3"/>
  <c r="A885" i="3"/>
  <c r="G884" i="3"/>
  <c r="F884" i="3"/>
  <c r="E884" i="3"/>
  <c r="D884" i="3"/>
  <c r="C884" i="3"/>
  <c r="B884" i="3"/>
  <c r="A884" i="3"/>
  <c r="G883" i="3"/>
  <c r="F883" i="3"/>
  <c r="E883" i="3"/>
  <c r="D883" i="3"/>
  <c r="C883" i="3"/>
  <c r="A883" i="3"/>
  <c r="G882" i="3"/>
  <c r="F882" i="3"/>
  <c r="E882" i="3"/>
  <c r="D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A868" i="3"/>
  <c r="G867" i="3"/>
  <c r="F867" i="3"/>
  <c r="E867" i="3"/>
  <c r="D867" i="3"/>
  <c r="C867" i="3"/>
  <c r="B867" i="3"/>
  <c r="A867" i="3"/>
  <c r="G866" i="3"/>
  <c r="F866" i="3"/>
  <c r="E866" i="3"/>
  <c r="D866" i="3"/>
  <c r="A866" i="3"/>
  <c r="G865" i="3"/>
  <c r="F865" i="3"/>
  <c r="E865" i="3"/>
  <c r="D865" i="3"/>
  <c r="C865" i="3"/>
  <c r="B865" i="3"/>
  <c r="A865" i="3"/>
  <c r="G864" i="3"/>
  <c r="F864" i="3"/>
  <c r="E864" i="3"/>
  <c r="D864" i="3"/>
  <c r="C864" i="3"/>
  <c r="B864" i="3"/>
  <c r="A864" i="3"/>
  <c r="G863" i="3"/>
  <c r="F863" i="3"/>
  <c r="E863" i="3"/>
  <c r="D863" i="3"/>
  <c r="A863" i="3"/>
  <c r="G862" i="3"/>
  <c r="F862" i="3"/>
  <c r="E862" i="3"/>
  <c r="D862" i="3"/>
  <c r="A862" i="3"/>
  <c r="G861" i="3"/>
  <c r="F861" i="3"/>
  <c r="E861" i="3"/>
  <c r="D861" i="3"/>
  <c r="C861" i="3"/>
  <c r="B861" i="3"/>
  <c r="A861" i="3"/>
  <c r="G860" i="3"/>
  <c r="F860" i="3"/>
  <c r="E860" i="3"/>
  <c r="D860" i="3"/>
  <c r="C860" i="3"/>
  <c r="B860" i="3"/>
  <c r="A860" i="3"/>
  <c r="G859" i="3"/>
  <c r="F859" i="3"/>
  <c r="E859" i="3"/>
  <c r="D859" i="3"/>
  <c r="C859" i="3"/>
  <c r="A859" i="3"/>
  <c r="G858" i="3"/>
  <c r="F858" i="3"/>
  <c r="E858" i="3"/>
  <c r="D858" i="3"/>
  <c r="C858" i="3"/>
  <c r="A858" i="3"/>
  <c r="G857" i="3"/>
  <c r="F857" i="3"/>
  <c r="E857" i="3"/>
  <c r="D857" i="3"/>
  <c r="C857" i="3"/>
  <c r="A857" i="3"/>
  <c r="G856" i="3"/>
  <c r="F856" i="3"/>
  <c r="E856" i="3"/>
  <c r="D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A839" i="3"/>
  <c r="G838" i="3"/>
  <c r="F838" i="3"/>
  <c r="E838" i="3"/>
  <c r="D838" i="3"/>
  <c r="A838" i="3"/>
  <c r="G837" i="3"/>
  <c r="F837" i="3"/>
  <c r="E837" i="3"/>
  <c r="D837" i="3"/>
  <c r="C837" i="3"/>
  <c r="B837" i="3"/>
  <c r="A837" i="3"/>
  <c r="G836" i="3"/>
  <c r="F836" i="3"/>
  <c r="E836" i="3"/>
  <c r="D836" i="3"/>
  <c r="C836" i="3"/>
  <c r="B836" i="3"/>
  <c r="A836" i="3"/>
  <c r="G835" i="3"/>
  <c r="F835" i="3"/>
  <c r="E835" i="3"/>
  <c r="D835" i="3"/>
  <c r="A835" i="3"/>
  <c r="G834" i="3"/>
  <c r="F834" i="3"/>
  <c r="E834" i="3"/>
  <c r="D834" i="3"/>
  <c r="C834" i="3"/>
  <c r="B834" i="3"/>
  <c r="A834" i="3"/>
  <c r="G833" i="3"/>
  <c r="F833" i="3"/>
  <c r="E833" i="3"/>
  <c r="D833" i="3"/>
  <c r="A833" i="3"/>
  <c r="G832" i="3"/>
  <c r="F832" i="3"/>
  <c r="E832" i="3"/>
  <c r="D832" i="3"/>
  <c r="C832" i="3"/>
  <c r="A832" i="3"/>
  <c r="G831" i="3"/>
  <c r="F831" i="3"/>
  <c r="E831" i="3"/>
  <c r="D831" i="3"/>
  <c r="C831" i="3"/>
  <c r="A831" i="3"/>
  <c r="G830" i="3"/>
  <c r="F830" i="3"/>
  <c r="E830" i="3"/>
  <c r="D830" i="3"/>
  <c r="C830" i="3"/>
  <c r="B830" i="3"/>
  <c r="A830" i="3"/>
  <c r="G829" i="3"/>
  <c r="F829" i="3"/>
  <c r="E829" i="3"/>
  <c r="D829" i="3"/>
  <c r="C829" i="3"/>
  <c r="B829" i="3"/>
  <c r="A829" i="3"/>
  <c r="G828" i="3"/>
  <c r="F828" i="3"/>
  <c r="E828" i="3"/>
  <c r="D828" i="3"/>
  <c r="A828" i="3"/>
  <c r="G827" i="3"/>
  <c r="F827" i="3"/>
  <c r="E827" i="3"/>
  <c r="D827" i="3"/>
  <c r="B827" i="3"/>
  <c r="A827" i="3"/>
  <c r="G826" i="3"/>
  <c r="F826" i="3"/>
  <c r="E826" i="3"/>
  <c r="D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A818" i="3"/>
  <c r="G817" i="3"/>
  <c r="F817" i="3"/>
  <c r="E817" i="3"/>
  <c r="D817" i="3"/>
  <c r="A817" i="3"/>
  <c r="G816" i="3"/>
  <c r="F816" i="3"/>
  <c r="E816" i="3"/>
  <c r="D816" i="3"/>
  <c r="C816" i="3"/>
  <c r="B816" i="3"/>
  <c r="A816" i="3"/>
  <c r="G815" i="3"/>
  <c r="F815" i="3"/>
  <c r="E815" i="3"/>
  <c r="D815" i="3"/>
  <c r="C815" i="3"/>
  <c r="B815" i="3"/>
  <c r="A815" i="3"/>
  <c r="G814" i="3"/>
  <c r="F814" i="3"/>
  <c r="E814" i="3"/>
  <c r="D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A810" i="3"/>
  <c r="G809" i="3"/>
  <c r="F809" i="3"/>
  <c r="E809" i="3"/>
  <c r="D809" i="3"/>
  <c r="C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A798" i="3"/>
  <c r="G797" i="3"/>
  <c r="F797" i="3"/>
  <c r="E797" i="3"/>
  <c r="D797" i="3"/>
  <c r="A797" i="3"/>
  <c r="G796" i="3"/>
  <c r="F796" i="3"/>
  <c r="E796" i="3"/>
  <c r="D796" i="3"/>
  <c r="C796" i="3"/>
  <c r="A796" i="3"/>
  <c r="G795" i="3"/>
  <c r="F795" i="3"/>
  <c r="E795" i="3"/>
  <c r="D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A791" i="3"/>
  <c r="G790" i="3"/>
  <c r="F790" i="3"/>
  <c r="E790" i="3"/>
  <c r="D790" i="3"/>
  <c r="A790" i="3"/>
  <c r="G789" i="3"/>
  <c r="F789" i="3"/>
  <c r="E789" i="3"/>
  <c r="D789" i="3"/>
  <c r="A789" i="3"/>
  <c r="G788" i="3"/>
  <c r="F788" i="3"/>
  <c r="E788" i="3"/>
  <c r="D788" i="3"/>
  <c r="C788" i="3"/>
  <c r="B788" i="3"/>
  <c r="A788" i="3"/>
  <c r="G787" i="3"/>
  <c r="F787" i="3"/>
  <c r="E787" i="3"/>
  <c r="D787" i="3"/>
  <c r="A787" i="3"/>
  <c r="G786" i="3"/>
  <c r="F786" i="3"/>
  <c r="E786" i="3"/>
  <c r="D786" i="3"/>
  <c r="C786" i="3"/>
  <c r="B786" i="3"/>
  <c r="A786" i="3"/>
  <c r="G785" i="3"/>
  <c r="F785" i="3"/>
  <c r="E785" i="3"/>
  <c r="D785" i="3"/>
  <c r="C785" i="3"/>
  <c r="B785" i="3"/>
  <c r="A785" i="3"/>
  <c r="G784" i="3"/>
  <c r="F784" i="3"/>
  <c r="E784" i="3"/>
  <c r="D784" i="3"/>
  <c r="C784" i="3"/>
  <c r="A784" i="3"/>
  <c r="G783" i="3"/>
  <c r="F783" i="3"/>
  <c r="E783" i="3"/>
  <c r="D783" i="3"/>
  <c r="A783" i="3"/>
  <c r="G782" i="3"/>
  <c r="F782" i="3"/>
  <c r="E782" i="3"/>
  <c r="D782" i="3"/>
  <c r="C782" i="3"/>
  <c r="B782" i="3"/>
  <c r="A782" i="3"/>
  <c r="G781" i="3"/>
  <c r="F781" i="3"/>
  <c r="E781" i="3"/>
  <c r="D781" i="3"/>
  <c r="C781" i="3"/>
  <c r="A781" i="3"/>
  <c r="G780" i="3"/>
  <c r="F780" i="3"/>
  <c r="E780" i="3"/>
  <c r="D780" i="3"/>
  <c r="C780" i="3"/>
  <c r="A780" i="3"/>
  <c r="G779" i="3"/>
  <c r="F779" i="3"/>
  <c r="E779" i="3"/>
  <c r="D779" i="3"/>
  <c r="C779" i="3"/>
  <c r="B779" i="3"/>
  <c r="A779" i="3"/>
  <c r="G778" i="3"/>
  <c r="F778" i="3"/>
  <c r="E778" i="3"/>
  <c r="D778" i="3"/>
  <c r="C778" i="3"/>
  <c r="A778" i="3"/>
  <c r="G777" i="3"/>
  <c r="F777" i="3"/>
  <c r="E777" i="3"/>
  <c r="D777" i="3"/>
  <c r="C777" i="3"/>
  <c r="B777" i="3"/>
  <c r="A777" i="3"/>
  <c r="G776" i="3"/>
  <c r="F776" i="3"/>
  <c r="E776" i="3"/>
  <c r="D776" i="3"/>
  <c r="C776" i="3"/>
  <c r="B776" i="3"/>
  <c r="A776" i="3"/>
  <c r="G775" i="3"/>
  <c r="F775" i="3"/>
  <c r="E775" i="3"/>
  <c r="D775" i="3"/>
  <c r="A775" i="3"/>
  <c r="G774" i="3"/>
  <c r="F774" i="3"/>
  <c r="E774" i="3"/>
  <c r="D774" i="3"/>
  <c r="C774" i="3"/>
  <c r="B774" i="3"/>
  <c r="A774" i="3"/>
  <c r="G773" i="3"/>
  <c r="F773" i="3"/>
  <c r="E773" i="3"/>
  <c r="D773" i="3"/>
  <c r="C773" i="3"/>
  <c r="B773" i="3"/>
  <c r="A773" i="3"/>
  <c r="G772" i="3"/>
  <c r="F772" i="3"/>
  <c r="E772" i="3"/>
  <c r="D772" i="3"/>
  <c r="A772" i="3"/>
  <c r="G771" i="3"/>
  <c r="F771" i="3"/>
  <c r="E771" i="3"/>
  <c r="D771" i="3"/>
  <c r="C771" i="3"/>
  <c r="A771" i="3"/>
  <c r="G770" i="3"/>
  <c r="F770" i="3"/>
  <c r="E770" i="3"/>
  <c r="D770" i="3"/>
  <c r="C770" i="3"/>
  <c r="A770" i="3"/>
  <c r="G769" i="3"/>
  <c r="F769" i="3"/>
  <c r="E769" i="3"/>
  <c r="D769" i="3"/>
  <c r="C769" i="3"/>
  <c r="B769" i="3"/>
  <c r="A769" i="3"/>
  <c r="G768" i="3"/>
  <c r="F768" i="3"/>
  <c r="E768" i="3"/>
  <c r="D768" i="3"/>
  <c r="C768" i="3"/>
  <c r="A768" i="3"/>
  <c r="G767" i="3"/>
  <c r="F767" i="3"/>
  <c r="E767" i="3"/>
  <c r="D767" i="3"/>
  <c r="B767" i="3"/>
  <c r="A767" i="3"/>
  <c r="G766" i="3"/>
  <c r="F766" i="3"/>
  <c r="E766" i="3"/>
  <c r="D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A762" i="3"/>
  <c r="G761" i="3"/>
  <c r="F761" i="3"/>
  <c r="E761" i="3"/>
  <c r="D761" i="3"/>
  <c r="A761" i="3"/>
  <c r="G760" i="3"/>
  <c r="F760" i="3"/>
  <c r="E760" i="3"/>
  <c r="D760" i="3"/>
  <c r="C760" i="3"/>
  <c r="A760" i="3"/>
  <c r="G759" i="3"/>
  <c r="F759" i="3"/>
  <c r="E759" i="3"/>
  <c r="D759" i="3"/>
  <c r="C759" i="3"/>
  <c r="A759" i="3"/>
  <c r="G758" i="3"/>
  <c r="F758" i="3"/>
  <c r="E758" i="3"/>
  <c r="D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A742" i="3"/>
  <c r="G741" i="3"/>
  <c r="F741" i="3"/>
  <c r="E741" i="3"/>
  <c r="D741" i="3"/>
  <c r="C741" i="3"/>
  <c r="B741" i="3"/>
  <c r="A741" i="3"/>
  <c r="G740" i="3"/>
  <c r="F740" i="3"/>
  <c r="E740" i="3"/>
  <c r="D740" i="3"/>
  <c r="C740" i="3"/>
  <c r="B740" i="3"/>
  <c r="A740" i="3"/>
  <c r="G739" i="3"/>
  <c r="F739" i="3"/>
  <c r="E739" i="3"/>
  <c r="D739" i="3"/>
  <c r="A739" i="3"/>
  <c r="G738" i="3"/>
  <c r="F738" i="3"/>
  <c r="E738" i="3"/>
  <c r="D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A720" i="3"/>
  <c r="G719" i="3"/>
  <c r="F719" i="3"/>
  <c r="E719" i="3"/>
  <c r="D719" i="3"/>
  <c r="A719" i="3"/>
  <c r="G718" i="3"/>
  <c r="F718" i="3"/>
  <c r="E718" i="3"/>
  <c r="D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A707" i="3"/>
  <c r="G706" i="3"/>
  <c r="F706" i="3"/>
  <c r="E706" i="3"/>
  <c r="D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A696" i="3"/>
  <c r="G695" i="3"/>
  <c r="F695" i="3"/>
  <c r="E695" i="3"/>
  <c r="D695" i="3"/>
  <c r="A695" i="3"/>
  <c r="G694" i="3"/>
  <c r="F694" i="3"/>
  <c r="E694" i="3"/>
  <c r="D694" i="3"/>
  <c r="C694" i="3"/>
  <c r="A694" i="3"/>
  <c r="G693" i="3"/>
  <c r="F693" i="3"/>
  <c r="E693" i="3"/>
  <c r="D693" i="3"/>
  <c r="C693" i="3"/>
  <c r="B693" i="3"/>
  <c r="A693" i="3"/>
  <c r="G692" i="3"/>
  <c r="F692" i="3"/>
  <c r="E692" i="3"/>
  <c r="D692" i="3"/>
  <c r="A692" i="3"/>
  <c r="G691" i="3"/>
  <c r="F691" i="3"/>
  <c r="E691" i="3"/>
  <c r="D691" i="3"/>
  <c r="C691" i="3"/>
  <c r="B691" i="3"/>
  <c r="A691" i="3"/>
  <c r="G690" i="3"/>
  <c r="F690" i="3"/>
  <c r="E690" i="3"/>
  <c r="D690" i="3"/>
  <c r="C690" i="3"/>
  <c r="B690" i="3"/>
  <c r="A690" i="3"/>
  <c r="G689" i="3"/>
  <c r="F689" i="3"/>
  <c r="E689" i="3"/>
  <c r="D689" i="3"/>
  <c r="A689" i="3"/>
  <c r="G688" i="3"/>
  <c r="F688" i="3"/>
  <c r="E688" i="3"/>
  <c r="D688" i="3"/>
  <c r="C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A684" i="3"/>
  <c r="E683" i="3"/>
  <c r="D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C672" i="3"/>
  <c r="B672" i="3"/>
  <c r="A672" i="3"/>
  <c r="G671" i="3"/>
  <c r="F671" i="3"/>
  <c r="E671" i="3"/>
  <c r="D671" i="3"/>
  <c r="C671" i="3"/>
  <c r="B671" i="3"/>
  <c r="A671" i="3"/>
  <c r="G670" i="3"/>
  <c r="F670" i="3"/>
  <c r="E670" i="3"/>
  <c r="D670" i="3"/>
  <c r="C670" i="3"/>
  <c r="B670" i="3"/>
  <c r="A670" i="3"/>
  <c r="G669" i="3"/>
  <c r="F669" i="3"/>
  <c r="E669" i="3"/>
  <c r="D669" i="3"/>
  <c r="B669" i="3"/>
  <c r="A669" i="3"/>
  <c r="G668" i="3"/>
  <c r="F668" i="3"/>
  <c r="E668" i="3"/>
  <c r="D668" i="3"/>
  <c r="C668" i="3"/>
  <c r="B668" i="3"/>
  <c r="A668" i="3"/>
  <c r="G667" i="3"/>
  <c r="F667" i="3"/>
  <c r="E667" i="3"/>
  <c r="D667" i="3"/>
  <c r="B667" i="3"/>
  <c r="A667" i="3"/>
  <c r="G666" i="3"/>
  <c r="F666" i="3"/>
  <c r="E666" i="3"/>
  <c r="D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B662" i="3"/>
  <c r="A662" i="3"/>
  <c r="G661" i="3"/>
  <c r="F661" i="3"/>
  <c r="E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C657" i="3"/>
  <c r="B657" i="3"/>
  <c r="A657" i="3"/>
  <c r="G656" i="3"/>
  <c r="F656" i="3"/>
  <c r="E656" i="3"/>
  <c r="D656" i="3"/>
  <c r="A656" i="3"/>
  <c r="G655" i="3"/>
  <c r="F655" i="3"/>
  <c r="E655" i="3"/>
  <c r="D655" i="3"/>
  <c r="A655" i="3"/>
  <c r="G654" i="3"/>
  <c r="F654" i="3"/>
  <c r="E654" i="3"/>
  <c r="A654" i="3"/>
  <c r="G653" i="3"/>
  <c r="F653" i="3"/>
  <c r="E653" i="3"/>
  <c r="D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A646" i="3"/>
  <c r="G645" i="3"/>
  <c r="F645" i="3"/>
  <c r="E645" i="3"/>
  <c r="D645" i="3"/>
  <c r="C645" i="3"/>
  <c r="B645" i="3"/>
  <c r="A645" i="3"/>
  <c r="G644" i="3"/>
  <c r="F644" i="3"/>
  <c r="E644" i="3"/>
  <c r="D644" i="3"/>
  <c r="A644" i="3"/>
  <c r="G643" i="3"/>
  <c r="F643" i="3"/>
  <c r="E643" i="3"/>
  <c r="D643" i="3"/>
  <c r="B643" i="3"/>
  <c r="A643" i="3"/>
  <c r="G642" i="3"/>
  <c r="F642" i="3"/>
  <c r="E642" i="3"/>
  <c r="D642" i="3"/>
  <c r="A642" i="3"/>
  <c r="G641" i="3"/>
  <c r="F641" i="3"/>
  <c r="E641" i="3"/>
  <c r="A641" i="3"/>
  <c r="G640" i="3"/>
  <c r="F640" i="3"/>
  <c r="E640" i="3"/>
  <c r="A640" i="3"/>
  <c r="G639" i="3"/>
  <c r="F639" i="3"/>
  <c r="E639" i="3"/>
  <c r="C639" i="3"/>
  <c r="B639" i="3"/>
  <c r="A639" i="3"/>
  <c r="G638" i="3"/>
  <c r="F638" i="3"/>
  <c r="E638" i="3"/>
  <c r="D638" i="3"/>
  <c r="B638" i="3"/>
  <c r="A638" i="3"/>
  <c r="G637" i="3"/>
  <c r="F637" i="3"/>
  <c r="E637" i="3"/>
  <c r="D637" i="3"/>
  <c r="C637" i="3"/>
  <c r="B637" i="3"/>
  <c r="A637" i="3"/>
  <c r="G636" i="3"/>
  <c r="F636" i="3"/>
  <c r="E636" i="3"/>
  <c r="D636" i="3"/>
  <c r="A636" i="3"/>
  <c r="G635" i="3"/>
  <c r="F635" i="3"/>
  <c r="E635" i="3"/>
  <c r="D635" i="3"/>
  <c r="C635" i="3"/>
  <c r="B635" i="3"/>
  <c r="A635" i="3"/>
  <c r="G634" i="3"/>
  <c r="F634" i="3"/>
  <c r="E634" i="3"/>
  <c r="D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A630" i="3"/>
  <c r="G629" i="3"/>
  <c r="F629" i="3"/>
  <c r="E629" i="3"/>
  <c r="C629" i="3"/>
  <c r="B629" i="3"/>
  <c r="A629" i="3"/>
  <c r="G628" i="3"/>
  <c r="F628" i="3"/>
  <c r="E628" i="3"/>
  <c r="A628" i="3"/>
  <c r="G627" i="3"/>
  <c r="F627" i="3"/>
  <c r="E627" i="3"/>
  <c r="D627" i="3"/>
  <c r="C627" i="3"/>
  <c r="B627" i="3"/>
  <c r="A627" i="3"/>
  <c r="G626" i="3"/>
  <c r="F626" i="3"/>
  <c r="E626" i="3"/>
  <c r="D626" i="3"/>
  <c r="A626" i="3"/>
  <c r="G625" i="3"/>
  <c r="F625" i="3"/>
  <c r="E625" i="3"/>
  <c r="D625" i="3"/>
  <c r="A625" i="3"/>
  <c r="G624" i="3"/>
  <c r="F624" i="3"/>
  <c r="E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A620" i="3"/>
  <c r="G619" i="3"/>
  <c r="F619" i="3"/>
  <c r="E619" i="3"/>
  <c r="D619" i="3"/>
  <c r="B619" i="3"/>
  <c r="A619" i="3"/>
  <c r="G618" i="3"/>
  <c r="F618" i="3"/>
  <c r="E618" i="3"/>
  <c r="D618" i="3"/>
  <c r="C618" i="3"/>
  <c r="B618" i="3"/>
  <c r="A618" i="3"/>
  <c r="G617" i="3"/>
  <c r="F617" i="3"/>
  <c r="E617" i="3"/>
  <c r="D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A611" i="3"/>
  <c r="G610" i="3"/>
  <c r="F610" i="3"/>
  <c r="E610" i="3"/>
  <c r="D610" i="3"/>
  <c r="A610" i="3"/>
  <c r="G609" i="3"/>
  <c r="F609" i="3"/>
  <c r="E609" i="3"/>
  <c r="D609" i="3"/>
  <c r="A609" i="3"/>
  <c r="G608" i="3"/>
  <c r="F608" i="3"/>
  <c r="E608" i="3"/>
  <c r="A608" i="3"/>
  <c r="G607" i="3"/>
  <c r="F607" i="3"/>
  <c r="E607" i="3"/>
  <c r="A607" i="3"/>
  <c r="G606" i="3"/>
  <c r="F606" i="3"/>
  <c r="E606" i="3"/>
  <c r="D606" i="3"/>
  <c r="C606" i="3"/>
  <c r="B606" i="3"/>
  <c r="A606" i="3"/>
  <c r="G605" i="3"/>
  <c r="F605" i="3"/>
  <c r="E605" i="3"/>
  <c r="A605" i="3"/>
  <c r="G604" i="3"/>
  <c r="F604" i="3"/>
  <c r="E604" i="3"/>
  <c r="D604" i="3"/>
  <c r="A604" i="3"/>
  <c r="G603" i="3"/>
  <c r="F603" i="3"/>
  <c r="E603" i="3"/>
  <c r="D603" i="3"/>
  <c r="C603" i="3"/>
  <c r="B603" i="3"/>
  <c r="A603" i="3"/>
  <c r="G602" i="3"/>
  <c r="F602" i="3"/>
  <c r="E602" i="3"/>
  <c r="D602" i="3"/>
  <c r="C602" i="3"/>
  <c r="B602" i="3"/>
  <c r="A602" i="3"/>
  <c r="G601" i="3"/>
  <c r="F601" i="3"/>
  <c r="E601" i="3"/>
  <c r="D601" i="3"/>
  <c r="B601" i="3"/>
  <c r="A601" i="3"/>
  <c r="G600" i="3"/>
  <c r="F600" i="3"/>
  <c r="E600" i="3"/>
  <c r="D600" i="3"/>
  <c r="B600" i="3"/>
  <c r="A600" i="3"/>
  <c r="G599" i="3"/>
  <c r="F599" i="3"/>
  <c r="E599" i="3"/>
  <c r="C599" i="3"/>
  <c r="B599" i="3"/>
  <c r="A599" i="3"/>
  <c r="G598" i="3"/>
  <c r="F598" i="3"/>
  <c r="E598" i="3"/>
  <c r="D598" i="3"/>
  <c r="C598" i="3"/>
  <c r="B598" i="3"/>
  <c r="A598" i="3"/>
  <c r="G597" i="3"/>
  <c r="F597" i="3"/>
  <c r="E597" i="3"/>
  <c r="D597" i="3"/>
  <c r="A597" i="3"/>
  <c r="G596" i="3"/>
  <c r="F596" i="3"/>
  <c r="E596" i="3"/>
  <c r="D596" i="3"/>
  <c r="C596" i="3"/>
  <c r="A596" i="3"/>
  <c r="G595" i="3"/>
  <c r="F595" i="3"/>
  <c r="E595" i="3"/>
  <c r="D595" i="3"/>
  <c r="C595" i="3"/>
  <c r="B595" i="3"/>
  <c r="A595" i="3"/>
  <c r="G594" i="3"/>
  <c r="F594" i="3"/>
  <c r="E594" i="3"/>
  <c r="D594" i="3"/>
  <c r="A594" i="3"/>
  <c r="G593" i="3"/>
  <c r="F593" i="3"/>
  <c r="E593" i="3"/>
  <c r="D593" i="3"/>
  <c r="C593" i="3"/>
  <c r="B593" i="3"/>
  <c r="A593" i="3"/>
  <c r="G592" i="3"/>
  <c r="F592" i="3"/>
  <c r="E592" i="3"/>
  <c r="D592" i="3"/>
  <c r="C592" i="3"/>
  <c r="B592" i="3"/>
  <c r="A592" i="3"/>
  <c r="G591" i="3"/>
  <c r="F591" i="3"/>
  <c r="E591" i="3"/>
  <c r="D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A587" i="3"/>
  <c r="G586" i="3"/>
  <c r="F586" i="3"/>
  <c r="E586" i="3"/>
  <c r="D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A581" i="3"/>
  <c r="G580" i="3"/>
  <c r="F580" i="3"/>
  <c r="E580" i="3"/>
  <c r="D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C575" i="3"/>
  <c r="B575" i="3"/>
  <c r="A575" i="3"/>
  <c r="G574" i="3"/>
  <c r="F574" i="3"/>
  <c r="E574" i="3"/>
  <c r="C574" i="3"/>
  <c r="B574" i="3"/>
  <c r="A574" i="3"/>
  <c r="G573" i="3"/>
  <c r="F573" i="3"/>
  <c r="E573" i="3"/>
  <c r="D573" i="3"/>
  <c r="C573" i="3"/>
  <c r="B573" i="3"/>
  <c r="A573" i="3"/>
  <c r="G572" i="3"/>
  <c r="F572" i="3"/>
  <c r="E572" i="3"/>
  <c r="D572" i="3"/>
  <c r="C572" i="3"/>
  <c r="B572" i="3"/>
  <c r="A572" i="3"/>
  <c r="G571" i="3"/>
  <c r="F571" i="3"/>
  <c r="E571" i="3"/>
  <c r="D571" i="3"/>
  <c r="A571" i="3"/>
  <c r="G570" i="3"/>
  <c r="F570" i="3"/>
  <c r="E570" i="3"/>
  <c r="D570" i="3"/>
  <c r="C570" i="3"/>
  <c r="B570" i="3"/>
  <c r="A570" i="3"/>
  <c r="G569" i="3"/>
  <c r="F569" i="3"/>
  <c r="E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B549" i="3"/>
  <c r="A549" i="3"/>
  <c r="G548" i="3"/>
  <c r="F548" i="3"/>
  <c r="E548" i="3"/>
  <c r="D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C534" i="3"/>
  <c r="B534" i="3"/>
  <c r="A534" i="3"/>
  <c r="G533" i="3"/>
  <c r="F533" i="3"/>
  <c r="E533" i="3"/>
  <c r="D533" i="3"/>
  <c r="A533" i="3"/>
  <c r="G532" i="3"/>
  <c r="F532" i="3"/>
  <c r="E532" i="3"/>
  <c r="D532" i="3"/>
  <c r="A532" i="3"/>
  <c r="G531" i="3"/>
  <c r="F531" i="3"/>
  <c r="E531" i="3"/>
  <c r="A531" i="3"/>
  <c r="G530" i="3"/>
  <c r="F530" i="3"/>
  <c r="E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A521" i="3"/>
  <c r="G520" i="3"/>
  <c r="F520" i="3"/>
  <c r="E520" i="3"/>
  <c r="D520" i="3"/>
  <c r="C520" i="3"/>
  <c r="B520" i="3"/>
  <c r="A520" i="3"/>
  <c r="G519" i="3"/>
  <c r="F519" i="3"/>
  <c r="E519" i="3"/>
  <c r="A519" i="3"/>
  <c r="G518" i="3"/>
  <c r="F518" i="3"/>
  <c r="E518" i="3"/>
  <c r="A518" i="3"/>
  <c r="G517" i="3"/>
  <c r="F517" i="3"/>
  <c r="E517" i="3"/>
  <c r="A517" i="3"/>
  <c r="G516" i="3"/>
  <c r="F516" i="3"/>
  <c r="E516" i="3"/>
  <c r="C516" i="3"/>
  <c r="A516" i="3"/>
  <c r="G515" i="3"/>
  <c r="F515" i="3"/>
  <c r="E515" i="3"/>
  <c r="D515" i="3"/>
  <c r="B515" i="3"/>
  <c r="A515" i="3"/>
  <c r="G514" i="3"/>
  <c r="F514" i="3"/>
  <c r="E514" i="3"/>
  <c r="B514" i="3"/>
  <c r="A514" i="3"/>
  <c r="G513" i="3"/>
  <c r="F513" i="3"/>
  <c r="E513" i="3"/>
  <c r="D513" i="3"/>
  <c r="B513" i="3"/>
  <c r="A513" i="3"/>
  <c r="G512" i="3"/>
  <c r="F512" i="3"/>
  <c r="E512" i="3"/>
  <c r="A512" i="3"/>
  <c r="G511" i="3"/>
  <c r="F511" i="3"/>
  <c r="E511" i="3"/>
  <c r="D511" i="3"/>
  <c r="B511" i="3"/>
  <c r="A511" i="3"/>
  <c r="G510" i="3"/>
  <c r="F510" i="3"/>
  <c r="E510" i="3"/>
  <c r="D510" i="3"/>
  <c r="C510" i="3"/>
  <c r="B510" i="3"/>
  <c r="A510" i="3"/>
  <c r="G509" i="3"/>
  <c r="F509" i="3"/>
  <c r="E509" i="3"/>
  <c r="D509" i="3"/>
  <c r="B509" i="3"/>
  <c r="A509" i="3"/>
  <c r="G508" i="3"/>
  <c r="F508" i="3"/>
  <c r="E508" i="3"/>
  <c r="D508" i="3"/>
  <c r="B508" i="3"/>
  <c r="A508" i="3"/>
  <c r="G507" i="3"/>
  <c r="F507" i="3"/>
  <c r="E507" i="3"/>
  <c r="D507" i="3"/>
  <c r="A507" i="3"/>
  <c r="G506" i="3"/>
  <c r="F506" i="3"/>
  <c r="E506" i="3"/>
  <c r="D506" i="3"/>
  <c r="C506" i="3"/>
  <c r="B506" i="3"/>
  <c r="A506" i="3"/>
  <c r="G505" i="3"/>
  <c r="F505" i="3"/>
  <c r="E505" i="3"/>
  <c r="A505" i="3"/>
  <c r="G504" i="3"/>
  <c r="F504" i="3"/>
  <c r="E504" i="3"/>
  <c r="D504" i="3"/>
  <c r="C504" i="3"/>
  <c r="B504" i="3"/>
  <c r="A504" i="3"/>
  <c r="G503" i="3"/>
  <c r="F503" i="3"/>
  <c r="E503" i="3"/>
  <c r="D503" i="3"/>
  <c r="C503" i="3"/>
  <c r="B503" i="3"/>
  <c r="A503" i="3"/>
  <c r="G502" i="3"/>
  <c r="F502" i="3"/>
  <c r="E502" i="3"/>
  <c r="A502" i="3"/>
  <c r="G501" i="3"/>
  <c r="F501" i="3"/>
  <c r="E501" i="3"/>
  <c r="D501" i="3"/>
  <c r="C501" i="3"/>
  <c r="B501" i="3"/>
  <c r="A501" i="3"/>
  <c r="G500" i="3"/>
  <c r="F500" i="3"/>
  <c r="E500" i="3"/>
  <c r="A500" i="3"/>
  <c r="G499" i="3"/>
  <c r="F499" i="3"/>
  <c r="E499" i="3"/>
  <c r="D499" i="3"/>
  <c r="A499" i="3"/>
  <c r="G498" i="3"/>
  <c r="F498" i="3"/>
  <c r="E498" i="3"/>
  <c r="D498" i="3"/>
  <c r="B498" i="3"/>
  <c r="A498" i="3"/>
  <c r="D497" i="3"/>
  <c r="A497" i="3"/>
  <c r="G496" i="3"/>
  <c r="F496" i="3"/>
  <c r="E496" i="3"/>
  <c r="A496" i="3"/>
  <c r="G495" i="3"/>
  <c r="F495" i="3"/>
  <c r="E495" i="3"/>
  <c r="D495" i="3"/>
  <c r="C495" i="3"/>
  <c r="B495" i="3"/>
  <c r="A495" i="3"/>
  <c r="G494" i="3"/>
  <c r="F494" i="3"/>
  <c r="E494" i="3"/>
  <c r="D494" i="3"/>
  <c r="A494" i="3"/>
  <c r="G493" i="3"/>
  <c r="F493" i="3"/>
  <c r="E493" i="3"/>
  <c r="A493" i="3"/>
  <c r="G492" i="3"/>
  <c r="F492" i="3"/>
  <c r="E492" i="3"/>
  <c r="D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B488" i="3"/>
  <c r="A488" i="3"/>
  <c r="G487" i="3"/>
  <c r="F487" i="3"/>
  <c r="E487" i="3"/>
  <c r="D487" i="3"/>
  <c r="C487" i="3"/>
  <c r="B487" i="3"/>
  <c r="A487" i="3"/>
  <c r="G486" i="3"/>
  <c r="F486" i="3"/>
  <c r="E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C480" i="3"/>
  <c r="B480" i="3"/>
  <c r="A480" i="3"/>
  <c r="G479" i="3"/>
  <c r="F479" i="3"/>
  <c r="E479" i="3"/>
  <c r="D479" i="3"/>
  <c r="C479" i="3"/>
  <c r="B479" i="3"/>
  <c r="A479" i="3"/>
  <c r="E478" i="3"/>
  <c r="D478" i="3"/>
  <c r="A478" i="3"/>
  <c r="E477" i="3"/>
  <c r="D477" i="3"/>
  <c r="A477" i="3"/>
  <c r="E476" i="3"/>
  <c r="D476" i="3"/>
  <c r="A476" i="3"/>
  <c r="G475" i="3"/>
  <c r="F475" i="3"/>
  <c r="E475" i="3"/>
  <c r="D475" i="3"/>
  <c r="C475" i="3"/>
  <c r="B475" i="3"/>
  <c r="A475" i="3"/>
  <c r="G474" i="3"/>
  <c r="F474" i="3"/>
  <c r="E474" i="3"/>
  <c r="A474" i="3"/>
  <c r="G473" i="3"/>
  <c r="F473" i="3"/>
  <c r="E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A469" i="3"/>
  <c r="G468" i="3"/>
  <c r="F468" i="3"/>
  <c r="E468" i="3"/>
  <c r="D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C462" i="3"/>
  <c r="B462" i="3"/>
  <c r="A462" i="3"/>
  <c r="G461" i="3"/>
  <c r="F461" i="3"/>
  <c r="E461" i="3"/>
  <c r="D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A456" i="3"/>
  <c r="G455" i="3"/>
  <c r="F455" i="3"/>
  <c r="E455" i="3"/>
  <c r="D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A449" i="3"/>
  <c r="G448" i="3"/>
  <c r="F448" i="3"/>
  <c r="E448" i="3"/>
  <c r="D448" i="3"/>
  <c r="A448" i="3"/>
  <c r="G447" i="3"/>
  <c r="F447" i="3"/>
  <c r="E447" i="3"/>
  <c r="D447" i="3"/>
  <c r="A447" i="3"/>
  <c r="G446" i="3"/>
  <c r="F446" i="3"/>
  <c r="E446" i="3"/>
  <c r="D446" i="3"/>
  <c r="B446" i="3"/>
  <c r="A446" i="3"/>
  <c r="G445" i="3"/>
  <c r="F445" i="3"/>
  <c r="E445" i="3"/>
  <c r="D445" i="3"/>
  <c r="C445" i="3"/>
  <c r="B445" i="3"/>
  <c r="A445" i="3"/>
  <c r="G444" i="3"/>
  <c r="F444" i="3"/>
  <c r="E444" i="3"/>
  <c r="A444" i="3"/>
  <c r="G443" i="3"/>
  <c r="F443" i="3"/>
  <c r="E443" i="3"/>
  <c r="D443" i="3"/>
  <c r="C443" i="3"/>
  <c r="B443" i="3"/>
  <c r="A443" i="3"/>
  <c r="G442" i="3"/>
  <c r="F442" i="3"/>
  <c r="E442" i="3"/>
  <c r="D442" i="3"/>
  <c r="C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B435" i="3"/>
  <c r="A435" i="3"/>
  <c r="G434" i="3"/>
  <c r="F434" i="3"/>
  <c r="E434" i="3"/>
  <c r="D434" i="3"/>
  <c r="B434" i="3"/>
  <c r="A434" i="3"/>
  <c r="G433" i="3"/>
  <c r="F433" i="3"/>
  <c r="E433" i="3"/>
  <c r="A433" i="3"/>
  <c r="G432" i="3"/>
  <c r="F432" i="3"/>
  <c r="E432" i="3"/>
  <c r="D432" i="3"/>
  <c r="C432" i="3"/>
  <c r="B432" i="3"/>
  <c r="A432" i="3"/>
  <c r="G431" i="3"/>
  <c r="F431" i="3"/>
  <c r="E431" i="3"/>
  <c r="D431" i="3"/>
  <c r="C431" i="3"/>
  <c r="B431" i="3"/>
  <c r="A431" i="3"/>
  <c r="G430" i="3"/>
  <c r="F430" i="3"/>
  <c r="E430" i="3"/>
  <c r="A430" i="3"/>
  <c r="G429" i="3"/>
  <c r="F429" i="3"/>
  <c r="E429" i="3"/>
  <c r="C429" i="3"/>
  <c r="B429" i="3"/>
  <c r="A429" i="3"/>
  <c r="G428" i="3"/>
  <c r="F428" i="3"/>
  <c r="E428" i="3"/>
  <c r="B428" i="3"/>
  <c r="A428" i="3"/>
  <c r="G427" i="3"/>
  <c r="F427" i="3"/>
  <c r="E427" i="3"/>
  <c r="A427" i="3"/>
  <c r="G426" i="3"/>
  <c r="F426" i="3"/>
  <c r="E426" i="3"/>
  <c r="A426" i="3"/>
  <c r="G425" i="3"/>
  <c r="F425" i="3"/>
  <c r="E425" i="3"/>
  <c r="A425" i="3"/>
  <c r="G424" i="3"/>
  <c r="F424" i="3"/>
  <c r="E424" i="3"/>
  <c r="D424" i="3"/>
  <c r="C424" i="3"/>
  <c r="A424" i="3"/>
  <c r="G423" i="3"/>
  <c r="F423" i="3"/>
  <c r="E423" i="3"/>
  <c r="D423" i="3"/>
  <c r="C423" i="3"/>
  <c r="A423" i="3"/>
  <c r="G422" i="3"/>
  <c r="F422" i="3"/>
  <c r="E422" i="3"/>
  <c r="D422" i="3"/>
  <c r="C422" i="3"/>
  <c r="B422" i="3"/>
  <c r="A422" i="3"/>
  <c r="G421" i="3"/>
  <c r="F421" i="3"/>
  <c r="E421" i="3"/>
  <c r="B421" i="3"/>
  <c r="A421" i="3"/>
  <c r="G420" i="3"/>
  <c r="F420" i="3"/>
  <c r="E420" i="3"/>
  <c r="D420" i="3"/>
  <c r="B420" i="3"/>
  <c r="A420" i="3"/>
  <c r="G419" i="3"/>
  <c r="F419" i="3"/>
  <c r="E419" i="3"/>
  <c r="D419" i="3"/>
  <c r="C419" i="3"/>
  <c r="B419" i="3"/>
  <c r="A419" i="3"/>
  <c r="G418" i="3"/>
  <c r="F418" i="3"/>
  <c r="E418" i="3"/>
  <c r="A418" i="3"/>
  <c r="G417" i="3"/>
  <c r="F417" i="3"/>
  <c r="E417" i="3"/>
  <c r="A417" i="3"/>
  <c r="G416" i="3"/>
  <c r="F416" i="3"/>
  <c r="E416" i="3"/>
  <c r="D416" i="3"/>
  <c r="A416" i="3"/>
  <c r="G415" i="3"/>
  <c r="F415" i="3"/>
  <c r="E415" i="3"/>
  <c r="A415" i="3"/>
  <c r="G414" i="3"/>
  <c r="F414" i="3"/>
  <c r="E414" i="3"/>
  <c r="D414" i="3"/>
  <c r="C414" i="3"/>
  <c r="B414" i="3"/>
  <c r="A414" i="3"/>
  <c r="G413" i="3"/>
  <c r="F413" i="3"/>
  <c r="E413" i="3"/>
  <c r="A413" i="3"/>
  <c r="G412" i="3"/>
  <c r="F412" i="3"/>
  <c r="E412" i="3"/>
  <c r="D412" i="3"/>
  <c r="A412" i="3"/>
  <c r="G411" i="3"/>
  <c r="F411" i="3"/>
  <c r="E411" i="3"/>
  <c r="D411" i="3"/>
  <c r="C411" i="3"/>
  <c r="B411" i="3"/>
  <c r="A411" i="3"/>
  <c r="G410" i="3"/>
  <c r="F410" i="3"/>
  <c r="E410" i="3"/>
  <c r="D410" i="3"/>
  <c r="C410" i="3"/>
  <c r="B410" i="3"/>
  <c r="A410" i="3"/>
  <c r="G409" i="3"/>
  <c r="F409" i="3"/>
  <c r="E409" i="3"/>
  <c r="A409" i="3"/>
  <c r="G408" i="3"/>
  <c r="F408" i="3"/>
  <c r="E408" i="3"/>
  <c r="D408" i="3"/>
  <c r="B408" i="3"/>
  <c r="A408" i="3"/>
  <c r="G407" i="3"/>
  <c r="F407" i="3"/>
  <c r="E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A401" i="3"/>
  <c r="G400" i="3"/>
  <c r="F400" i="3"/>
  <c r="E400" i="3"/>
  <c r="A400" i="3"/>
  <c r="G399" i="3"/>
  <c r="F399" i="3"/>
  <c r="E399" i="3"/>
  <c r="D399" i="3"/>
  <c r="C399" i="3"/>
  <c r="B399" i="3"/>
  <c r="A399" i="3"/>
  <c r="G398" i="3"/>
  <c r="F398" i="3"/>
  <c r="E398" i="3"/>
  <c r="A398" i="3"/>
  <c r="G397" i="3"/>
  <c r="F397" i="3"/>
  <c r="E397" i="3"/>
  <c r="C397" i="3"/>
  <c r="A397" i="3"/>
  <c r="G396" i="3"/>
  <c r="F396" i="3"/>
  <c r="E396" i="3"/>
  <c r="D396" i="3"/>
  <c r="C396" i="3"/>
  <c r="B396" i="3"/>
  <c r="A396" i="3"/>
  <c r="G395" i="3"/>
  <c r="F395" i="3"/>
  <c r="E395" i="3"/>
  <c r="D395" i="3"/>
  <c r="C395" i="3"/>
  <c r="B395" i="3"/>
  <c r="A395" i="3"/>
  <c r="G394" i="3"/>
  <c r="E394" i="3"/>
  <c r="D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A390" i="3"/>
  <c r="G389" i="3"/>
  <c r="F389" i="3"/>
  <c r="E389" i="3"/>
  <c r="D389" i="3"/>
  <c r="A389" i="3"/>
  <c r="G388" i="3"/>
  <c r="F388" i="3"/>
  <c r="E388" i="3"/>
  <c r="D388" i="3"/>
  <c r="B388" i="3"/>
  <c r="A388" i="3"/>
  <c r="G387" i="3"/>
  <c r="F387" i="3"/>
  <c r="E387" i="3"/>
  <c r="A387" i="3"/>
  <c r="G386" i="3"/>
  <c r="F386" i="3"/>
  <c r="E386" i="3"/>
  <c r="D386" i="3"/>
  <c r="A386" i="3"/>
  <c r="G385" i="3"/>
  <c r="F385" i="3"/>
  <c r="E385" i="3"/>
  <c r="A385" i="3"/>
  <c r="G384" i="3"/>
  <c r="F384" i="3"/>
  <c r="E384" i="3"/>
  <c r="D384" i="3"/>
  <c r="C384" i="3"/>
  <c r="A384" i="3"/>
  <c r="G383" i="3"/>
  <c r="F383" i="3"/>
  <c r="E383" i="3"/>
  <c r="D383" i="3"/>
  <c r="C383" i="3"/>
  <c r="B383" i="3"/>
  <c r="A383" i="3"/>
  <c r="G382" i="3"/>
  <c r="F382" i="3"/>
  <c r="E382" i="3"/>
  <c r="D382" i="3"/>
  <c r="A382" i="3"/>
  <c r="G381" i="3"/>
  <c r="F381" i="3"/>
  <c r="E381" i="3"/>
  <c r="D381" i="3"/>
  <c r="C381" i="3"/>
  <c r="B381" i="3"/>
  <c r="A381" i="3"/>
  <c r="G380" i="3"/>
  <c r="F380" i="3"/>
  <c r="E380" i="3"/>
  <c r="D380" i="3"/>
  <c r="C380" i="3"/>
  <c r="B380" i="3"/>
  <c r="A380" i="3"/>
  <c r="G379" i="3"/>
  <c r="F379" i="3"/>
  <c r="E379" i="3"/>
  <c r="D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A362" i="3"/>
  <c r="G361" i="3"/>
  <c r="F361" i="3"/>
  <c r="E361" i="3"/>
  <c r="D361" i="3"/>
  <c r="C361" i="3"/>
  <c r="B361" i="3"/>
  <c r="A361" i="3"/>
  <c r="G360" i="3"/>
  <c r="F360" i="3"/>
  <c r="E360" i="3"/>
  <c r="D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A354" i="3"/>
  <c r="G353" i="3"/>
  <c r="F353" i="3"/>
  <c r="E353" i="3"/>
  <c r="D353" i="3"/>
  <c r="C353" i="3"/>
  <c r="B353" i="3"/>
  <c r="A353" i="3"/>
  <c r="G352" i="3"/>
  <c r="F352" i="3"/>
  <c r="E352" i="3"/>
  <c r="A352" i="3"/>
  <c r="G351" i="3"/>
  <c r="F351" i="3"/>
  <c r="E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A347" i="3"/>
  <c r="G346" i="3"/>
  <c r="F346" i="3"/>
  <c r="E346" i="3"/>
  <c r="D346" i="3"/>
  <c r="C346" i="3"/>
  <c r="B346" i="3"/>
  <c r="A346" i="3"/>
  <c r="G345" i="3"/>
  <c r="F345" i="3"/>
  <c r="E345" i="3"/>
  <c r="C345" i="3"/>
  <c r="B345" i="3"/>
  <c r="A345" i="3"/>
  <c r="G344" i="3"/>
  <c r="F344" i="3"/>
  <c r="E344" i="3"/>
  <c r="D344" i="3"/>
  <c r="C344" i="3"/>
  <c r="B344" i="3"/>
  <c r="A344" i="3"/>
  <c r="G343" i="3"/>
  <c r="F343" i="3"/>
  <c r="E343" i="3"/>
  <c r="D343" i="3"/>
  <c r="C343" i="3"/>
  <c r="B343" i="3"/>
  <c r="A343" i="3"/>
  <c r="G342" i="3"/>
  <c r="F342" i="3"/>
  <c r="E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A336" i="3"/>
  <c r="G335" i="3"/>
  <c r="F335" i="3"/>
  <c r="E335" i="3"/>
  <c r="C335" i="3"/>
  <c r="A335" i="3"/>
  <c r="G334" i="3"/>
  <c r="F334" i="3"/>
  <c r="E334" i="3"/>
  <c r="D334" i="3"/>
  <c r="C334" i="3"/>
  <c r="B334" i="3"/>
  <c r="A334" i="3"/>
  <c r="G333" i="3"/>
  <c r="F333" i="3"/>
  <c r="E333" i="3"/>
  <c r="D333" i="3"/>
  <c r="A333" i="3"/>
  <c r="G332" i="3"/>
  <c r="F332" i="3"/>
  <c r="E332" i="3"/>
  <c r="D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C306" i="3"/>
  <c r="A306" i="3"/>
  <c r="G305" i="3"/>
  <c r="F305" i="3"/>
  <c r="E305" i="3"/>
  <c r="C305" i="3"/>
  <c r="A305" i="3"/>
  <c r="G304" i="3"/>
  <c r="F304" i="3"/>
  <c r="E304" i="3"/>
  <c r="C304" i="3"/>
  <c r="B304" i="3"/>
  <c r="A304" i="3"/>
  <c r="G303" i="3"/>
  <c r="F303" i="3"/>
  <c r="E303" i="3"/>
  <c r="C303" i="3"/>
  <c r="B303" i="3"/>
  <c r="A303" i="3"/>
  <c r="G302" i="3"/>
  <c r="F302" i="3"/>
  <c r="E302" i="3"/>
  <c r="C302" i="3"/>
  <c r="B302" i="3"/>
  <c r="A302" i="3"/>
  <c r="G301" i="3"/>
  <c r="F301" i="3"/>
  <c r="E301" i="3"/>
  <c r="D301" i="3"/>
  <c r="C301" i="3"/>
  <c r="B301" i="3"/>
  <c r="A301" i="3"/>
  <c r="G300" i="3"/>
  <c r="F300" i="3"/>
  <c r="E300" i="3"/>
  <c r="D300" i="3"/>
  <c r="C300" i="3"/>
  <c r="B300" i="3"/>
  <c r="A300" i="3"/>
  <c r="G299" i="3"/>
  <c r="F299" i="3"/>
  <c r="E299" i="3"/>
  <c r="A299" i="3"/>
  <c r="G298" i="3"/>
  <c r="F298" i="3"/>
  <c r="E298" i="3"/>
  <c r="A298" i="3"/>
  <c r="G297" i="3"/>
  <c r="F297" i="3"/>
  <c r="E297" i="3"/>
  <c r="D297" i="3"/>
  <c r="C297" i="3"/>
  <c r="B297" i="3"/>
  <c r="A297" i="3"/>
  <c r="G296" i="3"/>
  <c r="F296" i="3"/>
  <c r="E296" i="3"/>
  <c r="D296" i="3"/>
  <c r="C296" i="3"/>
  <c r="B296" i="3"/>
  <c r="A296" i="3"/>
  <c r="G295" i="3"/>
  <c r="F295" i="3"/>
  <c r="E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A290" i="3"/>
  <c r="G289" i="3"/>
  <c r="F289" i="3"/>
  <c r="E289" i="3"/>
  <c r="A289" i="3"/>
  <c r="G288" i="3"/>
  <c r="F288" i="3"/>
  <c r="E288" i="3"/>
  <c r="A288" i="3"/>
  <c r="G287" i="3"/>
  <c r="F287" i="3"/>
  <c r="D287" i="3"/>
  <c r="C287" i="3"/>
  <c r="B287" i="3"/>
  <c r="A287" i="3"/>
  <c r="G286" i="3"/>
  <c r="F286" i="3"/>
  <c r="E286" i="3"/>
  <c r="D286" i="3"/>
  <c r="C286" i="3"/>
  <c r="B286" i="3"/>
  <c r="A286" i="3"/>
  <c r="G285" i="3"/>
  <c r="F285" i="3"/>
  <c r="E285" i="3"/>
  <c r="A285" i="3"/>
  <c r="G284" i="3"/>
  <c r="F284" i="3"/>
  <c r="E284" i="3"/>
  <c r="D284" i="3"/>
  <c r="C284" i="3"/>
  <c r="B284" i="3"/>
  <c r="A284" i="3"/>
  <c r="G283" i="3"/>
  <c r="F283" i="3"/>
  <c r="E283" i="3"/>
  <c r="D283" i="3"/>
  <c r="C283" i="3"/>
  <c r="B283" i="3"/>
  <c r="A283" i="3"/>
  <c r="G282" i="3"/>
  <c r="F282" i="3"/>
  <c r="E282" i="3"/>
  <c r="A282" i="3"/>
  <c r="G281" i="3"/>
  <c r="F281" i="3"/>
  <c r="E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A275" i="3"/>
  <c r="G274" i="3"/>
  <c r="F274" i="3"/>
  <c r="E274" i="3"/>
  <c r="C274" i="3"/>
  <c r="B274" i="3"/>
  <c r="A274" i="3"/>
  <c r="G273" i="3"/>
  <c r="F273" i="3"/>
  <c r="E273" i="3"/>
  <c r="C273" i="3"/>
  <c r="B273" i="3"/>
  <c r="A273" i="3"/>
  <c r="G272" i="3"/>
  <c r="F272" i="3"/>
  <c r="E272" i="3"/>
  <c r="D272" i="3"/>
  <c r="C272" i="3"/>
  <c r="B272" i="3"/>
  <c r="A272" i="3"/>
  <c r="E271" i="3"/>
  <c r="D271" i="3"/>
  <c r="A271" i="3"/>
  <c r="G270" i="3"/>
  <c r="F270" i="3"/>
  <c r="E270" i="3"/>
  <c r="D270" i="3"/>
  <c r="C270" i="3"/>
  <c r="B270" i="3"/>
  <c r="A270" i="3"/>
  <c r="G269" i="3"/>
  <c r="F269" i="3"/>
  <c r="E269" i="3"/>
  <c r="A269" i="3"/>
  <c r="G268" i="3"/>
  <c r="F268" i="3"/>
  <c r="E268" i="3"/>
  <c r="D268" i="3"/>
  <c r="B268" i="3"/>
  <c r="A268" i="3"/>
  <c r="G267" i="3"/>
  <c r="F267" i="3"/>
  <c r="E267" i="3"/>
  <c r="D267" i="3"/>
  <c r="C267" i="3"/>
  <c r="B267" i="3"/>
  <c r="A267" i="3"/>
  <c r="G266" i="3"/>
  <c r="F266" i="3"/>
  <c r="E266" i="3"/>
  <c r="A266" i="3"/>
  <c r="G265" i="3"/>
  <c r="F265" i="3"/>
  <c r="E265" i="3"/>
  <c r="D265" i="3"/>
  <c r="C265" i="3"/>
  <c r="B265" i="3"/>
  <c r="A265" i="3"/>
  <c r="G264" i="3"/>
  <c r="F264" i="3"/>
  <c r="E264" i="3"/>
  <c r="C264" i="3"/>
  <c r="A264" i="3"/>
  <c r="G263" i="3"/>
  <c r="F263" i="3"/>
  <c r="E263" i="3"/>
  <c r="D263" i="3"/>
  <c r="C263" i="3"/>
  <c r="B263" i="3"/>
  <c r="A263" i="3"/>
  <c r="G262" i="3"/>
  <c r="F262" i="3"/>
  <c r="E262" i="3"/>
  <c r="C262" i="3"/>
  <c r="B262" i="3"/>
  <c r="A262" i="3"/>
  <c r="G261" i="3"/>
  <c r="F261" i="3"/>
  <c r="E261" i="3"/>
  <c r="C261" i="3"/>
  <c r="B261" i="3"/>
  <c r="A261" i="3"/>
  <c r="G260" i="3"/>
  <c r="F260" i="3"/>
  <c r="E260" i="3"/>
  <c r="C260" i="3"/>
  <c r="B260" i="3"/>
  <c r="A260" i="3"/>
  <c r="G259" i="3"/>
  <c r="F259" i="3"/>
  <c r="E259" i="3"/>
  <c r="C259" i="3"/>
  <c r="B259" i="3"/>
  <c r="A259" i="3"/>
  <c r="G258" i="3"/>
  <c r="F258" i="3"/>
  <c r="E258" i="3"/>
  <c r="C258" i="3"/>
  <c r="B258" i="3"/>
  <c r="A258" i="3"/>
  <c r="G257" i="3"/>
  <c r="F257" i="3"/>
  <c r="E257" i="3"/>
  <c r="C257" i="3"/>
  <c r="B257" i="3"/>
  <c r="A257" i="3"/>
  <c r="G256" i="3"/>
  <c r="F256" i="3"/>
  <c r="E256" i="3"/>
  <c r="C256" i="3"/>
  <c r="B256" i="3"/>
  <c r="A256" i="3"/>
  <c r="G255" i="3"/>
  <c r="F255" i="3"/>
  <c r="E255" i="3"/>
  <c r="C255" i="3"/>
  <c r="B255" i="3"/>
  <c r="A255" i="3"/>
  <c r="G254" i="3"/>
  <c r="F254" i="3"/>
  <c r="E254" i="3"/>
  <c r="A254" i="3"/>
  <c r="G253" i="3"/>
  <c r="F253" i="3"/>
  <c r="E253" i="3"/>
  <c r="D253" i="3"/>
  <c r="C253" i="3"/>
  <c r="B253" i="3"/>
  <c r="A253" i="3"/>
  <c r="G252" i="3"/>
  <c r="F252" i="3"/>
  <c r="E252" i="3"/>
  <c r="D252" i="3"/>
  <c r="C252" i="3"/>
  <c r="B252" i="3"/>
  <c r="A252" i="3"/>
  <c r="G251" i="3"/>
  <c r="F251" i="3"/>
  <c r="E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A247" i="3"/>
  <c r="G246" i="3"/>
  <c r="F246" i="3"/>
  <c r="E246" i="3"/>
  <c r="D246" i="3"/>
  <c r="B246" i="3"/>
  <c r="A246" i="3"/>
  <c r="G245" i="3"/>
  <c r="F245" i="3"/>
  <c r="E245" i="3"/>
  <c r="A245" i="3"/>
  <c r="G244" i="3"/>
  <c r="F244" i="3"/>
  <c r="E244" i="3"/>
  <c r="D244" i="3"/>
  <c r="C244" i="3"/>
  <c r="B244" i="3"/>
  <c r="A244" i="3"/>
  <c r="G243" i="3"/>
  <c r="F243" i="3"/>
  <c r="E243" i="3"/>
  <c r="D243" i="3"/>
  <c r="B243" i="3"/>
  <c r="A243" i="3"/>
  <c r="G242" i="3"/>
  <c r="F242" i="3"/>
  <c r="E242" i="3"/>
  <c r="C242" i="3"/>
  <c r="B242" i="3"/>
  <c r="A242" i="3"/>
  <c r="G241" i="3"/>
  <c r="F241" i="3"/>
  <c r="E241" i="3"/>
  <c r="C241" i="3"/>
  <c r="B241" i="3"/>
  <c r="A241" i="3"/>
  <c r="G240" i="3"/>
  <c r="F240" i="3"/>
  <c r="E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B228" i="3"/>
  <c r="A228" i="3"/>
  <c r="G227" i="3"/>
  <c r="F227" i="3"/>
  <c r="E227" i="3"/>
  <c r="D227" i="3"/>
  <c r="B227" i="3"/>
  <c r="A227" i="3"/>
  <c r="G226" i="3"/>
  <c r="F226" i="3"/>
  <c r="E226" i="3"/>
  <c r="D226" i="3"/>
  <c r="C226" i="3"/>
  <c r="B226" i="3"/>
  <c r="A226" i="3"/>
  <c r="G225" i="3"/>
  <c r="F225" i="3"/>
  <c r="E225" i="3"/>
  <c r="D225" i="3"/>
  <c r="C225" i="3"/>
  <c r="B225" i="3"/>
  <c r="A225" i="3"/>
  <c r="G224" i="3"/>
  <c r="F224" i="3"/>
  <c r="E224" i="3"/>
  <c r="D224" i="3"/>
  <c r="B224" i="3"/>
  <c r="A224" i="3"/>
  <c r="G223" i="3"/>
  <c r="F223" i="3"/>
  <c r="E223" i="3"/>
  <c r="D223" i="3"/>
  <c r="B223" i="3"/>
  <c r="A223" i="3"/>
  <c r="G222" i="3"/>
  <c r="F222" i="3"/>
  <c r="E222" i="3"/>
  <c r="D222" i="3"/>
  <c r="B222" i="3"/>
  <c r="A222" i="3"/>
  <c r="G221" i="3"/>
  <c r="F221" i="3"/>
  <c r="E221" i="3"/>
  <c r="D221" i="3"/>
  <c r="B221" i="3"/>
  <c r="A221" i="3"/>
  <c r="G220" i="3"/>
  <c r="F220" i="3"/>
  <c r="E220" i="3"/>
  <c r="D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A216" i="3"/>
  <c r="G215" i="3"/>
  <c r="F215" i="3"/>
  <c r="D215" i="3"/>
  <c r="B215" i="3"/>
  <c r="A215" i="3"/>
  <c r="G214" i="3"/>
  <c r="F214" i="3"/>
  <c r="E214" i="3"/>
  <c r="D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B209" i="3"/>
  <c r="A209" i="3"/>
  <c r="G208" i="3"/>
  <c r="F208" i="3"/>
  <c r="E208" i="3"/>
  <c r="C208" i="3"/>
  <c r="B208" i="3"/>
  <c r="A208" i="3"/>
  <c r="G207" i="3"/>
  <c r="F207" i="3"/>
  <c r="E207" i="3"/>
  <c r="D207" i="3"/>
  <c r="C207" i="3"/>
  <c r="B207" i="3"/>
  <c r="A207" i="3"/>
  <c r="G206" i="3"/>
  <c r="F206" i="3"/>
  <c r="E206" i="3"/>
  <c r="A206" i="3"/>
  <c r="G205" i="3"/>
  <c r="F205" i="3"/>
  <c r="E205" i="3"/>
  <c r="D205" i="3"/>
  <c r="A205" i="3"/>
  <c r="G204" i="3"/>
  <c r="F204" i="3"/>
  <c r="E204" i="3"/>
  <c r="D204" i="3"/>
  <c r="C204" i="3"/>
  <c r="B204" i="3"/>
  <c r="A204" i="3"/>
  <c r="G203" i="3"/>
  <c r="F203" i="3"/>
  <c r="E203" i="3"/>
  <c r="D203" i="3"/>
  <c r="A203" i="3"/>
  <c r="G202" i="3"/>
  <c r="F202" i="3"/>
  <c r="E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C197" i="3"/>
  <c r="A197" i="3"/>
  <c r="G196" i="3"/>
  <c r="F196" i="3"/>
  <c r="E196" i="3"/>
  <c r="B196" i="3"/>
  <c r="A196" i="3"/>
  <c r="G195" i="3"/>
  <c r="F195" i="3"/>
  <c r="E195" i="3"/>
  <c r="D195" i="3"/>
  <c r="A195" i="3"/>
  <c r="G194" i="3"/>
  <c r="F194" i="3"/>
  <c r="E194" i="3"/>
  <c r="A194" i="3"/>
  <c r="G193" i="3"/>
  <c r="F193" i="3"/>
  <c r="E193" i="3"/>
  <c r="D193" i="3"/>
  <c r="C193" i="3"/>
  <c r="B193" i="3"/>
  <c r="A193" i="3"/>
  <c r="G192" i="3"/>
  <c r="F192" i="3"/>
  <c r="E192" i="3"/>
  <c r="C192" i="3"/>
  <c r="B192" i="3"/>
  <c r="A192" i="3"/>
  <c r="G191" i="3"/>
  <c r="F191" i="3"/>
  <c r="E191" i="3"/>
  <c r="C191" i="3"/>
  <c r="B191" i="3"/>
  <c r="A191" i="3"/>
  <c r="G190" i="3"/>
  <c r="F190" i="3"/>
  <c r="E190" i="3"/>
  <c r="C190" i="3"/>
  <c r="B190" i="3"/>
  <c r="A190" i="3"/>
  <c r="G189" i="3"/>
  <c r="F189" i="3"/>
  <c r="E189" i="3"/>
  <c r="A189" i="3"/>
  <c r="G188" i="3"/>
  <c r="F188" i="3"/>
  <c r="E188" i="3"/>
  <c r="A188" i="3"/>
  <c r="G187" i="3"/>
  <c r="F187" i="3"/>
  <c r="E187" i="3"/>
  <c r="C187" i="3"/>
  <c r="B187" i="3"/>
  <c r="A187" i="3"/>
  <c r="G186" i="3"/>
  <c r="F186" i="3"/>
  <c r="E186" i="3"/>
  <c r="A186" i="3"/>
  <c r="G185" i="3"/>
  <c r="F185" i="3"/>
  <c r="E185" i="3"/>
  <c r="D185" i="3"/>
  <c r="B185" i="3"/>
  <c r="A185" i="3"/>
  <c r="G184" i="3"/>
  <c r="F184" i="3"/>
  <c r="E184" i="3"/>
  <c r="D184" i="3"/>
  <c r="B184" i="3"/>
  <c r="A184" i="3"/>
  <c r="D183" i="3"/>
  <c r="A183" i="3"/>
  <c r="G182" i="3"/>
  <c r="F182" i="3"/>
  <c r="E182" i="3"/>
  <c r="D182" i="3"/>
  <c r="C182" i="3"/>
  <c r="B182" i="3"/>
  <c r="A182" i="3"/>
  <c r="G181" i="3"/>
  <c r="F181" i="3"/>
  <c r="E181" i="3"/>
  <c r="A181" i="3"/>
  <c r="G180" i="3"/>
  <c r="F180" i="3"/>
  <c r="E180" i="3"/>
  <c r="D180" i="3"/>
  <c r="C180" i="3"/>
  <c r="B180" i="3"/>
  <c r="A180" i="3"/>
  <c r="G179" i="3"/>
  <c r="F179" i="3"/>
  <c r="E179" i="3"/>
  <c r="D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C174" i="3"/>
  <c r="B174" i="3"/>
  <c r="A174" i="3"/>
  <c r="G173" i="3"/>
  <c r="F173" i="3"/>
  <c r="E173" i="3"/>
  <c r="C173" i="3"/>
  <c r="A173" i="3"/>
  <c r="G172" i="3"/>
  <c r="F172" i="3"/>
  <c r="E172" i="3"/>
  <c r="C172" i="3"/>
  <c r="B172" i="3"/>
  <c r="A172" i="3"/>
  <c r="G171" i="3"/>
  <c r="F171" i="3"/>
  <c r="E171" i="3"/>
  <c r="D171" i="3"/>
  <c r="C171" i="3"/>
  <c r="B171" i="3"/>
  <c r="A171" i="3"/>
  <c r="D170" i="3"/>
  <c r="A170" i="3"/>
  <c r="G169" i="3"/>
  <c r="F169" i="3"/>
  <c r="E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B165" i="3"/>
  <c r="A165" i="3"/>
  <c r="G164" i="3"/>
  <c r="F164" i="3"/>
  <c r="E164" i="3"/>
  <c r="D164" i="3"/>
  <c r="A164" i="3"/>
  <c r="G163" i="3"/>
  <c r="F163" i="3"/>
  <c r="E163" i="3"/>
  <c r="D163" i="3"/>
  <c r="B163" i="3"/>
  <c r="A163" i="3"/>
  <c r="G162" i="3"/>
  <c r="F162" i="3"/>
  <c r="E162" i="3"/>
  <c r="D162" i="3"/>
  <c r="C162" i="3"/>
  <c r="B162" i="3"/>
  <c r="A162" i="3"/>
  <c r="G161" i="3"/>
  <c r="F161" i="3"/>
  <c r="E161" i="3"/>
  <c r="D161" i="3"/>
  <c r="C161" i="3"/>
  <c r="B161" i="3"/>
  <c r="A161" i="3"/>
  <c r="G160" i="3"/>
  <c r="F160" i="3"/>
  <c r="E160" i="3"/>
  <c r="A160" i="3"/>
  <c r="G159" i="3"/>
  <c r="F159" i="3"/>
  <c r="E159" i="3"/>
  <c r="A159" i="3"/>
  <c r="G158" i="3"/>
  <c r="F158" i="3"/>
  <c r="E158" i="3"/>
  <c r="A158" i="3"/>
  <c r="G157" i="3"/>
  <c r="F157" i="3"/>
  <c r="E157" i="3"/>
  <c r="D157" i="3"/>
  <c r="C157" i="3"/>
  <c r="B157" i="3"/>
  <c r="A157" i="3"/>
  <c r="G156" i="3"/>
  <c r="F156" i="3"/>
  <c r="E156" i="3"/>
  <c r="D156" i="3"/>
  <c r="C156" i="3"/>
  <c r="B156" i="3"/>
  <c r="A156" i="3"/>
  <c r="G155" i="3"/>
  <c r="F155" i="3"/>
  <c r="E155" i="3"/>
  <c r="A155" i="3"/>
  <c r="G154" i="3"/>
  <c r="F154" i="3"/>
  <c r="E154" i="3"/>
  <c r="D154" i="3"/>
  <c r="A154" i="3"/>
  <c r="G153" i="3"/>
  <c r="F153" i="3"/>
  <c r="E153" i="3"/>
  <c r="D153" i="3"/>
  <c r="C153" i="3"/>
  <c r="B153" i="3"/>
  <c r="A153" i="3"/>
  <c r="G152" i="3"/>
  <c r="F152" i="3"/>
  <c r="E152" i="3"/>
  <c r="D152" i="3"/>
  <c r="C152" i="3"/>
  <c r="B152" i="3"/>
  <c r="A152" i="3"/>
  <c r="G151" i="3"/>
  <c r="F151" i="3"/>
  <c r="E151" i="3"/>
  <c r="D151" i="3"/>
  <c r="A151" i="3"/>
  <c r="G150" i="3"/>
  <c r="F150" i="3"/>
  <c r="E150" i="3"/>
  <c r="D150" i="3"/>
  <c r="C150" i="3"/>
  <c r="B150" i="3"/>
  <c r="A150" i="3"/>
  <c r="G149" i="3"/>
  <c r="F149" i="3"/>
  <c r="E149" i="3"/>
  <c r="A149" i="3"/>
  <c r="G148" i="3"/>
  <c r="F148" i="3"/>
  <c r="E148" i="3"/>
  <c r="A148" i="3"/>
  <c r="G147" i="3"/>
  <c r="F147" i="3"/>
  <c r="E147" i="3"/>
  <c r="C147" i="3"/>
  <c r="B147" i="3"/>
  <c r="A147" i="3"/>
  <c r="G146" i="3"/>
  <c r="F146" i="3"/>
  <c r="E146" i="3"/>
  <c r="D146" i="3"/>
  <c r="C146" i="3"/>
  <c r="B146" i="3"/>
  <c r="A146" i="3"/>
  <c r="G145" i="3"/>
  <c r="F145" i="3"/>
  <c r="E145" i="3"/>
  <c r="A145" i="3"/>
  <c r="G144" i="3"/>
  <c r="F144" i="3"/>
  <c r="E144" i="3"/>
  <c r="A144" i="3"/>
  <c r="G143" i="3"/>
  <c r="F143" i="3"/>
  <c r="E143" i="3"/>
  <c r="D143" i="3"/>
  <c r="C143" i="3"/>
  <c r="B143" i="3"/>
  <c r="A143" i="3"/>
  <c r="G142" i="3"/>
  <c r="F142" i="3"/>
  <c r="E142" i="3"/>
  <c r="A142" i="3"/>
  <c r="G141" i="3"/>
  <c r="F141" i="3"/>
  <c r="E141" i="3"/>
  <c r="A141" i="3"/>
  <c r="G140" i="3"/>
  <c r="F140" i="3"/>
  <c r="E140" i="3"/>
  <c r="A140" i="3"/>
  <c r="G139" i="3"/>
  <c r="F139" i="3"/>
  <c r="E139" i="3"/>
  <c r="D139" i="3"/>
  <c r="C139" i="3"/>
  <c r="B139" i="3"/>
  <c r="A139" i="3"/>
  <c r="G138" i="3"/>
  <c r="F138" i="3"/>
  <c r="E138" i="3"/>
  <c r="D138" i="3"/>
  <c r="C138" i="3"/>
  <c r="B138" i="3"/>
  <c r="A138" i="3"/>
  <c r="G137" i="3"/>
  <c r="F137" i="3"/>
  <c r="E137" i="3"/>
  <c r="C137" i="3"/>
  <c r="B137" i="3"/>
  <c r="A137" i="3"/>
  <c r="G136" i="3"/>
  <c r="F136" i="3"/>
  <c r="E136" i="3"/>
  <c r="C136" i="3"/>
  <c r="A136" i="3"/>
  <c r="G135" i="3"/>
  <c r="F135" i="3"/>
  <c r="E135" i="3"/>
  <c r="B135" i="3"/>
  <c r="A135" i="3"/>
  <c r="G134" i="3"/>
  <c r="F134" i="3"/>
  <c r="E134" i="3"/>
  <c r="A134" i="3"/>
  <c r="G133" i="3"/>
  <c r="F133" i="3"/>
  <c r="E133" i="3"/>
  <c r="D133" i="3"/>
  <c r="A133" i="3"/>
  <c r="G132" i="3"/>
  <c r="F132" i="3"/>
  <c r="E132" i="3"/>
  <c r="D132" i="3"/>
  <c r="A132" i="3"/>
  <c r="G131" i="3"/>
  <c r="F131" i="3"/>
  <c r="E131" i="3"/>
  <c r="D131" i="3"/>
  <c r="C131" i="3"/>
  <c r="B131" i="3"/>
  <c r="A131" i="3"/>
  <c r="G130" i="3"/>
  <c r="F130" i="3"/>
  <c r="E130" i="3"/>
  <c r="D130" i="3"/>
  <c r="C130" i="3"/>
  <c r="B130" i="3"/>
  <c r="A130" i="3"/>
  <c r="G129" i="3"/>
  <c r="F129" i="3"/>
  <c r="E129" i="3"/>
  <c r="D129" i="3"/>
  <c r="A129" i="3"/>
  <c r="G128" i="3"/>
  <c r="F128" i="3"/>
  <c r="E128" i="3"/>
  <c r="D128" i="3"/>
  <c r="A128" i="3"/>
  <c r="G127" i="3"/>
  <c r="F127" i="3"/>
  <c r="E127" i="3"/>
  <c r="D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A119" i="3"/>
  <c r="G118" i="3"/>
  <c r="F118" i="3"/>
  <c r="E118" i="3"/>
  <c r="D118" i="3"/>
  <c r="C118" i="3"/>
  <c r="B118" i="3"/>
  <c r="A118" i="3"/>
  <c r="G117" i="3"/>
  <c r="F117" i="3"/>
  <c r="E117" i="3"/>
  <c r="D117" i="3"/>
  <c r="B117" i="3"/>
  <c r="A117" i="3"/>
  <c r="G116" i="3"/>
  <c r="F116" i="3"/>
  <c r="E116" i="3"/>
  <c r="D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B112" i="3"/>
  <c r="A112" i="3"/>
  <c r="G111" i="3"/>
  <c r="F111" i="3"/>
  <c r="E111" i="3"/>
  <c r="D111" i="3"/>
  <c r="C111" i="3"/>
  <c r="B111" i="3"/>
  <c r="A111" i="3"/>
  <c r="G110" i="3"/>
  <c r="F110" i="3"/>
  <c r="E110" i="3"/>
  <c r="D110" i="3"/>
  <c r="C110" i="3"/>
  <c r="B110" i="3"/>
  <c r="A110" i="3"/>
  <c r="G109" i="3"/>
  <c r="F109" i="3"/>
  <c r="E109" i="3"/>
  <c r="A109" i="3"/>
  <c r="G108" i="3"/>
  <c r="F108" i="3"/>
  <c r="E108" i="3"/>
  <c r="D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C104" i="3"/>
  <c r="B104" i="3"/>
  <c r="A104" i="3"/>
  <c r="G103" i="3"/>
  <c r="F103" i="3"/>
  <c r="E103" i="3"/>
  <c r="D103" i="3"/>
  <c r="C103" i="3"/>
  <c r="B103" i="3"/>
  <c r="A103" i="3"/>
  <c r="G102" i="3"/>
  <c r="F102" i="3"/>
  <c r="E102" i="3"/>
  <c r="D102" i="3"/>
  <c r="C102" i="3"/>
  <c r="B102" i="3"/>
  <c r="A102" i="3"/>
  <c r="G101" i="3"/>
  <c r="F101" i="3"/>
  <c r="E101" i="3"/>
  <c r="D101" i="3"/>
  <c r="B101" i="3"/>
  <c r="A101" i="3"/>
  <c r="G100" i="3"/>
  <c r="F100" i="3"/>
  <c r="E100" i="3"/>
  <c r="A100" i="3"/>
  <c r="G99" i="3"/>
  <c r="F99" i="3"/>
  <c r="E99" i="3"/>
  <c r="A99" i="3"/>
  <c r="G98" i="3"/>
  <c r="F98" i="3"/>
  <c r="E98" i="3"/>
  <c r="D98" i="3"/>
  <c r="C98" i="3"/>
  <c r="B98" i="3"/>
  <c r="A98" i="3"/>
  <c r="G97" i="3"/>
  <c r="F97" i="3"/>
  <c r="E97" i="3"/>
  <c r="D97" i="3"/>
  <c r="C97" i="3"/>
  <c r="B97" i="3"/>
  <c r="A97" i="3"/>
  <c r="G96" i="3"/>
  <c r="F96" i="3"/>
  <c r="E96" i="3"/>
  <c r="D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B90" i="3"/>
  <c r="A90" i="3"/>
  <c r="G89" i="3"/>
  <c r="F89" i="3"/>
  <c r="E89" i="3"/>
  <c r="D89" i="3"/>
  <c r="B89" i="3"/>
  <c r="A89" i="3"/>
  <c r="G88" i="3"/>
  <c r="F88" i="3"/>
  <c r="E88" i="3"/>
  <c r="D88" i="3"/>
  <c r="C88" i="3"/>
  <c r="B88" i="3"/>
  <c r="A88" i="3"/>
  <c r="G87" i="3"/>
  <c r="F87" i="3"/>
  <c r="E87" i="3"/>
  <c r="D87" i="3"/>
  <c r="C87" i="3"/>
  <c r="B87" i="3"/>
  <c r="A87" i="3"/>
  <c r="G86" i="3"/>
  <c r="F86" i="3"/>
  <c r="E86" i="3"/>
  <c r="A86" i="3"/>
  <c r="G85" i="3"/>
  <c r="F85" i="3"/>
  <c r="E85" i="3"/>
  <c r="D85" i="3"/>
  <c r="C85" i="3"/>
  <c r="B85" i="3"/>
  <c r="A85" i="3"/>
  <c r="G84" i="3"/>
  <c r="F84" i="3"/>
  <c r="E84" i="3"/>
  <c r="D84" i="3"/>
  <c r="A84" i="3"/>
  <c r="G83" i="3"/>
  <c r="F83" i="3"/>
  <c r="E83" i="3"/>
  <c r="A83" i="3"/>
  <c r="G82" i="3"/>
  <c r="F82" i="3"/>
  <c r="E82" i="3"/>
  <c r="D82" i="3"/>
  <c r="C82" i="3"/>
  <c r="B82" i="3"/>
  <c r="A82" i="3"/>
  <c r="G81" i="3"/>
  <c r="F81" i="3"/>
  <c r="E81" i="3"/>
  <c r="A81" i="3"/>
  <c r="G80" i="3"/>
  <c r="F80" i="3"/>
  <c r="E80" i="3"/>
  <c r="A80" i="3"/>
  <c r="G79" i="3"/>
  <c r="F79" i="3"/>
  <c r="E79" i="3"/>
  <c r="D79" i="3"/>
  <c r="C79" i="3"/>
  <c r="B79" i="3"/>
  <c r="A79" i="3"/>
  <c r="G78" i="3"/>
  <c r="F78" i="3"/>
  <c r="E78" i="3"/>
  <c r="D78" i="3"/>
  <c r="B78" i="3"/>
  <c r="A78" i="3"/>
  <c r="G77" i="3"/>
  <c r="F77" i="3"/>
  <c r="E77" i="3"/>
  <c r="D77" i="3"/>
  <c r="C77" i="3"/>
  <c r="B77" i="3"/>
  <c r="A77" i="3"/>
  <c r="G76" i="3"/>
  <c r="F76" i="3"/>
  <c r="E76" i="3"/>
  <c r="D76" i="3"/>
  <c r="B76" i="3"/>
  <c r="A76" i="3"/>
  <c r="G75" i="3"/>
  <c r="F75" i="3"/>
  <c r="E75" i="3"/>
  <c r="D75" i="3"/>
  <c r="B75" i="3"/>
  <c r="A75" i="3"/>
  <c r="G74" i="3"/>
  <c r="F74" i="3"/>
  <c r="E74" i="3"/>
  <c r="D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B69" i="3"/>
  <c r="A69" i="3"/>
  <c r="G68" i="3"/>
  <c r="F68" i="3"/>
  <c r="E68" i="3"/>
  <c r="D68" i="3"/>
  <c r="C68" i="3"/>
  <c r="B68" i="3"/>
  <c r="A68" i="3"/>
  <c r="G67" i="3"/>
  <c r="F67" i="3"/>
  <c r="E67" i="3"/>
  <c r="D67" i="3"/>
  <c r="C67" i="3"/>
  <c r="B67" i="3"/>
  <c r="A67" i="3"/>
  <c r="G66" i="3"/>
  <c r="F66" i="3"/>
  <c r="E66" i="3"/>
  <c r="A66" i="3"/>
  <c r="G65" i="3"/>
  <c r="F65" i="3"/>
  <c r="E65" i="3"/>
  <c r="A65" i="3"/>
  <c r="G64" i="3"/>
  <c r="F64" i="3"/>
  <c r="E64" i="3"/>
  <c r="D64" i="3"/>
  <c r="C64" i="3"/>
  <c r="B64" i="3"/>
  <c r="A64" i="3"/>
  <c r="G63" i="3"/>
  <c r="F63" i="3"/>
  <c r="E63" i="3"/>
  <c r="D63" i="3"/>
  <c r="C63" i="3"/>
  <c r="B63" i="3"/>
  <c r="A63" i="3"/>
  <c r="G62" i="3"/>
  <c r="F62" i="3"/>
  <c r="E62" i="3"/>
  <c r="C62" i="3"/>
  <c r="A62" i="3"/>
  <c r="G61" i="3"/>
  <c r="F61" i="3"/>
  <c r="E61" i="3"/>
  <c r="A61" i="3"/>
  <c r="G60" i="3"/>
  <c r="F60" i="3"/>
  <c r="E60" i="3"/>
  <c r="A60" i="3"/>
  <c r="G59" i="3"/>
  <c r="F59" i="3"/>
  <c r="E59" i="3"/>
  <c r="C59" i="3"/>
  <c r="B59" i="3"/>
  <c r="A59" i="3"/>
  <c r="G58" i="3"/>
  <c r="F58" i="3"/>
  <c r="E58" i="3"/>
  <c r="B58" i="3"/>
  <c r="A58" i="3"/>
  <c r="G57" i="3"/>
  <c r="F57" i="3"/>
  <c r="E57" i="3"/>
  <c r="B57" i="3"/>
  <c r="A57" i="3"/>
  <c r="G56" i="3"/>
  <c r="F56" i="3"/>
  <c r="E56" i="3"/>
  <c r="D56" i="3"/>
  <c r="C56" i="3"/>
  <c r="B56" i="3"/>
  <c r="A56" i="3"/>
  <c r="G55" i="3"/>
  <c r="F55" i="3"/>
  <c r="E55" i="3"/>
  <c r="B55" i="3"/>
  <c r="A55" i="3"/>
  <c r="G54" i="3"/>
  <c r="F54" i="3"/>
  <c r="E54" i="3"/>
  <c r="B54" i="3"/>
  <c r="A54" i="3"/>
  <c r="G53" i="3"/>
  <c r="F53" i="3"/>
  <c r="E53" i="3"/>
  <c r="D53" i="3"/>
  <c r="C53" i="3"/>
  <c r="B53" i="3"/>
  <c r="A53" i="3"/>
  <c r="G52" i="3"/>
  <c r="F52" i="3"/>
  <c r="E52" i="3"/>
  <c r="A52" i="3"/>
  <c r="G51" i="3"/>
  <c r="F51" i="3"/>
  <c r="E51" i="3"/>
  <c r="A51" i="3"/>
  <c r="G50" i="3"/>
  <c r="F50" i="3"/>
  <c r="E50" i="3"/>
  <c r="C50" i="3"/>
  <c r="B50" i="3"/>
  <c r="A50" i="3"/>
  <c r="G49" i="3"/>
  <c r="F49" i="3"/>
  <c r="E49" i="3"/>
  <c r="D49" i="3"/>
  <c r="B49" i="3"/>
  <c r="A49" i="3"/>
  <c r="G48" i="3"/>
  <c r="F48" i="3"/>
  <c r="E48" i="3"/>
  <c r="D48" i="3"/>
  <c r="B48" i="3"/>
  <c r="A48" i="3"/>
  <c r="G47" i="3"/>
  <c r="F47" i="3"/>
  <c r="E47" i="3"/>
  <c r="D47" i="3"/>
  <c r="C47" i="3"/>
  <c r="B47" i="3"/>
  <c r="A47" i="3"/>
  <c r="G46" i="3"/>
  <c r="F46" i="3"/>
  <c r="E46" i="3"/>
  <c r="D46" i="3"/>
  <c r="B46" i="3"/>
  <c r="A46" i="3"/>
  <c r="G45" i="3"/>
  <c r="F45" i="3"/>
  <c r="E45" i="3"/>
  <c r="C45" i="3"/>
  <c r="A45" i="3"/>
  <c r="G44" i="3"/>
  <c r="F44" i="3"/>
  <c r="E44" i="3"/>
  <c r="A44" i="3"/>
  <c r="G43" i="3"/>
  <c r="F43" i="3"/>
  <c r="E43" i="3"/>
  <c r="A43" i="3"/>
  <c r="G42" i="3"/>
  <c r="F42" i="3"/>
  <c r="E42" i="3"/>
  <c r="A42" i="3"/>
  <c r="G41" i="3"/>
  <c r="F41" i="3"/>
  <c r="E41" i="3"/>
  <c r="D41" i="3"/>
  <c r="B41" i="3"/>
  <c r="A41" i="3"/>
  <c r="G40" i="3"/>
  <c r="F40" i="3"/>
  <c r="E40" i="3"/>
  <c r="D40" i="3"/>
  <c r="A40" i="3"/>
  <c r="G39" i="3"/>
  <c r="F39" i="3"/>
  <c r="E39" i="3"/>
  <c r="D39" i="3"/>
  <c r="C39" i="3"/>
  <c r="B39" i="3"/>
  <c r="A39" i="3"/>
  <c r="G38" i="3"/>
  <c r="F38" i="3"/>
  <c r="E38" i="3"/>
  <c r="D38" i="3"/>
  <c r="C38" i="3"/>
  <c r="B38" i="3"/>
  <c r="A38" i="3"/>
  <c r="G37" i="3"/>
  <c r="F37" i="3"/>
  <c r="E37" i="3"/>
  <c r="A37" i="3"/>
  <c r="G36" i="3"/>
  <c r="F36" i="3"/>
  <c r="E36" i="3"/>
  <c r="D36" i="3"/>
  <c r="C36" i="3"/>
  <c r="B36" i="3"/>
  <c r="A36" i="3"/>
  <c r="G35" i="3"/>
  <c r="F35" i="3"/>
  <c r="E35" i="3"/>
  <c r="D35" i="3"/>
  <c r="B35" i="3"/>
  <c r="A35" i="3"/>
  <c r="G34" i="3"/>
  <c r="F34" i="3"/>
  <c r="E34" i="3"/>
  <c r="D34" i="3"/>
  <c r="B34" i="3"/>
  <c r="A34" i="3"/>
  <c r="G33" i="3"/>
  <c r="F33" i="3"/>
  <c r="E33" i="3"/>
  <c r="D33" i="3"/>
  <c r="B33" i="3"/>
  <c r="A33" i="3"/>
  <c r="G32" i="3"/>
  <c r="F32" i="3"/>
  <c r="E32" i="3"/>
  <c r="A32" i="3"/>
  <c r="G31" i="3"/>
  <c r="F31" i="3"/>
  <c r="E31" i="3"/>
  <c r="D31" i="3"/>
  <c r="B31" i="3"/>
  <c r="A31" i="3"/>
  <c r="G30" i="3"/>
  <c r="F30" i="3"/>
  <c r="E30" i="3"/>
  <c r="D30" i="3"/>
  <c r="B30" i="3"/>
  <c r="A30" i="3"/>
  <c r="G29" i="3"/>
  <c r="F29" i="3"/>
  <c r="E29" i="3"/>
  <c r="D29" i="3"/>
  <c r="B29" i="3"/>
  <c r="A29" i="3"/>
  <c r="G28" i="3"/>
  <c r="F28" i="3"/>
  <c r="E28" i="3"/>
  <c r="B28" i="3"/>
  <c r="A28" i="3"/>
  <c r="G27" i="3"/>
  <c r="F27" i="3"/>
  <c r="E27" i="3"/>
  <c r="D27" i="3"/>
  <c r="B27" i="3"/>
  <c r="A27" i="3"/>
  <c r="G26" i="3"/>
  <c r="F26" i="3"/>
  <c r="E26" i="3"/>
  <c r="D26" i="3"/>
  <c r="B26" i="3"/>
  <c r="A26" i="3"/>
  <c r="G25" i="3"/>
  <c r="F25" i="3"/>
  <c r="E25" i="3"/>
  <c r="B25" i="3"/>
  <c r="A25" i="3"/>
  <c r="G24" i="3"/>
  <c r="F24" i="3"/>
  <c r="E24" i="3"/>
  <c r="A24" i="3"/>
  <c r="G23" i="3"/>
  <c r="F23" i="3"/>
  <c r="E23" i="3"/>
  <c r="D23" i="3"/>
  <c r="B23" i="3"/>
  <c r="A23" i="3"/>
  <c r="G22" i="3"/>
  <c r="F22" i="3"/>
  <c r="E22" i="3"/>
  <c r="D22" i="3"/>
  <c r="C22" i="3"/>
  <c r="B22" i="3"/>
  <c r="A22" i="3"/>
  <c r="G21" i="3"/>
  <c r="F21" i="3"/>
  <c r="E21" i="3"/>
  <c r="A21" i="3"/>
  <c r="G20" i="3"/>
  <c r="F20" i="3"/>
  <c r="E20" i="3"/>
  <c r="A20" i="3"/>
  <c r="G19" i="3"/>
  <c r="F19" i="3"/>
  <c r="E19" i="3"/>
  <c r="A19" i="3"/>
  <c r="G18" i="3"/>
  <c r="F18" i="3"/>
  <c r="E18" i="3"/>
  <c r="C18" i="3"/>
  <c r="A18" i="3"/>
  <c r="G17" i="3"/>
  <c r="F17" i="3"/>
  <c r="E17" i="3"/>
  <c r="D17" i="3"/>
  <c r="C17" i="3"/>
  <c r="B17" i="3"/>
  <c r="A17" i="3"/>
  <c r="G16" i="3"/>
  <c r="F16" i="3"/>
  <c r="E16" i="3"/>
  <c r="D16" i="3"/>
  <c r="C16" i="3"/>
  <c r="B16" i="3"/>
  <c r="A16" i="3"/>
  <c r="G15" i="3"/>
  <c r="F15" i="3"/>
  <c r="E15" i="3"/>
  <c r="D15" i="3"/>
  <c r="B15" i="3"/>
  <c r="A15" i="3"/>
  <c r="G14" i="3"/>
  <c r="F14" i="3"/>
  <c r="E14" i="3"/>
  <c r="D14" i="3"/>
  <c r="B14" i="3"/>
  <c r="A14" i="3"/>
  <c r="G13" i="3"/>
  <c r="F13" i="3"/>
  <c r="E13" i="3"/>
  <c r="D13" i="3"/>
  <c r="C13" i="3"/>
  <c r="B13" i="3"/>
  <c r="A13" i="3"/>
  <c r="G12" i="3"/>
  <c r="F12" i="3"/>
  <c r="E12" i="3"/>
  <c r="D12" i="3"/>
  <c r="C12" i="3"/>
  <c r="B12" i="3"/>
  <c r="A12" i="3"/>
  <c r="G11" i="3"/>
  <c r="F11" i="3"/>
  <c r="E11" i="3"/>
  <c r="D11" i="3"/>
  <c r="A11" i="3"/>
  <c r="G10" i="3"/>
  <c r="F10" i="3"/>
  <c r="E10" i="3"/>
  <c r="D10" i="3"/>
  <c r="C10" i="3"/>
  <c r="B10" i="3"/>
  <c r="A10" i="3"/>
  <c r="G9" i="3"/>
  <c r="F9" i="3"/>
  <c r="E9" i="3"/>
  <c r="D9" i="3"/>
  <c r="C9" i="3"/>
  <c r="B9" i="3"/>
  <c r="A9" i="3"/>
  <c r="G8" i="3"/>
  <c r="F8" i="3"/>
  <c r="E8" i="3"/>
  <c r="D8" i="3"/>
  <c r="C8" i="3"/>
  <c r="B8" i="3"/>
  <c r="A8" i="3"/>
  <c r="G7" i="3"/>
  <c r="F7" i="3"/>
  <c r="E7" i="3"/>
  <c r="D7" i="3"/>
  <c r="A7" i="3"/>
  <c r="G6" i="3"/>
  <c r="F6" i="3"/>
  <c r="E6" i="3"/>
  <c r="B6" i="3"/>
  <c r="A6" i="3"/>
  <c r="G5" i="3"/>
  <c r="F5" i="3"/>
  <c r="E5" i="3"/>
  <c r="D5" i="3"/>
  <c r="C5" i="3"/>
  <c r="B5" i="3"/>
  <c r="A5" i="3"/>
  <c r="G4" i="3"/>
  <c r="F4" i="3"/>
  <c r="E4" i="3"/>
  <c r="D4" i="3"/>
  <c r="C4" i="3"/>
  <c r="B4" i="3"/>
  <c r="A4" i="3"/>
  <c r="G3" i="3"/>
  <c r="F3" i="3"/>
  <c r="E3" i="3"/>
  <c r="D3" i="3"/>
  <c r="C3" i="3"/>
  <c r="B3" i="3"/>
  <c r="A3" i="3"/>
  <c r="G2" i="3"/>
  <c r="F2" i="3"/>
  <c r="E2" i="3"/>
  <c r="D2" i="3"/>
  <c r="C2" i="3"/>
  <c r="B2" i="3"/>
  <c r="A2" i="3"/>
  <c r="G1" i="3"/>
  <c r="F1" i="3"/>
  <c r="E1" i="3"/>
  <c r="D1" i="3"/>
  <c r="C1" i="3"/>
  <c r="B1" i="3"/>
  <c r="A1" i="3"/>
  <c r="A17" i="2"/>
  <c r="A16" i="2"/>
  <c r="A15" i="2"/>
  <c r="A14" i="2"/>
  <c r="A13" i="2"/>
  <c r="A12" i="2"/>
  <c r="A10" i="2"/>
  <c r="A8" i="2"/>
  <c r="A7" i="2"/>
  <c r="A6" i="2"/>
  <c r="A2" i="2"/>
  <c r="A1" i="2"/>
</calcChain>
</file>

<file path=xl/sharedStrings.xml><?xml version="1.0" encoding="utf-8"?>
<sst xmlns="http://schemas.openxmlformats.org/spreadsheetml/2006/main" count="39858" uniqueCount="31444">
  <si>
    <t>Incident_ID</t>
  </si>
  <si>
    <t>Month</t>
  </si>
  <si>
    <t>Day</t>
  </si>
  <si>
    <t>Year</t>
  </si>
  <si>
    <t>Date</t>
  </si>
  <si>
    <t>School</t>
  </si>
  <si>
    <t>Victims_Killed</t>
  </si>
  <si>
    <t>Victims_Wounded</t>
  </si>
  <si>
    <t>Number_Victims</t>
  </si>
  <si>
    <t>Shooter_Killed</t>
  </si>
  <si>
    <t>Media_Attention</t>
  </si>
  <si>
    <t>Quarter</t>
  </si>
  <si>
    <t>City</t>
  </si>
  <si>
    <t>State</t>
  </si>
  <si>
    <t>School_Level</t>
  </si>
  <si>
    <t>Location</t>
  </si>
  <si>
    <t>Location_Type</t>
  </si>
  <si>
    <t>During_School</t>
  </si>
  <si>
    <t>Time_Period</t>
  </si>
  <si>
    <t>First_Shot</t>
  </si>
  <si>
    <t>Duration_min</t>
  </si>
  <si>
    <t>Summary</t>
  </si>
  <si>
    <t>Situation</t>
  </si>
  <si>
    <t>Targets</t>
  </si>
  <si>
    <t>Accomplice</t>
  </si>
  <si>
    <t>Hostages</t>
  </si>
  <si>
    <t>Barricade</t>
  </si>
  <si>
    <t>Bullied</t>
  </si>
  <si>
    <t>Domestic_Violence</t>
  </si>
  <si>
    <t>Active_Shooter_FBI</t>
  </si>
  <si>
    <t>20221029TXAVA</t>
  </si>
  <si>
    <t>Avondale Elementary School</t>
  </si>
  <si>
    <t>Local</t>
  </si>
  <si>
    <t>Fall</t>
  </si>
  <si>
    <t>Amarillo</t>
  </si>
  <si>
    <t>TX</t>
  </si>
  <si>
    <t>Elementary</t>
  </si>
  <si>
    <t>Playground</t>
  </si>
  <si>
    <t>Outside on School Property</t>
  </si>
  <si>
    <t>No</t>
  </si>
  <si>
    <t>Evening</t>
  </si>
  <si>
    <t>Teen shot multiples on school playground</t>
  </si>
  <si>
    <t>Escalation of Dispute</t>
  </si>
  <si>
    <t>Victims Targeted</t>
  </si>
  <si>
    <t>Yes</t>
  </si>
  <si>
    <t>No</t>
  </si>
  <si>
    <t>20221029COCRH</t>
  </si>
  <si>
    <t>Cresthill Middle School</t>
  </si>
  <si>
    <t>Regional</t>
  </si>
  <si>
    <t>Fall</t>
  </si>
  <si>
    <t>Highlands Ranch</t>
  </si>
  <si>
    <t>CO</t>
  </si>
  <si>
    <t>Middle</t>
  </si>
  <si>
    <t>Football Field/Track</t>
  </si>
  <si>
    <t>Outside on School Property</t>
  </si>
  <si>
    <t>No</t>
  </si>
  <si>
    <t>Sport Event</t>
  </si>
  <si>
    <t>Man fired shot during youth football game</t>
  </si>
  <si>
    <t>Accidental</t>
  </si>
  <si>
    <t>Neither</t>
  </si>
  <si>
    <t>No</t>
  </si>
  <si>
    <t>20221028NCWAT</t>
  </si>
  <si>
    <t>Wallace Rose Hill High School</t>
  </si>
  <si>
    <t>Regional</t>
  </si>
  <si>
    <t>Fall</t>
  </si>
  <si>
    <t>Teachey</t>
  </si>
  <si>
    <t>NC</t>
  </si>
  <si>
    <t>High</t>
  </si>
  <si>
    <t>Football Field/Track</t>
  </si>
  <si>
    <t>Outside on School Property</t>
  </si>
  <si>
    <t>No</t>
  </si>
  <si>
    <t>Sport Event</t>
  </si>
  <si>
    <t>Shots fired during fight between fans at high school game</t>
  </si>
  <si>
    <t>Escalation of Dispute</t>
  </si>
  <si>
    <t>Victims Targeted</t>
  </si>
  <si>
    <t>No</t>
  </si>
  <si>
    <t>20221028TXROR</t>
  </si>
  <si>
    <t>Rowlett High School</t>
  </si>
  <si>
    <t>Regional</t>
  </si>
  <si>
    <t>Fall</t>
  </si>
  <si>
    <t>Rowlett</t>
  </si>
  <si>
    <t>TX</t>
  </si>
  <si>
    <t>High</t>
  </si>
  <si>
    <t>Bathroom</t>
  </si>
  <si>
    <t>Inside School Building</t>
  </si>
  <si>
    <t>No</t>
  </si>
  <si>
    <t>Morning Classes</t>
  </si>
  <si>
    <t>Student struck multiple times with loaded handgun during fight in bathroom</t>
  </si>
  <si>
    <t>Escalation of Dispute</t>
  </si>
  <si>
    <t>Victims Targeted</t>
  </si>
  <si>
    <t>Yes</t>
  </si>
  <si>
    <t>No</t>
  </si>
  <si>
    <t>20221028ARROR</t>
  </si>
  <si>
    <t>Rogers School District Bus</t>
  </si>
  <si>
    <t>Local</t>
  </si>
  <si>
    <t>Fall</t>
  </si>
  <si>
    <t>Rogers</t>
  </si>
  <si>
    <t>AR</t>
  </si>
  <si>
    <t>K-12</t>
  </si>
  <si>
    <t>School Bus</t>
  </si>
  <si>
    <t>Yes</t>
  </si>
  <si>
    <t>Dismissal</t>
  </si>
  <si>
    <t>Pellets broke window of occupied school bus driving students home</t>
  </si>
  <si>
    <t>Intentional Property Damage</t>
  </si>
  <si>
    <t>Random Shooting</t>
  </si>
  <si>
    <t>No</t>
  </si>
  <si>
    <t>20221026ILMIW</t>
  </si>
  <si>
    <t>Miguel Juarez Middle School</t>
  </si>
  <si>
    <t>National</t>
  </si>
  <si>
    <t>Fall</t>
  </si>
  <si>
    <t>Waukegan</t>
  </si>
  <si>
    <t>IL</t>
  </si>
  <si>
    <t>Middle</t>
  </si>
  <si>
    <t>Field (General)</t>
  </si>
  <si>
    <t>Outside on School Property</t>
  </si>
  <si>
    <t>Yes</t>
  </si>
  <si>
    <t>Afternoon Classes</t>
  </si>
  <si>
    <t>Teen shot multiple times on path behind school</t>
  </si>
  <si>
    <t>Victims Targeted</t>
  </si>
  <si>
    <t>No</t>
  </si>
  <si>
    <t>20221025PAPAP</t>
  </si>
  <si>
    <t>Passport Academy Charter School</t>
  </si>
  <si>
    <t>Regional</t>
  </si>
  <si>
    <t>Fall</t>
  </si>
  <si>
    <t>Pittsburgh</t>
  </si>
  <si>
    <t>PA</t>
  </si>
  <si>
    <t>Elementary</t>
  </si>
  <si>
    <t>Front of School</t>
  </si>
  <si>
    <t>Outside on School Property</t>
  </si>
  <si>
    <t>Yes</t>
  </si>
  <si>
    <t>Afternoon Classes</t>
  </si>
  <si>
    <t>Bullet broke front door of school during afternoon classes</t>
  </si>
  <si>
    <t>No</t>
  </si>
  <si>
    <t>20221025NYTOS</t>
  </si>
  <si>
    <t>Totten High School</t>
  </si>
  <si>
    <t>Regional</t>
  </si>
  <si>
    <t>Fall</t>
  </si>
  <si>
    <t>Staten Island</t>
  </si>
  <si>
    <t>NY</t>
  </si>
  <si>
    <t>High</t>
  </si>
  <si>
    <t>Front of School</t>
  </si>
  <si>
    <t>Outside on School Property</t>
  </si>
  <si>
    <t>Yes</t>
  </si>
  <si>
    <t>Dismissal</t>
  </si>
  <si>
    <t>Bystander student shot waiting for sports practice</t>
  </si>
  <si>
    <t>Escalation of Dispute</t>
  </si>
  <si>
    <t>Both</t>
  </si>
  <si>
    <t>Yes</t>
  </si>
  <si>
    <t>No</t>
  </si>
  <si>
    <t>20221024MOCES</t>
  </si>
  <si>
    <t>Central Visual and Performing Arts High</t>
  </si>
  <si>
    <t>International</t>
  </si>
  <si>
    <t>Fall</t>
  </si>
  <si>
    <t>St. Louis</t>
  </si>
  <si>
    <t>MO</t>
  </si>
  <si>
    <t>High</t>
  </si>
  <si>
    <t>Inside School Building</t>
  </si>
  <si>
    <t>Yes</t>
  </si>
  <si>
    <t>Morning Classes</t>
  </si>
  <si>
    <t>Planned attack by 19-year-old former student with rifle and 600 rounds of ammo</t>
  </si>
  <si>
    <t>Indiscriminate Shooting</t>
  </si>
  <si>
    <t>Random Shooting</t>
  </si>
  <si>
    <t>No</t>
  </si>
  <si>
    <t>Yes</t>
  </si>
  <si>
    <t>No</t>
  </si>
  <si>
    <t>Yes</t>
  </si>
  <si>
    <t>20221022OHDUC</t>
  </si>
  <si>
    <t>Duxberry Park Alternative Elementary School</t>
  </si>
  <si>
    <t>Local</t>
  </si>
  <si>
    <t>Fall</t>
  </si>
  <si>
    <t>Columbus</t>
  </si>
  <si>
    <t>OH</t>
  </si>
  <si>
    <t>Elementary</t>
  </si>
  <si>
    <t>Parking Lot</t>
  </si>
  <si>
    <t>Outside on School Property</t>
  </si>
  <si>
    <t>No</t>
  </si>
  <si>
    <t>Night</t>
  </si>
  <si>
    <t>17-year-old girl shot in school parking lot</t>
  </si>
  <si>
    <t>Both</t>
  </si>
  <si>
    <t>No</t>
  </si>
  <si>
    <t>20221022ILCHC</t>
  </si>
  <si>
    <t>Chalmers Elementary School</t>
  </si>
  <si>
    <t>Local</t>
  </si>
  <si>
    <t>Fall</t>
  </si>
  <si>
    <t>Chicago</t>
  </si>
  <si>
    <t>IL</t>
  </si>
  <si>
    <t>Elementary</t>
  </si>
  <si>
    <t>Playground</t>
  </si>
  <si>
    <t>Outside on School Property</t>
  </si>
  <si>
    <t>No</t>
  </si>
  <si>
    <t>Evening</t>
  </si>
  <si>
    <t>16-year-old boy killed and 13-year-old girl wounded on playground</t>
  </si>
  <si>
    <t>Drive-by Shooting</t>
  </si>
  <si>
    <t>Both</t>
  </si>
  <si>
    <t>Yes</t>
  </si>
  <si>
    <t>No</t>
  </si>
  <si>
    <t>20221021OHSHS</t>
  </si>
  <si>
    <t>Shaker Heights High School</t>
  </si>
  <si>
    <t>Local</t>
  </si>
  <si>
    <t>Fall</t>
  </si>
  <si>
    <t>Shaker Heights</t>
  </si>
  <si>
    <t>OH</t>
  </si>
  <si>
    <t>High</t>
  </si>
  <si>
    <t>Front of School</t>
  </si>
  <si>
    <t>Outside on School Property</t>
  </si>
  <si>
    <t>Yes</t>
  </si>
  <si>
    <t>After School</t>
  </si>
  <si>
    <t>Police officer fired multiple shots at fleeing suspect with a gun near the front door to the school</t>
  </si>
  <si>
    <t>Officer-Involved Shooting</t>
  </si>
  <si>
    <t>Victims Targeted</t>
  </si>
  <si>
    <t>No</t>
  </si>
  <si>
    <t>20221021CAGRS</t>
  </si>
  <si>
    <t>Grant Union High School</t>
  </si>
  <si>
    <t>Local</t>
  </si>
  <si>
    <t>Fall</t>
  </si>
  <si>
    <t>Sacramento</t>
  </si>
  <si>
    <t>CA</t>
  </si>
  <si>
    <t>High</t>
  </si>
  <si>
    <t>Parking Lot</t>
  </si>
  <si>
    <t>Outside on School Property</t>
  </si>
  <si>
    <t>No</t>
  </si>
  <si>
    <t>Sport Event</t>
  </si>
  <si>
    <t>Man fatally shot in school parking lot during football game.</t>
  </si>
  <si>
    <t>Escalation of Dispute</t>
  </si>
  <si>
    <t>No</t>
  </si>
  <si>
    <t>20221020COCAD</t>
  </si>
  <si>
    <t>Castro Elementary School</t>
  </si>
  <si>
    <t>Local</t>
  </si>
  <si>
    <t>Fall</t>
  </si>
  <si>
    <t>Denver</t>
  </si>
  <si>
    <t>CO</t>
  </si>
  <si>
    <t>Elementary</t>
  </si>
  <si>
    <t>Field (General)</t>
  </si>
  <si>
    <t>Outside on School Property</t>
  </si>
  <si>
    <t>No</t>
  </si>
  <si>
    <t>Sport Event</t>
  </si>
  <si>
    <t>Man displayed gun at youth soccer game and said he was going to kill everyone</t>
  </si>
  <si>
    <t>Neither</t>
  </si>
  <si>
    <t>No</t>
  </si>
  <si>
    <t>20221020PAPAP</t>
  </si>
  <si>
    <t>Parkway West High School</t>
  </si>
  <si>
    <t>Regional</t>
  </si>
  <si>
    <t>Fall</t>
  </si>
  <si>
    <t>Philadelphia</t>
  </si>
  <si>
    <t>PA</t>
  </si>
  <si>
    <t>High</t>
  </si>
  <si>
    <t>School Bus</t>
  </si>
  <si>
    <t>Yes</t>
  </si>
  <si>
    <t>Lunch</t>
  </si>
  <si>
    <t>Man shot on street near school, shooter hid inside school bus</t>
  </si>
  <si>
    <t>Victims Targeted</t>
  </si>
  <si>
    <t>No</t>
  </si>
  <si>
    <t>20221019TNROR</t>
  </si>
  <si>
    <t>Rockvale Middle School</t>
  </si>
  <si>
    <t>Local</t>
  </si>
  <si>
    <t>Fall</t>
  </si>
  <si>
    <t>Rockvale</t>
  </si>
  <si>
    <t>TN</t>
  </si>
  <si>
    <t>Middle</t>
  </si>
  <si>
    <t>Outside on School Property</t>
  </si>
  <si>
    <t>No</t>
  </si>
  <si>
    <t>Not a School Day</t>
  </si>
  <si>
    <t>Teen shot during domestic near school, given medical assistance at the school</t>
  </si>
  <si>
    <t>Domestic w/ Targeted Victim</t>
  </si>
  <si>
    <t>Victims Targeted</t>
  </si>
  <si>
    <t>No</t>
  </si>
  <si>
    <t>Yes</t>
  </si>
  <si>
    <t>No</t>
  </si>
  <si>
    <t>20221018NVSUL</t>
  </si>
  <si>
    <t>Sunrise Mountain High School</t>
  </si>
  <si>
    <t>Local</t>
  </si>
  <si>
    <t>Fall</t>
  </si>
  <si>
    <t>Las Vegas</t>
  </si>
  <si>
    <t>NV</t>
  </si>
  <si>
    <t>High</t>
  </si>
  <si>
    <t>Parking Lot</t>
  </si>
  <si>
    <t>Outside on School Property</t>
  </si>
  <si>
    <t>No</t>
  </si>
  <si>
    <t>Night</t>
  </si>
  <si>
    <t>Man fatally shot in school parking lot</t>
  </si>
  <si>
    <t>Victims Targeted</t>
  </si>
  <si>
    <t>No</t>
  </si>
  <si>
    <t>20221018ORJEP</t>
  </si>
  <si>
    <t>Jefferson High School</t>
  </si>
  <si>
    <t>National</t>
  </si>
  <si>
    <t>Fall</t>
  </si>
  <si>
    <t>Portland</t>
  </si>
  <si>
    <t>OR</t>
  </si>
  <si>
    <t>High</t>
  </si>
  <si>
    <t>Beside Building</t>
  </si>
  <si>
    <t>Outside on School Property</t>
  </si>
  <si>
    <t>Yes</t>
  </si>
  <si>
    <t>Dismissal</t>
  </si>
  <si>
    <t>2 students shot during driveby at dismissal</t>
  </si>
  <si>
    <t>Drive-by Shooting</t>
  </si>
  <si>
    <t>Both</t>
  </si>
  <si>
    <t>No</t>
  </si>
  <si>
    <t>20221017CAWIS</t>
  </si>
  <si>
    <t>Willow Glen Middle School</t>
  </si>
  <si>
    <t>Local</t>
  </si>
  <si>
    <t>Fall</t>
  </si>
  <si>
    <t>San Jose</t>
  </si>
  <si>
    <t>CA</t>
  </si>
  <si>
    <t>Middle</t>
  </si>
  <si>
    <t>Front of School</t>
  </si>
  <si>
    <t>Outside on School Property</t>
  </si>
  <si>
    <t>Yes</t>
  </si>
  <si>
    <t>Morning Classes</t>
  </si>
  <si>
    <t>Pellet gun fired at students and staff</t>
  </si>
  <si>
    <t>Drive-by Shooting</t>
  </si>
  <si>
    <t>Random Shooting</t>
  </si>
  <si>
    <t>No</t>
  </si>
  <si>
    <t>20221017FLORT</t>
  </si>
  <si>
    <t>Orange Grove Magnet Middle School</t>
  </si>
  <si>
    <t>Local</t>
  </si>
  <si>
    <t>Fall</t>
  </si>
  <si>
    <t>Tampa</t>
  </si>
  <si>
    <t>FL</t>
  </si>
  <si>
    <t>Middle</t>
  </si>
  <si>
    <t>Front of School</t>
  </si>
  <si>
    <t>Outside on School Property</t>
  </si>
  <si>
    <t>Yes</t>
  </si>
  <si>
    <t>Morning Classes</t>
  </si>
  <si>
    <t>Front door of school hit by bullet</t>
  </si>
  <si>
    <t>Drive-by Shooting</t>
  </si>
  <si>
    <t>Victims Targeted</t>
  </si>
  <si>
    <t>No</t>
  </si>
  <si>
    <t>20221016VAFAR</t>
  </si>
  <si>
    <t>Fairfield Court Elementary School</t>
  </si>
  <si>
    <t>Local</t>
  </si>
  <si>
    <t>Fall</t>
  </si>
  <si>
    <t>Richmond</t>
  </si>
  <si>
    <t>VA</t>
  </si>
  <si>
    <t>Elementary</t>
  </si>
  <si>
    <t>Front of School</t>
  </si>
  <si>
    <t>Outside on School Property</t>
  </si>
  <si>
    <t>No</t>
  </si>
  <si>
    <t>Not a School Day</t>
  </si>
  <si>
    <t>Three men shot in front of school</t>
  </si>
  <si>
    <t>No</t>
  </si>
  <si>
    <t>20221014LAJHA</t>
  </si>
  <si>
    <t>J.H. Williams Middle School</t>
  </si>
  <si>
    <t>Local</t>
  </si>
  <si>
    <t>Fall</t>
  </si>
  <si>
    <t>Abbeville</t>
  </si>
  <si>
    <t>LA</t>
  </si>
  <si>
    <t>Middle</t>
  </si>
  <si>
    <t>Front of School</t>
  </si>
  <si>
    <t>Outside on School Property</t>
  </si>
  <si>
    <t>No</t>
  </si>
  <si>
    <t>Night</t>
  </si>
  <si>
    <t>Shots fired in front of school</t>
  </si>
  <si>
    <t>No</t>
  </si>
  <si>
    <t>20221014NCJAG</t>
  </si>
  <si>
    <t>James B. Dudley High School</t>
  </si>
  <si>
    <t>Local</t>
  </si>
  <si>
    <t>Fall</t>
  </si>
  <si>
    <t>Greensboro</t>
  </si>
  <si>
    <t>NC</t>
  </si>
  <si>
    <t>High</t>
  </si>
  <si>
    <t>Parking Lot</t>
  </si>
  <si>
    <t>Outside on School Property</t>
  </si>
  <si>
    <t>No</t>
  </si>
  <si>
    <t>Sport Event</t>
  </si>
  <si>
    <t>Man shot after football game</t>
  </si>
  <si>
    <t>Escalation of Dispute</t>
  </si>
  <si>
    <t>Victims Targeted</t>
  </si>
  <si>
    <t>Yes</t>
  </si>
  <si>
    <t>No</t>
  </si>
  <si>
    <t>20221014VAWER</t>
  </si>
  <si>
    <t>Westover Hills Elementary School</t>
  </si>
  <si>
    <t>Regional</t>
  </si>
  <si>
    <t>Fall</t>
  </si>
  <si>
    <t>Richmond</t>
  </si>
  <si>
    <t>VA</t>
  </si>
  <si>
    <t>Elementary</t>
  </si>
  <si>
    <t>Front of School</t>
  </si>
  <si>
    <t>Outside on School Property</t>
  </si>
  <si>
    <t>Yes</t>
  </si>
  <si>
    <t>Afternoon Classes</t>
  </si>
  <si>
    <t>Two adults shot in front of school before dismissal</t>
  </si>
  <si>
    <t>Escalation of Dispute</t>
  </si>
  <si>
    <t>Victims Targeted</t>
  </si>
  <si>
    <t>No</t>
  </si>
  <si>
    <t>20221014LABOB</t>
  </si>
  <si>
    <t>Bogalusa High School</t>
  </si>
  <si>
    <t>Regional</t>
  </si>
  <si>
    <t>Fall</t>
  </si>
  <si>
    <t>Bogalusa</t>
  </si>
  <si>
    <t>LA</t>
  </si>
  <si>
    <t>High</t>
  </si>
  <si>
    <t>Football Field/Track</t>
  </si>
  <si>
    <t>Outside on School Property</t>
  </si>
  <si>
    <t>No</t>
  </si>
  <si>
    <t>Sport Event</t>
  </si>
  <si>
    <t>Teen fatally shot next to football field during game when three people (including the victim) fired shots</t>
  </si>
  <si>
    <t>No</t>
  </si>
  <si>
    <t>20221014TNRIM</t>
  </si>
  <si>
    <t>Riverdale High School</t>
  </si>
  <si>
    <t>Local</t>
  </si>
  <si>
    <t>Fall</t>
  </si>
  <si>
    <t>Murfreesboro</t>
  </si>
  <si>
    <t>TN</t>
  </si>
  <si>
    <t>High</t>
  </si>
  <si>
    <t>Parking Lot</t>
  </si>
  <si>
    <t>Outside on School Property</t>
  </si>
  <si>
    <t>No</t>
  </si>
  <si>
    <t>Sport Event</t>
  </si>
  <si>
    <t>Shots fired in parking lot during football game</t>
  </si>
  <si>
    <t>Escalation of Dispute</t>
  </si>
  <si>
    <t>Victims Targeted</t>
  </si>
  <si>
    <t>No</t>
  </si>
  <si>
    <t>20221013NYSCB</t>
  </si>
  <si>
    <t>School Bus</t>
  </si>
  <si>
    <t>Regional</t>
  </si>
  <si>
    <t>Fall</t>
  </si>
  <si>
    <t>Brooklyn</t>
  </si>
  <si>
    <t>NY</t>
  </si>
  <si>
    <t>Other</t>
  </si>
  <si>
    <t>School Bus</t>
  </si>
  <si>
    <t>Yes</t>
  </si>
  <si>
    <t>Morning Classes</t>
  </si>
  <si>
    <t>Man shot multiple times on school bus</t>
  </si>
  <si>
    <t>Victims Targeted</t>
  </si>
  <si>
    <t>Yes</t>
  </si>
  <si>
    <t>No</t>
  </si>
  <si>
    <t>20221013TXJOD</t>
  </si>
  <si>
    <t>John W Carpenter Elementary School</t>
  </si>
  <si>
    <t>Regional</t>
  </si>
  <si>
    <t>Fall</t>
  </si>
  <si>
    <t>Dallas</t>
  </si>
  <si>
    <t>TX</t>
  </si>
  <si>
    <t>Elementary</t>
  </si>
  <si>
    <t>Cafeteria</t>
  </si>
  <si>
    <t>Inside School Building</t>
  </si>
  <si>
    <t>Yes</t>
  </si>
  <si>
    <t>School Start</t>
  </si>
  <si>
    <t>Student fired shot while showing off handgun in cafeteria</t>
  </si>
  <si>
    <t>Accidental</t>
  </si>
  <si>
    <t>Neither</t>
  </si>
  <si>
    <t>No</t>
  </si>
  <si>
    <t>20221012NCCAC</t>
  </si>
  <si>
    <t>Cary High School</t>
  </si>
  <si>
    <t>Regional</t>
  </si>
  <si>
    <t>Fall</t>
  </si>
  <si>
    <t>Cary</t>
  </si>
  <si>
    <t>NC</t>
  </si>
  <si>
    <t>High</t>
  </si>
  <si>
    <t>Bathroom</t>
  </si>
  <si>
    <t>Outside on School Property</t>
  </si>
  <si>
    <t>Yes</t>
  </si>
  <si>
    <t>Afternoon Classes</t>
  </si>
  <si>
    <t>Shot fired in school bathroom</t>
  </si>
  <si>
    <t>Accidental</t>
  </si>
  <si>
    <t>Yes</t>
  </si>
  <si>
    <t>No</t>
  </si>
  <si>
    <t>20221011KSSAS</t>
  </si>
  <si>
    <t>Salina South High School</t>
  </si>
  <si>
    <t>Local</t>
  </si>
  <si>
    <t>Fall</t>
  </si>
  <si>
    <t>Salina</t>
  </si>
  <si>
    <t>KS</t>
  </si>
  <si>
    <t>High</t>
  </si>
  <si>
    <t>Parking Lot</t>
  </si>
  <si>
    <t>Outside on School Property</t>
  </si>
  <si>
    <t>Yes</t>
  </si>
  <si>
    <t>Dismissal</t>
  </si>
  <si>
    <t>Shots fired during dismissal,</t>
  </si>
  <si>
    <t>No</t>
  </si>
  <si>
    <t>20221011ORREP</t>
  </si>
  <si>
    <t>Reynolds High School</t>
  </si>
  <si>
    <t>Local</t>
  </si>
  <si>
    <t>Fall</t>
  </si>
  <si>
    <t>Portland</t>
  </si>
  <si>
    <t>OR</t>
  </si>
  <si>
    <t>High</t>
  </si>
  <si>
    <t>Parking Lot</t>
  </si>
  <si>
    <t>Outside on School Property</t>
  </si>
  <si>
    <t>Yes</t>
  </si>
  <si>
    <t>Lunch</t>
  </si>
  <si>
    <t>Shots fired in parking lot during lunch.</t>
  </si>
  <si>
    <t>Escalation of Dispute</t>
  </si>
  <si>
    <t>No</t>
  </si>
  <si>
    <t>20221010WIJAM</t>
  </si>
  <si>
    <t>James Madison Academic Campus</t>
  </si>
  <si>
    <t>Local</t>
  </si>
  <si>
    <t>Fall</t>
  </si>
  <si>
    <t>Milwaukee</t>
  </si>
  <si>
    <t>WI</t>
  </si>
  <si>
    <t>High</t>
  </si>
  <si>
    <t>Front of School</t>
  </si>
  <si>
    <t>Outside on School Property</t>
  </si>
  <si>
    <t>Yes</t>
  </si>
  <si>
    <t>Dismissal</t>
  </si>
  <si>
    <t>Shots fired during dismissal, teen wounded</t>
  </si>
  <si>
    <t>No</t>
  </si>
  <si>
    <t>20221009MAWAA</t>
  </si>
  <si>
    <t>Walton Elementary School</t>
  </si>
  <si>
    <t>Local</t>
  </si>
  <si>
    <t>Fall</t>
  </si>
  <si>
    <t>Auburn</t>
  </si>
  <si>
    <t>MA</t>
  </si>
  <si>
    <t>Elementary</t>
  </si>
  <si>
    <t>Beside Building</t>
  </si>
  <si>
    <t>Outside on School Property</t>
  </si>
  <si>
    <t>No</t>
  </si>
  <si>
    <t>Night</t>
  </si>
  <si>
    <t>Man shot near door to elementary school</t>
  </si>
  <si>
    <t>No</t>
  </si>
  <si>
    <t>20221008MOJCK</t>
  </si>
  <si>
    <t>J. C. Harmon High School</t>
  </si>
  <si>
    <t>Local</t>
  </si>
  <si>
    <t>Fall</t>
  </si>
  <si>
    <t>Kansas City</t>
  </si>
  <si>
    <t>MO</t>
  </si>
  <si>
    <t>High</t>
  </si>
  <si>
    <t>Parking Lot</t>
  </si>
  <si>
    <t>Outside on School Property</t>
  </si>
  <si>
    <t>No</t>
  </si>
  <si>
    <t>School Event</t>
  </si>
  <si>
    <t>Shots fired in parking lot during homecoming dance</t>
  </si>
  <si>
    <t>Escalation of Dispute</t>
  </si>
  <si>
    <t>No</t>
  </si>
  <si>
    <t>20221007AZCAP</t>
  </si>
  <si>
    <t>Carl Hayden Community High School</t>
  </si>
  <si>
    <t>Regional</t>
  </si>
  <si>
    <t>Fall</t>
  </si>
  <si>
    <t>Phoenix</t>
  </si>
  <si>
    <t>AZ</t>
  </si>
  <si>
    <t>High</t>
  </si>
  <si>
    <t>Football Field/Track</t>
  </si>
  <si>
    <t>Outside on School Property</t>
  </si>
  <si>
    <t>No</t>
  </si>
  <si>
    <t>Sport Event</t>
  </si>
  <si>
    <t>Shots fired near the football stadium during game</t>
  </si>
  <si>
    <t>No</t>
  </si>
  <si>
    <t>20221007OHWHT</t>
  </si>
  <si>
    <t>Whitmer High School</t>
  </si>
  <si>
    <t>National</t>
  </si>
  <si>
    <t>Fall</t>
  </si>
  <si>
    <t>Toledo</t>
  </si>
  <si>
    <t>OH</t>
  </si>
  <si>
    <t>High</t>
  </si>
  <si>
    <t>Football Field/Track</t>
  </si>
  <si>
    <t>Outside on School Property</t>
  </si>
  <si>
    <t>No</t>
  </si>
  <si>
    <t>Sport Event</t>
  </si>
  <si>
    <t>Shots fired during fight near the gate to the football stadium</t>
  </si>
  <si>
    <t>Escalation of Dispute</t>
  </si>
  <si>
    <t>Both</t>
  </si>
  <si>
    <t>No</t>
  </si>
  <si>
    <t>20221007MIBAB</t>
  </si>
  <si>
    <t>Battle Creek High School</t>
  </si>
  <si>
    <t>Local</t>
  </si>
  <si>
    <t>Fall</t>
  </si>
  <si>
    <t>Battle Creek</t>
  </si>
  <si>
    <t>MI</t>
  </si>
  <si>
    <t>High</t>
  </si>
  <si>
    <t>Parking Lot</t>
  </si>
  <si>
    <t>Outside on School Property</t>
  </si>
  <si>
    <t>No</t>
  </si>
  <si>
    <t>Sport Event</t>
  </si>
  <si>
    <t>Shots fired during football game</t>
  </si>
  <si>
    <t>Drive-by Shooting</t>
  </si>
  <si>
    <t>No</t>
  </si>
  <si>
    <t>20221007NCJHG</t>
  </si>
  <si>
    <t>J. H. Rose High School</t>
  </si>
  <si>
    <t>Local</t>
  </si>
  <si>
    <t>Fall</t>
  </si>
  <si>
    <t>Greenville</t>
  </si>
  <si>
    <t>NC</t>
  </si>
  <si>
    <t>High</t>
  </si>
  <si>
    <t>Football Field/Track</t>
  </si>
  <si>
    <t>Outside on School Property</t>
  </si>
  <si>
    <t>No</t>
  </si>
  <si>
    <t>Sport Event</t>
  </si>
  <si>
    <t>Student shot near football field during game</t>
  </si>
  <si>
    <t>No</t>
  </si>
  <si>
    <t>20221006OHMAC</t>
  </si>
  <si>
    <t>Marion-Franklin High School</t>
  </si>
  <si>
    <t>Local</t>
  </si>
  <si>
    <t>Fall</t>
  </si>
  <si>
    <t>Columbus</t>
  </si>
  <si>
    <t>OH</t>
  </si>
  <si>
    <t>High</t>
  </si>
  <si>
    <t>Parking Lot</t>
  </si>
  <si>
    <t>Outside on School Property</t>
  </si>
  <si>
    <t>No</t>
  </si>
  <si>
    <t>Sport Event</t>
  </si>
  <si>
    <t>Shots fired during fight a football game</t>
  </si>
  <si>
    <t>Escalation of Dispute</t>
  </si>
  <si>
    <t>Victims Targeted</t>
  </si>
  <si>
    <t>No</t>
  </si>
  <si>
    <t>20221004MAJB</t>
  </si>
  <si>
    <t>Jeremiah Burke High School</t>
  </si>
  <si>
    <t>National</t>
  </si>
  <si>
    <t>Fall</t>
  </si>
  <si>
    <t>Boston</t>
  </si>
  <si>
    <t>MA</t>
  </si>
  <si>
    <t>High</t>
  </si>
  <si>
    <t>Front of School</t>
  </si>
  <si>
    <t>Outside on School Property</t>
  </si>
  <si>
    <t>Yes</t>
  </si>
  <si>
    <t>Morning Classes</t>
  </si>
  <si>
    <t>Student shot by another student in front of the school</t>
  </si>
  <si>
    <t>Victims Targeted</t>
  </si>
  <si>
    <t>No</t>
  </si>
  <si>
    <t>20221004NCPIS</t>
  </si>
  <si>
    <t>Pinecrest High School</t>
  </si>
  <si>
    <t>Local</t>
  </si>
  <si>
    <t>Fall</t>
  </si>
  <si>
    <t>Southern Pines</t>
  </si>
  <si>
    <t>NC</t>
  </si>
  <si>
    <t>High</t>
  </si>
  <si>
    <t>School Bus</t>
  </si>
  <si>
    <t>Yes</t>
  </si>
  <si>
    <t>Dismissal</t>
  </si>
  <si>
    <t>Occupied school bus struck by bullet</t>
  </si>
  <si>
    <t>Accidental</t>
  </si>
  <si>
    <t>Neither</t>
  </si>
  <si>
    <t>No</t>
  </si>
  <si>
    <t>20221003MIOXO</t>
  </si>
  <si>
    <t>Oxford Middle School</t>
  </si>
  <si>
    <t>Local</t>
  </si>
  <si>
    <t>Fall</t>
  </si>
  <si>
    <t>Oxford</t>
  </si>
  <si>
    <t>MI</t>
  </si>
  <si>
    <t>Middle</t>
  </si>
  <si>
    <t>Bathroom</t>
  </si>
  <si>
    <t>Inside School Building</t>
  </si>
  <si>
    <t>Yes</t>
  </si>
  <si>
    <t>Armed guard (retired officer) fired shot into bathroom ceiling while putting on belt</t>
  </si>
  <si>
    <t>Accidental</t>
  </si>
  <si>
    <t>Neither</t>
  </si>
  <si>
    <t>No</t>
  </si>
  <si>
    <t>20221001CACOO</t>
  </si>
  <si>
    <t>Colony High School</t>
  </si>
  <si>
    <t>Regional</t>
  </si>
  <si>
    <t>Fall</t>
  </si>
  <si>
    <t>Ontario</t>
  </si>
  <si>
    <t>CA</t>
  </si>
  <si>
    <t>High</t>
  </si>
  <si>
    <t>Football Field/Track</t>
  </si>
  <si>
    <t>Outside on School Property</t>
  </si>
  <si>
    <t>No</t>
  </si>
  <si>
    <t>Sport Event</t>
  </si>
  <si>
    <t>Man shot multiple times at youth football game</t>
  </si>
  <si>
    <t>Victims Targeted</t>
  </si>
  <si>
    <t>No</t>
  </si>
  <si>
    <t>20220930OKMCT</t>
  </si>
  <si>
    <t>McLain High School</t>
  </si>
  <si>
    <t>National</t>
  </si>
  <si>
    <t>Fall</t>
  </si>
  <si>
    <t>Tulsa</t>
  </si>
  <si>
    <t>OK</t>
  </si>
  <si>
    <t>High</t>
  </si>
  <si>
    <t>Football Field/Track</t>
  </si>
  <si>
    <t>Outside on School Property</t>
  </si>
  <si>
    <t>No</t>
  </si>
  <si>
    <t>Sport Event</t>
  </si>
  <si>
    <t>Teen killed and another wounded behind the stands during homecoming football game</t>
  </si>
  <si>
    <t>No</t>
  </si>
  <si>
    <t>20220930NYNEN</t>
  </si>
  <si>
    <t>Newburgh Free Academy</t>
  </si>
  <si>
    <t>Local</t>
  </si>
  <si>
    <t>Fall</t>
  </si>
  <si>
    <t>Newburgh</t>
  </si>
  <si>
    <t>NY</t>
  </si>
  <si>
    <t>High</t>
  </si>
  <si>
    <t>Parking Lot</t>
  </si>
  <si>
    <t>Outside on School Property</t>
  </si>
  <si>
    <t>No</t>
  </si>
  <si>
    <t>Sport Event</t>
  </si>
  <si>
    <t>Three people shot during fight in the parking lot following the high school football game.</t>
  </si>
  <si>
    <t>Escalation of Dispute</t>
  </si>
  <si>
    <t>Both</t>
  </si>
  <si>
    <t>No</t>
  </si>
  <si>
    <t>20220928LASEB</t>
  </si>
  <si>
    <t>Second Chance Academy</t>
  </si>
  <si>
    <t>Local</t>
  </si>
  <si>
    <t>Fall</t>
  </si>
  <si>
    <t>Baton Rouge</t>
  </si>
  <si>
    <t>LA</t>
  </si>
  <si>
    <t>High</t>
  </si>
  <si>
    <t>Parking Lot</t>
  </si>
  <si>
    <t>Outside on School Property</t>
  </si>
  <si>
    <t>Yes</t>
  </si>
  <si>
    <t>Morning Classes</t>
  </si>
  <si>
    <t>Student fired shots at vehicle in parking lot</t>
  </si>
  <si>
    <t>Escalation of Dispute</t>
  </si>
  <si>
    <t>Neither</t>
  </si>
  <si>
    <t>No</t>
  </si>
  <si>
    <t>20220928CARUO</t>
  </si>
  <si>
    <t>Rudsdale Continuation High School</t>
  </si>
  <si>
    <t>National</t>
  </si>
  <si>
    <t>Fall</t>
  </si>
  <si>
    <t>Oakland</t>
  </si>
  <si>
    <t>CA</t>
  </si>
  <si>
    <t>High</t>
  </si>
  <si>
    <t>Inside School Building</t>
  </si>
  <si>
    <t>Yes</t>
  </si>
  <si>
    <t>Afternoon Classes</t>
  </si>
  <si>
    <t>6 adults shot inside school</t>
  </si>
  <si>
    <t>Escalation of Dispute</t>
  </si>
  <si>
    <t>Both</t>
  </si>
  <si>
    <t>Yes</t>
  </si>
  <si>
    <t>No</t>
  </si>
  <si>
    <t>20220927PAROP</t>
  </si>
  <si>
    <t>Roxborough High School</t>
  </si>
  <si>
    <t>National</t>
  </si>
  <si>
    <t>Fall</t>
  </si>
  <si>
    <t>Philadelphia</t>
  </si>
  <si>
    <t>PA</t>
  </si>
  <si>
    <t>High</t>
  </si>
  <si>
    <t>Football Field/Track</t>
  </si>
  <si>
    <t>Outside on School Property</t>
  </si>
  <si>
    <t>No</t>
  </si>
  <si>
    <t>Sport Event</t>
  </si>
  <si>
    <t>5 high school football players shot in drive-by leavings football field</t>
  </si>
  <si>
    <t>Drive-by Shooting</t>
  </si>
  <si>
    <t>Victims Targeted</t>
  </si>
  <si>
    <t>Yes</t>
  </si>
  <si>
    <t>No</t>
  </si>
  <si>
    <t>20220927TXHGD</t>
  </si>
  <si>
    <t>H. Grady Spruce High School</t>
  </si>
  <si>
    <t>National</t>
  </si>
  <si>
    <t>Fall</t>
  </si>
  <si>
    <t>Dallas</t>
  </si>
  <si>
    <t>TX</t>
  </si>
  <si>
    <t>High</t>
  </si>
  <si>
    <t>Front of School</t>
  </si>
  <si>
    <t>Outside on School Property</t>
  </si>
  <si>
    <t>No</t>
  </si>
  <si>
    <t>After School</t>
  </si>
  <si>
    <t>Teenage student was shot leaving the school during drive-by</t>
  </si>
  <si>
    <t>Drive-by Shooting</t>
  </si>
  <si>
    <t>Victims Targeted</t>
  </si>
  <si>
    <t>Yes</t>
  </si>
  <si>
    <t>No</t>
  </si>
  <si>
    <t>20220926GAVAV</t>
  </si>
  <si>
    <t>Valdosta City Schools Bus</t>
  </si>
  <si>
    <t>Local</t>
  </si>
  <si>
    <t>Fall</t>
  </si>
  <si>
    <t>Valdosta</t>
  </si>
  <si>
    <t>GA</t>
  </si>
  <si>
    <t>High</t>
  </si>
  <si>
    <t>School Bus</t>
  </si>
  <si>
    <t>Yes</t>
  </si>
  <si>
    <t>Before School</t>
  </si>
  <si>
    <t>Teen shot at school bu stop, bus driver picked up student and drove to hospital</t>
  </si>
  <si>
    <t>Victims Targeted</t>
  </si>
  <si>
    <t>No</t>
  </si>
  <si>
    <t>20220923CANOC</t>
  </si>
  <si>
    <t>North Monterey County High School</t>
  </si>
  <si>
    <t>Local</t>
  </si>
  <si>
    <t>Fall</t>
  </si>
  <si>
    <t>Castroville</t>
  </si>
  <si>
    <t>CA</t>
  </si>
  <si>
    <t>High</t>
  </si>
  <si>
    <t>Parking Lot</t>
  </si>
  <si>
    <t>Outside on School Property</t>
  </si>
  <si>
    <t>No</t>
  </si>
  <si>
    <t>Sport Event</t>
  </si>
  <si>
    <t>Following fight during game, teen fired shots at 4 teens in a vehicle in the parking lot</t>
  </si>
  <si>
    <t>Escalation of Dispute</t>
  </si>
  <si>
    <t>Victims Targeted</t>
  </si>
  <si>
    <t>Yes</t>
  </si>
  <si>
    <t>No</t>
  </si>
  <si>
    <t>20220923WIROM</t>
  </si>
  <si>
    <t>Roosevelt Middle School</t>
  </si>
  <si>
    <t>Local</t>
  </si>
  <si>
    <t>Fall</t>
  </si>
  <si>
    <t>Milwaukee</t>
  </si>
  <si>
    <t>WI</t>
  </si>
  <si>
    <t>Middle</t>
  </si>
  <si>
    <t>Front of School</t>
  </si>
  <si>
    <t>Outside on School Property</t>
  </si>
  <si>
    <t>No</t>
  </si>
  <si>
    <t>Night</t>
  </si>
  <si>
    <t>Man shot in front of school</t>
  </si>
  <si>
    <t>Victims Targeted</t>
  </si>
  <si>
    <t>No</t>
  </si>
  <si>
    <t>20220923MNRIM</t>
  </si>
  <si>
    <t>Richfield High School</t>
  </si>
  <si>
    <t>Regional</t>
  </si>
  <si>
    <t>Fall</t>
  </si>
  <si>
    <t>Richfield</t>
  </si>
  <si>
    <t>MN</t>
  </si>
  <si>
    <t>High</t>
  </si>
  <si>
    <t>Football Field/Track</t>
  </si>
  <si>
    <t>Outside on School Property</t>
  </si>
  <si>
    <t>No</t>
  </si>
  <si>
    <t>Sport Event</t>
  </si>
  <si>
    <t>Shots fired during fight at football game, two people wounded</t>
  </si>
  <si>
    <t>Escalation of Dispute</t>
  </si>
  <si>
    <t>Both</t>
  </si>
  <si>
    <t>No</t>
  </si>
  <si>
    <t>20220923DEAPM</t>
  </si>
  <si>
    <t>Appoquinimink High School</t>
  </si>
  <si>
    <t>Regional</t>
  </si>
  <si>
    <t>Fall</t>
  </si>
  <si>
    <t>Middletown</t>
  </si>
  <si>
    <t>DE</t>
  </si>
  <si>
    <t>High</t>
  </si>
  <si>
    <t>Football Field/Track</t>
  </si>
  <si>
    <t>Outside on School Property</t>
  </si>
  <si>
    <t>No</t>
  </si>
  <si>
    <t>Sport Event</t>
  </si>
  <si>
    <t>Shots fired at gate to football field, two students wounded</t>
  </si>
  <si>
    <t>Escalation of Dispute</t>
  </si>
  <si>
    <t>Both</t>
  </si>
  <si>
    <t>No</t>
  </si>
  <si>
    <t>20220923PAWEP</t>
  </si>
  <si>
    <t>West Philadelphia High School</t>
  </si>
  <si>
    <t>Local</t>
  </si>
  <si>
    <t>Fall</t>
  </si>
  <si>
    <t>Philadelphia</t>
  </si>
  <si>
    <t>PA</t>
  </si>
  <si>
    <t>High</t>
  </si>
  <si>
    <t>Football Field/Track</t>
  </si>
  <si>
    <t>Outside on School Property</t>
  </si>
  <si>
    <t>No</t>
  </si>
  <si>
    <t>Sport Event</t>
  </si>
  <si>
    <t>Shots fired when football game ended</t>
  </si>
  <si>
    <t>No</t>
  </si>
  <si>
    <t>N</t>
  </si>
  <si>
    <t>No</t>
  </si>
  <si>
    <t>20220921INJAS</t>
  </si>
  <si>
    <t>Jackson Middle School</t>
  </si>
  <si>
    <t>Regional</t>
  </si>
  <si>
    <t>Fall</t>
  </si>
  <si>
    <t>South Bend</t>
  </si>
  <si>
    <t>IN</t>
  </si>
  <si>
    <t>Middle</t>
  </si>
  <si>
    <t>School Bus</t>
  </si>
  <si>
    <t>Yes</t>
  </si>
  <si>
    <t>Dismissal</t>
  </si>
  <si>
    <t>Student fired gun on school bus</t>
  </si>
  <si>
    <t>Accidental</t>
  </si>
  <si>
    <t>Neither</t>
  </si>
  <si>
    <t>No</t>
  </si>
  <si>
    <t>20220920NYINB</t>
  </si>
  <si>
    <t>Intermediate School 278</t>
  </si>
  <si>
    <t>Local</t>
  </si>
  <si>
    <t>Fall</t>
  </si>
  <si>
    <t>Brooklyn</t>
  </si>
  <si>
    <t>NY</t>
  </si>
  <si>
    <t>Middle</t>
  </si>
  <si>
    <t>Playground</t>
  </si>
  <si>
    <t>Outside on School Property</t>
  </si>
  <si>
    <t>Yes</t>
  </si>
  <si>
    <t>After School</t>
  </si>
  <si>
    <t>Woman shot herself in head behind school during after school programs</t>
  </si>
  <si>
    <t>Suicide/Attempted</t>
  </si>
  <si>
    <t>Victims Targeted</t>
  </si>
  <si>
    <t>No</t>
  </si>
  <si>
    <t>20220919FLTRS</t>
  </si>
  <si>
    <t>Treasure Coast Classical Academy</t>
  </si>
  <si>
    <t>Local</t>
  </si>
  <si>
    <t>Fall</t>
  </si>
  <si>
    <t>Stuart</t>
  </si>
  <si>
    <t>FL</t>
  </si>
  <si>
    <t>Elementary</t>
  </si>
  <si>
    <t>Office</t>
  </si>
  <si>
    <t>Inside School Building</t>
  </si>
  <si>
    <t>Yes</t>
  </si>
  <si>
    <t>Afternoon Classes</t>
  </si>
  <si>
    <t>SRO fired bullet through office wall into classroom</t>
  </si>
  <si>
    <t>Accidental</t>
  </si>
  <si>
    <t>Neither</t>
  </si>
  <si>
    <t>No</t>
  </si>
  <si>
    <t>20220919LALAN</t>
  </si>
  <si>
    <t>Laureate Academy Charter School</t>
  </si>
  <si>
    <t>Regional</t>
  </si>
  <si>
    <t>Fall</t>
  </si>
  <si>
    <t>New Orleans</t>
  </si>
  <si>
    <t>LA</t>
  </si>
  <si>
    <t>K-8</t>
  </si>
  <si>
    <t>School Bus</t>
  </si>
  <si>
    <t>Yes</t>
  </si>
  <si>
    <t>School Start</t>
  </si>
  <si>
    <t>Student fired gun on school bus</t>
  </si>
  <si>
    <t>Accidental</t>
  </si>
  <si>
    <t>Neither</t>
  </si>
  <si>
    <t>No</t>
  </si>
  <si>
    <t>20220917GAJOA</t>
  </si>
  <si>
    <t>Josey High School</t>
  </si>
  <si>
    <t>National</t>
  </si>
  <si>
    <t>Fall</t>
  </si>
  <si>
    <t>Augusta</t>
  </si>
  <si>
    <t>GA</t>
  </si>
  <si>
    <t>High</t>
  </si>
  <si>
    <t>Parking Lot</t>
  </si>
  <si>
    <t>Outside on School Property</t>
  </si>
  <si>
    <t>No</t>
  </si>
  <si>
    <t>Sport Event</t>
  </si>
  <si>
    <t>Shots fired during fight at homecoming game tailgate</t>
  </si>
  <si>
    <t>Escalation of Dispute</t>
  </si>
  <si>
    <t>Both</t>
  </si>
  <si>
    <t>No</t>
  </si>
  <si>
    <t>20220916GALAA</t>
  </si>
  <si>
    <t>Laney Walker High School</t>
  </si>
  <si>
    <t>Regional</t>
  </si>
  <si>
    <t>Fall</t>
  </si>
  <si>
    <t>Augusta</t>
  </si>
  <si>
    <t>GA</t>
  </si>
  <si>
    <t>High</t>
  </si>
  <si>
    <t>Parking Lot</t>
  </si>
  <si>
    <t>Outside on School Property</t>
  </si>
  <si>
    <t>No</t>
  </si>
  <si>
    <t>Sport Event</t>
  </si>
  <si>
    <t>Three people fired shots during dispute in parking lot during football game</t>
  </si>
  <si>
    <t>Escalation of Dispute</t>
  </si>
  <si>
    <t>Victims Targeted</t>
  </si>
  <si>
    <t>Yes</t>
  </si>
  <si>
    <t>No</t>
  </si>
  <si>
    <t>20220916NYPSN</t>
  </si>
  <si>
    <t>P.S. 77 Lower Lab School</t>
  </si>
  <si>
    <t>Local</t>
  </si>
  <si>
    <t>Fall</t>
  </si>
  <si>
    <t>New York</t>
  </si>
  <si>
    <t>NY</t>
  </si>
  <si>
    <t>Elementary</t>
  </si>
  <si>
    <t>Playground</t>
  </si>
  <si>
    <t>Outside on School Property</t>
  </si>
  <si>
    <t>No</t>
  </si>
  <si>
    <t>After School</t>
  </si>
  <si>
    <t>Teen fired pellet gun at 5 children during dispute over game on playground</t>
  </si>
  <si>
    <t>Escalation of Dispute</t>
  </si>
  <si>
    <t>Victims Targeted</t>
  </si>
  <si>
    <t>No</t>
  </si>
  <si>
    <t>20220914PACON</t>
  </si>
  <si>
    <t>Council Rock North High School</t>
  </si>
  <si>
    <t>Local</t>
  </si>
  <si>
    <t>Fall</t>
  </si>
  <si>
    <t>Newton</t>
  </si>
  <si>
    <t>PA</t>
  </si>
  <si>
    <t>High</t>
  </si>
  <si>
    <t>School Bus</t>
  </si>
  <si>
    <t>Yes</t>
  </si>
  <si>
    <t>Dismissal</t>
  </si>
  <si>
    <t>BB gun fired by student on the school bus, window damaged</t>
  </si>
  <si>
    <t>No</t>
  </si>
  <si>
    <t>20220913UTBOB</t>
  </si>
  <si>
    <t>Bountiful High School</t>
  </si>
  <si>
    <t>Local</t>
  </si>
  <si>
    <t>Fall</t>
  </si>
  <si>
    <t>Bountiful</t>
  </si>
  <si>
    <t>UT</t>
  </si>
  <si>
    <t>High</t>
  </si>
  <si>
    <t>Parking Lot</t>
  </si>
  <si>
    <t>Outside on School Property</t>
  </si>
  <si>
    <t>Yes</t>
  </si>
  <si>
    <t>Afternoon Classes</t>
  </si>
  <si>
    <t>Teen fired shot in parking lot</t>
  </si>
  <si>
    <t>Escalation of Dispute</t>
  </si>
  <si>
    <t>Victims Targeted</t>
  </si>
  <si>
    <t>No</t>
  </si>
  <si>
    <t>20220913MDOXO</t>
  </si>
  <si>
    <t>Oxon Hill High School</t>
  </si>
  <si>
    <t>Local</t>
  </si>
  <si>
    <t>Fall</t>
  </si>
  <si>
    <t>Oxon Hill</t>
  </si>
  <si>
    <t>MD</t>
  </si>
  <si>
    <t>High</t>
  </si>
  <si>
    <t>Beside Building</t>
  </si>
  <si>
    <t>Outside on School Property</t>
  </si>
  <si>
    <t>No</t>
  </si>
  <si>
    <t>After School</t>
  </si>
  <si>
    <t>Person shot behind school</t>
  </si>
  <si>
    <t>No</t>
  </si>
  <si>
    <t>20220913CAVAV</t>
  </si>
  <si>
    <t>Vallejo High School</t>
  </si>
  <si>
    <t>Regional</t>
  </si>
  <si>
    <t>Fall</t>
  </si>
  <si>
    <t>Vallejo</t>
  </si>
  <si>
    <t>CA</t>
  </si>
  <si>
    <t>High</t>
  </si>
  <si>
    <t>Parking Lot</t>
  </si>
  <si>
    <t>Outside on School Property</t>
  </si>
  <si>
    <t>Yes</t>
  </si>
  <si>
    <t>Dismissal</t>
  </si>
  <si>
    <t>School staff member shot after breaking up fight</t>
  </si>
  <si>
    <t>Escalation of Dispute</t>
  </si>
  <si>
    <t>Both</t>
  </si>
  <si>
    <t>Yes</t>
  </si>
  <si>
    <t>No</t>
  </si>
  <si>
    <t>20220913MIJAJ</t>
  </si>
  <si>
    <t>Jackson Middle School</t>
  </si>
  <si>
    <t>Local</t>
  </si>
  <si>
    <t>Fall</t>
  </si>
  <si>
    <t>Jackson</t>
  </si>
  <si>
    <t>MI</t>
  </si>
  <si>
    <t>Middle</t>
  </si>
  <si>
    <t>Football Field/Track</t>
  </si>
  <si>
    <t>Outside on School Property</t>
  </si>
  <si>
    <t>No</t>
  </si>
  <si>
    <t>Sport Event</t>
  </si>
  <si>
    <t>Shots fired in or near football stadium during game</t>
  </si>
  <si>
    <t>No</t>
  </si>
  <si>
    <t>N</t>
  </si>
  <si>
    <t>No</t>
  </si>
  <si>
    <t>20220909WIMIM</t>
  </si>
  <si>
    <t>Milwaukee School Bus</t>
  </si>
  <si>
    <t>Local</t>
  </si>
  <si>
    <t>Fall</t>
  </si>
  <si>
    <t>Milwaukee</t>
  </si>
  <si>
    <t>WI</t>
  </si>
  <si>
    <t>High</t>
  </si>
  <si>
    <t>School Bus</t>
  </si>
  <si>
    <t>Yes</t>
  </si>
  <si>
    <t>Dismissal</t>
  </si>
  <si>
    <t>Occupied school bus shot during drive-by</t>
  </si>
  <si>
    <t>Drive-by Shooting</t>
  </si>
  <si>
    <t>Both</t>
  </si>
  <si>
    <t>No</t>
  </si>
  <si>
    <t>20220909WIWIR</t>
  </si>
  <si>
    <t>William Horlick High School</t>
  </si>
  <si>
    <t>Local</t>
  </si>
  <si>
    <t>Fall</t>
  </si>
  <si>
    <t>Racine</t>
  </si>
  <si>
    <t>WI</t>
  </si>
  <si>
    <t>High</t>
  </si>
  <si>
    <t>Football Field/Track</t>
  </si>
  <si>
    <t>Outside on School Property</t>
  </si>
  <si>
    <t>No</t>
  </si>
  <si>
    <t>Sport Event</t>
  </si>
  <si>
    <t>One person shot outside football field following game</t>
  </si>
  <si>
    <t>No</t>
  </si>
  <si>
    <t>20220908LAJHA</t>
  </si>
  <si>
    <t>J. H. Williams Middle School</t>
  </si>
  <si>
    <t>Local</t>
  </si>
  <si>
    <t>Fall</t>
  </si>
  <si>
    <t>Abbeville</t>
  </si>
  <si>
    <t>LA</t>
  </si>
  <si>
    <t>Middle</t>
  </si>
  <si>
    <t>Outside on School Property</t>
  </si>
  <si>
    <t>No</t>
  </si>
  <si>
    <t>Sport Event</t>
  </si>
  <si>
    <t>Shots fired near the football stadium during game</t>
  </si>
  <si>
    <t>Yes</t>
  </si>
  <si>
    <t>No</t>
  </si>
  <si>
    <t>20220907MDCAB</t>
  </si>
  <si>
    <t>Carver Vocational Technical High School</t>
  </si>
  <si>
    <t>Local</t>
  </si>
  <si>
    <t>Fall</t>
  </si>
  <si>
    <t>Baltimore</t>
  </si>
  <si>
    <t>MD</t>
  </si>
  <si>
    <t>High</t>
  </si>
  <si>
    <t>Front of School</t>
  </si>
  <si>
    <t>Off School Property</t>
  </si>
  <si>
    <t>Yes</t>
  </si>
  <si>
    <t>Dismissal</t>
  </si>
  <si>
    <t>Teen shot in front of school at dismissal</t>
  </si>
  <si>
    <t>Random Shooting</t>
  </si>
  <si>
    <t>No</t>
  </si>
  <si>
    <t>20220907OHBEB</t>
  </si>
  <si>
    <t>Beavercreek High School</t>
  </si>
  <si>
    <t>Local</t>
  </si>
  <si>
    <t>Fall</t>
  </si>
  <si>
    <t>Beavercreek</t>
  </si>
  <si>
    <t>OH</t>
  </si>
  <si>
    <t>High</t>
  </si>
  <si>
    <t>Football Field/Track</t>
  </si>
  <si>
    <t>Outside on School Property</t>
  </si>
  <si>
    <t>No</t>
  </si>
  <si>
    <t>Sport Event</t>
  </si>
  <si>
    <t>Shots fired across football field during practice</t>
  </si>
  <si>
    <t>Accidental</t>
  </si>
  <si>
    <t>Neither</t>
  </si>
  <si>
    <t>No</t>
  </si>
  <si>
    <t>20220907WIBAM</t>
  </si>
  <si>
    <t>Barack Obama High School</t>
  </si>
  <si>
    <t>Local</t>
  </si>
  <si>
    <t>Fall</t>
  </si>
  <si>
    <t>Milwaukee</t>
  </si>
  <si>
    <t>WI</t>
  </si>
  <si>
    <t>High</t>
  </si>
  <si>
    <t>Outside on School Property</t>
  </si>
  <si>
    <t>Teen and adult fired multiple shots into the air from vehicle near the school</t>
  </si>
  <si>
    <t>Drive-by Shooting</t>
  </si>
  <si>
    <t>Random Shooting</t>
  </si>
  <si>
    <t>Yes</t>
  </si>
  <si>
    <t>No</t>
  </si>
  <si>
    <t>20220906IANOS</t>
  </si>
  <si>
    <t>North Middle School</t>
  </si>
  <si>
    <t>Local</t>
  </si>
  <si>
    <t>Fall</t>
  </si>
  <si>
    <t>Sioux City</t>
  </si>
  <si>
    <t>IA</t>
  </si>
  <si>
    <t>Middle</t>
  </si>
  <si>
    <t>Football Field/Track</t>
  </si>
  <si>
    <t>Outside on School Property</t>
  </si>
  <si>
    <t>Yes</t>
  </si>
  <si>
    <t>Afternoon Classes</t>
  </si>
  <si>
    <t>Teens shot 4 students and an adult with pellet guns during gym class</t>
  </si>
  <si>
    <t>Drive-by Shooting</t>
  </si>
  <si>
    <t>Random Shooting</t>
  </si>
  <si>
    <t>Yes</t>
  </si>
  <si>
    <t>No</t>
  </si>
  <si>
    <t>20220904FLBOL</t>
  </si>
  <si>
    <t>Boyd H. Anderson High School</t>
  </si>
  <si>
    <t>Regional</t>
  </si>
  <si>
    <t>Fall</t>
  </si>
  <si>
    <t>Lauderdale Lakes</t>
  </si>
  <si>
    <t>FL</t>
  </si>
  <si>
    <t>High</t>
  </si>
  <si>
    <t>Football Field/Track</t>
  </si>
  <si>
    <t>Outside on School Property</t>
  </si>
  <si>
    <t>No</t>
  </si>
  <si>
    <t>Sport Event</t>
  </si>
  <si>
    <t>Four juveniles shot at youth football game</t>
  </si>
  <si>
    <t>Escalation of Dispute</t>
  </si>
  <si>
    <t>Both</t>
  </si>
  <si>
    <t>No</t>
  </si>
  <si>
    <t>20220902MDMEB</t>
  </si>
  <si>
    <t>Mergenthaler Vocational-Technical High School</t>
  </si>
  <si>
    <t>Regional</t>
  </si>
  <si>
    <t>Fall</t>
  </si>
  <si>
    <t>Baltimore</t>
  </si>
  <si>
    <t>MD</t>
  </si>
  <si>
    <t>High</t>
  </si>
  <si>
    <t>Parking Lot</t>
  </si>
  <si>
    <t>Outside on School Property</t>
  </si>
  <si>
    <t>Yes</t>
  </si>
  <si>
    <t>Dismissal</t>
  </si>
  <si>
    <t>Student from another school fatally shot a student in the parking lot at dismissal</t>
  </si>
  <si>
    <t>Escalation of Dispute</t>
  </si>
  <si>
    <t>Victims Targeted</t>
  </si>
  <si>
    <t>No</t>
  </si>
  <si>
    <t>20220902INJEL</t>
  </si>
  <si>
    <t>Jeffersonville High School</t>
  </si>
  <si>
    <t>Regional</t>
  </si>
  <si>
    <t>Fall</t>
  </si>
  <si>
    <t>Jeffersonville</t>
  </si>
  <si>
    <t>IN</t>
  </si>
  <si>
    <t>High</t>
  </si>
  <si>
    <t>Parking Lot</t>
  </si>
  <si>
    <t>Outside on School Property</t>
  </si>
  <si>
    <t>No</t>
  </si>
  <si>
    <t>Sport Event</t>
  </si>
  <si>
    <t>Teen robbed student at gunpoint in parking lot during football game</t>
  </si>
  <si>
    <t>Illegal Activity</t>
  </si>
  <si>
    <t>Victims Targeted</t>
  </si>
  <si>
    <t>No</t>
  </si>
  <si>
    <t>20220831NMDEA</t>
  </si>
  <si>
    <t>Del Norte High School</t>
  </si>
  <si>
    <t>Local</t>
  </si>
  <si>
    <t>Summer</t>
  </si>
  <si>
    <t>Albuquerque</t>
  </si>
  <si>
    <t>NM</t>
  </si>
  <si>
    <t>High</t>
  </si>
  <si>
    <t>Parking Lot</t>
  </si>
  <si>
    <t>Outside on School Property</t>
  </si>
  <si>
    <t>Yes</t>
  </si>
  <si>
    <t>Lunch</t>
  </si>
  <si>
    <t>Student fired in school parking lot during lunch the fled</t>
  </si>
  <si>
    <t>No</t>
  </si>
  <si>
    <t>20220831DCIDW</t>
  </si>
  <si>
    <t>IDEA Public Charter School</t>
  </si>
  <si>
    <t>Regional</t>
  </si>
  <si>
    <t>Summer</t>
  </si>
  <si>
    <t>Washington</t>
  </si>
  <si>
    <t>DC</t>
  </si>
  <si>
    <t>High</t>
  </si>
  <si>
    <t>Front of School</t>
  </si>
  <si>
    <t>Outside on School Property</t>
  </si>
  <si>
    <t>Yes</t>
  </si>
  <si>
    <t>Morning Classes</t>
  </si>
  <si>
    <t>Student shot two classmates in front of school</t>
  </si>
  <si>
    <t>Escalation of Dispute</t>
  </si>
  <si>
    <t>Victims Targeted</t>
  </si>
  <si>
    <t>Yes</t>
  </si>
  <si>
    <t>No</t>
  </si>
  <si>
    <t>20220831PAFRP</t>
  </si>
  <si>
    <t>Frances E. Willard Elementary School</t>
  </si>
  <si>
    <t>Local</t>
  </si>
  <si>
    <t>Summer</t>
  </si>
  <si>
    <t>Philadelphia</t>
  </si>
  <si>
    <t>PA</t>
  </si>
  <si>
    <t>Elementary</t>
  </si>
  <si>
    <t>Playground</t>
  </si>
  <si>
    <t>Outside on School Property</t>
  </si>
  <si>
    <t>No</t>
  </si>
  <si>
    <t>Night</t>
  </si>
  <si>
    <t>Three people shot on school playground</t>
  </si>
  <si>
    <t>Both</t>
  </si>
  <si>
    <t>No</t>
  </si>
  <si>
    <t>20220829CAMAO</t>
  </si>
  <si>
    <t>Madison Park Academy</t>
  </si>
  <si>
    <t>National</t>
  </si>
  <si>
    <t>Summer</t>
  </si>
  <si>
    <t>Oakland</t>
  </si>
  <si>
    <t>CA</t>
  </si>
  <si>
    <t>6-12</t>
  </si>
  <si>
    <t>Basketball Court</t>
  </si>
  <si>
    <t>Outside on School Property</t>
  </si>
  <si>
    <t>Yes</t>
  </si>
  <si>
    <t>Afternoon Classes</t>
  </si>
  <si>
    <t>Student shot by another student next to volleyball court</t>
  </si>
  <si>
    <t>Accidental</t>
  </si>
  <si>
    <t>Random Shooting</t>
  </si>
  <si>
    <t>No</t>
  </si>
  <si>
    <t>20220827MONOS</t>
  </si>
  <si>
    <t>Normandy High School</t>
  </si>
  <si>
    <t>Local</t>
  </si>
  <si>
    <t>Summer</t>
  </si>
  <si>
    <t>St. Louis</t>
  </si>
  <si>
    <t>MO</t>
  </si>
  <si>
    <t>High</t>
  </si>
  <si>
    <t>Parking Lot</t>
  </si>
  <si>
    <t>Outside on School Property</t>
  </si>
  <si>
    <t>No</t>
  </si>
  <si>
    <t>Sport Event</t>
  </si>
  <si>
    <t>Shots fired during a fight in school parking lot after football game</t>
  </si>
  <si>
    <t>Escalation of Dispute</t>
  </si>
  <si>
    <t>Victims Targeted</t>
  </si>
  <si>
    <t>No</t>
  </si>
  <si>
    <t>20220826OHGAC</t>
  </si>
  <si>
    <t>Garfield Heights High School</t>
  </si>
  <si>
    <t>Local</t>
  </si>
  <si>
    <t>Summer</t>
  </si>
  <si>
    <t>Cleveland</t>
  </si>
  <si>
    <t>OH</t>
  </si>
  <si>
    <t>High</t>
  </si>
  <si>
    <t>Parking Lot</t>
  </si>
  <si>
    <t>Outside on School Property</t>
  </si>
  <si>
    <t>No</t>
  </si>
  <si>
    <t>Sport Event</t>
  </si>
  <si>
    <t>Shots fired in parking lot during football game</t>
  </si>
  <si>
    <t>Escalation of Dispute</t>
  </si>
  <si>
    <t>Victims Targeted</t>
  </si>
  <si>
    <t>No</t>
  </si>
  <si>
    <t>20220823OHINC</t>
  </si>
  <si>
    <t>Indian Springs Elementary School</t>
  </si>
  <si>
    <t>Local</t>
  </si>
  <si>
    <t>Summer</t>
  </si>
  <si>
    <t>Columbus</t>
  </si>
  <si>
    <t>OH</t>
  </si>
  <si>
    <t>Elementary</t>
  </si>
  <si>
    <t>Front of School</t>
  </si>
  <si>
    <t>Outside on School Property</t>
  </si>
  <si>
    <t>Yes</t>
  </si>
  <si>
    <t>Afternoon Classes</t>
  </si>
  <si>
    <t>Multiple teachers shot with BBs while picketing in front of school</t>
  </si>
  <si>
    <t>Drive-by Shooting</t>
  </si>
  <si>
    <t>Victims Targeted</t>
  </si>
  <si>
    <t>No</t>
  </si>
  <si>
    <t>20220823OHART</t>
  </si>
  <si>
    <t>Arlington Elementary School</t>
  </si>
  <si>
    <t>Local</t>
  </si>
  <si>
    <t>Summer</t>
  </si>
  <si>
    <t>Toledo</t>
  </si>
  <si>
    <t>OH</t>
  </si>
  <si>
    <t>Elementary</t>
  </si>
  <si>
    <t>Front of School</t>
  </si>
  <si>
    <t>Outside on School Property</t>
  </si>
  <si>
    <t>Yes</t>
  </si>
  <si>
    <t>Dismissal</t>
  </si>
  <si>
    <t>Parent fired shot during fight with another parent at dismissal</t>
  </si>
  <si>
    <t>Escalation of Dispute</t>
  </si>
  <si>
    <t>Neither</t>
  </si>
  <si>
    <t>No</t>
  </si>
  <si>
    <t>20220819LAAKN</t>
  </si>
  <si>
    <t>Akili Academy of New Orleans</t>
  </si>
  <si>
    <t>Local</t>
  </si>
  <si>
    <t>Summer</t>
  </si>
  <si>
    <t>New Orleans</t>
  </si>
  <si>
    <t>LA</t>
  </si>
  <si>
    <t>K-8</t>
  </si>
  <si>
    <t>School Bus</t>
  </si>
  <si>
    <t>Yes</t>
  </si>
  <si>
    <t>Dismissal</t>
  </si>
  <si>
    <t>Girl pulled gun after fight on school bus</t>
  </si>
  <si>
    <t>Escalation of Dispute</t>
  </si>
  <si>
    <t>Victims Targeted</t>
  </si>
  <si>
    <t>No</t>
  </si>
  <si>
    <t>20220819OHGRG</t>
  </si>
  <si>
    <t>Groveport Madison High School</t>
  </si>
  <si>
    <t>Regional</t>
  </si>
  <si>
    <t>Summer</t>
  </si>
  <si>
    <t>Groveport</t>
  </si>
  <si>
    <t>OH</t>
  </si>
  <si>
    <t>High</t>
  </si>
  <si>
    <t>Parking Lot</t>
  </si>
  <si>
    <t>Outside on School Property</t>
  </si>
  <si>
    <t>No</t>
  </si>
  <si>
    <t>Sport Event</t>
  </si>
  <si>
    <t>Shots fired during fight in parking lot after people were ejected from football game</t>
  </si>
  <si>
    <t>Escalation of Dispute</t>
  </si>
  <si>
    <t>Victims Targeted</t>
  </si>
  <si>
    <t>Yes</t>
  </si>
  <si>
    <t>No</t>
  </si>
  <si>
    <t>20220819TNWEC</t>
  </si>
  <si>
    <t>West Creek High School</t>
  </si>
  <si>
    <t>Regional</t>
  </si>
  <si>
    <t>Summer</t>
  </si>
  <si>
    <t>Clarksville</t>
  </si>
  <si>
    <t>TN</t>
  </si>
  <si>
    <t>High</t>
  </si>
  <si>
    <t>Parking Lot</t>
  </si>
  <si>
    <t>Outside on School Property</t>
  </si>
  <si>
    <t>No</t>
  </si>
  <si>
    <t>Sport Event</t>
  </si>
  <si>
    <t>Shots fired from vehicle in the school parking lot during football game</t>
  </si>
  <si>
    <t>Drive-by Shooting</t>
  </si>
  <si>
    <t>Both</t>
  </si>
  <si>
    <t>Yes</t>
  </si>
  <si>
    <t>No</t>
  </si>
  <si>
    <t>20220818FLLER</t>
  </si>
  <si>
    <t>Lennard High School</t>
  </si>
  <si>
    <t>Regional</t>
  </si>
  <si>
    <t>Summer</t>
  </si>
  <si>
    <t>Ruskin</t>
  </si>
  <si>
    <t>FL</t>
  </si>
  <si>
    <t>High</t>
  </si>
  <si>
    <t>Parking Lot</t>
  </si>
  <si>
    <t>Outside on School Property</t>
  </si>
  <si>
    <t>Yes</t>
  </si>
  <si>
    <t>Morning Classes</t>
  </si>
  <si>
    <t>Teen shot himself in the leg in the parking lot while showing off weapon</t>
  </si>
  <si>
    <t>Accidental</t>
  </si>
  <si>
    <t>Neither</t>
  </si>
  <si>
    <t>Yes</t>
  </si>
  <si>
    <t>No</t>
  </si>
  <si>
    <t>20220816TXPOB</t>
  </si>
  <si>
    <t>Porter Early College High School</t>
  </si>
  <si>
    <t>National</t>
  </si>
  <si>
    <t>Summer</t>
  </si>
  <si>
    <t>Brownsville</t>
  </si>
  <si>
    <t>TX</t>
  </si>
  <si>
    <t>High</t>
  </si>
  <si>
    <t>Parking Lot</t>
  </si>
  <si>
    <t>Outside on School Property</t>
  </si>
  <si>
    <t>Yes</t>
  </si>
  <si>
    <t>School Start</t>
  </si>
  <si>
    <t>Shots fired from stolen vehicle in school parking lot, SRO then fired shots at vehicle</t>
  </si>
  <si>
    <t>Drive-by Shooting</t>
  </si>
  <si>
    <t>Neither</t>
  </si>
  <si>
    <t>No</t>
  </si>
  <si>
    <t>20220815CALIS</t>
  </si>
  <si>
    <t>Lincoln High School</t>
  </si>
  <si>
    <t>National</t>
  </si>
  <si>
    <t>Summer</t>
  </si>
  <si>
    <t>Stockton</t>
  </si>
  <si>
    <t>CA</t>
  </si>
  <si>
    <t>High</t>
  </si>
  <si>
    <t>Courtyard</t>
  </si>
  <si>
    <t>Outside on School Property</t>
  </si>
  <si>
    <t>Yes</t>
  </si>
  <si>
    <t>Lunch</t>
  </si>
  <si>
    <t>Student pulled gun during fight, subdued by SRO</t>
  </si>
  <si>
    <t>Escalation of Dispute</t>
  </si>
  <si>
    <t>No</t>
  </si>
  <si>
    <t>20220813ARMAL</t>
  </si>
  <si>
    <t>Mabelvale Elementary School</t>
  </si>
  <si>
    <t>Local</t>
  </si>
  <si>
    <t>Summer</t>
  </si>
  <si>
    <t>Little Rock</t>
  </si>
  <si>
    <t>AR</t>
  </si>
  <si>
    <t>Elementary</t>
  </si>
  <si>
    <t>Front of School</t>
  </si>
  <si>
    <t>Outside on School Property</t>
  </si>
  <si>
    <t>No</t>
  </si>
  <si>
    <t>Not a School Day</t>
  </si>
  <si>
    <t>Shots fired in front of school and struck school building</t>
  </si>
  <si>
    <t>No</t>
  </si>
  <si>
    <t>20220812CASIV</t>
  </si>
  <si>
    <t>Silverado High School</t>
  </si>
  <si>
    <t>Local</t>
  </si>
  <si>
    <t>Summer</t>
  </si>
  <si>
    <t>Victorville</t>
  </si>
  <si>
    <t>CA</t>
  </si>
  <si>
    <t>High</t>
  </si>
  <si>
    <t>Parking Lot</t>
  </si>
  <si>
    <t>Outside on School Property</t>
  </si>
  <si>
    <t>No</t>
  </si>
  <si>
    <t>Sport Event</t>
  </si>
  <si>
    <t>Shots fired in school parking lot following football game</t>
  </si>
  <si>
    <t>No</t>
  </si>
  <si>
    <t>20220811GAUCB</t>
  </si>
  <si>
    <t>Union County Primary School</t>
  </si>
  <si>
    <t>Regional</t>
  </si>
  <si>
    <t>Summer</t>
  </si>
  <si>
    <t>Blairsville</t>
  </si>
  <si>
    <t>GA</t>
  </si>
  <si>
    <t>Elementary</t>
  </si>
  <si>
    <t>Parking Lot</t>
  </si>
  <si>
    <t>Outside on School Property</t>
  </si>
  <si>
    <t>Yes</t>
  </si>
  <si>
    <t>Afternoon Classes</t>
  </si>
  <si>
    <t>Maintenance employee fired multiple shots at a car in the school parking lot</t>
  </si>
  <si>
    <t>Intentional Property Damage</t>
  </si>
  <si>
    <t>Neither</t>
  </si>
  <si>
    <t>No</t>
  </si>
  <si>
    <t>20220810GAMCA</t>
  </si>
  <si>
    <t>McDonough High School</t>
  </si>
  <si>
    <t>Regional</t>
  </si>
  <si>
    <t>Summer</t>
  </si>
  <si>
    <t>McDonough</t>
  </si>
  <si>
    <t>GA</t>
  </si>
  <si>
    <t>High</t>
  </si>
  <si>
    <t>Gym</t>
  </si>
  <si>
    <t>Inside School Building</t>
  </si>
  <si>
    <t>Yes</t>
  </si>
  <si>
    <t>Morning Classes</t>
  </si>
  <si>
    <t>Gun inside backpack discharged when student dropped bag inside the gym</t>
  </si>
  <si>
    <t>Accidental</t>
  </si>
  <si>
    <t>Neither</t>
  </si>
  <si>
    <t>No</t>
  </si>
  <si>
    <t>20220809PACHP</t>
  </si>
  <si>
    <t>Charles B. Warring Elementary School</t>
  </si>
  <si>
    <t>Local</t>
  </si>
  <si>
    <t>Summer</t>
  </si>
  <si>
    <t>Poughkeepsie</t>
  </si>
  <si>
    <t>PA</t>
  </si>
  <si>
    <t>Elementary</t>
  </si>
  <si>
    <t>Front of School</t>
  </si>
  <si>
    <t>Outside on School Property</t>
  </si>
  <si>
    <t>No</t>
  </si>
  <si>
    <t>Night</t>
  </si>
  <si>
    <t>Two men shot in front of school</t>
  </si>
  <si>
    <t>No</t>
  </si>
  <si>
    <t>20220805MATHL</t>
  </si>
  <si>
    <t>Thurgood Marshall Middle School</t>
  </si>
  <si>
    <t>Local</t>
  </si>
  <si>
    <t>Summer</t>
  </si>
  <si>
    <t>Lynn</t>
  </si>
  <si>
    <t>MA</t>
  </si>
  <si>
    <t>Middle</t>
  </si>
  <si>
    <t>Parking Lot</t>
  </si>
  <si>
    <t>Outside on School Property</t>
  </si>
  <si>
    <t>No</t>
  </si>
  <si>
    <t>Sport Event</t>
  </si>
  <si>
    <t>Shots fired during fight in parking lot during basketball tournament</t>
  </si>
  <si>
    <t>Escalation of Dispute</t>
  </si>
  <si>
    <t>Victims Targeted</t>
  </si>
  <si>
    <t>No</t>
  </si>
  <si>
    <t>20220805GAJOJ</t>
  </si>
  <si>
    <t>Johnson County High School</t>
  </si>
  <si>
    <t>Local</t>
  </si>
  <si>
    <t>Summer</t>
  </si>
  <si>
    <t>Wrightsville</t>
  </si>
  <si>
    <t>GA</t>
  </si>
  <si>
    <t>High</t>
  </si>
  <si>
    <t>Football Field/Track</t>
  </si>
  <si>
    <t>Outside on School Property</t>
  </si>
  <si>
    <t>No</t>
  </si>
  <si>
    <t>Sport Event</t>
  </si>
  <si>
    <t>Man fired 12 shots into air next to stadium during football game</t>
  </si>
  <si>
    <t>Neither</t>
  </si>
  <si>
    <t>No</t>
  </si>
  <si>
    <t>Yes</t>
  </si>
  <si>
    <t>20220803PALEP</t>
  </si>
  <si>
    <t>Lewis Elkin Elementary School</t>
  </si>
  <si>
    <t>Local</t>
  </si>
  <si>
    <t>Summer</t>
  </si>
  <si>
    <t>Philadelphia</t>
  </si>
  <si>
    <t>PA</t>
  </si>
  <si>
    <t>Elementary</t>
  </si>
  <si>
    <t>Playground</t>
  </si>
  <si>
    <t>Outside on School Property</t>
  </si>
  <si>
    <t>No</t>
  </si>
  <si>
    <t>Night</t>
  </si>
  <si>
    <t>2 men shot near school playground</t>
  </si>
  <si>
    <t>Victims Targeted</t>
  </si>
  <si>
    <t>No</t>
  </si>
  <si>
    <t>20220731CAOAO</t>
  </si>
  <si>
    <t>Oakland Technical High School</t>
  </si>
  <si>
    <t>National</t>
  </si>
  <si>
    <t>Summer</t>
  </si>
  <si>
    <t>Oakland</t>
  </si>
  <si>
    <t>CA</t>
  </si>
  <si>
    <t>High</t>
  </si>
  <si>
    <t>Football Field/Track</t>
  </si>
  <si>
    <t>Outside on School Property</t>
  </si>
  <si>
    <t>No</t>
  </si>
  <si>
    <t>Sport Event</t>
  </si>
  <si>
    <t>3 attendees shot in the stands during youth football game</t>
  </si>
  <si>
    <t>Escalation of Dispute</t>
  </si>
  <si>
    <t>Both</t>
  </si>
  <si>
    <t>No</t>
  </si>
  <si>
    <t>20220730NYRHH</t>
  </si>
  <si>
    <t>Rhodes Academy</t>
  </si>
  <si>
    <t>Local</t>
  </si>
  <si>
    <t>Summer</t>
  </si>
  <si>
    <t>Hempstead</t>
  </si>
  <si>
    <t>NY</t>
  </si>
  <si>
    <t>Elementary</t>
  </si>
  <si>
    <t>Classroom</t>
  </si>
  <si>
    <t>Outside on School Property</t>
  </si>
  <si>
    <t>No</t>
  </si>
  <si>
    <t>Night</t>
  </si>
  <si>
    <t>Bullet broke classroom window</t>
  </si>
  <si>
    <t>Neither</t>
  </si>
  <si>
    <t>No</t>
  </si>
  <si>
    <t>20220729INCOS</t>
  </si>
  <si>
    <t>Coquillard Elementary School</t>
  </si>
  <si>
    <t>Regional</t>
  </si>
  <si>
    <t>Summer</t>
  </si>
  <si>
    <t>South Bend</t>
  </si>
  <si>
    <t>IN</t>
  </si>
  <si>
    <t>Elementary</t>
  </si>
  <si>
    <t>Field (General)</t>
  </si>
  <si>
    <t>Outside on School Property</t>
  </si>
  <si>
    <t>No</t>
  </si>
  <si>
    <t>Not a School Day</t>
  </si>
  <si>
    <t>Man with gun was shot after threatening suicide and threatening officers</t>
  </si>
  <si>
    <t>Suicide/Attempted</t>
  </si>
  <si>
    <t>Victims Targeted</t>
  </si>
  <si>
    <t>No</t>
  </si>
  <si>
    <t>20220728KSMOG</t>
  </si>
  <si>
    <t>Moonlight Elementary School</t>
  </si>
  <si>
    <t>Local</t>
  </si>
  <si>
    <t>Summer</t>
  </si>
  <si>
    <t>Gardner</t>
  </si>
  <si>
    <t>KS</t>
  </si>
  <si>
    <t>Elementary</t>
  </si>
  <si>
    <t>Outside on School Property</t>
  </si>
  <si>
    <t>No</t>
  </si>
  <si>
    <t>Not a School Day</t>
  </si>
  <si>
    <t>Suicidal man shot himself when approached by police</t>
  </si>
  <si>
    <t>Suicide/Attempted</t>
  </si>
  <si>
    <t>Victims Targeted</t>
  </si>
  <si>
    <t>No</t>
  </si>
  <si>
    <t>20220726TXCOC</t>
  </si>
  <si>
    <t>College Station High School</t>
  </si>
  <si>
    <t>Local</t>
  </si>
  <si>
    <t>Summer</t>
  </si>
  <si>
    <t>College Station</t>
  </si>
  <si>
    <t>TX</t>
  </si>
  <si>
    <t>High</t>
  </si>
  <si>
    <t>Parking Lot</t>
  </si>
  <si>
    <t>Outside on School Property</t>
  </si>
  <si>
    <t>No</t>
  </si>
  <si>
    <t>Evening</t>
  </si>
  <si>
    <t>Man fired shots in parking lot, struck vehicles</t>
  </si>
  <si>
    <t>No</t>
  </si>
  <si>
    <t>20220726PALAL</t>
  </si>
  <si>
    <t>Lake-Lehman Junior/Senior High School</t>
  </si>
  <si>
    <t>Local</t>
  </si>
  <si>
    <t>Summer</t>
  </si>
  <si>
    <t>Luzerne</t>
  </si>
  <si>
    <t>PA</t>
  </si>
  <si>
    <t>High</t>
  </si>
  <si>
    <t>Gym</t>
  </si>
  <si>
    <t>Outside on School Property</t>
  </si>
  <si>
    <t>No</t>
  </si>
  <si>
    <t>Night</t>
  </si>
  <si>
    <t>Man fired shots from vehicle at school building</t>
  </si>
  <si>
    <t>Drive-by Shooting</t>
  </si>
  <si>
    <t>Neither</t>
  </si>
  <si>
    <t>No</t>
  </si>
  <si>
    <t>20220725NYBRB</t>
  </si>
  <si>
    <t>X480 Bronx Regional High School</t>
  </si>
  <si>
    <t>Local</t>
  </si>
  <si>
    <t>Summer</t>
  </si>
  <si>
    <t>Bronx</t>
  </si>
  <si>
    <t>NY</t>
  </si>
  <si>
    <t>High</t>
  </si>
  <si>
    <t>Basketball Court</t>
  </si>
  <si>
    <t>Outside on School Property</t>
  </si>
  <si>
    <t>No</t>
  </si>
  <si>
    <t>Night</t>
  </si>
  <si>
    <t>Teen and child shot on basketball court</t>
  </si>
  <si>
    <t>Drive-by Shooting</t>
  </si>
  <si>
    <t>Both</t>
  </si>
  <si>
    <t>Yes</t>
  </si>
  <si>
    <t>No</t>
  </si>
  <si>
    <t>20220720CAJOV</t>
  </si>
  <si>
    <t>John Finney High School</t>
  </si>
  <si>
    <t>Regional</t>
  </si>
  <si>
    <t>Summer</t>
  </si>
  <si>
    <t>Vallejo</t>
  </si>
  <si>
    <t>CA</t>
  </si>
  <si>
    <t>High</t>
  </si>
  <si>
    <t>Field (General)</t>
  </si>
  <si>
    <t>Outside on School Property</t>
  </si>
  <si>
    <t>Yes</t>
  </si>
  <si>
    <t>Morning Classes</t>
  </si>
  <si>
    <t>Shots fired on school field</t>
  </si>
  <si>
    <t>No</t>
  </si>
  <si>
    <t>20220716GAAPF</t>
  </si>
  <si>
    <t>A. Philip Randolph Elementary School</t>
  </si>
  <si>
    <t>Local</t>
  </si>
  <si>
    <t>Summer</t>
  </si>
  <si>
    <t>Fulton</t>
  </si>
  <si>
    <t>GA</t>
  </si>
  <si>
    <t>Elementary</t>
  </si>
  <si>
    <t>Parking Lot</t>
  </si>
  <si>
    <t>Outside on School Property</t>
  </si>
  <si>
    <t>No</t>
  </si>
  <si>
    <t>Night</t>
  </si>
  <si>
    <t>Man shot during fight that escalated into shooting</t>
  </si>
  <si>
    <t>Escalation of Dispute</t>
  </si>
  <si>
    <t>Victims Targeted</t>
  </si>
  <si>
    <t>No</t>
  </si>
  <si>
    <t>20220716NYCLS</t>
  </si>
  <si>
    <t>Clary Middle School</t>
  </si>
  <si>
    <t>Local</t>
  </si>
  <si>
    <t>Summer</t>
  </si>
  <si>
    <t>Syracuse</t>
  </si>
  <si>
    <t>NY</t>
  </si>
  <si>
    <t>Middle</t>
  </si>
  <si>
    <t>Parking Lot</t>
  </si>
  <si>
    <t>Outside on School Property</t>
  </si>
  <si>
    <t>No</t>
  </si>
  <si>
    <t>Sport Event</t>
  </si>
  <si>
    <t>Shots fired during fight in parking lot during semi-pro football game</t>
  </si>
  <si>
    <t>Escalation of Dispute</t>
  </si>
  <si>
    <t>Victims Targeted</t>
  </si>
  <si>
    <t>No</t>
  </si>
  <si>
    <t>20220629CABUA</t>
  </si>
  <si>
    <t>Buhach Colony High School</t>
  </si>
  <si>
    <t>Local</t>
  </si>
  <si>
    <t>Summer</t>
  </si>
  <si>
    <t>Atwater</t>
  </si>
  <si>
    <t>CA</t>
  </si>
  <si>
    <t>High</t>
  </si>
  <si>
    <t>Parking Lot</t>
  </si>
  <si>
    <t>Outside on School Property</t>
  </si>
  <si>
    <t>No</t>
  </si>
  <si>
    <t>Night</t>
  </si>
  <si>
    <t>Man shot and killed in school parking lot</t>
  </si>
  <si>
    <t>Illegal Activity</t>
  </si>
  <si>
    <t>Victims Targeted</t>
  </si>
  <si>
    <t>Yes</t>
  </si>
  <si>
    <t>No</t>
  </si>
  <si>
    <t>20220620ILGRC</t>
  </si>
  <si>
    <t>Gresham School of Excellence</t>
  </si>
  <si>
    <t>National</t>
  </si>
  <si>
    <t>Summer</t>
  </si>
  <si>
    <t>Chicago</t>
  </si>
  <si>
    <t>IL</t>
  </si>
  <si>
    <t>Elementary</t>
  </si>
  <si>
    <t>Field (General)</t>
  </si>
  <si>
    <t>Outside on School Property</t>
  </si>
  <si>
    <t>No</t>
  </si>
  <si>
    <t>Night</t>
  </si>
  <si>
    <t>3 people shot on elementary school field</t>
  </si>
  <si>
    <t>Both</t>
  </si>
  <si>
    <t>No</t>
  </si>
  <si>
    <t>20220613WAMAE</t>
  </si>
  <si>
    <t>Mariner High School</t>
  </si>
  <si>
    <t>Local</t>
  </si>
  <si>
    <t>Summer</t>
  </si>
  <si>
    <t>Everett</t>
  </si>
  <si>
    <t>WA</t>
  </si>
  <si>
    <t>High</t>
  </si>
  <si>
    <t>Parking Lot</t>
  </si>
  <si>
    <t>Outside on School Property</t>
  </si>
  <si>
    <t>No</t>
  </si>
  <si>
    <t>After School</t>
  </si>
  <si>
    <t>Shots fired in parking lot by teen during after school activities</t>
  </si>
  <si>
    <t>Escalation of Dispute</t>
  </si>
  <si>
    <t>Victims Targeted</t>
  </si>
  <si>
    <t>No</t>
  </si>
  <si>
    <t>20220610ALBYB</t>
  </si>
  <si>
    <t>Byhalia High School</t>
  </si>
  <si>
    <t>Local</t>
  </si>
  <si>
    <t>Summer</t>
  </si>
  <si>
    <t>Byhalia</t>
  </si>
  <si>
    <t>MS</t>
  </si>
  <si>
    <t>High</t>
  </si>
  <si>
    <t>Parking Lot</t>
  </si>
  <si>
    <t>Outside on School Property</t>
  </si>
  <si>
    <t>Yes</t>
  </si>
  <si>
    <t>Morning Classes</t>
  </si>
  <si>
    <t>Student fired gun in parking lot during dispute</t>
  </si>
  <si>
    <t>Escalation of Dispute</t>
  </si>
  <si>
    <t>Victims Targeted</t>
  </si>
  <si>
    <t>No</t>
  </si>
  <si>
    <t>20220609ALWAG</t>
  </si>
  <si>
    <t>Walnut Park Elementary School</t>
  </si>
  <si>
    <t>National</t>
  </si>
  <si>
    <t>Summer</t>
  </si>
  <si>
    <t>Gadsden</t>
  </si>
  <si>
    <t>AL</t>
  </si>
  <si>
    <t>Elementary</t>
  </si>
  <si>
    <t>Front of School</t>
  </si>
  <si>
    <t>Outside on School Property</t>
  </si>
  <si>
    <t>Yes</t>
  </si>
  <si>
    <t>Morning Classes</t>
  </si>
  <si>
    <t>Man fatally shot by SRO while trying to break-in to school</t>
  </si>
  <si>
    <t>Officer-Involved Shooting</t>
  </si>
  <si>
    <t>No</t>
  </si>
  <si>
    <t>20220608ARLIL</t>
  </si>
  <si>
    <t>Little Rock School District Bus</t>
  </si>
  <si>
    <t>National</t>
  </si>
  <si>
    <t>Summer</t>
  </si>
  <si>
    <t>Little Rock</t>
  </si>
  <si>
    <t>AR</t>
  </si>
  <si>
    <t>Other</t>
  </si>
  <si>
    <t>School Bus</t>
  </si>
  <si>
    <t>Yes</t>
  </si>
  <si>
    <t>Dismissal</t>
  </si>
  <si>
    <t>Shots struck school bus driving student home</t>
  </si>
  <si>
    <t>Both</t>
  </si>
  <si>
    <t>No</t>
  </si>
  <si>
    <t>20220607MIPED</t>
  </si>
  <si>
    <t>Pershing High School</t>
  </si>
  <si>
    <t>Local</t>
  </si>
  <si>
    <t>Summer</t>
  </si>
  <si>
    <t>Detroit</t>
  </si>
  <si>
    <t>MI</t>
  </si>
  <si>
    <t>High</t>
  </si>
  <si>
    <t>Parking Lot</t>
  </si>
  <si>
    <t>Outside on School Property</t>
  </si>
  <si>
    <t>No</t>
  </si>
  <si>
    <t>After School</t>
  </si>
  <si>
    <t>Shots fired in school parking lot after dismissal</t>
  </si>
  <si>
    <t>No</t>
  </si>
  <si>
    <t>20220605INWEG</t>
  </si>
  <si>
    <t>West Side Leadership Academy</t>
  </si>
  <si>
    <t>Local</t>
  </si>
  <si>
    <t>Summer</t>
  </si>
  <si>
    <t>Gary</t>
  </si>
  <si>
    <t>IN</t>
  </si>
  <si>
    <t>High</t>
  </si>
  <si>
    <t>Off School Property</t>
  </si>
  <si>
    <t>No</t>
  </si>
  <si>
    <t>School Event</t>
  </si>
  <si>
    <t>2 teens shot following high school graduation</t>
  </si>
  <si>
    <t>Escalation of Dispute</t>
  </si>
  <si>
    <t>Both</t>
  </si>
  <si>
    <t>No</t>
  </si>
  <si>
    <t>20220601CAULL</t>
  </si>
  <si>
    <t>Ulysses S. Grant Senior High School</t>
  </si>
  <si>
    <t>Regional</t>
  </si>
  <si>
    <t>Summer</t>
  </si>
  <si>
    <t>Los Angeles</t>
  </si>
  <si>
    <t>CA</t>
  </si>
  <si>
    <t>High</t>
  </si>
  <si>
    <t>Front of School</t>
  </si>
  <si>
    <t>Outside on School Property</t>
  </si>
  <si>
    <t>Yes</t>
  </si>
  <si>
    <t>Dismissal</t>
  </si>
  <si>
    <t>Student shot in front of school at dismissal</t>
  </si>
  <si>
    <t>Escalation of Dispute</t>
  </si>
  <si>
    <t>Victims Targeted</t>
  </si>
  <si>
    <t>No</t>
  </si>
  <si>
    <t>20220531LAMON</t>
  </si>
  <si>
    <t>Morris Jeff High School</t>
  </si>
  <si>
    <t>National</t>
  </si>
  <si>
    <t>Spring</t>
  </si>
  <si>
    <t>New Orleans</t>
  </si>
  <si>
    <t>LA</t>
  </si>
  <si>
    <t>High</t>
  </si>
  <si>
    <t>Off School Property</t>
  </si>
  <si>
    <t>Yes</t>
  </si>
  <si>
    <t>School Event</t>
  </si>
  <si>
    <t>3 people shot following high school graduation</t>
  </si>
  <si>
    <t>Escalation of Dispute</t>
  </si>
  <si>
    <t>Both</t>
  </si>
  <si>
    <t>No</t>
  </si>
  <si>
    <t>20220530CAHEL</t>
  </si>
  <si>
    <t>Helix High School</t>
  </si>
  <si>
    <t>Local</t>
  </si>
  <si>
    <t>Spring</t>
  </si>
  <si>
    <t>La Mesa</t>
  </si>
  <si>
    <t>CA</t>
  </si>
  <si>
    <t>High</t>
  </si>
  <si>
    <t>Parking Lot</t>
  </si>
  <si>
    <t>Outside on School Property</t>
  </si>
  <si>
    <t>No</t>
  </si>
  <si>
    <t>Evening</t>
  </si>
  <si>
    <t>Adult man shot in school parking lot</t>
  </si>
  <si>
    <t>Victims Targeted</t>
  </si>
  <si>
    <t>No</t>
  </si>
  <si>
    <t>20220529ILDAC</t>
  </si>
  <si>
    <t>Daniel Webster Public School</t>
  </si>
  <si>
    <t>Local</t>
  </si>
  <si>
    <t>Spring</t>
  </si>
  <si>
    <t>Chicago</t>
  </si>
  <si>
    <t>IL</t>
  </si>
  <si>
    <t>Elementary</t>
  </si>
  <si>
    <t>Front of School</t>
  </si>
  <si>
    <t>Outside on School Property</t>
  </si>
  <si>
    <t>No</t>
  </si>
  <si>
    <t>Night</t>
  </si>
  <si>
    <t>5 wounded when 97 shots fired in front of school.</t>
  </si>
  <si>
    <t>Escalation of Dispute</t>
  </si>
  <si>
    <t>Both</t>
  </si>
  <si>
    <t>Yes</t>
  </si>
  <si>
    <t>No</t>
  </si>
  <si>
    <t>20220526TXDUA</t>
  </si>
  <si>
    <t>Duff Elementary School</t>
  </si>
  <si>
    <t>Local</t>
  </si>
  <si>
    <t>Spring</t>
  </si>
  <si>
    <t>Arlington</t>
  </si>
  <si>
    <t>TX</t>
  </si>
  <si>
    <t>Elementary</t>
  </si>
  <si>
    <t>Front of School</t>
  </si>
  <si>
    <t>Outside on School Property</t>
  </si>
  <si>
    <t>Yes</t>
  </si>
  <si>
    <t>Morning Classes</t>
  </si>
  <si>
    <t>Man shot himself in the leg while walking toward the school office</t>
  </si>
  <si>
    <t>Accidental</t>
  </si>
  <si>
    <t>Neither</t>
  </si>
  <si>
    <t>No</t>
  </si>
  <si>
    <t>20220526SCMEG</t>
  </si>
  <si>
    <t>Mevers School of Excellence</t>
  </si>
  <si>
    <t>Local</t>
  </si>
  <si>
    <t>Spring</t>
  </si>
  <si>
    <t>Goose Creek</t>
  </si>
  <si>
    <t>SC</t>
  </si>
  <si>
    <t>K-8</t>
  </si>
  <si>
    <t>Parking Lot</t>
  </si>
  <si>
    <t>Outside on School Property</t>
  </si>
  <si>
    <t>No</t>
  </si>
  <si>
    <t>Night</t>
  </si>
  <si>
    <t>Man fatally shot in parking lot, found by staff member</t>
  </si>
  <si>
    <t>Victims Targeted</t>
  </si>
  <si>
    <t>No</t>
  </si>
  <si>
    <t>20220525ILSTC</t>
  </si>
  <si>
    <t>St. Margaret of Scotland School</t>
  </si>
  <si>
    <t>Local</t>
  </si>
  <si>
    <t>Spring</t>
  </si>
  <si>
    <t>Chicago</t>
  </si>
  <si>
    <t>IL</t>
  </si>
  <si>
    <t>K-12</t>
  </si>
  <si>
    <t>Outside on School Property</t>
  </si>
  <si>
    <t>No</t>
  </si>
  <si>
    <t>Night</t>
  </si>
  <si>
    <t>5 windows shot out</t>
  </si>
  <si>
    <t>Intentional Property Damage</t>
  </si>
  <si>
    <t>Neither</t>
  </si>
  <si>
    <t>No</t>
  </si>
  <si>
    <t>20220524DCPOW</t>
  </si>
  <si>
    <t>Powell Elementary School</t>
  </si>
  <si>
    <t>Local</t>
  </si>
  <si>
    <t>Spring</t>
  </si>
  <si>
    <t>Washington</t>
  </si>
  <si>
    <t>DC</t>
  </si>
  <si>
    <t>Elementary</t>
  </si>
  <si>
    <t>Front of School</t>
  </si>
  <si>
    <t>Outside on School Property</t>
  </si>
  <si>
    <t>No</t>
  </si>
  <si>
    <t>After School</t>
  </si>
  <si>
    <t>Teen shot in front of the school</t>
  </si>
  <si>
    <t>Escalation of Dispute</t>
  </si>
  <si>
    <t>Victims Targeted</t>
  </si>
  <si>
    <t>No</t>
  </si>
  <si>
    <t>20220524WIRIM</t>
  </si>
  <si>
    <t>Riverside University High School</t>
  </si>
  <si>
    <t>Local</t>
  </si>
  <si>
    <t>Spring</t>
  </si>
  <si>
    <t>Milwaukee</t>
  </si>
  <si>
    <t>WI</t>
  </si>
  <si>
    <t>High</t>
  </si>
  <si>
    <t>Inside School Building</t>
  </si>
  <si>
    <t>Yes</t>
  </si>
  <si>
    <t>Lunch</t>
  </si>
  <si>
    <t>Shot fired during fight inside the school, shooter fled</t>
  </si>
  <si>
    <t>Escalation of Dispute</t>
  </si>
  <si>
    <t>No</t>
  </si>
  <si>
    <t>20220524TXROU</t>
  </si>
  <si>
    <t>Robb Elementary School</t>
  </si>
  <si>
    <t>International</t>
  </si>
  <si>
    <t>Spring</t>
  </si>
  <si>
    <t>Uvalde</t>
  </si>
  <si>
    <t>TX</t>
  </si>
  <si>
    <t>Elementary</t>
  </si>
  <si>
    <t>Inside School Building</t>
  </si>
  <si>
    <t>Yes</t>
  </si>
  <si>
    <t>Morning Classes</t>
  </si>
  <si>
    <t>Indiscriminate attack at school</t>
  </si>
  <si>
    <t>Indiscriminate Shooting</t>
  </si>
  <si>
    <t>Random Shooting</t>
  </si>
  <si>
    <t>No</t>
  </si>
  <si>
    <t>Yes</t>
  </si>
  <si>
    <t>20220523PASIP</t>
  </si>
  <si>
    <t>Simon Gratz High School</t>
  </si>
  <si>
    <t>Regional</t>
  </si>
  <si>
    <t>Spring</t>
  </si>
  <si>
    <t>Philadelphia</t>
  </si>
  <si>
    <t>PA</t>
  </si>
  <si>
    <t>High</t>
  </si>
  <si>
    <t>Front of School</t>
  </si>
  <si>
    <t>Outside on School Property</t>
  </si>
  <si>
    <t>Yes</t>
  </si>
  <si>
    <t>Dismissal</t>
  </si>
  <si>
    <t>Three teen students shot at dismissal</t>
  </si>
  <si>
    <t>Drive-by Shooting</t>
  </si>
  <si>
    <t>Both</t>
  </si>
  <si>
    <t>No</t>
  </si>
  <si>
    <t>20220520ALMAT</t>
  </si>
  <si>
    <t>Mary W Burroughs Elementary School</t>
  </si>
  <si>
    <t>Local</t>
  </si>
  <si>
    <t>Spring</t>
  </si>
  <si>
    <t>Theodore</t>
  </si>
  <si>
    <t>AL</t>
  </si>
  <si>
    <t>Elementary</t>
  </si>
  <si>
    <t>Classroom</t>
  </si>
  <si>
    <t>Both Inside/Outside</t>
  </si>
  <si>
    <t>Yes</t>
  </si>
  <si>
    <t>Afternoon Classes</t>
  </si>
  <si>
    <t>Bullet broke classroom window</t>
  </si>
  <si>
    <t>Accidental</t>
  </si>
  <si>
    <t>Neither</t>
  </si>
  <si>
    <t>No</t>
  </si>
  <si>
    <t>20220520TNEAC</t>
  </si>
  <si>
    <t>East Lake Elementary School</t>
  </si>
  <si>
    <t>Local</t>
  </si>
  <si>
    <t>Fall</t>
  </si>
  <si>
    <t>Chattanooga</t>
  </si>
  <si>
    <t>TN</t>
  </si>
  <si>
    <t>Elementary</t>
  </si>
  <si>
    <t>Outside on School Property</t>
  </si>
  <si>
    <t>No</t>
  </si>
  <si>
    <t>Before School</t>
  </si>
  <si>
    <t>Man fatally shot on school property</t>
  </si>
  <si>
    <t>Victims Targeted</t>
  </si>
  <si>
    <t>No</t>
  </si>
  <si>
    <t>20220520OHCAC</t>
  </si>
  <si>
    <t>Canal Winchester High School</t>
  </si>
  <si>
    <t>Local</t>
  </si>
  <si>
    <t>Spring</t>
  </si>
  <si>
    <t>Canal Winchester</t>
  </si>
  <si>
    <t>OH</t>
  </si>
  <si>
    <t>High</t>
  </si>
  <si>
    <t>School Bus</t>
  </si>
  <si>
    <t>Yes</t>
  </si>
  <si>
    <t>Dismissal</t>
  </si>
  <si>
    <t>Teen shot school bus driver 3 times with BB gun</t>
  </si>
  <si>
    <t>Victims Targeted</t>
  </si>
  <si>
    <t>No</t>
  </si>
  <si>
    <t>20220520VAPOD</t>
  </si>
  <si>
    <t>Potomac High School</t>
  </si>
  <si>
    <t>Local</t>
  </si>
  <si>
    <t>Spring</t>
  </si>
  <si>
    <t>Dumfries</t>
  </si>
  <si>
    <t>VA</t>
  </si>
  <si>
    <t>High</t>
  </si>
  <si>
    <t>Bathroom</t>
  </si>
  <si>
    <t>Inside School Building</t>
  </si>
  <si>
    <t>Yes</t>
  </si>
  <si>
    <t>Morning Classes</t>
  </si>
  <si>
    <t>Student pointed gun at another student in bathroom, arrested by SRO with loaded weapon</t>
  </si>
  <si>
    <t>Victims Targeted</t>
  </si>
  <si>
    <t>No</t>
  </si>
  <si>
    <t>20220520ILSOP</t>
  </si>
  <si>
    <t>South Elementary School</t>
  </si>
  <si>
    <t>Local</t>
  </si>
  <si>
    <t>Spring</t>
  </si>
  <si>
    <t>Pittsfield</t>
  </si>
  <si>
    <t>IL</t>
  </si>
  <si>
    <t>Elementary</t>
  </si>
  <si>
    <t>Outside on School Property</t>
  </si>
  <si>
    <t>Yes</t>
  </si>
  <si>
    <t>School Start</t>
  </si>
  <si>
    <t>Woman hallucinating on meth fired shot near school</t>
  </si>
  <si>
    <t>Illegal Activity</t>
  </si>
  <si>
    <t>Neither</t>
  </si>
  <si>
    <t>No</t>
  </si>
  <si>
    <t>20220519VAGER</t>
  </si>
  <si>
    <t>George Wythe High School</t>
  </si>
  <si>
    <t>Local</t>
  </si>
  <si>
    <t>Spring</t>
  </si>
  <si>
    <t>Richmond</t>
  </si>
  <si>
    <t>VA</t>
  </si>
  <si>
    <t>High</t>
  </si>
  <si>
    <t>Parking Lot</t>
  </si>
  <si>
    <t>Outside on School Property</t>
  </si>
  <si>
    <t>Yes</t>
  </si>
  <si>
    <t>Afternoon Classes</t>
  </si>
  <si>
    <t>Shots fired from a vehicle at students in the parking lot</t>
  </si>
  <si>
    <t>Drive-by Shooting</t>
  </si>
  <si>
    <t>Random Shooting</t>
  </si>
  <si>
    <t>No</t>
  </si>
  <si>
    <t>20220519MIEAK</t>
  </si>
  <si>
    <t>East Kentwood High School</t>
  </si>
  <si>
    <t>National</t>
  </si>
  <si>
    <t>Spring</t>
  </si>
  <si>
    <t>Kentwood</t>
  </si>
  <si>
    <t>MI</t>
  </si>
  <si>
    <t>High</t>
  </si>
  <si>
    <t>Parking Lot</t>
  </si>
  <si>
    <t>Outside on School Property</t>
  </si>
  <si>
    <t>No</t>
  </si>
  <si>
    <t>Sport Event</t>
  </si>
  <si>
    <t>Drive-by shooting in the parking lot of the school following graduation</t>
  </si>
  <si>
    <t>Drive-by Shooting</t>
  </si>
  <si>
    <t>Both</t>
  </si>
  <si>
    <t>Yes</t>
  </si>
  <si>
    <t>No</t>
  </si>
  <si>
    <t>20220519LAHAH</t>
  </si>
  <si>
    <t>Hammond High Magnet School</t>
  </si>
  <si>
    <t>National</t>
  </si>
  <si>
    <t>Spring</t>
  </si>
  <si>
    <t>Hammond</t>
  </si>
  <si>
    <t>LA</t>
  </si>
  <si>
    <t>High</t>
  </si>
  <si>
    <t>Off School Property</t>
  </si>
  <si>
    <t>No</t>
  </si>
  <si>
    <t>School Event</t>
  </si>
  <si>
    <t>Shots firing during fight that escalated following graduation ceremony</t>
  </si>
  <si>
    <t>Escalation of Dispute</t>
  </si>
  <si>
    <t>Both</t>
  </si>
  <si>
    <t>No</t>
  </si>
  <si>
    <t>20220518TNRIM</t>
  </si>
  <si>
    <t>Riverdale High School</t>
  </si>
  <si>
    <t>National</t>
  </si>
  <si>
    <t>Spring</t>
  </si>
  <si>
    <t>Murfreesboro</t>
  </si>
  <si>
    <t>TN</t>
  </si>
  <si>
    <t>High</t>
  </si>
  <si>
    <t>Off School Property</t>
  </si>
  <si>
    <t>No</t>
  </si>
  <si>
    <t>School Event</t>
  </si>
  <si>
    <t>Two people shot following high school graduation on MTSU campus</t>
  </si>
  <si>
    <t>Escalation of Dispute</t>
  </si>
  <si>
    <t>Both</t>
  </si>
  <si>
    <t>No</t>
  </si>
  <si>
    <t>20220518FLPAP</t>
  </si>
  <si>
    <t>Palmetto High School</t>
  </si>
  <si>
    <t>Regional</t>
  </si>
  <si>
    <t>Spring</t>
  </si>
  <si>
    <t>Palmetto</t>
  </si>
  <si>
    <t>FL</t>
  </si>
  <si>
    <t>High</t>
  </si>
  <si>
    <t>Football Field/Track</t>
  </si>
  <si>
    <t>Outside on School Property</t>
  </si>
  <si>
    <t>No</t>
  </si>
  <si>
    <t>Sport Event</t>
  </si>
  <si>
    <t>Shot fired during fight on sideline during football game</t>
  </si>
  <si>
    <t>Escalation of Dispute</t>
  </si>
  <si>
    <t>Victims Targeted</t>
  </si>
  <si>
    <t>No</t>
  </si>
  <si>
    <t>20220517ILWAC</t>
  </si>
  <si>
    <t>Walt Disney Magnet School</t>
  </si>
  <si>
    <t>Regional</t>
  </si>
  <si>
    <t>Spring</t>
  </si>
  <si>
    <t>Chicago</t>
  </si>
  <si>
    <t>IL</t>
  </si>
  <si>
    <t>K-8</t>
  </si>
  <si>
    <t>Classroom</t>
  </si>
  <si>
    <t>Inside School Building</t>
  </si>
  <si>
    <t>Yes</t>
  </si>
  <si>
    <t>Morning Classes</t>
  </si>
  <si>
    <t>Gun inside 7-year-old students backpack fired in classroom striking classmate</t>
  </si>
  <si>
    <t>Accidental</t>
  </si>
  <si>
    <t>Random Shooting</t>
  </si>
  <si>
    <t>No</t>
  </si>
  <si>
    <t>20220517CASAS</t>
  </si>
  <si>
    <t>School Bus</t>
  </si>
  <si>
    <t>Local</t>
  </si>
  <si>
    <t>Spring</t>
  </si>
  <si>
    <t>San Francisco</t>
  </si>
  <si>
    <t>CA</t>
  </si>
  <si>
    <t>Other</t>
  </si>
  <si>
    <t>School Bus</t>
  </si>
  <si>
    <t>Yes</t>
  </si>
  <si>
    <t>Morning Classes</t>
  </si>
  <si>
    <t>School bus struck multiple times during drive-by</t>
  </si>
  <si>
    <t>Drive-by Shooting</t>
  </si>
  <si>
    <t>Both</t>
  </si>
  <si>
    <t>No</t>
  </si>
  <si>
    <t>20220516TXMEM</t>
  </si>
  <si>
    <t>Mexia High School</t>
  </si>
  <si>
    <t>Local</t>
  </si>
  <si>
    <t>Spring</t>
  </si>
  <si>
    <t>Mexia</t>
  </si>
  <si>
    <t>TX</t>
  </si>
  <si>
    <t>High</t>
  </si>
  <si>
    <t>Bathroom</t>
  </si>
  <si>
    <t>Inside School Building</t>
  </si>
  <si>
    <t>Yes</t>
  </si>
  <si>
    <t>Morning Classes</t>
  </si>
  <si>
    <t>Shot fired in bathroom, suspect and loaded gun found on campus</t>
  </si>
  <si>
    <t>No</t>
  </si>
  <si>
    <t>20220515ILMEP</t>
  </si>
  <si>
    <t>Meadow View Elementary School</t>
  </si>
  <si>
    <t>Local</t>
  </si>
  <si>
    <t>Spring</t>
  </si>
  <si>
    <t>Plainfield</t>
  </si>
  <si>
    <t>IL</t>
  </si>
  <si>
    <t>Elementary</t>
  </si>
  <si>
    <t>Field (General)</t>
  </si>
  <si>
    <t>Outside on School Property</t>
  </si>
  <si>
    <t>No</t>
  </si>
  <si>
    <t>Evening</t>
  </si>
  <si>
    <t>Teen shot on the school field, shooter fled</t>
  </si>
  <si>
    <t>Victims Targeted</t>
  </si>
  <si>
    <t>No</t>
  </si>
  <si>
    <t>20220515NHBEB</t>
  </si>
  <si>
    <t>Belmont Elementary School</t>
  </si>
  <si>
    <t>Local</t>
  </si>
  <si>
    <t>Spring</t>
  </si>
  <si>
    <t>Belmont</t>
  </si>
  <si>
    <t>NH</t>
  </si>
  <si>
    <t>Elementary</t>
  </si>
  <si>
    <t>Parking Lot</t>
  </si>
  <si>
    <t>Outside on School Property</t>
  </si>
  <si>
    <t>No</t>
  </si>
  <si>
    <t>Not a School Day</t>
  </si>
  <si>
    <t>Children shot with pellet guns fired during drive-by</t>
  </si>
  <si>
    <t>Drive-by Shooting</t>
  </si>
  <si>
    <t>Random Shooting</t>
  </si>
  <si>
    <t>Yes</t>
  </si>
  <si>
    <t>No</t>
  </si>
  <si>
    <t>20220513GASOM</t>
  </si>
  <si>
    <t>Southwest High School</t>
  </si>
  <si>
    <t>Local</t>
  </si>
  <si>
    <t>Spring</t>
  </si>
  <si>
    <t>Macon</t>
  </si>
  <si>
    <t>GA</t>
  </si>
  <si>
    <t>High</t>
  </si>
  <si>
    <t>Parking Lot</t>
  </si>
  <si>
    <t>Outside on School Property</t>
  </si>
  <si>
    <t>No</t>
  </si>
  <si>
    <t>Evening</t>
  </si>
  <si>
    <t>Adult man shot and critically injured in school parking lot</t>
  </si>
  <si>
    <t>No</t>
  </si>
  <si>
    <t>20220513FLALW</t>
  </si>
  <si>
    <t>Alexander W. Dreyfoos School of the Arts</t>
  </si>
  <si>
    <t>National</t>
  </si>
  <si>
    <t>Spring</t>
  </si>
  <si>
    <t>West Palm Beach</t>
  </si>
  <si>
    <t>FL</t>
  </si>
  <si>
    <t>High</t>
  </si>
  <si>
    <t>Beside Building</t>
  </si>
  <si>
    <t>Outside on School Property</t>
  </si>
  <si>
    <t>Yes</t>
  </si>
  <si>
    <t>Lunch</t>
  </si>
  <si>
    <t>Van crashed through campus gate, driver fought school police office, second officer shot him</t>
  </si>
  <si>
    <t>Officer-Involved Shooting</t>
  </si>
  <si>
    <t>No</t>
  </si>
  <si>
    <t>20220512TXHEH</t>
  </si>
  <si>
    <t>Heights High School</t>
  </si>
  <si>
    <t>Local</t>
  </si>
  <si>
    <t>Spring</t>
  </si>
  <si>
    <t>Houston</t>
  </si>
  <si>
    <t>TX</t>
  </si>
  <si>
    <t>High</t>
  </si>
  <si>
    <t>Parking Lot</t>
  </si>
  <si>
    <t>Outside on School Property</t>
  </si>
  <si>
    <t>Yes</t>
  </si>
  <si>
    <t>Afternoon Classes</t>
  </si>
  <si>
    <t>Student shot in school parking lot during afternoon classes</t>
  </si>
  <si>
    <t>Victims Targeted</t>
  </si>
  <si>
    <t>Yes</t>
  </si>
  <si>
    <t>No</t>
  </si>
  <si>
    <t>20220512ARHOH</t>
  </si>
  <si>
    <t>Hot Springs High School</t>
  </si>
  <si>
    <t>National</t>
  </si>
  <si>
    <t>Spring</t>
  </si>
  <si>
    <t>Hot Springs</t>
  </si>
  <si>
    <t>AR</t>
  </si>
  <si>
    <t>High</t>
  </si>
  <si>
    <t>Off School Property</t>
  </si>
  <si>
    <t>Outside on School Property</t>
  </si>
  <si>
    <t>No</t>
  </si>
  <si>
    <t>Sport Event</t>
  </si>
  <si>
    <t>4 people shot in parking lot following graduation ceremony</t>
  </si>
  <si>
    <t>Escalation of Dispute</t>
  </si>
  <si>
    <t>Both</t>
  </si>
  <si>
    <t>No</t>
  </si>
  <si>
    <t>20220511FLJAJ</t>
  </si>
  <si>
    <t>Andrew Jackson High School</t>
  </si>
  <si>
    <t>Regional</t>
  </si>
  <si>
    <t>Spring</t>
  </si>
  <si>
    <t>Jacksonville</t>
  </si>
  <si>
    <t>FL</t>
  </si>
  <si>
    <t>High</t>
  </si>
  <si>
    <t>Beside Building</t>
  </si>
  <si>
    <t>Outside on School Property</t>
  </si>
  <si>
    <t>Yes</t>
  </si>
  <si>
    <t>Dismissal</t>
  </si>
  <si>
    <t>Student shot exiting school during drive-by</t>
  </si>
  <si>
    <t>Drive-by Shooting</t>
  </si>
  <si>
    <t>Victims Targeted</t>
  </si>
  <si>
    <t>Yes</t>
  </si>
  <si>
    <t>No</t>
  </si>
  <si>
    <t>20220509NYEDS</t>
  </si>
  <si>
    <t>Eden Ii Institute</t>
  </si>
  <si>
    <t>Regional</t>
  </si>
  <si>
    <t>Spring</t>
  </si>
  <si>
    <t>Staten Island</t>
  </si>
  <si>
    <t>NY</t>
  </si>
  <si>
    <t>Other</t>
  </si>
  <si>
    <t>Front of School</t>
  </si>
  <si>
    <t>Outside on School Property</t>
  </si>
  <si>
    <t>Yes</t>
  </si>
  <si>
    <t>Afternoon Classes</t>
  </si>
  <si>
    <t>Man fatally shot by front door to school</t>
  </si>
  <si>
    <t>Escalation of Dispute</t>
  </si>
  <si>
    <t>Victims Targeted</t>
  </si>
  <si>
    <t>Yes</t>
  </si>
  <si>
    <t>No</t>
  </si>
  <si>
    <t>20220509GARIS</t>
  </si>
  <si>
    <t>Riverside Elementary School</t>
  </si>
  <si>
    <t>Regional</t>
  </si>
  <si>
    <t>Spring</t>
  </si>
  <si>
    <t>Suwanee</t>
  </si>
  <si>
    <t>GA</t>
  </si>
  <si>
    <t>Elementary</t>
  </si>
  <si>
    <t>School Bus</t>
  </si>
  <si>
    <t>Yes</t>
  </si>
  <si>
    <t>School Start</t>
  </si>
  <si>
    <t>Woman fired 12 shots at occupied school bus</t>
  </si>
  <si>
    <t>Victims Targeted</t>
  </si>
  <si>
    <t>No</t>
  </si>
  <si>
    <t>20220505ALDOD</t>
  </si>
  <si>
    <t>Dothan City School Bus</t>
  </si>
  <si>
    <t>Local</t>
  </si>
  <si>
    <t>Spring</t>
  </si>
  <si>
    <t>Dothan</t>
  </si>
  <si>
    <t>AL</t>
  </si>
  <si>
    <t>K-12</t>
  </si>
  <si>
    <t>School Bus</t>
  </si>
  <si>
    <t>No</t>
  </si>
  <si>
    <t>After School</t>
  </si>
  <si>
    <t>Man fired BBs at moving school bus and other vehicles</t>
  </si>
  <si>
    <t>Intentional Property Damage</t>
  </si>
  <si>
    <t>Random Shooting</t>
  </si>
  <si>
    <t>No</t>
  </si>
  <si>
    <t>20220505OHLOL</t>
  </si>
  <si>
    <t>Lowellville K-12 School</t>
  </si>
  <si>
    <t>Regional</t>
  </si>
  <si>
    <t>Spring</t>
  </si>
  <si>
    <t>Lowellville</t>
  </si>
  <si>
    <t>OH</t>
  </si>
  <si>
    <t>K-12</t>
  </si>
  <si>
    <t>Cafeteria</t>
  </si>
  <si>
    <t>Inside School Building</t>
  </si>
  <si>
    <t>Yes</t>
  </si>
  <si>
    <t>Morning Classes</t>
  </si>
  <si>
    <t>Student commit suicide in the school cafeteria</t>
  </si>
  <si>
    <t>Suicide/Attempted</t>
  </si>
  <si>
    <t>Victims Targeted</t>
  </si>
  <si>
    <t>No</t>
  </si>
  <si>
    <t>20220503CAARS</t>
  </si>
  <si>
    <t>Arrowview Middle School</t>
  </si>
  <si>
    <t>Local</t>
  </si>
  <si>
    <t>Spring</t>
  </si>
  <si>
    <t>San Bernardino</t>
  </si>
  <si>
    <t>CA</t>
  </si>
  <si>
    <t>Middle</t>
  </si>
  <si>
    <t>Outside on School Property</t>
  </si>
  <si>
    <t>No</t>
  </si>
  <si>
    <t>Before School</t>
  </si>
  <si>
    <t>Shots fired during drive-by struck school building</t>
  </si>
  <si>
    <t>Drive-by Shooting</t>
  </si>
  <si>
    <t>Both</t>
  </si>
  <si>
    <t>No</t>
  </si>
  <si>
    <t>20220501OHHAC</t>
  </si>
  <si>
    <t>Hamilton Stem Academy</t>
  </si>
  <si>
    <t>Local</t>
  </si>
  <si>
    <t>Spring</t>
  </si>
  <si>
    <t>Columbus</t>
  </si>
  <si>
    <t>OH</t>
  </si>
  <si>
    <t>Elementary</t>
  </si>
  <si>
    <t>Parking Lot</t>
  </si>
  <si>
    <t>Outside on School Property</t>
  </si>
  <si>
    <t>No</t>
  </si>
  <si>
    <t>Not a School Day</t>
  </si>
  <si>
    <t>Man found fatally shot in the school parking lot</t>
  </si>
  <si>
    <t>Victims Targeted</t>
  </si>
  <si>
    <t>No</t>
  </si>
  <si>
    <t>20220501VALOM</t>
  </si>
  <si>
    <t>Louise A. Benton Middle School</t>
  </si>
  <si>
    <t>National</t>
  </si>
  <si>
    <t>Spring</t>
  </si>
  <si>
    <t>Manassas</t>
  </si>
  <si>
    <t>VA</t>
  </si>
  <si>
    <t>Middle</t>
  </si>
  <si>
    <t>Football Field/Track</t>
  </si>
  <si>
    <t>Outside on School Property</t>
  </si>
  <si>
    <t>No</t>
  </si>
  <si>
    <t>Sport Event</t>
  </si>
  <si>
    <t>Two men shot during youth flag football tournament</t>
  </si>
  <si>
    <t>Escalation of Dispute</t>
  </si>
  <si>
    <t>Victims Targeted</t>
  </si>
  <si>
    <t>No</t>
  </si>
  <si>
    <t>20220430PAMCJ</t>
  </si>
  <si>
    <t>McKee Middle School (McKee Stadium)</t>
  </si>
  <si>
    <t>Local</t>
  </si>
  <si>
    <t>Spring</t>
  </si>
  <si>
    <t>Jeannette</t>
  </si>
  <si>
    <t>PA</t>
  </si>
  <si>
    <t>Middle</t>
  </si>
  <si>
    <t>Football Field/Track</t>
  </si>
  <si>
    <t>Outside on School Property</t>
  </si>
  <si>
    <t>No</t>
  </si>
  <si>
    <t>Sport Event</t>
  </si>
  <si>
    <t>Shot fired during youth football game at stadium, both men involved fled</t>
  </si>
  <si>
    <t>Escalation of Dispute</t>
  </si>
  <si>
    <t>Victims Targeted</t>
  </si>
  <si>
    <t>No</t>
  </si>
  <si>
    <t>20220427INCOS</t>
  </si>
  <si>
    <t>Coquillard Elementary School</t>
  </si>
  <si>
    <t>Local</t>
  </si>
  <si>
    <t>Spring</t>
  </si>
  <si>
    <t>South Bend</t>
  </si>
  <si>
    <t>IN</t>
  </si>
  <si>
    <t>Elementary</t>
  </si>
  <si>
    <t>School Bus</t>
  </si>
  <si>
    <t>Yes</t>
  </si>
  <si>
    <t>Dismissal</t>
  </si>
  <si>
    <t>Student got off bus and fired a BB gun back at the bus, breaking a window</t>
  </si>
  <si>
    <t>Intentional Property Damage</t>
  </si>
  <si>
    <t>Neither</t>
  </si>
  <si>
    <t>No</t>
  </si>
  <si>
    <t>20220427TXMOS</t>
  </si>
  <si>
    <t>Morrill Elementary School</t>
  </si>
  <si>
    <t>Local</t>
  </si>
  <si>
    <t>Spring</t>
  </si>
  <si>
    <t>San Antonio</t>
  </si>
  <si>
    <t>TX</t>
  </si>
  <si>
    <t>Elementary</t>
  </si>
  <si>
    <t>Front of School</t>
  </si>
  <si>
    <t>Outside on School Property</t>
  </si>
  <si>
    <t>No</t>
  </si>
  <si>
    <t>Evening</t>
  </si>
  <si>
    <t>Police shot man attempting to break-in to school building</t>
  </si>
  <si>
    <t>Officer-Involved Shooting</t>
  </si>
  <si>
    <t>20220426MIASI</t>
  </si>
  <si>
    <t>Aspen Ridge School</t>
  </si>
  <si>
    <t>Local</t>
  </si>
  <si>
    <t>Spring</t>
  </si>
  <si>
    <t>Ishpeming</t>
  </si>
  <si>
    <t>MI</t>
  </si>
  <si>
    <t>K-8</t>
  </si>
  <si>
    <t>Bathroom</t>
  </si>
  <si>
    <t>Inside School Building</t>
  </si>
  <si>
    <t>Yes</t>
  </si>
  <si>
    <t>Afternoon Classes</t>
  </si>
  <si>
    <t>Student commit suicide in bathroom</t>
  </si>
  <si>
    <t>Suicide/Attempted</t>
  </si>
  <si>
    <t>Victims Targeted</t>
  </si>
  <si>
    <t>No</t>
  </si>
  <si>
    <t>20220426GASOM</t>
  </si>
  <si>
    <t>Southwest High School</t>
  </si>
  <si>
    <t>Local</t>
  </si>
  <si>
    <t>Spring</t>
  </si>
  <si>
    <t>Macon</t>
  </si>
  <si>
    <t>GA</t>
  </si>
  <si>
    <t>High</t>
  </si>
  <si>
    <t>Parking Lot</t>
  </si>
  <si>
    <t>Outside on School Property</t>
  </si>
  <si>
    <t>No</t>
  </si>
  <si>
    <t>Night</t>
  </si>
  <si>
    <t>Teen fatally shot multiple times, body left in school parking lot</t>
  </si>
  <si>
    <t>Victims Targeted</t>
  </si>
  <si>
    <t>Yes</t>
  </si>
  <si>
    <t>No</t>
  </si>
  <si>
    <t>20220425WIWIM</t>
  </si>
  <si>
    <t>Wisconsin Conservatory of Lifelong Learning</t>
  </si>
  <si>
    <t>Local</t>
  </si>
  <si>
    <t>Spring</t>
  </si>
  <si>
    <t>Milwaukee</t>
  </si>
  <si>
    <t>WI</t>
  </si>
  <si>
    <t>6-12</t>
  </si>
  <si>
    <t>Front of School</t>
  </si>
  <si>
    <t>Outside on School Property</t>
  </si>
  <si>
    <t>Yes</t>
  </si>
  <si>
    <t>Dismissal</t>
  </si>
  <si>
    <t>Multiple people fired shots during a fight striking 2 schools buses</t>
  </si>
  <si>
    <t>Escalation of Dispute</t>
  </si>
  <si>
    <t>Victims Targeted</t>
  </si>
  <si>
    <t>Yes</t>
  </si>
  <si>
    <t>No</t>
  </si>
  <si>
    <t>20220425GAMAM</t>
  </si>
  <si>
    <t>Marietta City Schools Bus Yard</t>
  </si>
  <si>
    <t>Local</t>
  </si>
  <si>
    <t>Spring</t>
  </si>
  <si>
    <t>Marietta</t>
  </si>
  <si>
    <t>GA</t>
  </si>
  <si>
    <t>Other</t>
  </si>
  <si>
    <t>Parking Lot (Bus)</t>
  </si>
  <si>
    <t>School Bus</t>
  </si>
  <si>
    <t>No</t>
  </si>
  <si>
    <t>Night</t>
  </si>
  <si>
    <t>Woman fired pellet gun at 15 school buses</t>
  </si>
  <si>
    <t>Intentional Property Damage</t>
  </si>
  <si>
    <t>Random Shooting</t>
  </si>
  <si>
    <t>No</t>
  </si>
  <si>
    <t>20220424MOHAF</t>
  </si>
  <si>
    <t>Hazelwood Central High School</t>
  </si>
  <si>
    <t>Local</t>
  </si>
  <si>
    <t>Spring</t>
  </si>
  <si>
    <t>Florissant</t>
  </si>
  <si>
    <t>MO</t>
  </si>
  <si>
    <t>High</t>
  </si>
  <si>
    <t>Parking Lot</t>
  </si>
  <si>
    <t>Outside on School Property</t>
  </si>
  <si>
    <t>No</t>
  </si>
  <si>
    <t>Not a School Day</t>
  </si>
  <si>
    <t>Two teens fatally shot cab driver in school parking lot during robbery</t>
  </si>
  <si>
    <t>Illegal Activity</t>
  </si>
  <si>
    <t>Victims Targeted</t>
  </si>
  <si>
    <t>Yes</t>
  </si>
  <si>
    <t>No</t>
  </si>
  <si>
    <t>20220422DCEDW</t>
  </si>
  <si>
    <t>Edmund Burke School</t>
  </si>
  <si>
    <t>International</t>
  </si>
  <si>
    <t>Spring</t>
  </si>
  <si>
    <t>Washington</t>
  </si>
  <si>
    <t>DC</t>
  </si>
  <si>
    <t>6-12</t>
  </si>
  <si>
    <t>Hallway</t>
  </si>
  <si>
    <t>Both Inside/Outside</t>
  </si>
  <si>
    <t>Yes</t>
  </si>
  <si>
    <t>Afternoon Classes</t>
  </si>
  <si>
    <t>Gunman fired at school from nearby apartment building</t>
  </si>
  <si>
    <t>Indiscriminate Shooting</t>
  </si>
  <si>
    <t>Random Shooting</t>
  </si>
  <si>
    <t>No</t>
  </si>
  <si>
    <t>Yes</t>
  </si>
  <si>
    <t>No</t>
  </si>
  <si>
    <t>Yes</t>
  </si>
  <si>
    <t>20220422ORHOS</t>
  </si>
  <si>
    <t>Houck Middle School</t>
  </si>
  <si>
    <t>Local</t>
  </si>
  <si>
    <t>Spring</t>
  </si>
  <si>
    <t>Salem</t>
  </si>
  <si>
    <t>OR</t>
  </si>
  <si>
    <t>Middle</t>
  </si>
  <si>
    <t>Outside on School Property</t>
  </si>
  <si>
    <t>No</t>
  </si>
  <si>
    <t>Night</t>
  </si>
  <si>
    <t>Teen fired shots near school</t>
  </si>
  <si>
    <t>No</t>
  </si>
  <si>
    <t>20220422CAMOR</t>
  </si>
  <si>
    <t>Mountain View Middle School</t>
  </si>
  <si>
    <t>Local</t>
  </si>
  <si>
    <t>Spring</t>
  </si>
  <si>
    <t>Redding</t>
  </si>
  <si>
    <t>CA</t>
  </si>
  <si>
    <t>Middle</t>
  </si>
  <si>
    <t>Field (General)</t>
  </si>
  <si>
    <t>Outside on School Property</t>
  </si>
  <si>
    <t>No</t>
  </si>
  <si>
    <t>Sport Event</t>
  </si>
  <si>
    <t>Shots fired at adult men on the baseball field behind the school</t>
  </si>
  <si>
    <t>Random Shooting</t>
  </si>
  <si>
    <t>No</t>
  </si>
  <si>
    <t>20220421NDMOM</t>
  </si>
  <si>
    <t>Mott-Regent High School</t>
  </si>
  <si>
    <t>Local</t>
  </si>
  <si>
    <t>Spring</t>
  </si>
  <si>
    <t>Mott</t>
  </si>
  <si>
    <t>ND</t>
  </si>
  <si>
    <t>K-12</t>
  </si>
  <si>
    <t>Entryway</t>
  </si>
  <si>
    <t>Inside School Building</t>
  </si>
  <si>
    <t>Yes</t>
  </si>
  <si>
    <t>Afternoon Classes</t>
  </si>
  <si>
    <t>Man fatally shot by police when he refused to leave the school</t>
  </si>
  <si>
    <t>Officer-Involved Shooting</t>
  </si>
  <si>
    <t>No</t>
  </si>
  <si>
    <t>20220416IAMED</t>
  </si>
  <si>
    <t>Meredith Middle School</t>
  </si>
  <si>
    <t>Local</t>
  </si>
  <si>
    <t>Spring</t>
  </si>
  <si>
    <t>Des Moines</t>
  </si>
  <si>
    <t>IA</t>
  </si>
  <si>
    <t>Middle</t>
  </si>
  <si>
    <t>Front of School</t>
  </si>
  <si>
    <t>Outside on School Property</t>
  </si>
  <si>
    <t>No</t>
  </si>
  <si>
    <t>Evening</t>
  </si>
  <si>
    <t>Person shot in front of the school</t>
  </si>
  <si>
    <t>No</t>
  </si>
  <si>
    <t>20220415VAGAW</t>
  </si>
  <si>
    <t>Gar-Field High School</t>
  </si>
  <si>
    <t>Regional</t>
  </si>
  <si>
    <t>Spring</t>
  </si>
  <si>
    <t>Woodbridge</t>
  </si>
  <si>
    <t>VA</t>
  </si>
  <si>
    <t>High</t>
  </si>
  <si>
    <t>Field (General)</t>
  </si>
  <si>
    <t>Outside on School Property</t>
  </si>
  <si>
    <t>No</t>
  </si>
  <si>
    <t>School Event</t>
  </si>
  <si>
    <t>Teenage girl shot in the leg during carnival held at school</t>
  </si>
  <si>
    <t>Escalation of Dispute</t>
  </si>
  <si>
    <t>Both</t>
  </si>
  <si>
    <t>No</t>
  </si>
  <si>
    <t>20220414MSNEP</t>
  </si>
  <si>
    <t>Neshoba Central High School</t>
  </si>
  <si>
    <t>Local</t>
  </si>
  <si>
    <t>Spring</t>
  </si>
  <si>
    <t>Philadelphia</t>
  </si>
  <si>
    <t>MS</t>
  </si>
  <si>
    <t>High</t>
  </si>
  <si>
    <t>Football Field/Track</t>
  </si>
  <si>
    <t>Outside on School Property</t>
  </si>
  <si>
    <t>Yes</t>
  </si>
  <si>
    <t>Lunch</t>
  </si>
  <si>
    <t>3 teens fired high powered pellet guns at football team during practice</t>
  </si>
  <si>
    <t>Indiscriminate Shooting</t>
  </si>
  <si>
    <t>Random Shooting</t>
  </si>
  <si>
    <t>Yes</t>
  </si>
  <si>
    <t>No</t>
  </si>
  <si>
    <t>20220413MISHS</t>
  </si>
  <si>
    <t>Shelters Elementary School</t>
  </si>
  <si>
    <t>Local</t>
  </si>
  <si>
    <t>Spring</t>
  </si>
  <si>
    <t>Southgate</t>
  </si>
  <si>
    <t>MI</t>
  </si>
  <si>
    <t>Elementary</t>
  </si>
  <si>
    <t>Playground</t>
  </si>
  <si>
    <t>Outside on School Property</t>
  </si>
  <si>
    <t>Yes</t>
  </si>
  <si>
    <t>Afternoon Classes</t>
  </si>
  <si>
    <t>Student shot another student with a BB gun during recess</t>
  </si>
  <si>
    <t>Victims Targeted</t>
  </si>
  <si>
    <t>No</t>
  </si>
  <si>
    <t>20220411ARPIP</t>
  </si>
  <si>
    <t>Pine Bluff High School</t>
  </si>
  <si>
    <t>Local</t>
  </si>
  <si>
    <t>Spring</t>
  </si>
  <si>
    <t>Pine Bluff</t>
  </si>
  <si>
    <t>AR</t>
  </si>
  <si>
    <t>High</t>
  </si>
  <si>
    <t>Parking Lot</t>
  </si>
  <si>
    <t>Outside on School Property</t>
  </si>
  <si>
    <t>Yes</t>
  </si>
  <si>
    <t>Afternoon Classes</t>
  </si>
  <si>
    <t>Officer assigned school heard gunshots in parking lot</t>
  </si>
  <si>
    <t>No</t>
  </si>
  <si>
    <t>20220410MALYL</t>
  </si>
  <si>
    <t>Lynn English High School</t>
  </si>
  <si>
    <t>Regional</t>
  </si>
  <si>
    <t>Spring</t>
  </si>
  <si>
    <t>Lynn</t>
  </si>
  <si>
    <t>MA</t>
  </si>
  <si>
    <t>High</t>
  </si>
  <si>
    <t>Parking Lot</t>
  </si>
  <si>
    <t>Outside on School Property</t>
  </si>
  <si>
    <t>No</t>
  </si>
  <si>
    <t>Night</t>
  </si>
  <si>
    <t>Man fatally shot near the loading dock behind the school</t>
  </si>
  <si>
    <t>Victims Targeted</t>
  </si>
  <si>
    <t>No</t>
  </si>
  <si>
    <t>20220406WASTM</t>
  </si>
  <si>
    <t>St. Monica Catholic School</t>
  </si>
  <si>
    <t>Local</t>
  </si>
  <si>
    <t>Spring</t>
  </si>
  <si>
    <t>Mercer Island</t>
  </si>
  <si>
    <t>WA</t>
  </si>
  <si>
    <t>Elementary</t>
  </si>
  <si>
    <t>Playground</t>
  </si>
  <si>
    <t>Outside on School Property</t>
  </si>
  <si>
    <t>Yes</t>
  </si>
  <si>
    <t>Afternoon Classes</t>
  </si>
  <si>
    <t>Pellet gun fired from vehicle at students on the playground</t>
  </si>
  <si>
    <t>Drive-by Shooting</t>
  </si>
  <si>
    <t>Random Shooting</t>
  </si>
  <si>
    <t>Yes</t>
  </si>
  <si>
    <t>No</t>
  </si>
  <si>
    <t>20220406ORROP</t>
  </si>
  <si>
    <t>Roosevelt High School</t>
  </si>
  <si>
    <t>Local</t>
  </si>
  <si>
    <t>Spring</t>
  </si>
  <si>
    <t>Portland</t>
  </si>
  <si>
    <t>OR</t>
  </si>
  <si>
    <t>High</t>
  </si>
  <si>
    <t>Parking Lot</t>
  </si>
  <si>
    <t>Outside on School Property</t>
  </si>
  <si>
    <t>No</t>
  </si>
  <si>
    <t>Night</t>
  </si>
  <si>
    <t>Person shot in school parking lot</t>
  </si>
  <si>
    <t>Victims Targeted</t>
  </si>
  <si>
    <t>No</t>
  </si>
  <si>
    <t>20220406WVRIR</t>
  </si>
  <si>
    <t>Ripley Middle School</t>
  </si>
  <si>
    <t>Local</t>
  </si>
  <si>
    <t>Spring</t>
  </si>
  <si>
    <t>Ripley</t>
  </si>
  <si>
    <t>WV</t>
  </si>
  <si>
    <t>Middle</t>
  </si>
  <si>
    <t>School Bus</t>
  </si>
  <si>
    <t>Yes</t>
  </si>
  <si>
    <t>School Start</t>
  </si>
  <si>
    <t>Student brandished gun on school bus, subdued by other students, planned execution of student</t>
  </si>
  <si>
    <t>Victims Targeted</t>
  </si>
  <si>
    <t>Yes</t>
  </si>
  <si>
    <t>No</t>
  </si>
  <si>
    <t>20220405PAERE</t>
  </si>
  <si>
    <t>Erie High School</t>
  </si>
  <si>
    <t>National</t>
  </si>
  <si>
    <t>Spring</t>
  </si>
  <si>
    <t>Erie</t>
  </si>
  <si>
    <t>PA</t>
  </si>
  <si>
    <t>High</t>
  </si>
  <si>
    <t>Hallway</t>
  </si>
  <si>
    <t>Inside School Building</t>
  </si>
  <si>
    <t>Yes</t>
  </si>
  <si>
    <t>Morning Classes</t>
  </si>
  <si>
    <t>Shot shot another student twice in the hallway between classes</t>
  </si>
  <si>
    <t>Victims Targeted</t>
  </si>
  <si>
    <t>No</t>
  </si>
  <si>
    <t>20220403INBLB</t>
  </si>
  <si>
    <t>Bloomington High School South</t>
  </si>
  <si>
    <t>Local</t>
  </si>
  <si>
    <t>Spring</t>
  </si>
  <si>
    <t>Bloomington</t>
  </si>
  <si>
    <t>IN</t>
  </si>
  <si>
    <t>High</t>
  </si>
  <si>
    <t>Parking Lot</t>
  </si>
  <si>
    <t>Outside on School Property</t>
  </si>
  <si>
    <t>No</t>
  </si>
  <si>
    <t>Evening</t>
  </si>
  <si>
    <t>Three teens shot at, one injured, in school parking lot</t>
  </si>
  <si>
    <t>Drive-by Shooting</t>
  </si>
  <si>
    <t>Victims Targeted</t>
  </si>
  <si>
    <t>No</t>
  </si>
  <si>
    <t>20220331SCTAG</t>
  </si>
  <si>
    <t>Tanglewood Middle School</t>
  </si>
  <si>
    <t>National</t>
  </si>
  <si>
    <t>Spring</t>
  </si>
  <si>
    <t>Greenville</t>
  </si>
  <si>
    <t>SC</t>
  </si>
  <si>
    <t>Middle</t>
  </si>
  <si>
    <t>Hallway</t>
  </si>
  <si>
    <t>Inside School Building</t>
  </si>
  <si>
    <t>Yes</t>
  </si>
  <si>
    <t>Afternoon Classes</t>
  </si>
  <si>
    <t>Student fatally shot another student in the hallway while classes were changing</t>
  </si>
  <si>
    <t>Victims Targeted</t>
  </si>
  <si>
    <t>No</t>
  </si>
  <si>
    <t>20220331PAACP</t>
  </si>
  <si>
    <t>West Philadelphia Achievement Charter Elementary School</t>
  </si>
  <si>
    <t>Regional</t>
  </si>
  <si>
    <t>Spring</t>
  </si>
  <si>
    <t>Philadelphia</t>
  </si>
  <si>
    <t>PA</t>
  </si>
  <si>
    <t>Elementary</t>
  </si>
  <si>
    <t>Playground</t>
  </si>
  <si>
    <t>Outside on School Property</t>
  </si>
  <si>
    <t>Yes</t>
  </si>
  <si>
    <t>School Start</t>
  </si>
  <si>
    <t>Gun inside a 8-year-old students backpack discharged in school courtyard</t>
  </si>
  <si>
    <t>Accidental</t>
  </si>
  <si>
    <t>Neither</t>
  </si>
  <si>
    <t>No</t>
  </si>
  <si>
    <t>20220330GABOA</t>
  </si>
  <si>
    <t>Booker T Washington High School</t>
  </si>
  <si>
    <t>Regional</t>
  </si>
  <si>
    <t>Spring</t>
  </si>
  <si>
    <t>Atlanta</t>
  </si>
  <si>
    <t>GA</t>
  </si>
  <si>
    <t>High</t>
  </si>
  <si>
    <t>Front of School</t>
  </si>
  <si>
    <t>Outside on School Property</t>
  </si>
  <si>
    <t>Yes</t>
  </si>
  <si>
    <t>Dismissal</t>
  </si>
  <si>
    <t>Mother brandished gun during fight between students, shot by SRO</t>
  </si>
  <si>
    <t>Escalation of Dispute</t>
  </si>
  <si>
    <t>Neither</t>
  </si>
  <si>
    <t>No</t>
  </si>
  <si>
    <t>20220330AZKIK</t>
  </si>
  <si>
    <t>Kingman High School</t>
  </si>
  <si>
    <t>Local</t>
  </si>
  <si>
    <t>Spring</t>
  </si>
  <si>
    <t>Kingman</t>
  </si>
  <si>
    <t>AZ</t>
  </si>
  <si>
    <t>High</t>
  </si>
  <si>
    <t>School Bus</t>
  </si>
  <si>
    <t>Yes</t>
  </si>
  <si>
    <t>Dismissal</t>
  </si>
  <si>
    <t>Student shot in the leg on the school bus</t>
  </si>
  <si>
    <t>Accidental</t>
  </si>
  <si>
    <t>Neither</t>
  </si>
  <si>
    <t>No</t>
  </si>
  <si>
    <t>20220329VALUR</t>
  </si>
  <si>
    <t>Lucy Addison Middle School</t>
  </si>
  <si>
    <t>Local</t>
  </si>
  <si>
    <t>Spring</t>
  </si>
  <si>
    <t>Roanoke</t>
  </si>
  <si>
    <t>VA</t>
  </si>
  <si>
    <t>Middle</t>
  </si>
  <si>
    <t>Bathroom</t>
  </si>
  <si>
    <t>Inside School Building</t>
  </si>
  <si>
    <t>Yes</t>
  </si>
  <si>
    <t>Afternoon Classes</t>
  </si>
  <si>
    <t>Student fired gun in bathroom</t>
  </si>
  <si>
    <t>Neither</t>
  </si>
  <si>
    <t>No</t>
  </si>
  <si>
    <t>20220329NVWEL</t>
  </si>
  <si>
    <t>Western High School</t>
  </si>
  <si>
    <t>Regional</t>
  </si>
  <si>
    <t>Spring</t>
  </si>
  <si>
    <t>Las Vegas</t>
  </si>
  <si>
    <t>NV</t>
  </si>
  <si>
    <t>High</t>
  </si>
  <si>
    <t>Parking Lot</t>
  </si>
  <si>
    <t>Outside on School Property</t>
  </si>
  <si>
    <t>Yes</t>
  </si>
  <si>
    <t>Dismissal</t>
  </si>
  <si>
    <t>SRO fired at vehicle that struck student in parking lot</t>
  </si>
  <si>
    <t>Officer-Involved Shooting</t>
  </si>
  <si>
    <t>No</t>
  </si>
  <si>
    <t>20220328TXNOF</t>
  </si>
  <si>
    <t>North Crowley High School</t>
  </si>
  <si>
    <t>Local</t>
  </si>
  <si>
    <t>Spring</t>
  </si>
  <si>
    <t>Fort Worth</t>
  </si>
  <si>
    <t>TX</t>
  </si>
  <si>
    <t>High</t>
  </si>
  <si>
    <t>Parking Lot</t>
  </si>
  <si>
    <t>Outside on School Property</t>
  </si>
  <si>
    <t>No</t>
  </si>
  <si>
    <t>After School</t>
  </si>
  <si>
    <t>Shots fired from a vehicle in the student parking lot</t>
  </si>
  <si>
    <t>Drive-by Shooting</t>
  </si>
  <si>
    <t>No</t>
  </si>
  <si>
    <t>20220328NCOAC</t>
  </si>
  <si>
    <t>Oakdale Elementary School</t>
  </si>
  <si>
    <t>Local</t>
  </si>
  <si>
    <t>Spring</t>
  </si>
  <si>
    <t>Charlotte</t>
  </si>
  <si>
    <t>NC</t>
  </si>
  <si>
    <t>Elementary</t>
  </si>
  <si>
    <t>Parking Lot</t>
  </si>
  <si>
    <t>Outside on School Property</t>
  </si>
  <si>
    <t>No</t>
  </si>
  <si>
    <t>Not a School Day</t>
  </si>
  <si>
    <t>Teen shot during attempted robbery in school parking lot</t>
  </si>
  <si>
    <t>Illegal Activity</t>
  </si>
  <si>
    <t>Victims Targeted</t>
  </si>
  <si>
    <t>No</t>
  </si>
  <si>
    <t>20220325TNBRM</t>
  </si>
  <si>
    <t>Brighton High School</t>
  </si>
  <si>
    <t>Local</t>
  </si>
  <si>
    <t>Spring</t>
  </si>
  <si>
    <t>Memphis</t>
  </si>
  <si>
    <t>TN</t>
  </si>
  <si>
    <t>High</t>
  </si>
  <si>
    <t>Parking Lot</t>
  </si>
  <si>
    <t>Outside on School Property</t>
  </si>
  <si>
    <t>No</t>
  </si>
  <si>
    <t>Evening</t>
  </si>
  <si>
    <t>Shots fired during candlelight vigil for former student</t>
  </si>
  <si>
    <t>Drive-by Shooting</t>
  </si>
  <si>
    <t>Both</t>
  </si>
  <si>
    <t>No</t>
  </si>
  <si>
    <t>20220325UTHIS</t>
  </si>
  <si>
    <t>Highland High School</t>
  </si>
  <si>
    <t>Local</t>
  </si>
  <si>
    <t>Spring</t>
  </si>
  <si>
    <t>Salt Lake City</t>
  </si>
  <si>
    <t>UT</t>
  </si>
  <si>
    <t>High</t>
  </si>
  <si>
    <t>Parking Lot</t>
  </si>
  <si>
    <t>Outside on School Property</t>
  </si>
  <si>
    <t>Yes</t>
  </si>
  <si>
    <t>Lunch</t>
  </si>
  <si>
    <t>Teens fired pellet gun at vehicle for TikTok challenge, real bullets fired back</t>
  </si>
  <si>
    <t>Drive-by Shooting</t>
  </si>
  <si>
    <t>Random Shooting</t>
  </si>
  <si>
    <t>No</t>
  </si>
  <si>
    <t>20220325TXROR</t>
  </si>
  <si>
    <t>Royse City High School</t>
  </si>
  <si>
    <t>Regional</t>
  </si>
  <si>
    <t>Spring</t>
  </si>
  <si>
    <t>Royse City</t>
  </si>
  <si>
    <t>TX</t>
  </si>
  <si>
    <t>High</t>
  </si>
  <si>
    <t>Parking Lot</t>
  </si>
  <si>
    <t>Outside on School Property</t>
  </si>
  <si>
    <t>Yes</t>
  </si>
  <si>
    <t>School Start</t>
  </si>
  <si>
    <t>Active shooter response to school for 5 students firing pellet guns for TikTok challenge</t>
  </si>
  <si>
    <t>Indiscriminate Shooting</t>
  </si>
  <si>
    <t>Random Shooting</t>
  </si>
  <si>
    <t>Yes</t>
  </si>
  <si>
    <t>No</t>
  </si>
  <si>
    <t>20220324VARIW</t>
  </si>
  <si>
    <t>Rippon Middle School</t>
  </si>
  <si>
    <t>Regional</t>
  </si>
  <si>
    <t>Spring</t>
  </si>
  <si>
    <t>Woodbridge</t>
  </si>
  <si>
    <t>VA</t>
  </si>
  <si>
    <t>Middle</t>
  </si>
  <si>
    <t>Beside Building</t>
  </si>
  <si>
    <t>Outside on School Property</t>
  </si>
  <si>
    <t>Yes</t>
  </si>
  <si>
    <t>Morning Classes</t>
  </si>
  <si>
    <t>Man in ski mask with rifle and shotgun fired shot outside of school, arrested by SRO</t>
  </si>
  <si>
    <t>Domestic w/ Targeted Victim</t>
  </si>
  <si>
    <t>Neither</t>
  </si>
  <si>
    <t>No</t>
  </si>
  <si>
    <t>Yes</t>
  </si>
  <si>
    <t>No</t>
  </si>
  <si>
    <t>20220322VAJAR</t>
  </si>
  <si>
    <t>James Madison Middle School</t>
  </si>
  <si>
    <t>Local</t>
  </si>
  <si>
    <t>Spring</t>
  </si>
  <si>
    <t>Roanoke</t>
  </si>
  <si>
    <t>VA</t>
  </si>
  <si>
    <t>Middle</t>
  </si>
  <si>
    <t>School Bus</t>
  </si>
  <si>
    <t>Yes</t>
  </si>
  <si>
    <t>Dismissal</t>
  </si>
  <si>
    <t>School bus tire shot while driving students home after school</t>
  </si>
  <si>
    <t>Victims Targeted</t>
  </si>
  <si>
    <t>No</t>
  </si>
  <si>
    <t>20220322TXWOD</t>
  </si>
  <si>
    <t>Woodrow Wilson High School</t>
  </si>
  <si>
    <t>Regional</t>
  </si>
  <si>
    <t>Spring</t>
  </si>
  <si>
    <t>Dallas</t>
  </si>
  <si>
    <t>TX</t>
  </si>
  <si>
    <t>High</t>
  </si>
  <si>
    <t>Football Field/Track</t>
  </si>
  <si>
    <t>Outside on School Property</t>
  </si>
  <si>
    <t>Yes</t>
  </si>
  <si>
    <t>Dismissal</t>
  </si>
  <si>
    <t>Shots fired at dismissal during fight</t>
  </si>
  <si>
    <t>Escalation of Dispute</t>
  </si>
  <si>
    <t>Victims Targeted</t>
  </si>
  <si>
    <t>No</t>
  </si>
  <si>
    <t>20220322FLNEN</t>
  </si>
  <si>
    <t>New Smyrna Beach High School</t>
  </si>
  <si>
    <t>Regional</t>
  </si>
  <si>
    <t>Spring</t>
  </si>
  <si>
    <t>New Smyrna Beach</t>
  </si>
  <si>
    <t>FL</t>
  </si>
  <si>
    <t>High</t>
  </si>
  <si>
    <t>Parking Lot</t>
  </si>
  <si>
    <t>Outside on School Property</t>
  </si>
  <si>
    <t>Yes</t>
  </si>
  <si>
    <t>Dismissal</t>
  </si>
  <si>
    <t>Student shot school employee multiple times in the face with pellet gun</t>
  </si>
  <si>
    <t>Drive-by Shooting</t>
  </si>
  <si>
    <t>Victims Targeted</t>
  </si>
  <si>
    <t>No</t>
  </si>
  <si>
    <t>20220321MSLEP</t>
  </si>
  <si>
    <t>Leap of Faith Middle School</t>
  </si>
  <si>
    <t>Local</t>
  </si>
  <si>
    <t>Spring</t>
  </si>
  <si>
    <t>Pascagoula</t>
  </si>
  <si>
    <t>MS</t>
  </si>
  <si>
    <t>Middle</t>
  </si>
  <si>
    <t>Inside School Building</t>
  </si>
  <si>
    <t>Both Inside/Outside</t>
  </si>
  <si>
    <t>Yes</t>
  </si>
  <si>
    <t>Afternoon Classes</t>
  </si>
  <si>
    <t>Shots fired outside school, gunman broken into school building fleeing police</t>
  </si>
  <si>
    <t>Illegal Activity</t>
  </si>
  <si>
    <t>Victims Targeted</t>
  </si>
  <si>
    <t>Yes</t>
  </si>
  <si>
    <t>No</t>
  </si>
  <si>
    <t>20220321MIMAK</t>
  </si>
  <si>
    <t>Mahone Middle School</t>
  </si>
  <si>
    <t>Local</t>
  </si>
  <si>
    <t>Spring</t>
  </si>
  <si>
    <t>Kenosha</t>
  </si>
  <si>
    <t>WI</t>
  </si>
  <si>
    <t>Middle</t>
  </si>
  <si>
    <t>Parking Lot</t>
  </si>
  <si>
    <t>Outside on School Property</t>
  </si>
  <si>
    <t>Yes</t>
  </si>
  <si>
    <t>Dismissal</t>
  </si>
  <si>
    <t>Parent pointed a gun and threatened another parent in the pick-up line</t>
  </si>
  <si>
    <t>Escalation of Dispute</t>
  </si>
  <si>
    <t>Victims Targeted</t>
  </si>
  <si>
    <t>No</t>
  </si>
  <si>
    <t>20220321AZDES</t>
  </si>
  <si>
    <t>Desert Canyon Middle School</t>
  </si>
  <si>
    <t>Local</t>
  </si>
  <si>
    <t>Spring</t>
  </si>
  <si>
    <t>Scottsdale</t>
  </si>
  <si>
    <t>AZ</t>
  </si>
  <si>
    <t>Middle</t>
  </si>
  <si>
    <t>Outside on School Property</t>
  </si>
  <si>
    <t>Yes</t>
  </si>
  <si>
    <t>Morning Classes</t>
  </si>
  <si>
    <t>Man fired shots on soccer field, school went on lockdown</t>
  </si>
  <si>
    <t>Neither</t>
  </si>
  <si>
    <t>No</t>
  </si>
  <si>
    <t>20220319ALCEL</t>
  </si>
  <si>
    <t>Central Baldwin Middle School</t>
  </si>
  <si>
    <t>Regional</t>
  </si>
  <si>
    <t>Spring</t>
  </si>
  <si>
    <t>Loxley</t>
  </si>
  <si>
    <t>AL</t>
  </si>
  <si>
    <t>Middle</t>
  </si>
  <si>
    <t>Parking Lot</t>
  </si>
  <si>
    <t>Outside on School Property</t>
  </si>
  <si>
    <t>No</t>
  </si>
  <si>
    <t>Not a School Day</t>
  </si>
  <si>
    <t>Shots fired during robbery in parking lot</t>
  </si>
  <si>
    <t>Illegal Activity</t>
  </si>
  <si>
    <t>Victims Targeted</t>
  </si>
  <si>
    <t>Yes</t>
  </si>
  <si>
    <t>No</t>
  </si>
  <si>
    <t>20220318RICEP</t>
  </si>
  <si>
    <t>Central High School</t>
  </si>
  <si>
    <t>Local</t>
  </si>
  <si>
    <t>Spring</t>
  </si>
  <si>
    <t>Providence</t>
  </si>
  <si>
    <t>RI</t>
  </si>
  <si>
    <t>High</t>
  </si>
  <si>
    <t>Parking Lot</t>
  </si>
  <si>
    <t>Outside on School Property</t>
  </si>
  <si>
    <t>Yes</t>
  </si>
  <si>
    <t>Dismissal</t>
  </si>
  <si>
    <t>Students fired pellet gun in parking lot, dragged staff member with vehicle</t>
  </si>
  <si>
    <t>Drive-by Shooting</t>
  </si>
  <si>
    <t>Random Shooting</t>
  </si>
  <si>
    <t>Yes</t>
  </si>
  <si>
    <t>No</t>
  </si>
  <si>
    <t>20220311OHMAM</t>
  </si>
  <si>
    <t>Madison High School</t>
  </si>
  <si>
    <t>Regional</t>
  </si>
  <si>
    <t>Spring</t>
  </si>
  <si>
    <t>Mansfield</t>
  </si>
  <si>
    <t>OH</t>
  </si>
  <si>
    <t>High</t>
  </si>
  <si>
    <t>School Bus</t>
  </si>
  <si>
    <t>Yes</t>
  </si>
  <si>
    <t>Morning Classes</t>
  </si>
  <si>
    <t>School van with coach and 4 students was struck by a bullet while driving</t>
  </si>
  <si>
    <t>Indiscriminate Shooting</t>
  </si>
  <si>
    <t>Random Shooting</t>
  </si>
  <si>
    <t>No</t>
  </si>
  <si>
    <t>20220318ILBAB</t>
  </si>
  <si>
    <t>Barrington High School</t>
  </si>
  <si>
    <t>Regional</t>
  </si>
  <si>
    <t>Spring</t>
  </si>
  <si>
    <t>Barrington</t>
  </si>
  <si>
    <t>IL</t>
  </si>
  <si>
    <t>High</t>
  </si>
  <si>
    <t>Front of School</t>
  </si>
  <si>
    <t>Both Inside/Outside</t>
  </si>
  <si>
    <t>Yes</t>
  </si>
  <si>
    <t>School Start</t>
  </si>
  <si>
    <t>Two teens shot with pellet guns walking into school</t>
  </si>
  <si>
    <t>Drive-by Shooting</t>
  </si>
  <si>
    <t>Victims Targeted</t>
  </si>
  <si>
    <t>Yes</t>
  </si>
  <si>
    <t>No</t>
  </si>
  <si>
    <t>20220317AKREW</t>
  </si>
  <si>
    <t>Redington Jr/Sr High School</t>
  </si>
  <si>
    <t>Local</t>
  </si>
  <si>
    <t>Spring</t>
  </si>
  <si>
    <t>Wasilla</t>
  </si>
  <si>
    <t>AK</t>
  </si>
  <si>
    <t>6-12</t>
  </si>
  <si>
    <t>Beside Building</t>
  </si>
  <si>
    <t>Outside on School Property</t>
  </si>
  <si>
    <t>Yes</t>
  </si>
  <si>
    <t>Dismissal</t>
  </si>
  <si>
    <t>Student fired shot at dismissal, detained by school staff</t>
  </si>
  <si>
    <t>No</t>
  </si>
  <si>
    <t>20220316CALOR</t>
  </si>
  <si>
    <t>Loma Vista Middle School</t>
  </si>
  <si>
    <t>National</t>
  </si>
  <si>
    <t>Spring</t>
  </si>
  <si>
    <t>Riverside</t>
  </si>
  <si>
    <t>CA</t>
  </si>
  <si>
    <t>Middle</t>
  </si>
  <si>
    <t>Classroom</t>
  </si>
  <si>
    <t>Inside School Building</t>
  </si>
  <si>
    <t>Yes</t>
  </si>
  <si>
    <t>Afternoon Classes</t>
  </si>
  <si>
    <t>Student fired shot while showing off gun inside school</t>
  </si>
  <si>
    <t>Accidental</t>
  </si>
  <si>
    <t>Neither</t>
  </si>
  <si>
    <t>No</t>
  </si>
  <si>
    <t>20220315WAEIY</t>
  </si>
  <si>
    <t>Eisenhower High School</t>
  </si>
  <si>
    <t>National</t>
  </si>
  <si>
    <t>Winter</t>
  </si>
  <si>
    <t>Yakima</t>
  </si>
  <si>
    <t>WA</t>
  </si>
  <si>
    <t>High</t>
  </si>
  <si>
    <t>Parking Lot</t>
  </si>
  <si>
    <t>Outside on School Property</t>
  </si>
  <si>
    <t>Yes</t>
  </si>
  <si>
    <t>Dismissal</t>
  </si>
  <si>
    <t>Two students shot in parking lot at dismissal</t>
  </si>
  <si>
    <t>Escalation of Dispute</t>
  </si>
  <si>
    <t>Both</t>
  </si>
  <si>
    <t>No</t>
  </si>
  <si>
    <t>20220315MDPAB</t>
  </si>
  <si>
    <t>Paul Lawrence Dunbar High School</t>
  </si>
  <si>
    <t>Regional</t>
  </si>
  <si>
    <t>Spring</t>
  </si>
  <si>
    <t>Baltimore</t>
  </si>
  <si>
    <t>MD</t>
  </si>
  <si>
    <t>High</t>
  </si>
  <si>
    <t>Beside Building</t>
  </si>
  <si>
    <t>Outside on School Property</t>
  </si>
  <si>
    <t>Yes</t>
  </si>
  <si>
    <t>Dismissal</t>
  </si>
  <si>
    <t>Student shot during dispute at dismissal</t>
  </si>
  <si>
    <t>Escalation of Dispute</t>
  </si>
  <si>
    <t>Victims Targeted</t>
  </si>
  <si>
    <t>No</t>
  </si>
  <si>
    <t>20220315GAFOF</t>
  </si>
  <si>
    <t>Forest Park Middle School</t>
  </si>
  <si>
    <t>Local</t>
  </si>
  <si>
    <t>Spring</t>
  </si>
  <si>
    <t>Forest Park</t>
  </si>
  <si>
    <t>GA</t>
  </si>
  <si>
    <t>Middle</t>
  </si>
  <si>
    <t>Office</t>
  </si>
  <si>
    <t>Inside School Building</t>
  </si>
  <si>
    <t>No</t>
  </si>
  <si>
    <t>Night</t>
  </si>
  <si>
    <t>Shots fired when school police confronted intruder</t>
  </si>
  <si>
    <t>Illegal Activity</t>
  </si>
  <si>
    <t>No</t>
  </si>
  <si>
    <t>20220315MATEB</t>
  </si>
  <si>
    <t>Tech Academy Boston</t>
  </si>
  <si>
    <t>Regional</t>
  </si>
  <si>
    <t>Spring</t>
  </si>
  <si>
    <t>Boston</t>
  </si>
  <si>
    <t>MA</t>
  </si>
  <si>
    <t>High</t>
  </si>
  <si>
    <t>Beside Building</t>
  </si>
  <si>
    <t>Outside on School Property</t>
  </si>
  <si>
    <t>No</t>
  </si>
  <si>
    <t>Sport Event</t>
  </si>
  <si>
    <t>Shots fired at a group of students and staff outside school</t>
  </si>
  <si>
    <t>Drive-by Shooting</t>
  </si>
  <si>
    <t>Both</t>
  </si>
  <si>
    <t>Yes</t>
  </si>
  <si>
    <t>No</t>
  </si>
  <si>
    <t>20220314CAKRP</t>
  </si>
  <si>
    <t>Kraemer Middle School</t>
  </si>
  <si>
    <t>National</t>
  </si>
  <si>
    <t>Spring</t>
  </si>
  <si>
    <t>Placentia</t>
  </si>
  <si>
    <t>CA</t>
  </si>
  <si>
    <t>Middle</t>
  </si>
  <si>
    <t>Office</t>
  </si>
  <si>
    <t>Inside School Building</t>
  </si>
  <si>
    <t>Yes</t>
  </si>
  <si>
    <t>Morning Classes</t>
  </si>
  <si>
    <t>School administrator commit suicide with firearm in office during school</t>
  </si>
  <si>
    <t>Suicide/Attempted</t>
  </si>
  <si>
    <t>Victims Targeted</t>
  </si>
  <si>
    <t>No</t>
  </si>
  <si>
    <t>20220313PANEP</t>
  </si>
  <si>
    <t>New Foundations Charter School</t>
  </si>
  <si>
    <t>Local</t>
  </si>
  <si>
    <t>Spring</t>
  </si>
  <si>
    <t>Philadelphia</t>
  </si>
  <si>
    <t>PA</t>
  </si>
  <si>
    <t>K-8</t>
  </si>
  <si>
    <t>Classroom</t>
  </si>
  <si>
    <t>Both Inside/Outside</t>
  </si>
  <si>
    <t>No</t>
  </si>
  <si>
    <t>Not a School Day</t>
  </si>
  <si>
    <t>Classroom window broken by gunshot, bullet found in classroom</t>
  </si>
  <si>
    <t>No</t>
  </si>
  <si>
    <t>20220311CADER</t>
  </si>
  <si>
    <t>De Anza High School</t>
  </si>
  <si>
    <t>Local</t>
  </si>
  <si>
    <t>Spring</t>
  </si>
  <si>
    <t>Richmond</t>
  </si>
  <si>
    <t>CA</t>
  </si>
  <si>
    <t>High</t>
  </si>
  <si>
    <t>Outside on School Property</t>
  </si>
  <si>
    <t>Yes</t>
  </si>
  <si>
    <t>Dismissal</t>
  </si>
  <si>
    <t>Shots fired during fight at dismissal</t>
  </si>
  <si>
    <t>Escalation of Dispute</t>
  </si>
  <si>
    <t>Both</t>
  </si>
  <si>
    <t>No</t>
  </si>
  <si>
    <t>20220311OHFAP</t>
  </si>
  <si>
    <t>Fairland Middle School</t>
  </si>
  <si>
    <t>Local</t>
  </si>
  <si>
    <t>Spring</t>
  </si>
  <si>
    <t>Proctorville</t>
  </si>
  <si>
    <t>OH</t>
  </si>
  <si>
    <t>Middle</t>
  </si>
  <si>
    <t>Outside on School Property</t>
  </si>
  <si>
    <t>Off School Property</t>
  </si>
  <si>
    <t>Yes</t>
  </si>
  <si>
    <t>Lunch</t>
  </si>
  <si>
    <t>Fair employee fired three shots at fleeing robber climbing fence to school property</t>
  </si>
  <si>
    <t>Illegal Activity</t>
  </si>
  <si>
    <t>Victims Targeted</t>
  </si>
  <si>
    <t>No</t>
  </si>
  <si>
    <t>20220311WIJER</t>
  </si>
  <si>
    <t>Jerstad-Agerholm Elementary School</t>
  </si>
  <si>
    <t>Local</t>
  </si>
  <si>
    <t>Spring</t>
  </si>
  <si>
    <t>Racine</t>
  </si>
  <si>
    <t>WI</t>
  </si>
  <si>
    <t>Elementary</t>
  </si>
  <si>
    <t>Bathroom</t>
  </si>
  <si>
    <t>Inside School Building</t>
  </si>
  <si>
    <t>Yes</t>
  </si>
  <si>
    <t>Student fired shot inside school bathroom</t>
  </si>
  <si>
    <t>Accidental</t>
  </si>
  <si>
    <t>Neither</t>
  </si>
  <si>
    <t>Yes</t>
  </si>
  <si>
    <t>No</t>
  </si>
  <si>
    <t>20220310MDCOL</t>
  </si>
  <si>
    <t>Cora L. Rice Elementary School</t>
  </si>
  <si>
    <t>Local</t>
  </si>
  <si>
    <t>Spring</t>
  </si>
  <si>
    <t>Hyattsville</t>
  </si>
  <si>
    <t>MD</t>
  </si>
  <si>
    <t>Elementary</t>
  </si>
  <si>
    <t>Front of School</t>
  </si>
  <si>
    <t>Outside on School Property</t>
  </si>
  <si>
    <t>Yes</t>
  </si>
  <si>
    <t>Dismissal</t>
  </si>
  <si>
    <t>Adult man killed and school bus struck by bullet at dismissal</t>
  </si>
  <si>
    <t>Victims Targeted</t>
  </si>
  <si>
    <t>No</t>
  </si>
  <si>
    <t>20220310COROH</t>
  </si>
  <si>
    <t>Rock Canyon High School</t>
  </si>
  <si>
    <t>Local</t>
  </si>
  <si>
    <t>Spring</t>
  </si>
  <si>
    <t>Highlands Ranch</t>
  </si>
  <si>
    <t>CO</t>
  </si>
  <si>
    <t>High</t>
  </si>
  <si>
    <t>Parking Lot</t>
  </si>
  <si>
    <t>Outside on School Property</t>
  </si>
  <si>
    <t>Yes</t>
  </si>
  <si>
    <t>Morning Classes</t>
  </si>
  <si>
    <t>Student fired toy rifle in the parking lot causing lockdown</t>
  </si>
  <si>
    <t>Neither</t>
  </si>
  <si>
    <t>No</t>
  </si>
  <si>
    <t>20220310TNHAM</t>
  </si>
  <si>
    <t>Hamilton Middle School</t>
  </si>
  <si>
    <t>Local</t>
  </si>
  <si>
    <t>Spring</t>
  </si>
  <si>
    <t>Memphis</t>
  </si>
  <si>
    <t>TN</t>
  </si>
  <si>
    <t>K-8</t>
  </si>
  <si>
    <t>Front of School</t>
  </si>
  <si>
    <t>Outside on School Property</t>
  </si>
  <si>
    <t>Yes</t>
  </si>
  <si>
    <t>School Start</t>
  </si>
  <si>
    <t>Mother threatened 5 students with gun during argument</t>
  </si>
  <si>
    <t>Escalation of Dispute</t>
  </si>
  <si>
    <t>Victims Targeted</t>
  </si>
  <si>
    <t>No</t>
  </si>
  <si>
    <t>NO</t>
  </si>
  <si>
    <t>No</t>
  </si>
  <si>
    <t>20220309FLNOM</t>
  </si>
  <si>
    <t>North Gardens High School</t>
  </si>
  <si>
    <t>Local</t>
  </si>
  <si>
    <t>Spring</t>
  </si>
  <si>
    <t>Miami Gardens</t>
  </si>
  <si>
    <t>FL</t>
  </si>
  <si>
    <t>High</t>
  </si>
  <si>
    <t>Front of School</t>
  </si>
  <si>
    <t>Both Inside/Outside</t>
  </si>
  <si>
    <t>Yes</t>
  </si>
  <si>
    <t>Afternoon Classes</t>
  </si>
  <si>
    <t>Teens fired from car into school building striking 3 students</t>
  </si>
  <si>
    <t>Drive-by Shooting</t>
  </si>
  <si>
    <t>Both</t>
  </si>
  <si>
    <t>Yes</t>
  </si>
  <si>
    <t>No</t>
  </si>
  <si>
    <t>20220309TXNOH</t>
  </si>
  <si>
    <t>Kimball High School</t>
  </si>
  <si>
    <t>Regional</t>
  </si>
  <si>
    <t>Spring</t>
  </si>
  <si>
    <t>Houston</t>
  </si>
  <si>
    <t>TX</t>
  </si>
  <si>
    <t>High</t>
  </si>
  <si>
    <t>School Bus</t>
  </si>
  <si>
    <t>No</t>
  </si>
  <si>
    <t>Sport Event</t>
  </si>
  <si>
    <t>Team trainer shot in foot on bus after high school game</t>
  </si>
  <si>
    <t>Accidental</t>
  </si>
  <si>
    <t>Random Shooting</t>
  </si>
  <si>
    <t>No</t>
  </si>
  <si>
    <t>20220309NMESE</t>
  </si>
  <si>
    <t>Espanola Valley High School</t>
  </si>
  <si>
    <t>Local</t>
  </si>
  <si>
    <t>Spring</t>
  </si>
  <si>
    <t>Espanola</t>
  </si>
  <si>
    <t>NM</t>
  </si>
  <si>
    <t>High</t>
  </si>
  <si>
    <t>Parking Lot</t>
  </si>
  <si>
    <t>Outside on School Property</t>
  </si>
  <si>
    <t>No</t>
  </si>
  <si>
    <t>Sport Event</t>
  </si>
  <si>
    <t>Paintballs fired a team bus in parking lot</t>
  </si>
  <si>
    <t>Intentional Property Damage</t>
  </si>
  <si>
    <t>Neither</t>
  </si>
  <si>
    <t>No</t>
  </si>
  <si>
    <t>20220307IAEAD</t>
  </si>
  <si>
    <t>East High School</t>
  </si>
  <si>
    <t>National</t>
  </si>
  <si>
    <t>Spring</t>
  </si>
  <si>
    <t>Des Moines</t>
  </si>
  <si>
    <t>IA</t>
  </si>
  <si>
    <t>High</t>
  </si>
  <si>
    <t>Front of School</t>
  </si>
  <si>
    <t>Outside on School Property</t>
  </si>
  <si>
    <t>Yes</t>
  </si>
  <si>
    <t>Dismissal</t>
  </si>
  <si>
    <t>3 teens shot in front of school at dismissal</t>
  </si>
  <si>
    <t>Drive-by Shooting</t>
  </si>
  <si>
    <t>Both</t>
  </si>
  <si>
    <t>Yes</t>
  </si>
  <si>
    <t>No</t>
  </si>
  <si>
    <t>20220304KSOLO</t>
  </si>
  <si>
    <t>Olathe East High School</t>
  </si>
  <si>
    <t>National</t>
  </si>
  <si>
    <t>Spring</t>
  </si>
  <si>
    <t>Olathe</t>
  </si>
  <si>
    <t>KS</t>
  </si>
  <si>
    <t>High</t>
  </si>
  <si>
    <t>Office</t>
  </si>
  <si>
    <t>Inside School Building</t>
  </si>
  <si>
    <t>Yes</t>
  </si>
  <si>
    <t>Morning Classes</t>
  </si>
  <si>
    <t>Student shot principal and SRO in school office</t>
  </si>
  <si>
    <t>Anger Over Grade/Suspension/Discipline</t>
  </si>
  <si>
    <t>Victims Targeted</t>
  </si>
  <si>
    <t>No</t>
  </si>
  <si>
    <t>20220303MIJWL</t>
  </si>
  <si>
    <t>JW Sexton High School</t>
  </si>
  <si>
    <t>Local</t>
  </si>
  <si>
    <t>Winter</t>
  </si>
  <si>
    <t>Lansing</t>
  </si>
  <si>
    <t>MI</t>
  </si>
  <si>
    <t>High</t>
  </si>
  <si>
    <t>Parking Lot</t>
  </si>
  <si>
    <t>Outside on School Property</t>
  </si>
  <si>
    <t>Yes</t>
  </si>
  <si>
    <t>Afternoon Classes</t>
  </si>
  <si>
    <t>Teen shot in school parking lot following road rage incident</t>
  </si>
  <si>
    <t>Escalation of Dispute</t>
  </si>
  <si>
    <t>Victims Targeted</t>
  </si>
  <si>
    <t>No</t>
  </si>
  <si>
    <t>20220228NYBOB</t>
  </si>
  <si>
    <t>Boys and Girls High School</t>
  </si>
  <si>
    <t>Regional</t>
  </si>
  <si>
    <t>Winter</t>
  </si>
  <si>
    <t>Brooklyn</t>
  </si>
  <si>
    <t>NY</t>
  </si>
  <si>
    <t>High</t>
  </si>
  <si>
    <t>Front of School</t>
  </si>
  <si>
    <t>Outside on School Property</t>
  </si>
  <si>
    <t>Yes</t>
  </si>
  <si>
    <t>Dismissal</t>
  </si>
  <si>
    <t>Student shot at dismissal in front of school</t>
  </si>
  <si>
    <t>Escalation of Dispute</t>
  </si>
  <si>
    <t>Both</t>
  </si>
  <si>
    <t>No</t>
  </si>
  <si>
    <t>20220227DCDUW</t>
  </si>
  <si>
    <t>Dunbar High School</t>
  </si>
  <si>
    <t>Local</t>
  </si>
  <si>
    <t>Winter</t>
  </si>
  <si>
    <t>Washington</t>
  </si>
  <si>
    <t>DC</t>
  </si>
  <si>
    <t>High</t>
  </si>
  <si>
    <t>Front of School</t>
  </si>
  <si>
    <t>Outside on School Property</t>
  </si>
  <si>
    <t>No</t>
  </si>
  <si>
    <t>Not a School Day</t>
  </si>
  <si>
    <t>Man fatally shot in front of school</t>
  </si>
  <si>
    <t>Victims Targeted</t>
  </si>
  <si>
    <t>No</t>
  </si>
  <si>
    <t>20220225NMWEA</t>
  </si>
  <si>
    <t>West Mesa High School</t>
  </si>
  <si>
    <t>National</t>
  </si>
  <si>
    <t>Winter</t>
  </si>
  <si>
    <t>Albuquerque</t>
  </si>
  <si>
    <t>NM</t>
  </si>
  <si>
    <t>High</t>
  </si>
  <si>
    <t>Football Field/Track</t>
  </si>
  <si>
    <t>Off School Property</t>
  </si>
  <si>
    <t>Yes</t>
  </si>
  <si>
    <t>Morning Classes</t>
  </si>
  <si>
    <t>Student fatally shot another student during dispute over stolen "ghost gun"</t>
  </si>
  <si>
    <t>Escalation of Dispute</t>
  </si>
  <si>
    <t>Victims Targeted</t>
  </si>
  <si>
    <t>No</t>
  </si>
  <si>
    <t>20220225ALSOH</t>
  </si>
  <si>
    <t>Sonnie Hereford Elementary</t>
  </si>
  <si>
    <t>Regional</t>
  </si>
  <si>
    <t>Winter</t>
  </si>
  <si>
    <t>Huntsville</t>
  </si>
  <si>
    <t>AL</t>
  </si>
  <si>
    <t>Elementary</t>
  </si>
  <si>
    <t>Classroom</t>
  </si>
  <si>
    <t>Inside School Building</t>
  </si>
  <si>
    <t>Yes</t>
  </si>
  <si>
    <t>Morning Classes</t>
  </si>
  <si>
    <t>4th grader shot themselves inside classroom</t>
  </si>
  <si>
    <t>Accidental</t>
  </si>
  <si>
    <t>Neither</t>
  </si>
  <si>
    <t>No</t>
  </si>
  <si>
    <t>20220223VAWOW</t>
  </si>
  <si>
    <t>Woodbridge High School</t>
  </si>
  <si>
    <t>Local</t>
  </si>
  <si>
    <t>Winter</t>
  </si>
  <si>
    <t>Woodbridge</t>
  </si>
  <si>
    <t>VA</t>
  </si>
  <si>
    <t>High</t>
  </si>
  <si>
    <t>Parking Lot</t>
  </si>
  <si>
    <t>Outside on School Property</t>
  </si>
  <si>
    <t>No</t>
  </si>
  <si>
    <t>Sport Event</t>
  </si>
  <si>
    <t>Shot fired during fight in parking lot outside basketball game</t>
  </si>
  <si>
    <t>Escalation of Dispute</t>
  </si>
  <si>
    <t>Victims Targeted</t>
  </si>
  <si>
    <t>No</t>
  </si>
  <si>
    <t>20220222TXALH</t>
  </si>
  <si>
    <t>Alief ISD Center for Advanced Careers</t>
  </si>
  <si>
    <t>Regional</t>
  </si>
  <si>
    <t>Winter</t>
  </si>
  <si>
    <t>Houston</t>
  </si>
  <si>
    <t>TX</t>
  </si>
  <si>
    <t>High</t>
  </si>
  <si>
    <t>Parking Lot</t>
  </si>
  <si>
    <t>Off School Property</t>
  </si>
  <si>
    <t>No</t>
  </si>
  <si>
    <t>After School</t>
  </si>
  <si>
    <t>Two men shot in street in front of school, victim collapsed and died in school parking lot near front door</t>
  </si>
  <si>
    <t>Escalation of Dispute</t>
  </si>
  <si>
    <t>Victims Targeted</t>
  </si>
  <si>
    <t>No</t>
  </si>
  <si>
    <t>20220222COLIP</t>
  </si>
  <si>
    <t>Liberty Point International Middle School</t>
  </si>
  <si>
    <t>Regional</t>
  </si>
  <si>
    <t>Winter</t>
  </si>
  <si>
    <t>Pueblo</t>
  </si>
  <si>
    <t>CO</t>
  </si>
  <si>
    <t>Middle</t>
  </si>
  <si>
    <t>Beside Building</t>
  </si>
  <si>
    <t>Outside on School Property</t>
  </si>
  <si>
    <t>Yes</t>
  </si>
  <si>
    <t>Dismissal</t>
  </si>
  <si>
    <t>Officers shot intoxicated and combative man on school property</t>
  </si>
  <si>
    <t>Officer-Involved Shooting</t>
  </si>
  <si>
    <t>Neither</t>
  </si>
  <si>
    <t>20220221MDJOH</t>
  </si>
  <si>
    <t>John Carroll Elementary School</t>
  </si>
  <si>
    <t>Local</t>
  </si>
  <si>
    <t>Winter</t>
  </si>
  <si>
    <t>Hyattsville</t>
  </si>
  <si>
    <t>MD</t>
  </si>
  <si>
    <t>Elementary</t>
  </si>
  <si>
    <t>Playground</t>
  </si>
  <si>
    <t>Outside on School Property</t>
  </si>
  <si>
    <t>No</t>
  </si>
  <si>
    <t>Evening</t>
  </si>
  <si>
    <t>Man fatally shot on playground behind school</t>
  </si>
  <si>
    <t>Illegal Activity</t>
  </si>
  <si>
    <t>Victims Targeted</t>
  </si>
  <si>
    <t>No</t>
  </si>
  <si>
    <t>20220220OKWIW</t>
  </si>
  <si>
    <t>Wilson Middle School</t>
  </si>
  <si>
    <t>Local</t>
  </si>
  <si>
    <t>Winter</t>
  </si>
  <si>
    <t>Wilson</t>
  </si>
  <si>
    <t>OK</t>
  </si>
  <si>
    <t>Middle</t>
  </si>
  <si>
    <t>Football Field/Track</t>
  </si>
  <si>
    <t>Outside on School Property</t>
  </si>
  <si>
    <t>No</t>
  </si>
  <si>
    <t>Night</t>
  </si>
  <si>
    <t>Office shot twice while investigating suspicious man behind school</t>
  </si>
  <si>
    <t>Illegal Activity</t>
  </si>
  <si>
    <t>Victims Targeted</t>
  </si>
  <si>
    <t>No</t>
  </si>
  <si>
    <t>20220220MSMCM</t>
  </si>
  <si>
    <t>McComb High School</t>
  </si>
  <si>
    <t>National</t>
  </si>
  <si>
    <t>Winter</t>
  </si>
  <si>
    <t>McComb</t>
  </si>
  <si>
    <t>MS</t>
  </si>
  <si>
    <t>High</t>
  </si>
  <si>
    <t>Basketball Court</t>
  </si>
  <si>
    <t>Outside on School Property</t>
  </si>
  <si>
    <t>No</t>
  </si>
  <si>
    <t>Not a School Day</t>
  </si>
  <si>
    <t>Drive-by shooting following basketball game</t>
  </si>
  <si>
    <t>Drive-by Shooting</t>
  </si>
  <si>
    <t>Both</t>
  </si>
  <si>
    <t>Yes</t>
  </si>
  <si>
    <t>No</t>
  </si>
  <si>
    <t>20220219VACAC</t>
  </si>
  <si>
    <t>Camelot Elementary School</t>
  </si>
  <si>
    <t>Local</t>
  </si>
  <si>
    <t>Winter</t>
  </si>
  <si>
    <t>Chesapeake</t>
  </si>
  <si>
    <t>VA</t>
  </si>
  <si>
    <t>Elementary</t>
  </si>
  <si>
    <t>Parking Lot</t>
  </si>
  <si>
    <t>Outside on School Property</t>
  </si>
  <si>
    <t>No</t>
  </si>
  <si>
    <t>Not a School Day</t>
  </si>
  <si>
    <t>Teen shot in parking lot</t>
  </si>
  <si>
    <t>No</t>
  </si>
  <si>
    <t>20220218MATET</t>
  </si>
  <si>
    <t>Tewksbury High School</t>
  </si>
  <si>
    <t>Regional</t>
  </si>
  <si>
    <t>Winter</t>
  </si>
  <si>
    <t>Tewksbury</t>
  </si>
  <si>
    <t>MA</t>
  </si>
  <si>
    <t>High</t>
  </si>
  <si>
    <t>Parking Lot</t>
  </si>
  <si>
    <t>Outside on School Property</t>
  </si>
  <si>
    <t>No</t>
  </si>
  <si>
    <t>Sport Event</t>
  </si>
  <si>
    <t>4 teens fired pellet guns at crowd leaving basketball game</t>
  </si>
  <si>
    <t>Drive-by Shooting</t>
  </si>
  <si>
    <t>Random Shooting</t>
  </si>
  <si>
    <t>Yes</t>
  </si>
  <si>
    <t>No</t>
  </si>
  <si>
    <t>20220217WAMCG</t>
  </si>
  <si>
    <t>McClure Elementary School</t>
  </si>
  <si>
    <t>Local</t>
  </si>
  <si>
    <t>Winter</t>
  </si>
  <si>
    <t>Grandview</t>
  </si>
  <si>
    <t>WA</t>
  </si>
  <si>
    <t>Elementary</t>
  </si>
  <si>
    <t>Outside on School Property</t>
  </si>
  <si>
    <t>No</t>
  </si>
  <si>
    <t>Evening</t>
  </si>
  <si>
    <t>Man shot next to school, shooter fled</t>
  </si>
  <si>
    <t>Escalation of Dispute</t>
  </si>
  <si>
    <t>Victims Targeted</t>
  </si>
  <si>
    <t>No</t>
  </si>
  <si>
    <t>20220214FLLAL</t>
  </si>
  <si>
    <t>Lake City Middle School</t>
  </si>
  <si>
    <t>Local</t>
  </si>
  <si>
    <t>Winter</t>
  </si>
  <si>
    <t>Lake City</t>
  </si>
  <si>
    <t>FL</t>
  </si>
  <si>
    <t>Middle</t>
  </si>
  <si>
    <t>Front of School</t>
  </si>
  <si>
    <t>Outside on School Property</t>
  </si>
  <si>
    <t>Yes</t>
  </si>
  <si>
    <t>Dismissal</t>
  </si>
  <si>
    <t>Adult man fired shots in front of the school during a dispute at dismissal</t>
  </si>
  <si>
    <t>Escalation of Dispute</t>
  </si>
  <si>
    <t>Victims Targeted</t>
  </si>
  <si>
    <t>No</t>
  </si>
  <si>
    <t>20220211DCEAW</t>
  </si>
  <si>
    <t>Eagle Academy</t>
  </si>
  <si>
    <t>Local</t>
  </si>
  <si>
    <t>Winter</t>
  </si>
  <si>
    <t>Washington</t>
  </si>
  <si>
    <t>DC</t>
  </si>
  <si>
    <t>K-8</t>
  </si>
  <si>
    <t>Parking Lot</t>
  </si>
  <si>
    <t>Outside on School Property</t>
  </si>
  <si>
    <t>Yes</t>
  </si>
  <si>
    <t>Afternoon Classes</t>
  </si>
  <si>
    <t>Man shot in school parking lot</t>
  </si>
  <si>
    <t>No</t>
  </si>
  <si>
    <t>20220209NYMCB</t>
  </si>
  <si>
    <t>McKinley High School</t>
  </si>
  <si>
    <t>Regional</t>
  </si>
  <si>
    <t>Winter</t>
  </si>
  <si>
    <t>Buffalo</t>
  </si>
  <si>
    <t>NY</t>
  </si>
  <si>
    <t>High</t>
  </si>
  <si>
    <t>Parking Lot</t>
  </si>
  <si>
    <t>Outside on School Property</t>
  </si>
  <si>
    <t>Yes</t>
  </si>
  <si>
    <t>Dismissal</t>
  </si>
  <si>
    <t>Student stabbed and security guard shot during fight</t>
  </si>
  <si>
    <t>Escalation of Dispute</t>
  </si>
  <si>
    <t>Both</t>
  </si>
  <si>
    <t>Yes</t>
  </si>
  <si>
    <t>No</t>
  </si>
  <si>
    <t>20220209MNMIM</t>
  </si>
  <si>
    <t>Minneapolis School Bus</t>
  </si>
  <si>
    <t>National</t>
  </si>
  <si>
    <t>Winter</t>
  </si>
  <si>
    <t>Minneapolis</t>
  </si>
  <si>
    <t>MN</t>
  </si>
  <si>
    <t>Elementary</t>
  </si>
  <si>
    <t>School Bus</t>
  </si>
  <si>
    <t>Yes</t>
  </si>
  <si>
    <t>Dismissal</t>
  </si>
  <si>
    <t>School bus driver shot in the head while driving the bus with children aboard</t>
  </si>
  <si>
    <t>Drive-by Shooting</t>
  </si>
  <si>
    <t>Both</t>
  </si>
  <si>
    <t>No</t>
  </si>
  <si>
    <t>20220208MDCAC</t>
  </si>
  <si>
    <t>Catonsville High School</t>
  </si>
  <si>
    <t>Regional</t>
  </si>
  <si>
    <t>Winter</t>
  </si>
  <si>
    <t>Catonsville</t>
  </si>
  <si>
    <t>MD</t>
  </si>
  <si>
    <t>High</t>
  </si>
  <si>
    <t>Parking Lot</t>
  </si>
  <si>
    <t>Outside on School Property</t>
  </si>
  <si>
    <t>No</t>
  </si>
  <si>
    <t>After School</t>
  </si>
  <si>
    <t>Student shot in school parking lot</t>
  </si>
  <si>
    <t>Victims Targeted</t>
  </si>
  <si>
    <t>No</t>
  </si>
  <si>
    <t>20220208NYMOM</t>
  </si>
  <si>
    <t>Mount Vernon High School</t>
  </si>
  <si>
    <t>Regional</t>
  </si>
  <si>
    <t>Winter</t>
  </si>
  <si>
    <t>Mount Vernon</t>
  </si>
  <si>
    <t>NY</t>
  </si>
  <si>
    <t>High</t>
  </si>
  <si>
    <t>Front of School</t>
  </si>
  <si>
    <t>Outside on School Property</t>
  </si>
  <si>
    <t>Yes</t>
  </si>
  <si>
    <t>Dismissal</t>
  </si>
  <si>
    <t>Shots fired outside school prior to dismissal</t>
  </si>
  <si>
    <t>Drive-by Shooting</t>
  </si>
  <si>
    <t>No</t>
  </si>
  <si>
    <t>20220204GASOD</t>
  </si>
  <si>
    <t>Southwest DeKalb High School</t>
  </si>
  <si>
    <t>Local</t>
  </si>
  <si>
    <t>Winter</t>
  </si>
  <si>
    <t>Decatur</t>
  </si>
  <si>
    <t>GA</t>
  </si>
  <si>
    <t>High</t>
  </si>
  <si>
    <t>Parking Lot</t>
  </si>
  <si>
    <t>Outside on School Property</t>
  </si>
  <si>
    <t>Yes</t>
  </si>
  <si>
    <t>Dismissal</t>
  </si>
  <si>
    <t>Student shot self in the leg in school parking lot at dismissal</t>
  </si>
  <si>
    <t>Accidental</t>
  </si>
  <si>
    <t>Neither</t>
  </si>
  <si>
    <t>No</t>
  </si>
  <si>
    <t>20220204ALWEB</t>
  </si>
  <si>
    <t>Wenonah High School</t>
  </si>
  <si>
    <t>Local</t>
  </si>
  <si>
    <t>Winter</t>
  </si>
  <si>
    <t>Birmingham</t>
  </si>
  <si>
    <t>AL</t>
  </si>
  <si>
    <t>High</t>
  </si>
  <si>
    <t>Beside Building</t>
  </si>
  <si>
    <t>Outside on School Property</t>
  </si>
  <si>
    <t>No</t>
  </si>
  <si>
    <t>Sport Event</t>
  </si>
  <si>
    <t>Student (not intended target) shot outside of gym following basketball game</t>
  </si>
  <si>
    <t>Both</t>
  </si>
  <si>
    <t>No</t>
  </si>
  <si>
    <t>20220203NCSPS</t>
  </si>
  <si>
    <t>Speight Middle School</t>
  </si>
  <si>
    <t>Local</t>
  </si>
  <si>
    <t>Winter</t>
  </si>
  <si>
    <t>Stantonsburg</t>
  </si>
  <si>
    <t>NC</t>
  </si>
  <si>
    <t>Middle</t>
  </si>
  <si>
    <t>School Bus</t>
  </si>
  <si>
    <t>Yes</t>
  </si>
  <si>
    <t>Dismissal</t>
  </si>
  <si>
    <t>Bullet struck window of occupied school bus</t>
  </si>
  <si>
    <t>No</t>
  </si>
  <si>
    <t>20220202KYLOR</t>
  </si>
  <si>
    <t>Logan County Community Technology Center</t>
  </si>
  <si>
    <t>Local</t>
  </si>
  <si>
    <t>Winter</t>
  </si>
  <si>
    <t>Russellville</t>
  </si>
  <si>
    <t>KY</t>
  </si>
  <si>
    <t>High</t>
  </si>
  <si>
    <t>Front of School</t>
  </si>
  <si>
    <t>Outside on School Property</t>
  </si>
  <si>
    <t>No</t>
  </si>
  <si>
    <t>Before School</t>
  </si>
  <si>
    <t>Two windows of the school building shot</t>
  </si>
  <si>
    <t>Intentional Property Damage</t>
  </si>
  <si>
    <t>Random Shooting</t>
  </si>
  <si>
    <t>No</t>
  </si>
  <si>
    <t>20220201PAACS</t>
  </si>
  <si>
    <t>Academy Park High School</t>
  </si>
  <si>
    <t>Local</t>
  </si>
  <si>
    <t>Winter</t>
  </si>
  <si>
    <t>Sharon Hill</t>
  </si>
  <si>
    <t>PA</t>
  </si>
  <si>
    <t>High</t>
  </si>
  <si>
    <t>Parking Lot</t>
  </si>
  <si>
    <t>Outside on School Property</t>
  </si>
  <si>
    <t>Yes</t>
  </si>
  <si>
    <t>Dismissal</t>
  </si>
  <si>
    <t>Shots fired in the school parking lot</t>
  </si>
  <si>
    <t>No</t>
  </si>
  <si>
    <t>20220201MNSOR</t>
  </si>
  <si>
    <t>South Education Center</t>
  </si>
  <si>
    <t>National</t>
  </si>
  <si>
    <t>Winter</t>
  </si>
  <si>
    <t>Richfield</t>
  </si>
  <si>
    <t>MN</t>
  </si>
  <si>
    <t>K-12</t>
  </si>
  <si>
    <t>Front of School</t>
  </si>
  <si>
    <t>Outside on School Property</t>
  </si>
  <si>
    <t>Yes</t>
  </si>
  <si>
    <t>Lunch</t>
  </si>
  <si>
    <t>Three students shot in front of school</t>
  </si>
  <si>
    <t>Escalation of Dispute</t>
  </si>
  <si>
    <t>Both</t>
  </si>
  <si>
    <t>Yes</t>
  </si>
  <si>
    <t>No</t>
  </si>
  <si>
    <t>20220201ILALC</t>
  </si>
  <si>
    <t>Alessandro Volta Elementary School</t>
  </si>
  <si>
    <t>Regional</t>
  </si>
  <si>
    <t>Winter</t>
  </si>
  <si>
    <t>Chicago</t>
  </si>
  <si>
    <t>IL</t>
  </si>
  <si>
    <t>Elementary</t>
  </si>
  <si>
    <t>Front of School</t>
  </si>
  <si>
    <t>Outside on School Property</t>
  </si>
  <si>
    <t>Yes</t>
  </si>
  <si>
    <t>Morning Classes</t>
  </si>
  <si>
    <t>Teen girl shot by front door of school</t>
  </si>
  <si>
    <t>Both</t>
  </si>
  <si>
    <t>No</t>
  </si>
  <si>
    <t>20220201WIRUM</t>
  </si>
  <si>
    <t>Rufus King High School</t>
  </si>
  <si>
    <t>National</t>
  </si>
  <si>
    <t>Winter</t>
  </si>
  <si>
    <t>Milwaukee</t>
  </si>
  <si>
    <t>WI</t>
  </si>
  <si>
    <t>High</t>
  </si>
  <si>
    <t>Parking Lot</t>
  </si>
  <si>
    <t>Outside on School Property</t>
  </si>
  <si>
    <t>No</t>
  </si>
  <si>
    <t>Sport Event</t>
  </si>
  <si>
    <t>Five victims shot during fight outside basketball game</t>
  </si>
  <si>
    <t>Escalation of Dispute</t>
  </si>
  <si>
    <t>Both</t>
  </si>
  <si>
    <t>No</t>
  </si>
  <si>
    <t>20220129WIBEB</t>
  </si>
  <si>
    <t>Beloit Memorial High School</t>
  </si>
  <si>
    <t>Regional</t>
  </si>
  <si>
    <t>Winter</t>
  </si>
  <si>
    <t>Beloit</t>
  </si>
  <si>
    <t>WI</t>
  </si>
  <si>
    <t>High</t>
  </si>
  <si>
    <t>Parking Lot</t>
  </si>
  <si>
    <t>Outside on School Property</t>
  </si>
  <si>
    <t>No</t>
  </si>
  <si>
    <t>Sport Event</t>
  </si>
  <si>
    <t>Adult man killed outside of high school basketball game</t>
  </si>
  <si>
    <t>Victims Targeted</t>
  </si>
  <si>
    <t>No</t>
  </si>
  <si>
    <t>20220128LACAM</t>
  </si>
  <si>
    <t>Carroll High School</t>
  </si>
  <si>
    <t>Local</t>
  </si>
  <si>
    <t>Winter</t>
  </si>
  <si>
    <t>Monroe</t>
  </si>
  <si>
    <t>LA</t>
  </si>
  <si>
    <t>High</t>
  </si>
  <si>
    <t>Parking Lot</t>
  </si>
  <si>
    <t>Outside on School Property</t>
  </si>
  <si>
    <t>No</t>
  </si>
  <si>
    <t>Sport Event</t>
  </si>
  <si>
    <t>Shots fired by man burglarizing vehicles during basketball game</t>
  </si>
  <si>
    <t>Illegal Activity</t>
  </si>
  <si>
    <t>Random Shooting</t>
  </si>
  <si>
    <t>Yes</t>
  </si>
  <si>
    <t>No</t>
  </si>
  <si>
    <t>20220127TXMOH</t>
  </si>
  <si>
    <t>Montgomery Elementary School</t>
  </si>
  <si>
    <t>Local</t>
  </si>
  <si>
    <t>Winter</t>
  </si>
  <si>
    <t>Houston</t>
  </si>
  <si>
    <t>TX</t>
  </si>
  <si>
    <t>Elementary</t>
  </si>
  <si>
    <t>Parking Lot</t>
  </si>
  <si>
    <t>Outside on School Property</t>
  </si>
  <si>
    <t>No</t>
  </si>
  <si>
    <t>Night</t>
  </si>
  <si>
    <t>Woman shot during car sale robbery scam in school parking lot</t>
  </si>
  <si>
    <t>Illegal Activity</t>
  </si>
  <si>
    <t>Victims Targeted</t>
  </si>
  <si>
    <t>Yes</t>
  </si>
  <si>
    <t>No</t>
  </si>
  <si>
    <t>20220126PABAP</t>
  </si>
  <si>
    <t>Bartram High School</t>
  </si>
  <si>
    <t>Regional</t>
  </si>
  <si>
    <t>Winter</t>
  </si>
  <si>
    <t>Philadelphia</t>
  </si>
  <si>
    <t>PA</t>
  </si>
  <si>
    <t>High</t>
  </si>
  <si>
    <t>Front of School</t>
  </si>
  <si>
    <t>Off School Property</t>
  </si>
  <si>
    <t>Yes</t>
  </si>
  <si>
    <t>Dismissal</t>
  </si>
  <si>
    <t>A 17-year-old male student was fatally shot in the chest while leaving the campus at dismissal.</t>
  </si>
  <si>
    <t>Victims Targeted</t>
  </si>
  <si>
    <t>No</t>
  </si>
  <si>
    <t>20220124NVSUL</t>
  </si>
  <si>
    <t>Sunrise Mountain High School</t>
  </si>
  <si>
    <t>Local</t>
  </si>
  <si>
    <t>Winter</t>
  </si>
  <si>
    <t>Las Vegas</t>
  </si>
  <si>
    <t>NV</t>
  </si>
  <si>
    <t>High</t>
  </si>
  <si>
    <t>Parking Lot</t>
  </si>
  <si>
    <t>Outside on School Property</t>
  </si>
  <si>
    <t>Yes</t>
  </si>
  <si>
    <t>Lunch</t>
  </si>
  <si>
    <t>Unidentified person shot in school parking lot during school day</t>
  </si>
  <si>
    <t>Victims Targeted</t>
  </si>
  <si>
    <t>No</t>
  </si>
  <si>
    <t>20220121MDMAR</t>
  </si>
  <si>
    <t>Magruder High School</t>
  </si>
  <si>
    <t>Regional</t>
  </si>
  <si>
    <t>Fall</t>
  </si>
  <si>
    <t>Rockville</t>
  </si>
  <si>
    <t>MD</t>
  </si>
  <si>
    <t>High</t>
  </si>
  <si>
    <t>Bathroom</t>
  </si>
  <si>
    <t>Inside School Building</t>
  </si>
  <si>
    <t>Yes</t>
  </si>
  <si>
    <t>Afternoon Classes</t>
  </si>
  <si>
    <t>Student shot in school bathroom, shooter found in school 3 hours later</t>
  </si>
  <si>
    <t>Escalation of Dispute</t>
  </si>
  <si>
    <t>Victims Targeted</t>
  </si>
  <si>
    <t>No</t>
  </si>
  <si>
    <t>20220121GAMCA</t>
  </si>
  <si>
    <t>McNair High School</t>
  </si>
  <si>
    <t>Local</t>
  </si>
  <si>
    <t>Fall</t>
  </si>
  <si>
    <t>Atlanta</t>
  </si>
  <si>
    <t>GA</t>
  </si>
  <si>
    <t>High</t>
  </si>
  <si>
    <t>Parking Lot</t>
  </si>
  <si>
    <t>Outside on School Property</t>
  </si>
  <si>
    <t>Yes</t>
  </si>
  <si>
    <t>Afternoon Classes</t>
  </si>
  <si>
    <t>Shots fired in school parking lot prior to dismissal</t>
  </si>
  <si>
    <t>Drive-by Shooting</t>
  </si>
  <si>
    <t>No</t>
  </si>
  <si>
    <t>20220119DCANW</t>
  </si>
  <si>
    <t>Anacostia High School</t>
  </si>
  <si>
    <t>Local</t>
  </si>
  <si>
    <t>Winter</t>
  </si>
  <si>
    <t>Washington</t>
  </si>
  <si>
    <t>DC</t>
  </si>
  <si>
    <t>High</t>
  </si>
  <si>
    <t>Front of School</t>
  </si>
  <si>
    <t>Outside on School Property</t>
  </si>
  <si>
    <t>No</t>
  </si>
  <si>
    <t>After School</t>
  </si>
  <si>
    <t>Two shots stuck the front door of the school</t>
  </si>
  <si>
    <t>Victims Targeted</t>
  </si>
  <si>
    <t>No</t>
  </si>
  <si>
    <t>20220119VAMAP</t>
  </si>
  <si>
    <t>Manor High School</t>
  </si>
  <si>
    <t>Local</t>
  </si>
  <si>
    <t>Winter</t>
  </si>
  <si>
    <t>Portsmouth</t>
  </si>
  <si>
    <t>VA</t>
  </si>
  <si>
    <t>High</t>
  </si>
  <si>
    <t>Parking Lot</t>
  </si>
  <si>
    <t>Outside on School Property</t>
  </si>
  <si>
    <t>Yes</t>
  </si>
  <si>
    <t>Dismissal</t>
  </si>
  <si>
    <t>Student fatally shot behind school after dismissal</t>
  </si>
  <si>
    <t>Victims Targeted</t>
  </si>
  <si>
    <t>Yes</t>
  </si>
  <si>
    <t>No</t>
  </si>
  <si>
    <t>20220119PAPIP</t>
  </si>
  <si>
    <t>Pittsburgh Oliver Citywide Academy</t>
  </si>
  <si>
    <t>Regional</t>
  </si>
  <si>
    <t>Winter</t>
  </si>
  <si>
    <t>Pittsburgh</t>
  </si>
  <si>
    <t>PA</t>
  </si>
  <si>
    <t>K-12</t>
  </si>
  <si>
    <t>Front of School</t>
  </si>
  <si>
    <t>Outside on School Property</t>
  </si>
  <si>
    <t>Yes</t>
  </si>
  <si>
    <t>Dismissal</t>
  </si>
  <si>
    <t>Special education student sitting in school van at dismissal shot by 2 gunmen</t>
  </si>
  <si>
    <t>Victims Targeted</t>
  </si>
  <si>
    <t>Yes</t>
  </si>
  <si>
    <t>No</t>
  </si>
  <si>
    <t>20220119FLSES</t>
  </si>
  <si>
    <t>Seminole High School</t>
  </si>
  <si>
    <t>Regional</t>
  </si>
  <si>
    <t>Winter</t>
  </si>
  <si>
    <t>Sanford</t>
  </si>
  <si>
    <t>FL</t>
  </si>
  <si>
    <t>High</t>
  </si>
  <si>
    <t>Bathroom</t>
  </si>
  <si>
    <t>Inside School Building</t>
  </si>
  <si>
    <t>Yes</t>
  </si>
  <si>
    <t>Lunch</t>
  </si>
  <si>
    <t>Student shot 3 times inside school, shooter fled</t>
  </si>
  <si>
    <t>Domestic w/ Targeted Victim</t>
  </si>
  <si>
    <t>Victims Targeted</t>
  </si>
  <si>
    <t>No</t>
  </si>
  <si>
    <t>Yes</t>
  </si>
  <si>
    <t>No</t>
  </si>
  <si>
    <t>20220117TXPYH</t>
  </si>
  <si>
    <t>Pyburn Elementary School</t>
  </si>
  <si>
    <t>Local</t>
  </si>
  <si>
    <t>Winter</t>
  </si>
  <si>
    <t>Houston</t>
  </si>
  <si>
    <t>TX</t>
  </si>
  <si>
    <t>Elementary</t>
  </si>
  <si>
    <t>Parking Lot</t>
  </si>
  <si>
    <t>Outside on School Property</t>
  </si>
  <si>
    <t>No</t>
  </si>
  <si>
    <t>Night</t>
  </si>
  <si>
    <t>Man and woman fatally shot during robbery</t>
  </si>
  <si>
    <t>Illegal Activity</t>
  </si>
  <si>
    <t>Victims Targeted</t>
  </si>
  <si>
    <t>Yes</t>
  </si>
  <si>
    <t>No</t>
  </si>
  <si>
    <t>20220114MDGAG</t>
  </si>
  <si>
    <t>Gaithersburg High School</t>
  </si>
  <si>
    <t>Local</t>
  </si>
  <si>
    <t>Winter</t>
  </si>
  <si>
    <t>Gaithersburg</t>
  </si>
  <si>
    <t>MD</t>
  </si>
  <si>
    <t>High</t>
  </si>
  <si>
    <t>Parking Lot</t>
  </si>
  <si>
    <t>Outside on School Property</t>
  </si>
  <si>
    <t>Yes</t>
  </si>
  <si>
    <t>School Start</t>
  </si>
  <si>
    <t>Man arrested with loaded AR-15 outside of school</t>
  </si>
  <si>
    <t>Illegal Activity</t>
  </si>
  <si>
    <t>No</t>
  </si>
  <si>
    <t>20220111NMVAA</t>
  </si>
  <si>
    <t>Valley High School</t>
  </si>
  <si>
    <t>Local</t>
  </si>
  <si>
    <t>Fall</t>
  </si>
  <si>
    <t>Albuquerque</t>
  </si>
  <si>
    <t>NM</t>
  </si>
  <si>
    <t>High</t>
  </si>
  <si>
    <t>Parking Lot</t>
  </si>
  <si>
    <t>Outside on School Property</t>
  </si>
  <si>
    <t>No</t>
  </si>
  <si>
    <t>Sport Event</t>
  </si>
  <si>
    <t>15 shots fired in parking lot during high school basketball game</t>
  </si>
  <si>
    <t>No</t>
  </si>
  <si>
    <t>20220106CAFLS</t>
  </si>
  <si>
    <t>Florin High School</t>
  </si>
  <si>
    <t>Regional</t>
  </si>
  <si>
    <t>Winter</t>
  </si>
  <si>
    <t>Sacramento</t>
  </si>
  <si>
    <t>CA</t>
  </si>
  <si>
    <t>High</t>
  </si>
  <si>
    <t>Field (General)</t>
  </si>
  <si>
    <t>Outside on School Property</t>
  </si>
  <si>
    <t>No</t>
  </si>
  <si>
    <t>After School</t>
  </si>
  <si>
    <t>Two students shot at the back gate to the school campus</t>
  </si>
  <si>
    <t>Escalation of Dispute</t>
  </si>
  <si>
    <t>Both</t>
  </si>
  <si>
    <t>No</t>
  </si>
  <si>
    <t>20220104ILAUR</t>
  </si>
  <si>
    <t>Auburn High School</t>
  </si>
  <si>
    <t>National</t>
  </si>
  <si>
    <t>Winter</t>
  </si>
  <si>
    <t>Rockford</t>
  </si>
  <si>
    <t>IL</t>
  </si>
  <si>
    <t>High</t>
  </si>
  <si>
    <t>Parking Lot</t>
  </si>
  <si>
    <t>Outside on School Property</t>
  </si>
  <si>
    <t>Yes</t>
  </si>
  <si>
    <t>Afternoon Classes</t>
  </si>
  <si>
    <t>Two student shot inside vehicle in school parking lot by 2 other students</t>
  </si>
  <si>
    <t>Victims Targeted</t>
  </si>
  <si>
    <t>Yes</t>
  </si>
  <si>
    <t>No</t>
  </si>
  <si>
    <t>20220103WACHP</t>
  </si>
  <si>
    <t>Childpeace Montessori School</t>
  </si>
  <si>
    <t>Local</t>
  </si>
  <si>
    <t>Winter</t>
  </si>
  <si>
    <t>Portland</t>
  </si>
  <si>
    <t>OR</t>
  </si>
  <si>
    <t>K-8</t>
  </si>
  <si>
    <t>Front of School</t>
  </si>
  <si>
    <t>Off School Property</t>
  </si>
  <si>
    <t>Yes</t>
  </si>
  <si>
    <t>Afternoon Classes</t>
  </si>
  <si>
    <t>Shots fired from a vehicle in front of the school</t>
  </si>
  <si>
    <t>Drive-by Shooting</t>
  </si>
  <si>
    <t>Random Shooting</t>
  </si>
  <si>
    <t>No</t>
  </si>
  <si>
    <t>20220103OHCOC</t>
  </si>
  <si>
    <t>Columbus School Bus</t>
  </si>
  <si>
    <t>Local</t>
  </si>
  <si>
    <t>Winter</t>
  </si>
  <si>
    <t>Columbus</t>
  </si>
  <si>
    <t>OH</t>
  </si>
  <si>
    <t>School Bus</t>
  </si>
  <si>
    <t>Yes</t>
  </si>
  <si>
    <t>Before School</t>
  </si>
  <si>
    <t>School bus struck by bullet while driving</t>
  </si>
  <si>
    <t>No</t>
  </si>
  <si>
    <t>20211229NCCAS</t>
  </si>
  <si>
    <t>Catawba College (high school tournament)</t>
  </si>
  <si>
    <t>Regional</t>
  </si>
  <si>
    <t>Winter</t>
  </si>
  <si>
    <t>Salisbury</t>
  </si>
  <si>
    <t>NC</t>
  </si>
  <si>
    <t>High</t>
  </si>
  <si>
    <t>Gym</t>
  </si>
  <si>
    <t>Inside School Building</t>
  </si>
  <si>
    <t>No</t>
  </si>
  <si>
    <t>Sport Event</t>
  </si>
  <si>
    <t>Two teens shot during fight in entryway to gym</t>
  </si>
  <si>
    <t>Escalation of Dispute</t>
  </si>
  <si>
    <t>Victims Targeted</t>
  </si>
  <si>
    <t>Yes</t>
  </si>
  <si>
    <t>No</t>
  </si>
  <si>
    <t>20211217TXWOD</t>
  </si>
  <si>
    <t>Woodrow Wilson Junior High</t>
  </si>
  <si>
    <t>National</t>
  </si>
  <si>
    <t>Fall</t>
  </si>
  <si>
    <t>Dayton</t>
  </si>
  <si>
    <t>TX</t>
  </si>
  <si>
    <t>High</t>
  </si>
  <si>
    <t>School Bus</t>
  </si>
  <si>
    <t>Yes</t>
  </si>
  <si>
    <t>Dismissal</t>
  </si>
  <si>
    <t>Student in vehicle pointed BB rifle at school bus causing panic aboard</t>
  </si>
  <si>
    <t>Drive-by Shooting</t>
  </si>
  <si>
    <t>Neither</t>
  </si>
  <si>
    <t>Yes</t>
  </si>
  <si>
    <t>No</t>
  </si>
  <si>
    <t>20211216SCEAC</t>
  </si>
  <si>
    <t>Eau Claire High School</t>
  </si>
  <si>
    <t>Local</t>
  </si>
  <si>
    <t>Winter</t>
  </si>
  <si>
    <t>Columbia</t>
  </si>
  <si>
    <t>SC</t>
  </si>
  <si>
    <t>High</t>
  </si>
  <si>
    <t>Parking Lot</t>
  </si>
  <si>
    <t>Outside on School Property</t>
  </si>
  <si>
    <t>Yes</t>
  </si>
  <si>
    <t>Dismissal</t>
  </si>
  <si>
    <t>Student fired shots during dismissal then fled</t>
  </si>
  <si>
    <t>Escalation of Dispute</t>
  </si>
  <si>
    <t>Victims Targeted</t>
  </si>
  <si>
    <t>No</t>
  </si>
  <si>
    <t>20211216NYPSB</t>
  </si>
  <si>
    <t>P.S. 026 Jesse Owens</t>
  </si>
  <si>
    <t>Local</t>
  </si>
  <si>
    <t>Winter</t>
  </si>
  <si>
    <t>Brooklyn</t>
  </si>
  <si>
    <t>NY</t>
  </si>
  <si>
    <t>Elementary</t>
  </si>
  <si>
    <t>Front of School</t>
  </si>
  <si>
    <t>Outside on School Property</t>
  </si>
  <si>
    <t>Yes</t>
  </si>
  <si>
    <t>Morning Classes</t>
  </si>
  <si>
    <t>Shots fired in front of school</t>
  </si>
  <si>
    <t>No</t>
  </si>
  <si>
    <t>20211214WISOM</t>
  </si>
  <si>
    <t>South Division High School</t>
  </si>
  <si>
    <t>Local</t>
  </si>
  <si>
    <t>Winter</t>
  </si>
  <si>
    <t>Milwaukee</t>
  </si>
  <si>
    <t>WI</t>
  </si>
  <si>
    <t>High</t>
  </si>
  <si>
    <t>Front of School</t>
  </si>
  <si>
    <t>Outside on School Property</t>
  </si>
  <si>
    <t>Yes</t>
  </si>
  <si>
    <t>Lunch</t>
  </si>
  <si>
    <t>Student fired shots into the air by the front door of the school</t>
  </si>
  <si>
    <t>Escalation of Dispute</t>
  </si>
  <si>
    <t>Neither</t>
  </si>
  <si>
    <t>No</t>
  </si>
  <si>
    <t>20211214VAMEN</t>
  </si>
  <si>
    <t>Menchville High School</t>
  </si>
  <si>
    <t>Regional</t>
  </si>
  <si>
    <t>Winter</t>
  </si>
  <si>
    <t>Newport News</t>
  </si>
  <si>
    <t>VA</t>
  </si>
  <si>
    <t>High</t>
  </si>
  <si>
    <t>Parking Lot</t>
  </si>
  <si>
    <t>Outside on School Property</t>
  </si>
  <si>
    <t>No</t>
  </si>
  <si>
    <t>Sport Event</t>
  </si>
  <si>
    <t>Student fatally shot in school parking lot during basketball game</t>
  </si>
  <si>
    <t>Escalation of Dispute</t>
  </si>
  <si>
    <t>Victims Targeted</t>
  </si>
  <si>
    <t>Yes</t>
  </si>
  <si>
    <t>No</t>
  </si>
  <si>
    <t>20211213NCWEC</t>
  </si>
  <si>
    <t>West Charlotte High School</t>
  </si>
  <si>
    <t>Regional</t>
  </si>
  <si>
    <t>Winter</t>
  </si>
  <si>
    <t>Charlotte</t>
  </si>
  <si>
    <t>NC</t>
  </si>
  <si>
    <t>High</t>
  </si>
  <si>
    <t>Parking Lot</t>
  </si>
  <si>
    <t>Outside on School Property</t>
  </si>
  <si>
    <t>Yes</t>
  </si>
  <si>
    <t>Dismissal</t>
  </si>
  <si>
    <t>Shot fired during fight at dismissal</t>
  </si>
  <si>
    <t>Escalation of Dispute</t>
  </si>
  <si>
    <t>Victims Targeted</t>
  </si>
  <si>
    <t>No</t>
  </si>
  <si>
    <t>20211213FLEAO</t>
  </si>
  <si>
    <t>East River High School</t>
  </si>
  <si>
    <t>Regional</t>
  </si>
  <si>
    <t>Winter</t>
  </si>
  <si>
    <t>Orlando</t>
  </si>
  <si>
    <t>FL</t>
  </si>
  <si>
    <t>High</t>
  </si>
  <si>
    <t>Parking Lot</t>
  </si>
  <si>
    <t>Outside on School Property</t>
  </si>
  <si>
    <t>Yes</t>
  </si>
  <si>
    <t>Dismissal</t>
  </si>
  <si>
    <t>Shot fired in the school parking lot during dismissal</t>
  </si>
  <si>
    <t>No</t>
  </si>
  <si>
    <t>20211212NYSCR</t>
  </si>
  <si>
    <t>School No. 17</t>
  </si>
  <si>
    <t>Local</t>
  </si>
  <si>
    <t>Winter</t>
  </si>
  <si>
    <t>Rochester</t>
  </si>
  <si>
    <t>NY</t>
  </si>
  <si>
    <t>K-8</t>
  </si>
  <si>
    <t>Playground</t>
  </si>
  <si>
    <t>Outside on School Property</t>
  </si>
  <si>
    <t>No</t>
  </si>
  <si>
    <t>Evening</t>
  </si>
  <si>
    <t>Adult male fatally shot during dispute on school playground</t>
  </si>
  <si>
    <t>Escalation of Dispute</t>
  </si>
  <si>
    <t>Victims Targeted</t>
  </si>
  <si>
    <t>No</t>
  </si>
  <si>
    <t>20211211GAJOG</t>
  </si>
  <si>
    <t>Jones County High School</t>
  </si>
  <si>
    <t>Local</t>
  </si>
  <si>
    <t>Winter</t>
  </si>
  <si>
    <t>Gray</t>
  </si>
  <si>
    <t>GA</t>
  </si>
  <si>
    <t>High</t>
  </si>
  <si>
    <t>Gym</t>
  </si>
  <si>
    <t>Inside School Building</t>
  </si>
  <si>
    <t>No</t>
  </si>
  <si>
    <t>Sport Event</t>
  </si>
  <si>
    <t>Shot fired in the gym during high school basketball game</t>
  </si>
  <si>
    <t>Escalation of Dispute</t>
  </si>
  <si>
    <t>Victims Targeted</t>
  </si>
  <si>
    <t>Yes</t>
  </si>
  <si>
    <t>No</t>
  </si>
  <si>
    <t>20211211FLEDL</t>
  </si>
  <si>
    <t>Edward A. Upthegrove Elementary School</t>
  </si>
  <si>
    <t>Local</t>
  </si>
  <si>
    <t>Winter</t>
  </si>
  <si>
    <t>LaBelle</t>
  </si>
  <si>
    <t>FL</t>
  </si>
  <si>
    <t>Elementary</t>
  </si>
  <si>
    <t>Gym</t>
  </si>
  <si>
    <t>Inside School Building</t>
  </si>
  <si>
    <t>No</t>
  </si>
  <si>
    <t>Sport Event</t>
  </si>
  <si>
    <t>Shots fired in the school gym during youth basketball game</t>
  </si>
  <si>
    <t>Victims Targeted</t>
  </si>
  <si>
    <t>No</t>
  </si>
  <si>
    <t>20211210OHCAC</t>
  </si>
  <si>
    <t>Canal Winchester High School</t>
  </si>
  <si>
    <t>Local</t>
  </si>
  <si>
    <t>Winter</t>
  </si>
  <si>
    <t>Canal Winchester</t>
  </si>
  <si>
    <t>OH</t>
  </si>
  <si>
    <t>High</t>
  </si>
  <si>
    <t>Field (General)</t>
  </si>
  <si>
    <t>Outside on School Property</t>
  </si>
  <si>
    <t>No</t>
  </si>
  <si>
    <t>Before School</t>
  </si>
  <si>
    <t>Man fired shots at officers and fled across campus</t>
  </si>
  <si>
    <t>Illegal Activity</t>
  </si>
  <si>
    <t>Random Shooting</t>
  </si>
  <si>
    <t>No</t>
  </si>
  <si>
    <t>20211210NCJEC</t>
  </si>
  <si>
    <t>Jesse C. Carson High</t>
  </si>
  <si>
    <t>Local</t>
  </si>
  <si>
    <t>Winter</t>
  </si>
  <si>
    <t>China Grove</t>
  </si>
  <si>
    <t>NC</t>
  </si>
  <si>
    <t>High</t>
  </si>
  <si>
    <t>Parking Lot</t>
  </si>
  <si>
    <t>Outside on School Property</t>
  </si>
  <si>
    <t>Yes</t>
  </si>
  <si>
    <t>Afternoon Classes</t>
  </si>
  <si>
    <t>Target shooters struck vehicles in the school parking lot</t>
  </si>
  <si>
    <t>Accidental</t>
  </si>
  <si>
    <t>Neither</t>
  </si>
  <si>
    <t>Yes</t>
  </si>
  <si>
    <t>No</t>
  </si>
  <si>
    <t>20211209NYGRN</t>
  </si>
  <si>
    <t>Greater Oaks Charter School</t>
  </si>
  <si>
    <t>Local</t>
  </si>
  <si>
    <t>Winter</t>
  </si>
  <si>
    <t>New York</t>
  </si>
  <si>
    <t>NY</t>
  </si>
  <si>
    <t>Elementary</t>
  </si>
  <si>
    <t>Front of School</t>
  </si>
  <si>
    <t>Outside on School Property</t>
  </si>
  <si>
    <t>Yes</t>
  </si>
  <si>
    <t>Morning Classes</t>
  </si>
  <si>
    <t>Bullet broke classroom window</t>
  </si>
  <si>
    <t>Escalation of Dispute</t>
  </si>
  <si>
    <t>Victims Targeted</t>
  </si>
  <si>
    <t>No</t>
  </si>
  <si>
    <t>20211208KYSTL</t>
  </si>
  <si>
    <t>St. Matthews Elementary School</t>
  </si>
  <si>
    <t>Local</t>
  </si>
  <si>
    <t>Winter</t>
  </si>
  <si>
    <t>Louisville</t>
  </si>
  <si>
    <t>KY</t>
  </si>
  <si>
    <t>Elementary</t>
  </si>
  <si>
    <t>Parking Lot</t>
  </si>
  <si>
    <t>Outside on School Property</t>
  </si>
  <si>
    <t>No</t>
  </si>
  <si>
    <t>Night</t>
  </si>
  <si>
    <t>Person inside a car was shot at several times in school parking lot</t>
  </si>
  <si>
    <t>Victims Targeted</t>
  </si>
  <si>
    <t>No</t>
  </si>
  <si>
    <t>20211208MOEWK</t>
  </si>
  <si>
    <t>Ewing Marion Kauffman School</t>
  </si>
  <si>
    <t>Regional</t>
  </si>
  <si>
    <t>Winter</t>
  </si>
  <si>
    <t>Kansas City</t>
  </si>
  <si>
    <t>MO</t>
  </si>
  <si>
    <t>High</t>
  </si>
  <si>
    <t>Parking Lot</t>
  </si>
  <si>
    <t>Outside on School Property</t>
  </si>
  <si>
    <t>No</t>
  </si>
  <si>
    <t>Sport Event</t>
  </si>
  <si>
    <t>Two teens shot in school parking lot during basketball game</t>
  </si>
  <si>
    <t>No</t>
  </si>
  <si>
    <t>20211207ILHAC</t>
  </si>
  <si>
    <t>Haines Elementary School</t>
  </si>
  <si>
    <t>Local</t>
  </si>
  <si>
    <t>Winter</t>
  </si>
  <si>
    <t>Chicago</t>
  </si>
  <si>
    <t>IL</t>
  </si>
  <si>
    <t>Elementary</t>
  </si>
  <si>
    <t>Front of School</t>
  </si>
  <si>
    <t>Off School Property</t>
  </si>
  <si>
    <t>Yes</t>
  </si>
  <si>
    <t>Lunch</t>
  </si>
  <si>
    <t>Man shot multiple times in front of school</t>
  </si>
  <si>
    <t>Illegal Activity</t>
  </si>
  <si>
    <t>Victims Targeted</t>
  </si>
  <si>
    <t>No</t>
  </si>
  <si>
    <t>20211206CAWIW</t>
  </si>
  <si>
    <t>Wilmington Park Elementary School</t>
  </si>
  <si>
    <t>Regional</t>
  </si>
  <si>
    <t>Winter</t>
  </si>
  <si>
    <t>Wilmington</t>
  </si>
  <si>
    <t>CA</t>
  </si>
  <si>
    <t>Elementary</t>
  </si>
  <si>
    <t>Playground</t>
  </si>
  <si>
    <t>Outside on School Property</t>
  </si>
  <si>
    <t>Yes</t>
  </si>
  <si>
    <t>After School</t>
  </si>
  <si>
    <t>9-year-old girl critically injured by stray shot while on school playground</t>
  </si>
  <si>
    <t>Both</t>
  </si>
  <si>
    <t>Yes</t>
  </si>
  <si>
    <t>No</t>
  </si>
  <si>
    <t>20211206NYSUS</t>
  </si>
  <si>
    <t>Susan E. Wagner High School</t>
  </si>
  <si>
    <t>Regional</t>
  </si>
  <si>
    <t>Winter</t>
  </si>
  <si>
    <t>Staten Island</t>
  </si>
  <si>
    <t>NY</t>
  </si>
  <si>
    <t>High</t>
  </si>
  <si>
    <t>Front of School</t>
  </si>
  <si>
    <t>Outside on School Property</t>
  </si>
  <si>
    <t>Yes</t>
  </si>
  <si>
    <t>Dismissal</t>
  </si>
  <si>
    <t>Student waiting for bus was attacked and pistol whipped by 2 teens</t>
  </si>
  <si>
    <t>Victims Targeted</t>
  </si>
  <si>
    <t>Yes</t>
  </si>
  <si>
    <t>No</t>
  </si>
  <si>
    <t>20211202WAGAS</t>
  </si>
  <si>
    <t>Garfield High School</t>
  </si>
  <si>
    <t>Local</t>
  </si>
  <si>
    <t>Winter</t>
  </si>
  <si>
    <t>Seattle</t>
  </si>
  <si>
    <t>WA</t>
  </si>
  <si>
    <t>High</t>
  </si>
  <si>
    <t>Parking Lot</t>
  </si>
  <si>
    <t>Outside on School Property</t>
  </si>
  <si>
    <t>No</t>
  </si>
  <si>
    <t>After School</t>
  </si>
  <si>
    <t>30 shots fired in school parking lot during basketball practice</t>
  </si>
  <si>
    <t>Both</t>
  </si>
  <si>
    <t>No</t>
  </si>
  <si>
    <t>20211203ARBLB</t>
  </si>
  <si>
    <t>Blytheville High School</t>
  </si>
  <si>
    <t>Local</t>
  </si>
  <si>
    <t>Winter</t>
  </si>
  <si>
    <t>Blytheville</t>
  </si>
  <si>
    <t>AR</t>
  </si>
  <si>
    <t>High</t>
  </si>
  <si>
    <t>Parking Lot</t>
  </si>
  <si>
    <t>Outside on School Property</t>
  </si>
  <si>
    <t>No</t>
  </si>
  <si>
    <t>Night</t>
  </si>
  <si>
    <t>Teen fired multiple shots at person inside vehicle in the parking lot</t>
  </si>
  <si>
    <t>Escalation of Dispute</t>
  </si>
  <si>
    <t>Victims Targeted</t>
  </si>
  <si>
    <t>No</t>
  </si>
  <si>
    <t>20211201TXSAP</t>
  </si>
  <si>
    <t>Sam Rayburn High School</t>
  </si>
  <si>
    <t>Local</t>
  </si>
  <si>
    <t>Winter</t>
  </si>
  <si>
    <t>Pasadena</t>
  </si>
  <si>
    <t>TX</t>
  </si>
  <si>
    <t>High</t>
  </si>
  <si>
    <t>Football Field/Track</t>
  </si>
  <si>
    <t>Outside on School Property</t>
  </si>
  <si>
    <t>Yes</t>
  </si>
  <si>
    <t>Morning Classes</t>
  </si>
  <si>
    <t>Adult man robbed student at gunpoint and fired shot on the athletic field</t>
  </si>
  <si>
    <t>Illegal Activity</t>
  </si>
  <si>
    <t>Victims Targeted</t>
  </si>
  <si>
    <t>No</t>
  </si>
  <si>
    <t>20211130MIOXO</t>
  </si>
  <si>
    <t>Oxford High School</t>
  </si>
  <si>
    <t>International</t>
  </si>
  <si>
    <t>Fall</t>
  </si>
  <si>
    <t>Oxford</t>
  </si>
  <si>
    <t>MI</t>
  </si>
  <si>
    <t>High</t>
  </si>
  <si>
    <t>Inside School Building</t>
  </si>
  <si>
    <t>Yes</t>
  </si>
  <si>
    <t>Afternoon Classes</t>
  </si>
  <si>
    <t>11 students shot during planned attack at school</t>
  </si>
  <si>
    <t>Indiscriminate Shooting</t>
  </si>
  <si>
    <t>Both</t>
  </si>
  <si>
    <t>No</t>
  </si>
  <si>
    <t>Yes</t>
  </si>
  <si>
    <t>20211130OHWHW</t>
  </si>
  <si>
    <t>Whitehall Yearling High School</t>
  </si>
  <si>
    <t>Local</t>
  </si>
  <si>
    <t>Fall</t>
  </si>
  <si>
    <t>Whitehall</t>
  </si>
  <si>
    <t>OH</t>
  </si>
  <si>
    <t>High</t>
  </si>
  <si>
    <t>Parking Lot</t>
  </si>
  <si>
    <t>Outside on School Property</t>
  </si>
  <si>
    <t>No</t>
  </si>
  <si>
    <t>Evening</t>
  </si>
  <si>
    <t>Teen shot himself while engaged in horseplay with two other teens</t>
  </si>
  <si>
    <t>Accidental</t>
  </si>
  <si>
    <t>Neither</t>
  </si>
  <si>
    <t>Yes</t>
  </si>
  <si>
    <t>No</t>
  </si>
  <si>
    <t>20211130CALOL</t>
  </si>
  <si>
    <t>Los Angeles School Bus</t>
  </si>
  <si>
    <t>Local</t>
  </si>
  <si>
    <t>Fall</t>
  </si>
  <si>
    <t>Los Angeles</t>
  </si>
  <si>
    <t>CA</t>
  </si>
  <si>
    <t>School Bus</t>
  </si>
  <si>
    <t>No</t>
  </si>
  <si>
    <t>Evening</t>
  </si>
  <si>
    <t>Back window of school bus shot out while driving</t>
  </si>
  <si>
    <t>Intentional Property Damage</t>
  </si>
  <si>
    <t>Neither</t>
  </si>
  <si>
    <t>No</t>
  </si>
  <si>
    <t>20211130TNHUH</t>
  </si>
  <si>
    <t>Humboldt High School</t>
  </si>
  <si>
    <t>Regional</t>
  </si>
  <si>
    <t>Fall</t>
  </si>
  <si>
    <t>Humboldt</t>
  </si>
  <si>
    <t>TN</t>
  </si>
  <si>
    <t>High</t>
  </si>
  <si>
    <t>Gym</t>
  </si>
  <si>
    <t>Inside School Building</t>
  </si>
  <si>
    <t>No</t>
  </si>
  <si>
    <t>Sport Event</t>
  </si>
  <si>
    <t>3 people shot during high school basketball game</t>
  </si>
  <si>
    <t>Escalation of Dispute</t>
  </si>
  <si>
    <t>Both</t>
  </si>
  <si>
    <t>No</t>
  </si>
  <si>
    <t>20211129ILWER</t>
  </si>
  <si>
    <t>West Middle School</t>
  </si>
  <si>
    <t>Local</t>
  </si>
  <si>
    <t>Fall</t>
  </si>
  <si>
    <t>Rockford</t>
  </si>
  <si>
    <t>IL</t>
  </si>
  <si>
    <t>Middle</t>
  </si>
  <si>
    <t>Beside Building</t>
  </si>
  <si>
    <t>Outside on School Property</t>
  </si>
  <si>
    <t>No</t>
  </si>
  <si>
    <t>After School</t>
  </si>
  <si>
    <t>Shot fired behind the school, 4 teens seen running away</t>
  </si>
  <si>
    <t>No</t>
  </si>
  <si>
    <t>20211129AZCHP</t>
  </si>
  <si>
    <t>Cesar Chavez High School</t>
  </si>
  <si>
    <t>Regional</t>
  </si>
  <si>
    <t>Fall</t>
  </si>
  <si>
    <t>Phoenix</t>
  </si>
  <si>
    <t>AZ</t>
  </si>
  <si>
    <t>High</t>
  </si>
  <si>
    <t>Bathroom</t>
  </si>
  <si>
    <t>Inside School Building</t>
  </si>
  <si>
    <t>Yes</t>
  </si>
  <si>
    <t>Afternoon Classes</t>
  </si>
  <si>
    <t>Student shot during fight in bathroom</t>
  </si>
  <si>
    <t>Escalation of Dispute</t>
  </si>
  <si>
    <t>Victims Targeted</t>
  </si>
  <si>
    <t>No</t>
  </si>
  <si>
    <t>20211126CAWES</t>
  </si>
  <si>
    <t>Westmount High School</t>
  </si>
  <si>
    <t>Regional</t>
  </si>
  <si>
    <t>Fall</t>
  </si>
  <si>
    <t>San Jose</t>
  </si>
  <si>
    <t>CA</t>
  </si>
  <si>
    <t>High</t>
  </si>
  <si>
    <t>Parking Lot</t>
  </si>
  <si>
    <t>Outside on School Property</t>
  </si>
  <si>
    <t>No</t>
  </si>
  <si>
    <t>Sport Event</t>
  </si>
  <si>
    <t>Two men shot in the parking lot during playoff football game, stadium evacuated</t>
  </si>
  <si>
    <t>Escalation of Dispute</t>
  </si>
  <si>
    <t>Victims Targeted</t>
  </si>
  <si>
    <t>No</t>
  </si>
  <si>
    <t>20211124ILTHH</t>
  </si>
  <si>
    <t>Thornton Township High School</t>
  </si>
  <si>
    <t>Local</t>
  </si>
  <si>
    <t>Fall</t>
  </si>
  <si>
    <t>Harvey</t>
  </si>
  <si>
    <t>IL</t>
  </si>
  <si>
    <t>High</t>
  </si>
  <si>
    <t>Front of School</t>
  </si>
  <si>
    <t>Outside on School Property</t>
  </si>
  <si>
    <t>Yes</t>
  </si>
  <si>
    <t>Dismissal</t>
  </si>
  <si>
    <t>Shots fired outside school at dismissal</t>
  </si>
  <si>
    <t>No</t>
  </si>
  <si>
    <t>20211123OHCLC</t>
  </si>
  <si>
    <t>Cleveland School Bus</t>
  </si>
  <si>
    <t>Local</t>
  </si>
  <si>
    <t>Fall</t>
  </si>
  <si>
    <t>Cleveland</t>
  </si>
  <si>
    <t>OH</t>
  </si>
  <si>
    <t>School Bus</t>
  </si>
  <si>
    <t>Yes</t>
  </si>
  <si>
    <t>Before School</t>
  </si>
  <si>
    <t>Man robbed school bus driver at gunpoint</t>
  </si>
  <si>
    <t>Illegal Activity</t>
  </si>
  <si>
    <t>Neither</t>
  </si>
  <si>
    <t>No</t>
  </si>
  <si>
    <t>20211119COHIA</t>
  </si>
  <si>
    <t>Hinkley High School</t>
  </si>
  <si>
    <t>International</t>
  </si>
  <si>
    <t>Fall</t>
  </si>
  <si>
    <t>Aurora</t>
  </si>
  <si>
    <t>CO</t>
  </si>
  <si>
    <t>High</t>
  </si>
  <si>
    <t>Parking Lot</t>
  </si>
  <si>
    <t>Outside on School Property</t>
  </si>
  <si>
    <t>3 students shot in the school parking lot during fight</t>
  </si>
  <si>
    <t>Escalation of Dispute</t>
  </si>
  <si>
    <t>Victims Targeted</t>
  </si>
  <si>
    <t>Yes</t>
  </si>
  <si>
    <t>No</t>
  </si>
  <si>
    <t>20211119MDGIB</t>
  </si>
  <si>
    <t>Gilmor Elementary School</t>
  </si>
  <si>
    <t>Local</t>
  </si>
  <si>
    <t>Fall</t>
  </si>
  <si>
    <t>Baltimore</t>
  </si>
  <si>
    <t>MD</t>
  </si>
  <si>
    <t>Elementary</t>
  </si>
  <si>
    <t>Front of School</t>
  </si>
  <si>
    <t>Outside on School Property</t>
  </si>
  <si>
    <t>No</t>
  </si>
  <si>
    <t>Evening</t>
  </si>
  <si>
    <t>13-year-old girl shot outside of school</t>
  </si>
  <si>
    <t>Victims Targeted</t>
  </si>
  <si>
    <t>No</t>
  </si>
  <si>
    <t>20211116NYPSB</t>
  </si>
  <si>
    <t>P.S. 44</t>
  </si>
  <si>
    <t>Local</t>
  </si>
  <si>
    <t>Fall</t>
  </si>
  <si>
    <t>Bronx</t>
  </si>
  <si>
    <t>NY</t>
  </si>
  <si>
    <t>Elementary</t>
  </si>
  <si>
    <t>Front of School</t>
  </si>
  <si>
    <t>Outside on School Property</t>
  </si>
  <si>
    <t>Yes</t>
  </si>
  <si>
    <t>Dismissal</t>
  </si>
  <si>
    <t>Shots fired outside school at dismissal by adult male</t>
  </si>
  <si>
    <t>Victims Targeted</t>
  </si>
  <si>
    <t>No</t>
  </si>
  <si>
    <t>20211116FLJAJ</t>
  </si>
  <si>
    <t>Jacksonville School Bus</t>
  </si>
  <si>
    <t>Local</t>
  </si>
  <si>
    <t>Fall</t>
  </si>
  <si>
    <t>Jacksonville</t>
  </si>
  <si>
    <t>FL</t>
  </si>
  <si>
    <t>School Bus</t>
  </si>
  <si>
    <t>Yes</t>
  </si>
  <si>
    <t>Evening</t>
  </si>
  <si>
    <t>Occupied school bus struck by bullets</t>
  </si>
  <si>
    <t>Both</t>
  </si>
  <si>
    <t>No</t>
  </si>
  <si>
    <t>20211115NYPOP</t>
  </si>
  <si>
    <t>Poughkeepsie High School</t>
  </si>
  <si>
    <t>Regional</t>
  </si>
  <si>
    <t>Fall</t>
  </si>
  <si>
    <t>Poughkeepsie</t>
  </si>
  <si>
    <t>NY</t>
  </si>
  <si>
    <t>High</t>
  </si>
  <si>
    <t>Front of School</t>
  </si>
  <si>
    <t>Outside on School Property</t>
  </si>
  <si>
    <t>Yes</t>
  </si>
  <si>
    <t>Dismissal</t>
  </si>
  <si>
    <t>Shots fired during fight in front of the school at dismissal</t>
  </si>
  <si>
    <t>Escalation of Dispute</t>
  </si>
  <si>
    <t>Victims Targeted</t>
  </si>
  <si>
    <t>Yes</t>
  </si>
  <si>
    <t>No</t>
  </si>
  <si>
    <t>20211110NYITI</t>
  </si>
  <si>
    <t>Ithaca High School</t>
  </si>
  <si>
    <t>Local</t>
  </si>
  <si>
    <t>Fall</t>
  </si>
  <si>
    <t>Ithaca</t>
  </si>
  <si>
    <t>NY</t>
  </si>
  <si>
    <t>High</t>
  </si>
  <si>
    <t>School Bus</t>
  </si>
  <si>
    <t>No</t>
  </si>
  <si>
    <t>Evening</t>
  </si>
  <si>
    <t>Door of school bus shot, driver not injured</t>
  </si>
  <si>
    <t>No</t>
  </si>
  <si>
    <t>20211109NMMEL</t>
  </si>
  <si>
    <t>Mesilla Valley Leadership Academy</t>
  </si>
  <si>
    <t>Local</t>
  </si>
  <si>
    <t>Fall</t>
  </si>
  <si>
    <t>Las Cruces</t>
  </si>
  <si>
    <t>NM</t>
  </si>
  <si>
    <t>Beside Building</t>
  </si>
  <si>
    <t>Outside on School Property</t>
  </si>
  <si>
    <t>Yes</t>
  </si>
  <si>
    <t>Morning Classes</t>
  </si>
  <si>
    <t>SWAT standoff after man crashed stolen police car into school</t>
  </si>
  <si>
    <t>Hostage/Standoff</t>
  </si>
  <si>
    <t>Neither</t>
  </si>
  <si>
    <t>No</t>
  </si>
  <si>
    <t>20211108NYTHB</t>
  </si>
  <si>
    <t>Theodore Roosevelt High School</t>
  </si>
  <si>
    <t>Local</t>
  </si>
  <si>
    <t>Fall</t>
  </si>
  <si>
    <t>Bronx</t>
  </si>
  <si>
    <t>NY</t>
  </si>
  <si>
    <t>High</t>
  </si>
  <si>
    <t>Front of School</t>
  </si>
  <si>
    <t>Outside on School Property</t>
  </si>
  <si>
    <t>Yes</t>
  </si>
  <si>
    <t>Dismissal</t>
  </si>
  <si>
    <t>Student shot at dismissal on sidewalk in front of school</t>
  </si>
  <si>
    <t>Drive-by Shooting</t>
  </si>
  <si>
    <t>Victims Targeted</t>
  </si>
  <si>
    <t>Yes</t>
  </si>
  <si>
    <t>No</t>
  </si>
  <si>
    <t>20211106FLOVO</t>
  </si>
  <si>
    <t>Oviedo High School</t>
  </si>
  <si>
    <t>Local</t>
  </si>
  <si>
    <t>Fall</t>
  </si>
  <si>
    <t>Oviedo</t>
  </si>
  <si>
    <t>FL</t>
  </si>
  <si>
    <t>High</t>
  </si>
  <si>
    <t>Gym</t>
  </si>
  <si>
    <t>Inside School Building</t>
  </si>
  <si>
    <t>No</t>
  </si>
  <si>
    <t>School Event</t>
  </si>
  <si>
    <t>Student brandish gun during fight at homecoming dance</t>
  </si>
  <si>
    <t>Escalation of Dispute</t>
  </si>
  <si>
    <t>Neither</t>
  </si>
  <si>
    <t>No</t>
  </si>
  <si>
    <t>20211125SCCEP</t>
  </si>
  <si>
    <t>Central High School</t>
  </si>
  <si>
    <t>Local</t>
  </si>
  <si>
    <t>Fall</t>
  </si>
  <si>
    <t>Pageland</t>
  </si>
  <si>
    <t>SC</t>
  </si>
  <si>
    <t>High</t>
  </si>
  <si>
    <t>Outside on School Property</t>
  </si>
  <si>
    <t>No</t>
  </si>
  <si>
    <t>Night</t>
  </si>
  <si>
    <t>Multiple FFA goats and chickens shot</t>
  </si>
  <si>
    <t>No</t>
  </si>
  <si>
    <t>20211102NMHIH</t>
  </si>
  <si>
    <t>Highland Middle School</t>
  </si>
  <si>
    <t>Local</t>
  </si>
  <si>
    <t>Fall</t>
  </si>
  <si>
    <t>Hobbs</t>
  </si>
  <si>
    <t>NM</t>
  </si>
  <si>
    <t>Middle</t>
  </si>
  <si>
    <t>Parking Lot</t>
  </si>
  <si>
    <t>Outside on School Property</t>
  </si>
  <si>
    <t>Yes</t>
  </si>
  <si>
    <t>Dismissal</t>
  </si>
  <si>
    <t>12-year-old and friend shot at students outside the school with BB gun</t>
  </si>
  <si>
    <t>Indiscriminate Shooting</t>
  </si>
  <si>
    <t>Random Shooting</t>
  </si>
  <si>
    <t>Yes</t>
  </si>
  <si>
    <t>No</t>
  </si>
  <si>
    <t>20211030PASTM</t>
  </si>
  <si>
    <t>Sto-Rox High School</t>
  </si>
  <si>
    <t>Regional</t>
  </si>
  <si>
    <t>Fall</t>
  </si>
  <si>
    <t>Stowe</t>
  </si>
  <si>
    <t>PA</t>
  </si>
  <si>
    <t>High</t>
  </si>
  <si>
    <t>Parking Lot</t>
  </si>
  <si>
    <t>Outside on School Property</t>
  </si>
  <si>
    <t>No</t>
  </si>
  <si>
    <t>Sport Event</t>
  </si>
  <si>
    <t>Man shot outside football stadium during dispute over parking</t>
  </si>
  <si>
    <t>Escalation of Dispute</t>
  </si>
  <si>
    <t>Victims Targeted</t>
  </si>
  <si>
    <t>No</t>
  </si>
  <si>
    <t>20211027SCCAS</t>
  </si>
  <si>
    <t>Calhoun County High School</t>
  </si>
  <si>
    <t>Local</t>
  </si>
  <si>
    <t>Fall</t>
  </si>
  <si>
    <t>St. Matthews</t>
  </si>
  <si>
    <t>SC</t>
  </si>
  <si>
    <t>High</t>
  </si>
  <si>
    <t>Parking Lot</t>
  </si>
  <si>
    <t>Outside on School Property</t>
  </si>
  <si>
    <t>No</t>
  </si>
  <si>
    <t>Evening</t>
  </si>
  <si>
    <t>Student fired shots during fight following football game</t>
  </si>
  <si>
    <t>Escalation of Dispute</t>
  </si>
  <si>
    <t>Victims Targeted</t>
  </si>
  <si>
    <t>No</t>
  </si>
  <si>
    <t>20211026ILWIC</t>
  </si>
  <si>
    <t>Jose de Diego Community Academy</t>
  </si>
  <si>
    <t>Local</t>
  </si>
  <si>
    <t>Chicago</t>
  </si>
  <si>
    <t>IL</t>
  </si>
  <si>
    <t>K-12</t>
  </si>
  <si>
    <t>Front of School</t>
  </si>
  <si>
    <t>Outside on School Property</t>
  </si>
  <si>
    <t>No</t>
  </si>
  <si>
    <t>After School</t>
  </si>
  <si>
    <t>Two shots fired during fight between two men</t>
  </si>
  <si>
    <t>Escalation of Dispute</t>
  </si>
  <si>
    <t>Victims Targeted</t>
  </si>
  <si>
    <t>No</t>
  </si>
  <si>
    <t>20211026MSCAN</t>
  </si>
  <si>
    <t>Cathedral School</t>
  </si>
  <si>
    <t>Local</t>
  </si>
  <si>
    <t>Fall</t>
  </si>
  <si>
    <t>Natchez</t>
  </si>
  <si>
    <t>MS</t>
  </si>
  <si>
    <t>K-12</t>
  </si>
  <si>
    <t>Classroom</t>
  </si>
  <si>
    <t>Outside on School Property</t>
  </si>
  <si>
    <t>Yes</t>
  </si>
  <si>
    <t>Morning Classes</t>
  </si>
  <si>
    <t>Shot fired from shotgun broke occupied classroom window</t>
  </si>
  <si>
    <t>Accidental</t>
  </si>
  <si>
    <t>Neither</t>
  </si>
  <si>
    <t>No</t>
  </si>
  <si>
    <t>20211022PAPHP</t>
  </si>
  <si>
    <t>Philadelphia Learning Academy South</t>
  </si>
  <si>
    <t>Local</t>
  </si>
  <si>
    <t>Fall</t>
  </si>
  <si>
    <t>Philadelphia</t>
  </si>
  <si>
    <t>PA</t>
  </si>
  <si>
    <t>High</t>
  </si>
  <si>
    <t>Gym</t>
  </si>
  <si>
    <t>Inside School Building</t>
  </si>
  <si>
    <t>Yes</t>
  </si>
  <si>
    <t>Afternoon Classes</t>
  </si>
  <si>
    <t>Student shot himself in the leg in the gym</t>
  </si>
  <si>
    <t>Accidental</t>
  </si>
  <si>
    <t>Neither</t>
  </si>
  <si>
    <t>Yes</t>
  </si>
  <si>
    <t>No</t>
  </si>
  <si>
    <t>20211021NYPSB</t>
  </si>
  <si>
    <t>P. S. 65 Mother Hale Academy</t>
  </si>
  <si>
    <t>Local</t>
  </si>
  <si>
    <t>Fall</t>
  </si>
  <si>
    <t>Bronx</t>
  </si>
  <si>
    <t>NY</t>
  </si>
  <si>
    <t>Elementary</t>
  </si>
  <si>
    <t>Beside Building</t>
  </si>
  <si>
    <t>Outside on School Property</t>
  </si>
  <si>
    <t>Yes</t>
  </si>
  <si>
    <t>Dismissal</t>
  </si>
  <si>
    <t>Shot fired during argument between two men</t>
  </si>
  <si>
    <t>Escalation of Dispute</t>
  </si>
  <si>
    <t>Victims Targeted</t>
  </si>
  <si>
    <t>No</t>
  </si>
  <si>
    <t>20211021GABES</t>
  </si>
  <si>
    <t>Bethesda Academy</t>
  </si>
  <si>
    <t>Local</t>
  </si>
  <si>
    <t>Fall</t>
  </si>
  <si>
    <t>Savannah</t>
  </si>
  <si>
    <t>GA</t>
  </si>
  <si>
    <t>6-12</t>
  </si>
  <si>
    <t>Parking Lot</t>
  </si>
  <si>
    <t>Outside on School Property</t>
  </si>
  <si>
    <t>No</t>
  </si>
  <si>
    <t>Evening</t>
  </si>
  <si>
    <t>Man fired shots at occupied vehicles in the school parking lot</t>
  </si>
  <si>
    <t>Indiscriminate Shooting</t>
  </si>
  <si>
    <t>Random Shooting</t>
  </si>
  <si>
    <t>No</t>
  </si>
  <si>
    <t>Yes</t>
  </si>
  <si>
    <t>20211018PALIP</t>
  </si>
  <si>
    <t>Lincoln High School</t>
  </si>
  <si>
    <t>Local</t>
  </si>
  <si>
    <t>Fall</t>
  </si>
  <si>
    <t>Philadelphia</t>
  </si>
  <si>
    <t>PA</t>
  </si>
  <si>
    <t>High</t>
  </si>
  <si>
    <t>Field (General)</t>
  </si>
  <si>
    <t>Outside on School Property</t>
  </si>
  <si>
    <t>Yes</t>
  </si>
  <si>
    <t>Dismissal</t>
  </si>
  <si>
    <t>Brother of student fired 15 shots at group of students during fight</t>
  </si>
  <si>
    <t>Escalation of Dispute</t>
  </si>
  <si>
    <t>Both</t>
  </si>
  <si>
    <t>No</t>
  </si>
  <si>
    <t>20211017ARROR</t>
  </si>
  <si>
    <t>Rogers High School</t>
  </si>
  <si>
    <t>Local</t>
  </si>
  <si>
    <t>Rogers</t>
  </si>
  <si>
    <t>AR</t>
  </si>
  <si>
    <t>High</t>
  </si>
  <si>
    <t>Football Field/Track</t>
  </si>
  <si>
    <t>Outside on School Property</t>
  </si>
  <si>
    <t>No</t>
  </si>
  <si>
    <t>Evening</t>
  </si>
  <si>
    <t>Man fired 16 shots at stadium press box</t>
  </si>
  <si>
    <t>Intentional Property Damage</t>
  </si>
  <si>
    <t>Neither</t>
  </si>
  <si>
    <t>No</t>
  </si>
  <si>
    <t>20211015CAKEF</t>
  </si>
  <si>
    <t>Kepler Community School</t>
  </si>
  <si>
    <t>Local</t>
  </si>
  <si>
    <t>Fall</t>
  </si>
  <si>
    <t>Fresno</t>
  </si>
  <si>
    <t>CA</t>
  </si>
  <si>
    <t>Elementary</t>
  </si>
  <si>
    <t>Playground</t>
  </si>
  <si>
    <t>Outside on School Property</t>
  </si>
  <si>
    <t>Yes</t>
  </si>
  <si>
    <t>Morning Classes</t>
  </si>
  <si>
    <t>Gym teacher talked down man with gun on school playground</t>
  </si>
  <si>
    <t>Hostage/Standoff</t>
  </si>
  <si>
    <t>Neither</t>
  </si>
  <si>
    <t>No</t>
  </si>
  <si>
    <t>20211015ALWIM</t>
  </si>
  <si>
    <t>Williamson High School</t>
  </si>
  <si>
    <t>International</t>
  </si>
  <si>
    <t>Mobile</t>
  </si>
  <si>
    <t>AL</t>
  </si>
  <si>
    <t>6-12</t>
  </si>
  <si>
    <t>Football Field/Track</t>
  </si>
  <si>
    <t>Outside on School Property</t>
  </si>
  <si>
    <t>No</t>
  </si>
  <si>
    <t>Sport Event</t>
  </si>
  <si>
    <t>4 shot inside the football stadium during game</t>
  </si>
  <si>
    <t>Both</t>
  </si>
  <si>
    <t>Yes</t>
  </si>
  <si>
    <t>No</t>
  </si>
  <si>
    <t>20211014MEREP</t>
  </si>
  <si>
    <t>Reiche Community School</t>
  </si>
  <si>
    <t>Local</t>
  </si>
  <si>
    <t>Fall</t>
  </si>
  <si>
    <t>Portland</t>
  </si>
  <si>
    <t>ME</t>
  </si>
  <si>
    <t>Elementary</t>
  </si>
  <si>
    <t>Playground</t>
  </si>
  <si>
    <t>Outside on School Property</t>
  </si>
  <si>
    <t>No</t>
  </si>
  <si>
    <t>Night</t>
  </si>
  <si>
    <t>Person shot on the school playground</t>
  </si>
  <si>
    <t>Victims Targeted</t>
  </si>
  <si>
    <t>No</t>
  </si>
  <si>
    <t>20211013PACHD</t>
  </si>
  <si>
    <t>Charles Kelly Elementary</t>
  </si>
  <si>
    <t>Local</t>
  </si>
  <si>
    <t>Fall</t>
  </si>
  <si>
    <t>Drexel Hill</t>
  </si>
  <si>
    <t>PA</t>
  </si>
  <si>
    <t>Elementary</t>
  </si>
  <si>
    <t>School Bus</t>
  </si>
  <si>
    <t>Yes</t>
  </si>
  <si>
    <t>School Start</t>
  </si>
  <si>
    <t>Two students shot 4 classmates with pellet gun</t>
  </si>
  <si>
    <t>Indiscriminate Shooting</t>
  </si>
  <si>
    <t>Both</t>
  </si>
  <si>
    <t>Yes</t>
  </si>
  <si>
    <t>No</t>
  </si>
  <si>
    <t>20211013ILMCC</t>
  </si>
  <si>
    <t>McDade Classical Elementary School</t>
  </si>
  <si>
    <t>Local</t>
  </si>
  <si>
    <t>Fall</t>
  </si>
  <si>
    <t>Chicago</t>
  </si>
  <si>
    <t>IL</t>
  </si>
  <si>
    <t>Elementary</t>
  </si>
  <si>
    <t>Front of School</t>
  </si>
  <si>
    <t>Outside on School Property</t>
  </si>
  <si>
    <t>Yes</t>
  </si>
  <si>
    <t>School Start</t>
  </si>
  <si>
    <t>28 shots fired from a vehicle, multiple bullets hit school building</t>
  </si>
  <si>
    <t>Drive-by Shooting</t>
  </si>
  <si>
    <t>Random Shooting</t>
  </si>
  <si>
    <t>No</t>
  </si>
  <si>
    <t>20211012MIELK</t>
  </si>
  <si>
    <t>El Sol Academy</t>
  </si>
  <si>
    <t>Local</t>
  </si>
  <si>
    <t>Fall</t>
  </si>
  <si>
    <t>Kalamazoo</t>
  </si>
  <si>
    <t>MI</t>
  </si>
  <si>
    <t>Elementary</t>
  </si>
  <si>
    <t>Parking Lot</t>
  </si>
  <si>
    <t>Outside on School Property</t>
  </si>
  <si>
    <t>No</t>
  </si>
  <si>
    <t>After School</t>
  </si>
  <si>
    <t>Group of teens was shot by a masked gunman</t>
  </si>
  <si>
    <t>Victims Targeted</t>
  </si>
  <si>
    <t>No</t>
  </si>
  <si>
    <t>20211012OKUNT</t>
  </si>
  <si>
    <t>Union High School</t>
  </si>
  <si>
    <t>Local</t>
  </si>
  <si>
    <t>Fall</t>
  </si>
  <si>
    <t>Tulsa</t>
  </si>
  <si>
    <t>OK</t>
  </si>
  <si>
    <t>High</t>
  </si>
  <si>
    <t>Front of School</t>
  </si>
  <si>
    <t>Outside on School Property</t>
  </si>
  <si>
    <t>Yes</t>
  </si>
  <si>
    <t>Dismissal</t>
  </si>
  <si>
    <t>Student fired plastic projectile gun at group of students and staff waiting for the buses</t>
  </si>
  <si>
    <t>Drive-by Shooting</t>
  </si>
  <si>
    <t>Random Shooting</t>
  </si>
  <si>
    <t>Yes</t>
  </si>
  <si>
    <t>No</t>
  </si>
  <si>
    <t>20211012ILWEC</t>
  </si>
  <si>
    <t>Wendell Phillips Academy High School</t>
  </si>
  <si>
    <t>Regional</t>
  </si>
  <si>
    <t>Fall</t>
  </si>
  <si>
    <t>Chicago</t>
  </si>
  <si>
    <t>IL</t>
  </si>
  <si>
    <t>High</t>
  </si>
  <si>
    <t>Entryway</t>
  </si>
  <si>
    <t>Outside on School Property</t>
  </si>
  <si>
    <t>Yes</t>
  </si>
  <si>
    <t>Dismissal</t>
  </si>
  <si>
    <t>SRO and student shot multiple times when they exited school at dismissal</t>
  </si>
  <si>
    <t>Both</t>
  </si>
  <si>
    <t>No</t>
  </si>
  <si>
    <t>20211012ARLIL</t>
  </si>
  <si>
    <t>Little Rock Central High School</t>
  </si>
  <si>
    <t>Local</t>
  </si>
  <si>
    <t>Fall</t>
  </si>
  <si>
    <t>Little Rock</t>
  </si>
  <si>
    <t>AR</t>
  </si>
  <si>
    <t>High</t>
  </si>
  <si>
    <t>Front of School</t>
  </si>
  <si>
    <t>Outside on School Property</t>
  </si>
  <si>
    <t>Yes</t>
  </si>
  <si>
    <t>Morning Classes</t>
  </si>
  <si>
    <t>Multiple bullets struck school and broke an occupied classroom window</t>
  </si>
  <si>
    <t>Drive-by Shooting</t>
  </si>
  <si>
    <t>Random Shooting</t>
  </si>
  <si>
    <t>No</t>
  </si>
  <si>
    <t>20211011ORROP</t>
  </si>
  <si>
    <t>Rosemary Anderson High School</t>
  </si>
  <si>
    <t>Local</t>
  </si>
  <si>
    <t>Fall</t>
  </si>
  <si>
    <t>Portland</t>
  </si>
  <si>
    <t>OR</t>
  </si>
  <si>
    <t>High</t>
  </si>
  <si>
    <t>Off School Property</t>
  </si>
  <si>
    <t>Yes</t>
  </si>
  <si>
    <t>Morning Classes</t>
  </si>
  <si>
    <t>Teen student was shot at shopping center, to school for assistance</t>
  </si>
  <si>
    <t>No</t>
  </si>
  <si>
    <t>20211008OKCOC</t>
  </si>
  <si>
    <t>Comanche Middle School</t>
  </si>
  <si>
    <t>Local</t>
  </si>
  <si>
    <t>Fall</t>
  </si>
  <si>
    <t>Comanche</t>
  </si>
  <si>
    <t>OK</t>
  </si>
  <si>
    <t>Middle</t>
  </si>
  <si>
    <t>Cafeteria</t>
  </si>
  <si>
    <t>Outside on School Property</t>
  </si>
  <si>
    <t>No</t>
  </si>
  <si>
    <t>After School</t>
  </si>
  <si>
    <t>Student shot out glass door to cafeteria, staff member was inside</t>
  </si>
  <si>
    <t>Random Shooting</t>
  </si>
  <si>
    <t>No</t>
  </si>
  <si>
    <t>20211007NCEAD</t>
  </si>
  <si>
    <t>Eastway Elementary School</t>
  </si>
  <si>
    <t>Regional</t>
  </si>
  <si>
    <t>Fall</t>
  </si>
  <si>
    <t>Durham</t>
  </si>
  <si>
    <t>NC</t>
  </si>
  <si>
    <t>Elementary</t>
  </si>
  <si>
    <t>Parking Lot</t>
  </si>
  <si>
    <t>Outside on School Property</t>
  </si>
  <si>
    <t>No</t>
  </si>
  <si>
    <t>After School</t>
  </si>
  <si>
    <t>Man found dead in vehicle in the school parking lot</t>
  </si>
  <si>
    <t>Suicide/Attempted</t>
  </si>
  <si>
    <t>Victims Targeted</t>
  </si>
  <si>
    <t>No</t>
  </si>
  <si>
    <t>20211007PAANP</t>
  </si>
  <si>
    <t>Antonia Pantoja Charter School</t>
  </si>
  <si>
    <t>Local</t>
  </si>
  <si>
    <t>Fall</t>
  </si>
  <si>
    <t>Philadelphia</t>
  </si>
  <si>
    <t>PA</t>
  </si>
  <si>
    <t>K-8</t>
  </si>
  <si>
    <t>Cafeteria</t>
  </si>
  <si>
    <t>Both Inside/Outside</t>
  </si>
  <si>
    <t>No</t>
  </si>
  <si>
    <t>Night</t>
  </si>
  <si>
    <t>Multiple shots broke windows of the cafeteria, bullets found inside</t>
  </si>
  <si>
    <t>Intentional Property Damage</t>
  </si>
  <si>
    <t>Neither</t>
  </si>
  <si>
    <t>No</t>
  </si>
  <si>
    <t>20211007TXEAW</t>
  </si>
  <si>
    <t>East Chambers High School</t>
  </si>
  <si>
    <t>Local</t>
  </si>
  <si>
    <t>Fall</t>
  </si>
  <si>
    <t>Winnie</t>
  </si>
  <si>
    <t>TX</t>
  </si>
  <si>
    <t>High</t>
  </si>
  <si>
    <t>Football Field/Track</t>
  </si>
  <si>
    <t>Outside on School Property</t>
  </si>
  <si>
    <t>No</t>
  </si>
  <si>
    <t>Sport Event</t>
  </si>
  <si>
    <t>Teen girl hit by stray bullet</t>
  </si>
  <si>
    <t>Accidental</t>
  </si>
  <si>
    <t>Random Shooting</t>
  </si>
  <si>
    <t>No</t>
  </si>
  <si>
    <t>20211007DCWAW</t>
  </si>
  <si>
    <t>Walkins Elementary School</t>
  </si>
  <si>
    <t>Local</t>
  </si>
  <si>
    <t>Fall</t>
  </si>
  <si>
    <t>Washington</t>
  </si>
  <si>
    <t>DC</t>
  </si>
  <si>
    <t>Elementary</t>
  </si>
  <si>
    <t>Football Field/Track</t>
  </si>
  <si>
    <t>Outside on School Property</t>
  </si>
  <si>
    <t>No</t>
  </si>
  <si>
    <t>Sport Event</t>
  </si>
  <si>
    <t>Man shot following flag football game</t>
  </si>
  <si>
    <t>Escalation of Dispute</t>
  </si>
  <si>
    <t>Victims Targeted</t>
  </si>
  <si>
    <t>No</t>
  </si>
  <si>
    <t>20211006TXTIA</t>
  </si>
  <si>
    <t>Timberview High School</t>
  </si>
  <si>
    <t>International</t>
  </si>
  <si>
    <t>Fall</t>
  </si>
  <si>
    <t>Arlington</t>
  </si>
  <si>
    <t>TX</t>
  </si>
  <si>
    <t>High</t>
  </si>
  <si>
    <t>Classroom</t>
  </si>
  <si>
    <t>Inside School Building</t>
  </si>
  <si>
    <t>Yes</t>
  </si>
  <si>
    <t>Morning Classes</t>
  </si>
  <si>
    <t>Shots fired during fight inside a classroom</t>
  </si>
  <si>
    <t>Escalation of Dispute</t>
  </si>
  <si>
    <t>Both</t>
  </si>
  <si>
    <t>No</t>
  </si>
  <si>
    <t>20211005NDHEH</t>
  </si>
  <si>
    <t>Hettinger Public School</t>
  </si>
  <si>
    <t>Local</t>
  </si>
  <si>
    <t>Fall</t>
  </si>
  <si>
    <t>Hettinger</t>
  </si>
  <si>
    <t>ND</t>
  </si>
  <si>
    <t>K-12</t>
  </si>
  <si>
    <t>Classroom</t>
  </si>
  <si>
    <t>Inside School Building</t>
  </si>
  <si>
    <t>Yes</t>
  </si>
  <si>
    <t>Morning Classes</t>
  </si>
  <si>
    <t>Student walked into classroom and shot self in front of the class</t>
  </si>
  <si>
    <t>Suicide/Attempted</t>
  </si>
  <si>
    <t>Victims Targeted</t>
  </si>
  <si>
    <t>No</t>
  </si>
  <si>
    <t>20211005NCGAC</t>
  </si>
  <si>
    <t>Garinger High School</t>
  </si>
  <si>
    <t>Local</t>
  </si>
  <si>
    <t>Fall</t>
  </si>
  <si>
    <t>Charlotte</t>
  </si>
  <si>
    <t>NC</t>
  </si>
  <si>
    <t>High</t>
  </si>
  <si>
    <t>Front of School</t>
  </si>
  <si>
    <t>Outside on School Property</t>
  </si>
  <si>
    <t>Yes</t>
  </si>
  <si>
    <t>Morning Classes</t>
  </si>
  <si>
    <t>Student fired shot at vehicle and then ran inside the school, lockdown, gun recovered</t>
  </si>
  <si>
    <t>Drive-by Shooting</t>
  </si>
  <si>
    <t>Victims Targeted</t>
  </si>
  <si>
    <t>Yes</t>
  </si>
  <si>
    <t>No</t>
  </si>
  <si>
    <t>20211004OHWOT</t>
  </si>
  <si>
    <t>Woodward High School</t>
  </si>
  <si>
    <t>Local</t>
  </si>
  <si>
    <t>Fall</t>
  </si>
  <si>
    <t>Toledo</t>
  </si>
  <si>
    <t>OH</t>
  </si>
  <si>
    <t>High</t>
  </si>
  <si>
    <t>Off School Property</t>
  </si>
  <si>
    <t>No</t>
  </si>
  <si>
    <t>After School</t>
  </si>
  <si>
    <t>Student shot across the street, ran to school for assistance</t>
  </si>
  <si>
    <t>No</t>
  </si>
  <si>
    <t>20211004PASCP</t>
  </si>
  <si>
    <t>School of the Future</t>
  </si>
  <si>
    <t>Regional</t>
  </si>
  <si>
    <t>Fall</t>
  </si>
  <si>
    <t>Philadelphia</t>
  </si>
  <si>
    <t>PA</t>
  </si>
  <si>
    <t>High</t>
  </si>
  <si>
    <t>Outside on School Property</t>
  </si>
  <si>
    <t>No</t>
  </si>
  <si>
    <t>Night</t>
  </si>
  <si>
    <t>Active shooter fled workplace shooting scene, shootout with police behind school</t>
  </si>
  <si>
    <t>Both</t>
  </si>
  <si>
    <t>No</t>
  </si>
  <si>
    <t>Yes</t>
  </si>
  <si>
    <t>20211004NMSAS</t>
  </si>
  <si>
    <t>Santa Fe Indian School</t>
  </si>
  <si>
    <t>Local</t>
  </si>
  <si>
    <t>Winter</t>
  </si>
  <si>
    <t>Santa Fe</t>
  </si>
  <si>
    <t>NM</t>
  </si>
  <si>
    <t>6-12</t>
  </si>
  <si>
    <t>Outside on School Property</t>
  </si>
  <si>
    <t>Yes</t>
  </si>
  <si>
    <t>Man fired shots and attempted to steal vehicles, arrested on school property</t>
  </si>
  <si>
    <t>Illegal Activity</t>
  </si>
  <si>
    <t>Random Shooting</t>
  </si>
  <si>
    <t>No</t>
  </si>
  <si>
    <t>20211004ILLAC</t>
  </si>
  <si>
    <t>Lakeview High School</t>
  </si>
  <si>
    <t>Local</t>
  </si>
  <si>
    <t>Fall</t>
  </si>
  <si>
    <t>Chicago</t>
  </si>
  <si>
    <t>IL</t>
  </si>
  <si>
    <t>High</t>
  </si>
  <si>
    <t>Parking Lot</t>
  </si>
  <si>
    <t>Outside on School Property</t>
  </si>
  <si>
    <t>Shots fired in school parking lot</t>
  </si>
  <si>
    <t>No</t>
  </si>
  <si>
    <t>20211001TXYEH</t>
  </si>
  <si>
    <t>YES Prep</t>
  </si>
  <si>
    <t>Regional</t>
  </si>
  <si>
    <t>Fall</t>
  </si>
  <si>
    <t>Houston</t>
  </si>
  <si>
    <t>TX</t>
  </si>
  <si>
    <t>High</t>
  </si>
  <si>
    <t>Entryway</t>
  </si>
  <si>
    <t>Inside School Building</t>
  </si>
  <si>
    <t>Yes</t>
  </si>
  <si>
    <t>Morning Classes</t>
  </si>
  <si>
    <t>Former student attacked school targeting specific staff member</t>
  </si>
  <si>
    <t>Psychosis</t>
  </si>
  <si>
    <t>Both</t>
  </si>
  <si>
    <t>No</t>
  </si>
  <si>
    <t>Yes</t>
  </si>
  <si>
    <t>20211001NJCHC</t>
  </si>
  <si>
    <t>Cherry Hill West High School</t>
  </si>
  <si>
    <t>Regional</t>
  </si>
  <si>
    <t>Fall</t>
  </si>
  <si>
    <t>Cherry Hill</t>
  </si>
  <si>
    <t>NJ</t>
  </si>
  <si>
    <t>High</t>
  </si>
  <si>
    <t>Football Field/Track</t>
  </si>
  <si>
    <t>Off School Property</t>
  </si>
  <si>
    <t>No</t>
  </si>
  <si>
    <t>Sport Event</t>
  </si>
  <si>
    <t>Male fired 8 shots at the football stadium stands then fled</t>
  </si>
  <si>
    <t>Indiscriminate Shooting</t>
  </si>
  <si>
    <t>Random Shooting</t>
  </si>
  <si>
    <t>No</t>
  </si>
  <si>
    <t>20211001NCSEF</t>
  </si>
  <si>
    <t>Seventy-First High School</t>
  </si>
  <si>
    <t>Local</t>
  </si>
  <si>
    <t>Fall</t>
  </si>
  <si>
    <t>Fayetteville</t>
  </si>
  <si>
    <t>NC</t>
  </si>
  <si>
    <t>High</t>
  </si>
  <si>
    <t>Parking Lot</t>
  </si>
  <si>
    <t>Outside on School Property</t>
  </si>
  <si>
    <t>No</t>
  </si>
  <si>
    <t>Sport Event</t>
  </si>
  <si>
    <t>Two teens shot in parking lot following football game</t>
  </si>
  <si>
    <t>Escalation of Dispute</t>
  </si>
  <si>
    <t>Victims Targeted</t>
  </si>
  <si>
    <t>No</t>
  </si>
  <si>
    <t>20211001NCNOD</t>
  </si>
  <si>
    <t>Northern High School</t>
  </si>
  <si>
    <t>Local</t>
  </si>
  <si>
    <t>Fall</t>
  </si>
  <si>
    <t>Durham</t>
  </si>
  <si>
    <t>NC</t>
  </si>
  <si>
    <t>High</t>
  </si>
  <si>
    <t>Football Field/Track</t>
  </si>
  <si>
    <t>Outside on School Property</t>
  </si>
  <si>
    <t>No</t>
  </si>
  <si>
    <t>Sport Event</t>
  </si>
  <si>
    <t>Vehicle drove onto grass near stadium and fired 10-15 shots as crowd was exiting</t>
  </si>
  <si>
    <t>Drive-by Shooting</t>
  </si>
  <si>
    <t>Random Shooting</t>
  </si>
  <si>
    <t>No</t>
  </si>
  <si>
    <t>20211001INBEI</t>
  </si>
  <si>
    <t>Ben Davis High School</t>
  </si>
  <si>
    <t>Local</t>
  </si>
  <si>
    <t>Fall</t>
  </si>
  <si>
    <t>Indianapolis</t>
  </si>
  <si>
    <t>IN</t>
  </si>
  <si>
    <t>High</t>
  </si>
  <si>
    <t>Football Field/Track</t>
  </si>
  <si>
    <t>Outside on School Property</t>
  </si>
  <si>
    <t>No</t>
  </si>
  <si>
    <t>Sport Event</t>
  </si>
  <si>
    <t>Teen shot by another teen at the stadium gate during a football game</t>
  </si>
  <si>
    <t>Illegal Activity</t>
  </si>
  <si>
    <t>Victims Targeted</t>
  </si>
  <si>
    <t>No</t>
  </si>
  <si>
    <t>20210930MSNEN</t>
  </si>
  <si>
    <t>Newton Elementary School</t>
  </si>
  <si>
    <t>Local</t>
  </si>
  <si>
    <t>Fall</t>
  </si>
  <si>
    <t>Newton</t>
  </si>
  <si>
    <t>MS</t>
  </si>
  <si>
    <t>Elementary</t>
  </si>
  <si>
    <t>Outside on School Property</t>
  </si>
  <si>
    <t>Yes</t>
  </si>
  <si>
    <t>Dismissal</t>
  </si>
  <si>
    <t>1st grader shot when gun inside backpack discharged</t>
  </si>
  <si>
    <t>Accidental</t>
  </si>
  <si>
    <t>Random Shooting</t>
  </si>
  <si>
    <t>No</t>
  </si>
  <si>
    <t>20210930TNCUM</t>
  </si>
  <si>
    <t>Cummings Elementary School</t>
  </si>
  <si>
    <t>National</t>
  </si>
  <si>
    <t>Fall</t>
  </si>
  <si>
    <t>Memphis</t>
  </si>
  <si>
    <t>TN</t>
  </si>
  <si>
    <t>K-8</t>
  </si>
  <si>
    <t>Hallway</t>
  </si>
  <si>
    <t>Inside School Building</t>
  </si>
  <si>
    <t>Yes</t>
  </si>
  <si>
    <t>Morning Classes</t>
  </si>
  <si>
    <t>Student shot student in the stairwell then fled in vehicle</t>
  </si>
  <si>
    <t>Escalation of Dispute</t>
  </si>
  <si>
    <t>Victims Targeted</t>
  </si>
  <si>
    <t>Yes</t>
  </si>
  <si>
    <t>No</t>
  </si>
  <si>
    <t>20210929OHSHS</t>
  </si>
  <si>
    <t>Shaker Heights Middle School</t>
  </si>
  <si>
    <t>Local</t>
  </si>
  <si>
    <t>Fall</t>
  </si>
  <si>
    <t>Shaker Heights</t>
  </si>
  <si>
    <t>OH</t>
  </si>
  <si>
    <t>Middle</t>
  </si>
  <si>
    <t>Parking Lot</t>
  </si>
  <si>
    <t>Outside on School Property</t>
  </si>
  <si>
    <t>No</t>
  </si>
  <si>
    <t>Sport Event</t>
  </si>
  <si>
    <t>Shot fired in school parking lot during football game</t>
  </si>
  <si>
    <t>Escalation of Dispute</t>
  </si>
  <si>
    <t>Neither</t>
  </si>
  <si>
    <t>No</t>
  </si>
  <si>
    <t>20210928MESOS</t>
  </si>
  <si>
    <t>South Portland High School</t>
  </si>
  <si>
    <t>Local</t>
  </si>
  <si>
    <t>Fall</t>
  </si>
  <si>
    <t>South Portland</t>
  </si>
  <si>
    <t>ME</t>
  </si>
  <si>
    <t>High</t>
  </si>
  <si>
    <t>Parking Lot</t>
  </si>
  <si>
    <t>Outside on School Property</t>
  </si>
  <si>
    <t>No</t>
  </si>
  <si>
    <t>Evening</t>
  </si>
  <si>
    <t>Teen shot in school parking lot</t>
  </si>
  <si>
    <t>Victims Targeted</t>
  </si>
  <si>
    <t>No</t>
  </si>
  <si>
    <t>20210927ILCAC</t>
  </si>
  <si>
    <t>Canterbury Elementary School</t>
  </si>
  <si>
    <t>Local</t>
  </si>
  <si>
    <t>Fall</t>
  </si>
  <si>
    <t>Crystal Lake</t>
  </si>
  <si>
    <t>IL</t>
  </si>
  <si>
    <t>Elementary</t>
  </si>
  <si>
    <t>Playground</t>
  </si>
  <si>
    <t>Outside on School Property</t>
  </si>
  <si>
    <t>Yes</t>
  </si>
  <si>
    <t>Lunch</t>
  </si>
  <si>
    <t>Police called for student with gun on the playground, arrested student with BB gun</t>
  </si>
  <si>
    <t>No</t>
  </si>
  <si>
    <t>20210924MDWIB</t>
  </si>
  <si>
    <t>Wildwood Elementary/Middle School</t>
  </si>
  <si>
    <t>Local</t>
  </si>
  <si>
    <t>Fall</t>
  </si>
  <si>
    <t>Baltimore</t>
  </si>
  <si>
    <t>MD</t>
  </si>
  <si>
    <t>K-8</t>
  </si>
  <si>
    <t>Outside on School Property</t>
  </si>
  <si>
    <t>No</t>
  </si>
  <si>
    <t>Evening</t>
  </si>
  <si>
    <t>Teen shot outside of school</t>
  </si>
  <si>
    <t>Victims Targeted</t>
  </si>
  <si>
    <t>No</t>
  </si>
  <si>
    <t>20210924VAESE</t>
  </si>
  <si>
    <t>Essex High School</t>
  </si>
  <si>
    <t>Local</t>
  </si>
  <si>
    <t>Fall</t>
  </si>
  <si>
    <t>Essex</t>
  </si>
  <si>
    <t>VA</t>
  </si>
  <si>
    <t>High</t>
  </si>
  <si>
    <t>Football Field/Track</t>
  </si>
  <si>
    <t>Outside on School Property</t>
  </si>
  <si>
    <t>No</t>
  </si>
  <si>
    <t>Sport Event</t>
  </si>
  <si>
    <t>Shots fired near ticket booth and softball field during football game</t>
  </si>
  <si>
    <t>Escalation of Dispute</t>
  </si>
  <si>
    <t>Neither</t>
  </si>
  <si>
    <t>No</t>
  </si>
  <si>
    <t>20210924TNSTS</t>
  </si>
  <si>
    <t>Stewarts Creek High School</t>
  </si>
  <si>
    <t>Local</t>
  </si>
  <si>
    <t>Fall</t>
  </si>
  <si>
    <t>Smyrna</t>
  </si>
  <si>
    <t>FL</t>
  </si>
  <si>
    <t>High</t>
  </si>
  <si>
    <t>Parking Lot</t>
  </si>
  <si>
    <t>Outside on School Property</t>
  </si>
  <si>
    <t>No</t>
  </si>
  <si>
    <t>Sport Event</t>
  </si>
  <si>
    <t>Teen fired shots into the air during a fight in the parking lot during a football game</t>
  </si>
  <si>
    <t>Escalation of Dispute</t>
  </si>
  <si>
    <t>Neither</t>
  </si>
  <si>
    <t>No</t>
  </si>
  <si>
    <t>20210924ALFAF</t>
  </si>
  <si>
    <t>Fairfield High Preparatory School</t>
  </si>
  <si>
    <t>National</t>
  </si>
  <si>
    <t>Fall</t>
  </si>
  <si>
    <t>Fairfield</t>
  </si>
  <si>
    <t>AL</t>
  </si>
  <si>
    <t>High</t>
  </si>
  <si>
    <t>Parking Lot</t>
  </si>
  <si>
    <t>Outside on School Property</t>
  </si>
  <si>
    <t>No</t>
  </si>
  <si>
    <t>Sport Event</t>
  </si>
  <si>
    <t>Shots fired at visiting fans in the parking lot</t>
  </si>
  <si>
    <t>Indiscriminate Shooting</t>
  </si>
  <si>
    <t>Random Shooting</t>
  </si>
  <si>
    <t>No</t>
  </si>
  <si>
    <t>20210923IDRIR</t>
  </si>
  <si>
    <t>Rigby Middle School</t>
  </si>
  <si>
    <t>Local</t>
  </si>
  <si>
    <t>Fall</t>
  </si>
  <si>
    <t>Rigby</t>
  </si>
  <si>
    <t>ID</t>
  </si>
  <si>
    <t>Middle</t>
  </si>
  <si>
    <t>Bathroom</t>
  </si>
  <si>
    <t>Inside School Building</t>
  </si>
  <si>
    <t>Yes</t>
  </si>
  <si>
    <t>Morning Classes</t>
  </si>
  <si>
    <t>Emotionally distressed student with a gun in the bathroom detained by SRO</t>
  </si>
  <si>
    <t>Suicide/Attempted</t>
  </si>
  <si>
    <t>Victims Targeted</t>
  </si>
  <si>
    <t>No</t>
  </si>
  <si>
    <t>20210922CTLIN</t>
  </si>
  <si>
    <t>Lincoln-Bassett Community School</t>
  </si>
  <si>
    <t>Local</t>
  </si>
  <si>
    <t>Fall</t>
  </si>
  <si>
    <t>New Haven</t>
  </si>
  <si>
    <t>CT</t>
  </si>
  <si>
    <t>Elementary</t>
  </si>
  <si>
    <t>Off School Property</t>
  </si>
  <si>
    <t>Outside on School Property</t>
  </si>
  <si>
    <t>Yes</t>
  </si>
  <si>
    <t>Lunch</t>
  </si>
  <si>
    <t>Shots fired while students were outside for recess</t>
  </si>
  <si>
    <t>Drive-by Shooting</t>
  </si>
  <si>
    <t>Neither</t>
  </si>
  <si>
    <t>No</t>
  </si>
  <si>
    <t>20210922NYSOB</t>
  </si>
  <si>
    <t>South Shore High School</t>
  </si>
  <si>
    <t>Local</t>
  </si>
  <si>
    <t>Fall</t>
  </si>
  <si>
    <t>Brooklyn</t>
  </si>
  <si>
    <t>NY</t>
  </si>
  <si>
    <t>High</t>
  </si>
  <si>
    <t>Front of School</t>
  </si>
  <si>
    <t>Outside on School Property</t>
  </si>
  <si>
    <t>Yes</t>
  </si>
  <si>
    <t>School Start</t>
  </si>
  <si>
    <t>Teen shot outside school, ran inside for help</t>
  </si>
  <si>
    <t>No</t>
  </si>
  <si>
    <t>20210921PAVAP</t>
  </si>
  <si>
    <t>Vaux Big Picture High School</t>
  </si>
  <si>
    <t>Local</t>
  </si>
  <si>
    <t>Fall</t>
  </si>
  <si>
    <t>Philadelphia</t>
  </si>
  <si>
    <t>PA</t>
  </si>
  <si>
    <t>High</t>
  </si>
  <si>
    <t>Front of School</t>
  </si>
  <si>
    <t>Outside on School Property</t>
  </si>
  <si>
    <t>Yes</t>
  </si>
  <si>
    <t>Dismissal</t>
  </si>
  <si>
    <t>Student shot in front of school during dismissal</t>
  </si>
  <si>
    <t>Victims Targeted</t>
  </si>
  <si>
    <t>No</t>
  </si>
  <si>
    <t>20210921OHMIM</t>
  </si>
  <si>
    <t>Middletown Preparatory and Fitness Academy</t>
  </si>
  <si>
    <t>Local</t>
  </si>
  <si>
    <t>Fall</t>
  </si>
  <si>
    <t>Middletown</t>
  </si>
  <si>
    <t>OH</t>
  </si>
  <si>
    <t>High</t>
  </si>
  <si>
    <t>School Bus</t>
  </si>
  <si>
    <t>Yes</t>
  </si>
  <si>
    <t>Dismissal</t>
  </si>
  <si>
    <t>Occupied school bus shot by multiple BBs</t>
  </si>
  <si>
    <t>Intentional Property Damage</t>
  </si>
  <si>
    <t>Neither</t>
  </si>
  <si>
    <t>No</t>
  </si>
  <si>
    <t>20210921KSEAW</t>
  </si>
  <si>
    <t>East High School</t>
  </si>
  <si>
    <t>Local</t>
  </si>
  <si>
    <t>Fall</t>
  </si>
  <si>
    <t>Wichita</t>
  </si>
  <si>
    <t>KS</t>
  </si>
  <si>
    <t>High</t>
  </si>
  <si>
    <t>Front of School</t>
  </si>
  <si>
    <t>Outside on School Property</t>
  </si>
  <si>
    <t>Yes</t>
  </si>
  <si>
    <t>Lunch</t>
  </si>
  <si>
    <t>Three students shot outside school during lunch</t>
  </si>
  <si>
    <t>Escalation of Dispute</t>
  </si>
  <si>
    <t>Both</t>
  </si>
  <si>
    <t>Yes</t>
  </si>
  <si>
    <t>No</t>
  </si>
  <si>
    <t>20210921GAFRA</t>
  </si>
  <si>
    <t>Fred A. Toomer Elementary School</t>
  </si>
  <si>
    <t>Local</t>
  </si>
  <si>
    <t>Fall</t>
  </si>
  <si>
    <t>Atlanta</t>
  </si>
  <si>
    <t>GA</t>
  </si>
  <si>
    <t>Elementary</t>
  </si>
  <si>
    <t>Outside on School Property</t>
  </si>
  <si>
    <t>Yes</t>
  </si>
  <si>
    <t>School Start</t>
  </si>
  <si>
    <t>Shots fired during argument between parents</t>
  </si>
  <si>
    <t>Escalation of Dispute</t>
  </si>
  <si>
    <t>Victims Targeted</t>
  </si>
  <si>
    <t>No</t>
  </si>
  <si>
    <t>20210921FLLAL</t>
  </si>
  <si>
    <t>Lake Asbury Elementary School</t>
  </si>
  <si>
    <t>Local</t>
  </si>
  <si>
    <t>Fall</t>
  </si>
  <si>
    <t>Green Cove Springs</t>
  </si>
  <si>
    <t>FL</t>
  </si>
  <si>
    <t>Elementary</t>
  </si>
  <si>
    <t>School Bus</t>
  </si>
  <si>
    <t>Yes</t>
  </si>
  <si>
    <t>School Start</t>
  </si>
  <si>
    <t>Windows of two occupied school buses broken by BBs</t>
  </si>
  <si>
    <t>Intentional Property Damage</t>
  </si>
  <si>
    <t>Neither</t>
  </si>
  <si>
    <t>No</t>
  </si>
  <si>
    <t>20210920OHEAC</t>
  </si>
  <si>
    <t>Eastside Arts Academy</t>
  </si>
  <si>
    <t>Local</t>
  </si>
  <si>
    <t>Fall</t>
  </si>
  <si>
    <t>Cleveland</t>
  </si>
  <si>
    <t>OH</t>
  </si>
  <si>
    <t>Elementary</t>
  </si>
  <si>
    <t>Playground</t>
  </si>
  <si>
    <t>Outside on School Property</t>
  </si>
  <si>
    <t>No</t>
  </si>
  <si>
    <t>Evening</t>
  </si>
  <si>
    <t>Three teens shot on the school playground</t>
  </si>
  <si>
    <t>Yes</t>
  </si>
  <si>
    <t>No</t>
  </si>
  <si>
    <t>20210920VAHEN</t>
  </si>
  <si>
    <t>Heritage High School</t>
  </si>
  <si>
    <t>International</t>
  </si>
  <si>
    <t>Fall</t>
  </si>
  <si>
    <t>Newport News</t>
  </si>
  <si>
    <t>VA</t>
  </si>
  <si>
    <t>High</t>
  </si>
  <si>
    <t>Hallway</t>
  </si>
  <si>
    <t>Inside School Building</t>
  </si>
  <si>
    <t>Yes</t>
  </si>
  <si>
    <t>Lunch</t>
  </si>
  <si>
    <t>Student shot two other students during fight in hallway then fled</t>
  </si>
  <si>
    <t>Escalation of Dispute</t>
  </si>
  <si>
    <t>Both</t>
  </si>
  <si>
    <t>No</t>
  </si>
  <si>
    <t>20210918COWIC</t>
  </si>
  <si>
    <t>Widefield High School</t>
  </si>
  <si>
    <t>Local</t>
  </si>
  <si>
    <t>Fall</t>
  </si>
  <si>
    <t>Colorado Springs</t>
  </si>
  <si>
    <t>CO</t>
  </si>
  <si>
    <t>High</t>
  </si>
  <si>
    <t>Parking Lot</t>
  </si>
  <si>
    <t>Outside on School Property</t>
  </si>
  <si>
    <t>No</t>
  </si>
  <si>
    <t>Sport Event</t>
  </si>
  <si>
    <t>2 teens and 1 adult shot in the parking lot at the end of a football game</t>
  </si>
  <si>
    <t>Both</t>
  </si>
  <si>
    <t>No</t>
  </si>
  <si>
    <t>20210917NCPAW</t>
  </si>
  <si>
    <t>Parkland High School</t>
  </si>
  <si>
    <t>Local</t>
  </si>
  <si>
    <t>Fall</t>
  </si>
  <si>
    <t>Winston Salem</t>
  </si>
  <si>
    <t>NC</t>
  </si>
  <si>
    <t>High</t>
  </si>
  <si>
    <t>Field (General)</t>
  </si>
  <si>
    <t>Outside on School Property</t>
  </si>
  <si>
    <t>Yes</t>
  </si>
  <si>
    <t>After School</t>
  </si>
  <si>
    <t>Shots fired toward the school building during a fight between 30 teens</t>
  </si>
  <si>
    <t>Escalation of Dispute</t>
  </si>
  <si>
    <t>Random Shooting</t>
  </si>
  <si>
    <t>No</t>
  </si>
  <si>
    <t>20210917VAHEH</t>
  </si>
  <si>
    <t>Hermitage High School</t>
  </si>
  <si>
    <t>Local</t>
  </si>
  <si>
    <t>Fall</t>
  </si>
  <si>
    <t>Henrico</t>
  </si>
  <si>
    <t>VA</t>
  </si>
  <si>
    <t>High</t>
  </si>
  <si>
    <t>Parking Lot</t>
  </si>
  <si>
    <t>Outside on School Property</t>
  </si>
  <si>
    <t>No</t>
  </si>
  <si>
    <t>Sport Event</t>
  </si>
  <si>
    <t>Shots fired during a fight in the parking lot following football game</t>
  </si>
  <si>
    <t>Escalation of Dispute</t>
  </si>
  <si>
    <t>Neither</t>
  </si>
  <si>
    <t>No</t>
  </si>
  <si>
    <t>20210917TNAUK</t>
  </si>
  <si>
    <t>Austin-East High School</t>
  </si>
  <si>
    <t>National</t>
  </si>
  <si>
    <t>Fall</t>
  </si>
  <si>
    <t>Knoxville</t>
  </si>
  <si>
    <t>TN</t>
  </si>
  <si>
    <t>High</t>
  </si>
  <si>
    <t>Off School Property</t>
  </si>
  <si>
    <t>No</t>
  </si>
  <si>
    <t>Sport Event</t>
  </si>
  <si>
    <t>Teen shot outside football stadium, field cleared</t>
  </si>
  <si>
    <t>No</t>
  </si>
  <si>
    <t>20210917PAWEP</t>
  </si>
  <si>
    <t>West Philadelphia High School</t>
  </si>
  <si>
    <t>Local</t>
  </si>
  <si>
    <t>Fall</t>
  </si>
  <si>
    <t>Philadelphia</t>
  </si>
  <si>
    <t>PA</t>
  </si>
  <si>
    <t>High</t>
  </si>
  <si>
    <t>Football Field/Track</t>
  </si>
  <si>
    <t>Outside on School Property</t>
  </si>
  <si>
    <t>No</t>
  </si>
  <si>
    <t>Sport Event</t>
  </si>
  <si>
    <t>20 shots fired during football game, teens involved ran across the field</t>
  </si>
  <si>
    <t>Escalation of Dispute</t>
  </si>
  <si>
    <t>No</t>
  </si>
  <si>
    <t>20210917GASWS</t>
  </si>
  <si>
    <t>Swainsboro High School</t>
  </si>
  <si>
    <t>Local</t>
  </si>
  <si>
    <t>Fall</t>
  </si>
  <si>
    <t>Swainsboro</t>
  </si>
  <si>
    <t>GA</t>
  </si>
  <si>
    <t>High</t>
  </si>
  <si>
    <t>Football Field/Track</t>
  </si>
  <si>
    <t>Outside on School Property</t>
  </si>
  <si>
    <t>No</t>
  </si>
  <si>
    <t>Sport Event</t>
  </si>
  <si>
    <t>Shots fired in the stands of the football stadium during a fight</t>
  </si>
  <si>
    <t>Escalation of Dispute</t>
  </si>
  <si>
    <t>Neither</t>
  </si>
  <si>
    <t>No</t>
  </si>
  <si>
    <t>20210916WIORM</t>
  </si>
  <si>
    <t>Orchard Ridge Elementary School</t>
  </si>
  <si>
    <t>Local</t>
  </si>
  <si>
    <t>Fall</t>
  </si>
  <si>
    <t>Madison</t>
  </si>
  <si>
    <t>WI</t>
  </si>
  <si>
    <t>Elementary</t>
  </si>
  <si>
    <t>Beside Building</t>
  </si>
  <si>
    <t>Outside on School Property</t>
  </si>
  <si>
    <t>No</t>
  </si>
  <si>
    <t>Night</t>
  </si>
  <si>
    <t>Shot fired near school, police found shell casings</t>
  </si>
  <si>
    <t>No</t>
  </si>
  <si>
    <t>20210916UTPRP</t>
  </si>
  <si>
    <t>Provo High School</t>
  </si>
  <si>
    <t>International</t>
  </si>
  <si>
    <t>Fall</t>
  </si>
  <si>
    <t>Provo</t>
  </si>
  <si>
    <t>UT</t>
  </si>
  <si>
    <t>High</t>
  </si>
  <si>
    <t>Hallway</t>
  </si>
  <si>
    <t>Inside School Building</t>
  </si>
  <si>
    <t>Yes</t>
  </si>
  <si>
    <t>Night</t>
  </si>
  <si>
    <t>Student brandished handgun during fight in the hallway</t>
  </si>
  <si>
    <t>Escalation of Dispute</t>
  </si>
  <si>
    <t>Victims Targeted</t>
  </si>
  <si>
    <t>No</t>
  </si>
  <si>
    <t>20210916OHBEC</t>
  </si>
  <si>
    <t>Beechcroft High School</t>
  </si>
  <si>
    <t>Local</t>
  </si>
  <si>
    <t>Fall</t>
  </si>
  <si>
    <t>Columbus</t>
  </si>
  <si>
    <t>OH</t>
  </si>
  <si>
    <t>High</t>
  </si>
  <si>
    <t>Parking Lot</t>
  </si>
  <si>
    <t>Outside on School Property</t>
  </si>
  <si>
    <t>No</t>
  </si>
  <si>
    <t>Sport Event</t>
  </si>
  <si>
    <t>Seven shots fired when fans were leaving the football game</t>
  </si>
  <si>
    <t>Neither</t>
  </si>
  <si>
    <t>No</t>
  </si>
  <si>
    <t>20210915KYMAL</t>
  </si>
  <si>
    <t>Mary Todd Elementary School</t>
  </si>
  <si>
    <t>Local</t>
  </si>
  <si>
    <t>Fall</t>
  </si>
  <si>
    <t>Lexington</t>
  </si>
  <si>
    <t>KY</t>
  </si>
  <si>
    <t>Elementary</t>
  </si>
  <si>
    <t>Parking Lot</t>
  </si>
  <si>
    <t>Off School Property</t>
  </si>
  <si>
    <t>No</t>
  </si>
  <si>
    <t>After School</t>
  </si>
  <si>
    <t>Man shot and ran to elementary school for assistance</t>
  </si>
  <si>
    <t>Victims Targeted</t>
  </si>
  <si>
    <t>No</t>
  </si>
  <si>
    <t>20210915ILCEC</t>
  </si>
  <si>
    <t>Centennial High School</t>
  </si>
  <si>
    <t>Local</t>
  </si>
  <si>
    <t>Fall</t>
  </si>
  <si>
    <t>Champaign</t>
  </si>
  <si>
    <t>IL</t>
  </si>
  <si>
    <t>High</t>
  </si>
  <si>
    <t>Field (General)</t>
  </si>
  <si>
    <t>Outside on School Property</t>
  </si>
  <si>
    <t>Yes</t>
  </si>
  <si>
    <t>Afternoon Classes</t>
  </si>
  <si>
    <t>Shots fired outside of school, no injuries</t>
  </si>
  <si>
    <t>No</t>
  </si>
  <si>
    <t>20210915VASPS</t>
  </si>
  <si>
    <t>Springfield Estates Elementary</t>
  </si>
  <si>
    <t>Local</t>
  </si>
  <si>
    <t>Fall</t>
  </si>
  <si>
    <t>Springfield</t>
  </si>
  <si>
    <t>VA</t>
  </si>
  <si>
    <t>Elementary</t>
  </si>
  <si>
    <t>Inside School Building</t>
  </si>
  <si>
    <t>Yes</t>
  </si>
  <si>
    <t>Morning Classes</t>
  </si>
  <si>
    <t>Student used stungun on 3 classmates in the school</t>
  </si>
  <si>
    <t>No</t>
  </si>
  <si>
    <t>20210914TNLAL</t>
  </si>
  <si>
    <t>La Vergne High School</t>
  </si>
  <si>
    <t>Local</t>
  </si>
  <si>
    <t>Fall</t>
  </si>
  <si>
    <t>La Vergne</t>
  </si>
  <si>
    <t>TN</t>
  </si>
  <si>
    <t>High</t>
  </si>
  <si>
    <t>Parking Lot</t>
  </si>
  <si>
    <t>Outside on School Property</t>
  </si>
  <si>
    <t>Yes</t>
  </si>
  <si>
    <t>Dismissal</t>
  </si>
  <si>
    <t>Teen fired 3 shots in the parking lot during dismissal</t>
  </si>
  <si>
    <t>Random Shooting</t>
  </si>
  <si>
    <t>Yes</t>
  </si>
  <si>
    <t>No</t>
  </si>
  <si>
    <t>20210914MOMCH</t>
  </si>
  <si>
    <t>McNair Elementary School</t>
  </si>
  <si>
    <t>Local</t>
  </si>
  <si>
    <t>Fall</t>
  </si>
  <si>
    <t>Hazelwood</t>
  </si>
  <si>
    <t>MO</t>
  </si>
  <si>
    <t>Elementary</t>
  </si>
  <si>
    <t>Parking Lot</t>
  </si>
  <si>
    <t>Outside on School Property</t>
  </si>
  <si>
    <t>Yes</t>
  </si>
  <si>
    <t>School Start</t>
  </si>
  <si>
    <t>Two parents brandished handguns during an argument in the drop-off line</t>
  </si>
  <si>
    <t>Escalation of Dispute</t>
  </si>
  <si>
    <t>Victims Targeted</t>
  </si>
  <si>
    <t>No</t>
  </si>
  <si>
    <t>20210913SCEDC</t>
  </si>
  <si>
    <t>Edwards Elementary School</t>
  </si>
  <si>
    <t>Local</t>
  </si>
  <si>
    <t>Fall</t>
  </si>
  <si>
    <t>Chesterfield</t>
  </si>
  <si>
    <t>SC</t>
  </si>
  <si>
    <t>Elementary</t>
  </si>
  <si>
    <t>Parking Lot</t>
  </si>
  <si>
    <t>Outside on School Property</t>
  </si>
  <si>
    <t>Yes</t>
  </si>
  <si>
    <t>Afternoon Classes</t>
  </si>
  <si>
    <t>Woman shot her adult son-in-law during a domestic dispute in the parking lot</t>
  </si>
  <si>
    <t>Domestic w/ Targeted Victim</t>
  </si>
  <si>
    <t>Victims Targeted</t>
  </si>
  <si>
    <t>No</t>
  </si>
  <si>
    <t>Yes</t>
  </si>
  <si>
    <t>No</t>
  </si>
  <si>
    <t>20210910CASTP</t>
  </si>
  <si>
    <t>Stratford School</t>
  </si>
  <si>
    <t>Local</t>
  </si>
  <si>
    <t>Fall</t>
  </si>
  <si>
    <t>Palo Alto</t>
  </si>
  <si>
    <t>CA</t>
  </si>
  <si>
    <t>Elementary</t>
  </si>
  <si>
    <t>Playground</t>
  </si>
  <si>
    <t>Outside on School Property</t>
  </si>
  <si>
    <t>Yes</t>
  </si>
  <si>
    <t>Lunch</t>
  </si>
  <si>
    <t>Man shot air rifle at a random student on the playground</t>
  </si>
  <si>
    <t>Indiscriminate Shooting</t>
  </si>
  <si>
    <t>Random Shooting</t>
  </si>
  <si>
    <t>No</t>
  </si>
  <si>
    <t>20210910CONOA</t>
  </si>
  <si>
    <t>North Area Athletic Complex</t>
  </si>
  <si>
    <t>Local</t>
  </si>
  <si>
    <t>Fall</t>
  </si>
  <si>
    <t>Arvada</t>
  </si>
  <si>
    <t>CO</t>
  </si>
  <si>
    <t>High</t>
  </si>
  <si>
    <t>Parking Lot</t>
  </si>
  <si>
    <t>Outside on School Property</t>
  </si>
  <si>
    <t>No</t>
  </si>
  <si>
    <t>Sport Event</t>
  </si>
  <si>
    <t>Shots fired in the parking lot during high school football game</t>
  </si>
  <si>
    <t>Drive-by Shooting</t>
  </si>
  <si>
    <t>Victims Targeted</t>
  </si>
  <si>
    <t>No</t>
  </si>
  <si>
    <t>20210909MITRF</t>
  </si>
  <si>
    <t>Tri-County Education Center</t>
  </si>
  <si>
    <t>Local</t>
  </si>
  <si>
    <t>Fall</t>
  </si>
  <si>
    <t>Ferndale</t>
  </si>
  <si>
    <t>MI</t>
  </si>
  <si>
    <t>6-12</t>
  </si>
  <si>
    <t>Parking Lot</t>
  </si>
  <si>
    <t>Outside on School Property</t>
  </si>
  <si>
    <t>Yes</t>
  </si>
  <si>
    <t>Dismissal</t>
  </si>
  <si>
    <t>Teen fired shot into the ground during a fight in the parking lot</t>
  </si>
  <si>
    <t>Escalation of Dispute</t>
  </si>
  <si>
    <t>Neither</t>
  </si>
  <si>
    <t>Yes</t>
  </si>
  <si>
    <t>No</t>
  </si>
  <si>
    <t>20210909ILCHC</t>
  </si>
  <si>
    <t>Champaign School Bus</t>
  </si>
  <si>
    <t>Local</t>
  </si>
  <si>
    <t>Fall</t>
  </si>
  <si>
    <t>Champaign</t>
  </si>
  <si>
    <t>IL</t>
  </si>
  <si>
    <t>Elementary</t>
  </si>
  <si>
    <t>School Bus</t>
  </si>
  <si>
    <t>Yes</t>
  </si>
  <si>
    <t>Dismissal</t>
  </si>
  <si>
    <t>Occupied school bus was struck by bullet during drive-by</t>
  </si>
  <si>
    <t>Drive-by Shooting</t>
  </si>
  <si>
    <t>Both</t>
  </si>
  <si>
    <t>No</t>
  </si>
  <si>
    <t>20210908MNPRB</t>
  </si>
  <si>
    <t>Prairie Seeds Academy</t>
  </si>
  <si>
    <t>Local</t>
  </si>
  <si>
    <t>Fall</t>
  </si>
  <si>
    <t>Brooklyn Park</t>
  </si>
  <si>
    <t>MN</t>
  </si>
  <si>
    <t>High</t>
  </si>
  <si>
    <t>Front of School</t>
  </si>
  <si>
    <t>Off School Property</t>
  </si>
  <si>
    <t>No</t>
  </si>
  <si>
    <t>Evening</t>
  </si>
  <si>
    <t>Multiple people shooting, bullets struck the school building</t>
  </si>
  <si>
    <t>Both</t>
  </si>
  <si>
    <t>Yes</t>
  </si>
  <si>
    <t>No</t>
  </si>
  <si>
    <t>20210909NCSHE</t>
  </si>
  <si>
    <t>Sheep-Harney Elementary School</t>
  </si>
  <si>
    <t>Local</t>
  </si>
  <si>
    <t>Elizabeth City</t>
  </si>
  <si>
    <t>NC</t>
  </si>
  <si>
    <t>Elementary</t>
  </si>
  <si>
    <t>Front of School</t>
  </si>
  <si>
    <t>Outside on School Property</t>
  </si>
  <si>
    <t>No</t>
  </si>
  <si>
    <t>Night</t>
  </si>
  <si>
    <t>Multiple windows of the school were shot and broken</t>
  </si>
  <si>
    <t>Intentional Property Damage</t>
  </si>
  <si>
    <t>Random Shooting</t>
  </si>
  <si>
    <t>No</t>
  </si>
  <si>
    <t>20210908ILCEC</t>
  </si>
  <si>
    <t>Centennial High School</t>
  </si>
  <si>
    <t>Local</t>
  </si>
  <si>
    <t>Fall</t>
  </si>
  <si>
    <t>Champaign</t>
  </si>
  <si>
    <t>IL</t>
  </si>
  <si>
    <t>High</t>
  </si>
  <si>
    <t>Hallway</t>
  </si>
  <si>
    <t>Inside School Building</t>
  </si>
  <si>
    <t>Yes</t>
  </si>
  <si>
    <t>Afternoon Classes</t>
  </si>
  <si>
    <t>Student pulled gun during fight in hallway then fled the school</t>
  </si>
  <si>
    <t>Escalation of Dispute</t>
  </si>
  <si>
    <t>Victims Targeted</t>
  </si>
  <si>
    <t>No</t>
  </si>
  <si>
    <t>20210907TNLAL</t>
  </si>
  <si>
    <t>La Vergne High School</t>
  </si>
  <si>
    <t>Local</t>
  </si>
  <si>
    <t>Fall</t>
  </si>
  <si>
    <t>La Vergne</t>
  </si>
  <si>
    <t>TN</t>
  </si>
  <si>
    <t>High</t>
  </si>
  <si>
    <t>Parking Lot</t>
  </si>
  <si>
    <t>Outside on School Property</t>
  </si>
  <si>
    <t>Yes</t>
  </si>
  <si>
    <t>Dismissal</t>
  </si>
  <si>
    <t>Teen fired shots in parking lot during dismissal</t>
  </si>
  <si>
    <t>Escalation of Dispute</t>
  </si>
  <si>
    <t>Random Shooting</t>
  </si>
  <si>
    <t>No</t>
  </si>
  <si>
    <t>20210907PAHAH</t>
  </si>
  <si>
    <t>Harrisburg High School</t>
  </si>
  <si>
    <t>Local</t>
  </si>
  <si>
    <t>Fall</t>
  </si>
  <si>
    <t>Harrisburg</t>
  </si>
  <si>
    <t>PA</t>
  </si>
  <si>
    <t>High</t>
  </si>
  <si>
    <t>Parking Lot</t>
  </si>
  <si>
    <t>Outside on School Property</t>
  </si>
  <si>
    <t>Yes</t>
  </si>
  <si>
    <t>Dismissal</t>
  </si>
  <si>
    <t>Shots fired during fight in the parking lot</t>
  </si>
  <si>
    <t>Escalation of Dispute</t>
  </si>
  <si>
    <t>Neither</t>
  </si>
  <si>
    <t>No</t>
  </si>
  <si>
    <t>20210907MAOMG</t>
  </si>
  <si>
    <t>O’Maley Innovation Middle School</t>
  </si>
  <si>
    <t>Fall</t>
  </si>
  <si>
    <t>Gloucester</t>
  </si>
  <si>
    <t>MA</t>
  </si>
  <si>
    <t>Middle</t>
  </si>
  <si>
    <t>Parking Lot</t>
  </si>
  <si>
    <t>Outside on School Property</t>
  </si>
  <si>
    <t>No</t>
  </si>
  <si>
    <t>Night</t>
  </si>
  <si>
    <t>Teens damaged 46 cars, 7 businesses, and broke 10 windows on a school bus during BB gun shooting spree</t>
  </si>
  <si>
    <t>Intentional Property Damage</t>
  </si>
  <si>
    <t>Random Shooting</t>
  </si>
  <si>
    <t>Yes</t>
  </si>
  <si>
    <t>No</t>
  </si>
  <si>
    <t>20210903CABUB</t>
  </si>
  <si>
    <t>Buena Park School District Bus</t>
  </si>
  <si>
    <t>Regional</t>
  </si>
  <si>
    <t>Fall</t>
  </si>
  <si>
    <t>Buena Park</t>
  </si>
  <si>
    <t>CA</t>
  </si>
  <si>
    <t>School Bus</t>
  </si>
  <si>
    <t>Yes</t>
  </si>
  <si>
    <t>Dismissal</t>
  </si>
  <si>
    <t>Man fired shot at occupied school bus, attempting to kill wife (bus driver)</t>
  </si>
  <si>
    <t>Domestic w/ Targeted Victim</t>
  </si>
  <si>
    <t>Victims Targeted</t>
  </si>
  <si>
    <t>No</t>
  </si>
  <si>
    <t>Yes</t>
  </si>
  <si>
    <t>No</t>
  </si>
  <si>
    <t>20210903CAMTH</t>
  </si>
  <si>
    <t>Mt. Eden High School</t>
  </si>
  <si>
    <t>Local</t>
  </si>
  <si>
    <t>Fall</t>
  </si>
  <si>
    <t>Hayward</t>
  </si>
  <si>
    <t>CA</t>
  </si>
  <si>
    <t>High</t>
  </si>
  <si>
    <t>Front of School</t>
  </si>
  <si>
    <t>Outside on School Property</t>
  </si>
  <si>
    <t>Yes</t>
  </si>
  <si>
    <t>School Start</t>
  </si>
  <si>
    <t>Teen fired shots a vehicle on campus, fled, and then attempted to re-enter school with handgun</t>
  </si>
  <si>
    <t>Victims Targeted</t>
  </si>
  <si>
    <t>No</t>
  </si>
  <si>
    <t>20210903NVDEL</t>
  </si>
  <si>
    <t>Desert Oasis High School</t>
  </si>
  <si>
    <t>Local</t>
  </si>
  <si>
    <t>Fall</t>
  </si>
  <si>
    <t>Las Vegas</t>
  </si>
  <si>
    <t>NV</t>
  </si>
  <si>
    <t>High</t>
  </si>
  <si>
    <t>Parking Lot</t>
  </si>
  <si>
    <t>Outside on School Property</t>
  </si>
  <si>
    <t>No</t>
  </si>
  <si>
    <t>Sport Event</t>
  </si>
  <si>
    <t>Shots fired into air during fight following football game</t>
  </si>
  <si>
    <t>Escalation of Dispute</t>
  </si>
  <si>
    <t>Neither</t>
  </si>
  <si>
    <t>No</t>
  </si>
  <si>
    <t>20210903NCJUC</t>
  </si>
  <si>
    <t>Julius Chambers High School</t>
  </si>
  <si>
    <t>Local</t>
  </si>
  <si>
    <t>Fall</t>
  </si>
  <si>
    <t>Charlotte</t>
  </si>
  <si>
    <t>NC</t>
  </si>
  <si>
    <t>High</t>
  </si>
  <si>
    <t>Football Field/Track</t>
  </si>
  <si>
    <t>Outside on School Property</t>
  </si>
  <si>
    <t>No</t>
  </si>
  <si>
    <t>Sport Event</t>
  </si>
  <si>
    <t>Multiple shots fired near stadium gate following football game</t>
  </si>
  <si>
    <t>Neither</t>
  </si>
  <si>
    <t>No</t>
  </si>
  <si>
    <t>20210902CASAL</t>
  </si>
  <si>
    <t>Santee High School</t>
  </si>
  <si>
    <t>Regional</t>
  </si>
  <si>
    <t>Fall</t>
  </si>
  <si>
    <t>Los Angeles</t>
  </si>
  <si>
    <t>CA</t>
  </si>
  <si>
    <t>High</t>
  </si>
  <si>
    <t>Football Field/Track</t>
  </si>
  <si>
    <t>Outside on School Property</t>
  </si>
  <si>
    <t>Yes</t>
  </si>
  <si>
    <t>Afternoon Classes</t>
  </si>
  <si>
    <t>Two students shot during fight on football field</t>
  </si>
  <si>
    <t>Escalation of Dispute</t>
  </si>
  <si>
    <t>Both</t>
  </si>
  <si>
    <t>Yes</t>
  </si>
  <si>
    <t>No</t>
  </si>
  <si>
    <t>20210902INWEG</t>
  </si>
  <si>
    <t>West Side Leadership Academy</t>
  </si>
  <si>
    <t>Local</t>
  </si>
  <si>
    <t>Fall</t>
  </si>
  <si>
    <t>Gary</t>
  </si>
  <si>
    <t>IN</t>
  </si>
  <si>
    <t>High</t>
  </si>
  <si>
    <t>School Bus</t>
  </si>
  <si>
    <t>Yes</t>
  </si>
  <si>
    <t>Dismissal</t>
  </si>
  <si>
    <t>Student shot getting off school bus</t>
  </si>
  <si>
    <t>Victims Targeted</t>
  </si>
  <si>
    <t>No</t>
  </si>
  <si>
    <t>20210902NMALA</t>
  </si>
  <si>
    <t>Albuquerque Christ Lutheran Church and School</t>
  </si>
  <si>
    <t>Local</t>
  </si>
  <si>
    <t>Fall</t>
  </si>
  <si>
    <t>Albuquerque</t>
  </si>
  <si>
    <t>NM</t>
  </si>
  <si>
    <t>K-8</t>
  </si>
  <si>
    <t>Parking Lot</t>
  </si>
  <si>
    <t>Outside on School Property</t>
  </si>
  <si>
    <t>Yes</t>
  </si>
  <si>
    <t>Lunch</t>
  </si>
  <si>
    <t>Student fired shots at vehicle in the parking lot</t>
  </si>
  <si>
    <t>Escalation of Dispute</t>
  </si>
  <si>
    <t>Victims Targeted</t>
  </si>
  <si>
    <t>No</t>
  </si>
  <si>
    <t>20210902GAWOS</t>
  </si>
  <si>
    <t>Woodland High School</t>
  </si>
  <si>
    <t>Local</t>
  </si>
  <si>
    <t>Fall</t>
  </si>
  <si>
    <t>Stockbridge</t>
  </si>
  <si>
    <t>GA</t>
  </si>
  <si>
    <t>High</t>
  </si>
  <si>
    <t>Outside on School Property</t>
  </si>
  <si>
    <t>Yes</t>
  </si>
  <si>
    <t>Morning Classes</t>
  </si>
  <si>
    <t>Man outside of school waving gun, school locked down</t>
  </si>
  <si>
    <t>Illegal Activity</t>
  </si>
  <si>
    <t>Neither</t>
  </si>
  <si>
    <t>No</t>
  </si>
  <si>
    <t>20210902ARLIL</t>
  </si>
  <si>
    <t>Little Rock Central High School</t>
  </si>
  <si>
    <t>Local</t>
  </si>
  <si>
    <t>Fall</t>
  </si>
  <si>
    <t>Little Rock</t>
  </si>
  <si>
    <t>AR</t>
  </si>
  <si>
    <t>High</t>
  </si>
  <si>
    <t>Front of School</t>
  </si>
  <si>
    <t>Outside on School Property</t>
  </si>
  <si>
    <t>Yes</t>
  </si>
  <si>
    <t>School Start</t>
  </si>
  <si>
    <t>Parent of student brandished gun during fight in front of school</t>
  </si>
  <si>
    <t>Escalation of Dispute</t>
  </si>
  <si>
    <t>Neither</t>
  </si>
  <si>
    <t>No</t>
  </si>
  <si>
    <t>20210901ILFRC</t>
  </si>
  <si>
    <t>Frazier International Magnet School</t>
  </si>
  <si>
    <t>Local</t>
  </si>
  <si>
    <t>Fall</t>
  </si>
  <si>
    <t>Chicago</t>
  </si>
  <si>
    <t>IL</t>
  </si>
  <si>
    <t>Elementary</t>
  </si>
  <si>
    <t>Front of School</t>
  </si>
  <si>
    <t>Outside on School Property</t>
  </si>
  <si>
    <t>No</t>
  </si>
  <si>
    <t>Before School</t>
  </si>
  <si>
    <t>Adult man fatally shot in front of the school</t>
  </si>
  <si>
    <t>Victims Targeted</t>
  </si>
  <si>
    <t>No</t>
  </si>
  <si>
    <t>20210901NCMTW</t>
  </si>
  <si>
    <t>Mt. Tabor High School</t>
  </si>
  <si>
    <t>International</t>
  </si>
  <si>
    <t>Fall</t>
  </si>
  <si>
    <t>Winston Salem</t>
  </si>
  <si>
    <t>NC</t>
  </si>
  <si>
    <t>High</t>
  </si>
  <si>
    <t>Hallway</t>
  </si>
  <si>
    <t>Inside School Building</t>
  </si>
  <si>
    <t>Yes</t>
  </si>
  <si>
    <t>Lunch</t>
  </si>
  <si>
    <t>Student shot another student inside the school and fled the area</t>
  </si>
  <si>
    <t>Victims Targeted</t>
  </si>
  <si>
    <t>No</t>
  </si>
  <si>
    <t>20210830MDNEO</t>
  </si>
  <si>
    <t>New Town High School</t>
  </si>
  <si>
    <t>Local</t>
  </si>
  <si>
    <t>Fall</t>
  </si>
  <si>
    <t>Owings Mills</t>
  </si>
  <si>
    <t>MD</t>
  </si>
  <si>
    <t>High</t>
  </si>
  <si>
    <t>Outside on School Property</t>
  </si>
  <si>
    <t>Yes</t>
  </si>
  <si>
    <t>Dismissal</t>
  </si>
  <si>
    <t>Adult male fired shots during fight outside the school</t>
  </si>
  <si>
    <t>Escalation of Dispute</t>
  </si>
  <si>
    <t>Neither</t>
  </si>
  <si>
    <t>No</t>
  </si>
  <si>
    <t>20210830FLOKW</t>
  </si>
  <si>
    <t>Okeeheelee Middle School</t>
  </si>
  <si>
    <t>Local</t>
  </si>
  <si>
    <t>Fall</t>
  </si>
  <si>
    <t>West Palm Beach</t>
  </si>
  <si>
    <t>FL</t>
  </si>
  <si>
    <t>Middle</t>
  </si>
  <si>
    <t>School Bus</t>
  </si>
  <si>
    <t>Yes</t>
  </si>
  <si>
    <t>Dismissal</t>
  </si>
  <si>
    <t>Female student shot in the neck with a pellet gun on the school bus</t>
  </si>
  <si>
    <t>No</t>
  </si>
  <si>
    <t>20210830NJWEN</t>
  </si>
  <si>
    <t>West Side High School</t>
  </si>
  <si>
    <t>Local</t>
  </si>
  <si>
    <t>Fall</t>
  </si>
  <si>
    <t>Newark</t>
  </si>
  <si>
    <t>NJ</t>
  </si>
  <si>
    <t>High</t>
  </si>
  <si>
    <t>Front of School</t>
  </si>
  <si>
    <t>Outside on School Property</t>
  </si>
  <si>
    <t>Yes</t>
  </si>
  <si>
    <t>Evening</t>
  </si>
  <si>
    <t>Teen fatally shot leaving night program at the school</t>
  </si>
  <si>
    <t>Victims Targeted</t>
  </si>
  <si>
    <t>No</t>
  </si>
  <si>
    <t>20210830NCNEW</t>
  </si>
  <si>
    <t>New Hanover High School</t>
  </si>
  <si>
    <t>National</t>
  </si>
  <si>
    <t>Fall</t>
  </si>
  <si>
    <t>Wilmington</t>
  </si>
  <si>
    <t>NC</t>
  </si>
  <si>
    <t>High</t>
  </si>
  <si>
    <t>Hallway</t>
  </si>
  <si>
    <t>Inside School Building</t>
  </si>
  <si>
    <t>Yes</t>
  </si>
  <si>
    <t>Morning Classes</t>
  </si>
  <si>
    <t>Student shot during large fight in hallway</t>
  </si>
  <si>
    <t>Escalation of Dispute</t>
  </si>
  <si>
    <t>Victims Targeted</t>
  </si>
  <si>
    <t>No</t>
  </si>
  <si>
    <t>Yes</t>
  </si>
  <si>
    <t>No</t>
  </si>
  <si>
    <t>20210828CASAS</t>
  </si>
  <si>
    <t>Santa Maria High School</t>
  </si>
  <si>
    <t>Local</t>
  </si>
  <si>
    <t>Fall</t>
  </si>
  <si>
    <t>Santa Maria</t>
  </si>
  <si>
    <t>CA</t>
  </si>
  <si>
    <t>High</t>
  </si>
  <si>
    <t>Football Field/Track</t>
  </si>
  <si>
    <t>Outside on School Property</t>
  </si>
  <si>
    <t>No</t>
  </si>
  <si>
    <t>Sport Event</t>
  </si>
  <si>
    <t>Police called for shots fired at football game, police recovered gun</t>
  </si>
  <si>
    <t>No</t>
  </si>
  <si>
    <t>20210827VTEDB</t>
  </si>
  <si>
    <t>Edmunds Middle School</t>
  </si>
  <si>
    <t>Local</t>
  </si>
  <si>
    <t>Fall</t>
  </si>
  <si>
    <t>Burlington</t>
  </si>
  <si>
    <t>VT</t>
  </si>
  <si>
    <t>Middle</t>
  </si>
  <si>
    <t>Front of School</t>
  </si>
  <si>
    <t>Both Inside/Outside</t>
  </si>
  <si>
    <t>No</t>
  </si>
  <si>
    <t>Before School</t>
  </si>
  <si>
    <t>Bullet hole found in school window, classes cancelled at 2 schools</t>
  </si>
  <si>
    <t>Intentional Property Damage</t>
  </si>
  <si>
    <t>Neither</t>
  </si>
  <si>
    <t>No</t>
  </si>
  <si>
    <t>20210827INHAH</t>
  </si>
  <si>
    <t>Hammond Central High School</t>
  </si>
  <si>
    <t>Local</t>
  </si>
  <si>
    <t>Fall</t>
  </si>
  <si>
    <t>Hammond</t>
  </si>
  <si>
    <t>IN</t>
  </si>
  <si>
    <t>High</t>
  </si>
  <si>
    <t>Beside Building</t>
  </si>
  <si>
    <t>Outside on School Property</t>
  </si>
  <si>
    <t>Yes</t>
  </si>
  <si>
    <t>Dismissal</t>
  </si>
  <si>
    <t>Two student shot beside the school building</t>
  </si>
  <si>
    <t>Illegal Activity</t>
  </si>
  <si>
    <t>Both</t>
  </si>
  <si>
    <t>Yes</t>
  </si>
  <si>
    <t>No</t>
  </si>
  <si>
    <t>20210827VAFRW</t>
  </si>
  <si>
    <t>Freedom High School</t>
  </si>
  <si>
    <t>Regional</t>
  </si>
  <si>
    <t>Fall</t>
  </si>
  <si>
    <t>Woodbridge</t>
  </si>
  <si>
    <t>VA</t>
  </si>
  <si>
    <t>High</t>
  </si>
  <si>
    <t>Parking Lot</t>
  </si>
  <si>
    <t>Outside on School Property</t>
  </si>
  <si>
    <t>No</t>
  </si>
  <si>
    <t>Sport Event</t>
  </si>
  <si>
    <t>Teen fired shots into the crowd following football game</t>
  </si>
  <si>
    <t>Escalation of Dispute</t>
  </si>
  <si>
    <t>Both</t>
  </si>
  <si>
    <t>No</t>
  </si>
  <si>
    <t>20210827PAACS</t>
  </si>
  <si>
    <t>Academy Park High School</t>
  </si>
  <si>
    <t>National</t>
  </si>
  <si>
    <t>Fall</t>
  </si>
  <si>
    <t>Sharon Hill</t>
  </si>
  <si>
    <t>PA</t>
  </si>
  <si>
    <t>High</t>
  </si>
  <si>
    <t>Football Field/Track</t>
  </si>
  <si>
    <t>Outside on School Property</t>
  </si>
  <si>
    <t>No</t>
  </si>
  <si>
    <t>Sport Event</t>
  </si>
  <si>
    <t>Three officers fired into crowd following football game</t>
  </si>
  <si>
    <t>Escalation of Dispute</t>
  </si>
  <si>
    <t>Random Shooting</t>
  </si>
  <si>
    <t>No</t>
  </si>
  <si>
    <t>20210827KYAPO</t>
  </si>
  <si>
    <t>Apollo High School</t>
  </si>
  <si>
    <t>Local</t>
  </si>
  <si>
    <t>Fall</t>
  </si>
  <si>
    <t>Owensboro</t>
  </si>
  <si>
    <t>KY</t>
  </si>
  <si>
    <t>High</t>
  </si>
  <si>
    <t>Parking Lot</t>
  </si>
  <si>
    <t>Outside on School Property</t>
  </si>
  <si>
    <t>No</t>
  </si>
  <si>
    <t>Sport Event</t>
  </si>
  <si>
    <t>Man shot during fight following football game</t>
  </si>
  <si>
    <t>Escalation of Dispute</t>
  </si>
  <si>
    <t>Victims Targeted</t>
  </si>
  <si>
    <t>No</t>
  </si>
  <si>
    <t>20210826WAAKS</t>
  </si>
  <si>
    <t>Aki Kurose Middle School</t>
  </si>
  <si>
    <t>Local</t>
  </si>
  <si>
    <t>Fall</t>
  </si>
  <si>
    <t>Seattle</t>
  </si>
  <si>
    <t>WA</t>
  </si>
  <si>
    <t>Middle</t>
  </si>
  <si>
    <t>Front of School</t>
  </si>
  <si>
    <t>Outside on School Property</t>
  </si>
  <si>
    <t>No</t>
  </si>
  <si>
    <t>Evening</t>
  </si>
  <si>
    <t>Teen was sitting on front steps of school when he was shot multiple times by another teen</t>
  </si>
  <si>
    <t>Victims Targeted</t>
  </si>
  <si>
    <t>No</t>
  </si>
  <si>
    <t>20210826NYHAH</t>
  </si>
  <si>
    <t>Hauppauge Middle School</t>
  </si>
  <si>
    <t>Local</t>
  </si>
  <si>
    <t>Fall</t>
  </si>
  <si>
    <t>Hauppauge</t>
  </si>
  <si>
    <t>NY</t>
  </si>
  <si>
    <t>Middle</t>
  </si>
  <si>
    <t>Beside Building</t>
  </si>
  <si>
    <t>Outside on School Property</t>
  </si>
  <si>
    <t>Yes</t>
  </si>
  <si>
    <t>Morning Classes</t>
  </si>
  <si>
    <t>Man fired shots during dispute, then fired at security officer</t>
  </si>
  <si>
    <t>Escalation of Dispute</t>
  </si>
  <si>
    <t>Both</t>
  </si>
  <si>
    <t>No</t>
  </si>
  <si>
    <t>20210826OHNOT</t>
  </si>
  <si>
    <t>Northpointe Academy Elementary School</t>
  </si>
  <si>
    <t>Local</t>
  </si>
  <si>
    <t>Fall</t>
  </si>
  <si>
    <t>Toledo</t>
  </si>
  <si>
    <t>OH</t>
  </si>
  <si>
    <t>Elementary</t>
  </si>
  <si>
    <t>Football Field/Track</t>
  </si>
  <si>
    <t>Outside on School Property</t>
  </si>
  <si>
    <t>No</t>
  </si>
  <si>
    <t>Sport Event</t>
  </si>
  <si>
    <t>Coach fired shots into the air during fight at football game</t>
  </si>
  <si>
    <t>Escalation of Dispute</t>
  </si>
  <si>
    <t>Neither</t>
  </si>
  <si>
    <t>No</t>
  </si>
  <si>
    <t>20210822ILWER</t>
  </si>
  <si>
    <t>West Middle School</t>
  </si>
  <si>
    <t>Local</t>
  </si>
  <si>
    <t>Fall</t>
  </si>
  <si>
    <t>Rockford</t>
  </si>
  <si>
    <t>IL</t>
  </si>
  <si>
    <t>Middle</t>
  </si>
  <si>
    <t>Parking Lot</t>
  </si>
  <si>
    <t>Outside on School Property</t>
  </si>
  <si>
    <t>No</t>
  </si>
  <si>
    <t>Not a School Day</t>
  </si>
  <si>
    <t>Teen shot during fight in the school parking lot</t>
  </si>
  <si>
    <t>Escalation of Dispute</t>
  </si>
  <si>
    <t>Victims Targeted</t>
  </si>
  <si>
    <t>No</t>
  </si>
  <si>
    <t>20210820NEMIO</t>
  </si>
  <si>
    <t>Miller Park Elementary</t>
  </si>
  <si>
    <t>Local</t>
  </si>
  <si>
    <t>Fall</t>
  </si>
  <si>
    <t>Omaha</t>
  </si>
  <si>
    <t>NE</t>
  </si>
  <si>
    <t>Elementary</t>
  </si>
  <si>
    <t>Playground</t>
  </si>
  <si>
    <t>Outside on School Property</t>
  </si>
  <si>
    <t>No</t>
  </si>
  <si>
    <t>Night</t>
  </si>
  <si>
    <t>Two adults shot in front of elementary school</t>
  </si>
  <si>
    <t>Victims Targeted</t>
  </si>
  <si>
    <t>No</t>
  </si>
  <si>
    <t>20210820CACEF</t>
  </si>
  <si>
    <t>Central High-Bullard High</t>
  </si>
  <si>
    <t>Local</t>
  </si>
  <si>
    <t>Fall</t>
  </si>
  <si>
    <t>Fresno</t>
  </si>
  <si>
    <t>CA</t>
  </si>
  <si>
    <t>High</t>
  </si>
  <si>
    <t>Parking Lot</t>
  </si>
  <si>
    <t>Outside on School Property</t>
  </si>
  <si>
    <t>No</t>
  </si>
  <si>
    <t>Sport Event</t>
  </si>
  <si>
    <t>Teen shot multiple times in the parking lot following football game</t>
  </si>
  <si>
    <t>Escalation of Dispute</t>
  </si>
  <si>
    <t>Victims Targeted</t>
  </si>
  <si>
    <t>No</t>
  </si>
  <si>
    <t>20210818SCORO</t>
  </si>
  <si>
    <t>Orangeburg-Wilkinson High School</t>
  </si>
  <si>
    <t>Regional</t>
  </si>
  <si>
    <t>Fall</t>
  </si>
  <si>
    <t>Orangeburg</t>
  </si>
  <si>
    <t>SC</t>
  </si>
  <si>
    <t>High</t>
  </si>
  <si>
    <t>Parking Lot</t>
  </si>
  <si>
    <t>Outside on School Property</t>
  </si>
  <si>
    <t>Yes</t>
  </si>
  <si>
    <t>Dismissal</t>
  </si>
  <si>
    <t>Teen shot 3 students in school parking lot during dismissal</t>
  </si>
  <si>
    <t>Escalation of Dispute</t>
  </si>
  <si>
    <t>Both</t>
  </si>
  <si>
    <t>No</t>
  </si>
  <si>
    <t>Yes</t>
  </si>
  <si>
    <t>No</t>
  </si>
  <si>
    <t>20210817COYED</t>
  </si>
  <si>
    <t>Yeshiva Toras Chaim High School</t>
  </si>
  <si>
    <t>Regional</t>
  </si>
  <si>
    <t>Fall</t>
  </si>
  <si>
    <t>Denver</t>
  </si>
  <si>
    <t>CO</t>
  </si>
  <si>
    <t>High</t>
  </si>
  <si>
    <t>Front of School</t>
  </si>
  <si>
    <t>Outside on School Property</t>
  </si>
  <si>
    <t>Yes</t>
  </si>
  <si>
    <t>Night</t>
  </si>
  <si>
    <t>Student fatally shot during robbery in front of school</t>
  </si>
  <si>
    <t>Illegal Activity</t>
  </si>
  <si>
    <t>Victims Targeted</t>
  </si>
  <si>
    <t>Yes</t>
  </si>
  <si>
    <t>No</t>
  </si>
  <si>
    <t>20210815VAROD</t>
  </si>
  <si>
    <t>Rosa Park Elementary School</t>
  </si>
  <si>
    <t>Local</t>
  </si>
  <si>
    <t>Summer</t>
  </si>
  <si>
    <t>Dale City</t>
  </si>
  <si>
    <t>VA</t>
  </si>
  <si>
    <t>Elementary</t>
  </si>
  <si>
    <t>Parking Lot</t>
  </si>
  <si>
    <t>Outside on School Property</t>
  </si>
  <si>
    <t>No</t>
  </si>
  <si>
    <t>Not a School Day</t>
  </si>
  <si>
    <t>Shots fired in school parking lot during fight between a group of people</t>
  </si>
  <si>
    <t>Escalation of Dispute</t>
  </si>
  <si>
    <t>Neither</t>
  </si>
  <si>
    <t>No</t>
  </si>
  <si>
    <t>20210814SCDAH</t>
  </si>
  <si>
    <t>Darlington County School District Buses</t>
  </si>
  <si>
    <t>Summer</t>
  </si>
  <si>
    <t>Hartsville</t>
  </si>
  <si>
    <t>SC</t>
  </si>
  <si>
    <t>School Bus</t>
  </si>
  <si>
    <t>Not a School Day</t>
  </si>
  <si>
    <t>Windows of 6 school buses shot with BBs</t>
  </si>
  <si>
    <t>Intentional Property Damage</t>
  </si>
  <si>
    <t>Neither</t>
  </si>
  <si>
    <t>No</t>
  </si>
  <si>
    <t>20210814ILMAC</t>
  </si>
  <si>
    <t>Mary E. McDowell Elementary School</t>
  </si>
  <si>
    <t>Local</t>
  </si>
  <si>
    <t>Summer</t>
  </si>
  <si>
    <t>Chicago</t>
  </si>
  <si>
    <t>IL</t>
  </si>
  <si>
    <t>Elementary</t>
  </si>
  <si>
    <t>Outside on School Property</t>
  </si>
  <si>
    <t>No</t>
  </si>
  <si>
    <t>Not a School Day</t>
  </si>
  <si>
    <t>Teen shot during drive-by outside elementary school</t>
  </si>
  <si>
    <t>Drive-by Shooting</t>
  </si>
  <si>
    <t>Victims Targeted</t>
  </si>
  <si>
    <t>No</t>
  </si>
  <si>
    <t>20210813NMWAA</t>
  </si>
  <si>
    <t>Washington Middle School</t>
  </si>
  <si>
    <t>National</t>
  </si>
  <si>
    <t>Fall</t>
  </si>
  <si>
    <t>Albuquerque</t>
  </si>
  <si>
    <t>NM</t>
  </si>
  <si>
    <t>Middle</t>
  </si>
  <si>
    <t>Playground</t>
  </si>
  <si>
    <t>Outside on School Property</t>
  </si>
  <si>
    <t>Yes</t>
  </si>
  <si>
    <t>Lunch</t>
  </si>
  <si>
    <t>Student shot another student during recess following a prior dispute</t>
  </si>
  <si>
    <t>Escalation of Dispute</t>
  </si>
  <si>
    <t>Victims Targeted</t>
  </si>
  <si>
    <t>No</t>
  </si>
  <si>
    <t>Yes</t>
  </si>
  <si>
    <t>No</t>
  </si>
  <si>
    <t>20210813GACAS</t>
  </si>
  <si>
    <t>Campbell High SChool</t>
  </si>
  <si>
    <t>Regional</t>
  </si>
  <si>
    <t>Fall</t>
  </si>
  <si>
    <t>Smyrna</t>
  </si>
  <si>
    <t>GA</t>
  </si>
  <si>
    <t>High</t>
  </si>
  <si>
    <t>Football Field/Track</t>
  </si>
  <si>
    <t>Outside on School Property</t>
  </si>
  <si>
    <t>No</t>
  </si>
  <si>
    <t>Sport Event</t>
  </si>
  <si>
    <t>Shots fired during fight following high school football game</t>
  </si>
  <si>
    <t>Escalation of Dispute</t>
  </si>
  <si>
    <t>Neither</t>
  </si>
  <si>
    <t>No</t>
  </si>
  <si>
    <t>20210812GALIL</t>
  </si>
  <si>
    <t>Lithonia High School</t>
  </si>
  <si>
    <t>Regional</t>
  </si>
  <si>
    <t>Fall</t>
  </si>
  <si>
    <t>Lithonia</t>
  </si>
  <si>
    <t>GA</t>
  </si>
  <si>
    <t>High</t>
  </si>
  <si>
    <t>Parking Lot</t>
  </si>
  <si>
    <t>Outside on School Property</t>
  </si>
  <si>
    <t>Yes</t>
  </si>
  <si>
    <t>Afternoon Classes</t>
  </si>
  <si>
    <t>SRO attempted to stop 2 men, they fled in vehicle, and SRO fired shots at the vehicle</t>
  </si>
  <si>
    <t>Officer-Involved Shooting</t>
  </si>
  <si>
    <t>20210812CANOS</t>
  </si>
  <si>
    <t>North Mountain Middle School</t>
  </si>
  <si>
    <t>Local</t>
  </si>
  <si>
    <t>Fall</t>
  </si>
  <si>
    <t>San Jacinto</t>
  </si>
  <si>
    <t>CA</t>
  </si>
  <si>
    <t>Middle</t>
  </si>
  <si>
    <t>Bathroom</t>
  </si>
  <si>
    <t>Inside School Building</t>
  </si>
  <si>
    <t>Yes</t>
  </si>
  <si>
    <t>School Start</t>
  </si>
  <si>
    <t>Student fired shot in the school bathroom</t>
  </si>
  <si>
    <t>Neither</t>
  </si>
  <si>
    <t>No</t>
  </si>
  <si>
    <t>20210811CAOAO</t>
  </si>
  <si>
    <t>Oakland Tech High School</t>
  </si>
  <si>
    <t>Local</t>
  </si>
  <si>
    <t>Fall</t>
  </si>
  <si>
    <t>Oakland</t>
  </si>
  <si>
    <t>CA</t>
  </si>
  <si>
    <t>High</t>
  </si>
  <si>
    <t>Beside Building</t>
  </si>
  <si>
    <t>Outside on School Property</t>
  </si>
  <si>
    <t>Yes</t>
  </si>
  <si>
    <t>Dismissal</t>
  </si>
  <si>
    <t>Shots fired outside of the school during dismissal</t>
  </si>
  <si>
    <t>No</t>
  </si>
  <si>
    <t>20210811COMAC</t>
  </si>
  <si>
    <t>Mark Twain Elementary School</t>
  </si>
  <si>
    <t>Local</t>
  </si>
  <si>
    <t>Summer</t>
  </si>
  <si>
    <t>Colorado Springs</t>
  </si>
  <si>
    <t>CO</t>
  </si>
  <si>
    <t>Elementary</t>
  </si>
  <si>
    <t>Outside on School Property</t>
  </si>
  <si>
    <t>No</t>
  </si>
  <si>
    <t>Night</t>
  </si>
  <si>
    <t>Man shot outside of the school</t>
  </si>
  <si>
    <t>No</t>
  </si>
  <si>
    <t>20210810OHEAC</t>
  </si>
  <si>
    <t>East Linden Elementary School</t>
  </si>
  <si>
    <t>Local</t>
  </si>
  <si>
    <t>Summer</t>
  </si>
  <si>
    <t>Columbus</t>
  </si>
  <si>
    <t>OH</t>
  </si>
  <si>
    <t>Elementary</t>
  </si>
  <si>
    <t>Beside Building</t>
  </si>
  <si>
    <t>Outside on School Property</t>
  </si>
  <si>
    <t>No</t>
  </si>
  <si>
    <t>Evening</t>
  </si>
  <si>
    <t>Group of teens was playing with gun, one shot was fired striking a teen</t>
  </si>
  <si>
    <t>Accidental</t>
  </si>
  <si>
    <t>Random Shooting</t>
  </si>
  <si>
    <t>No</t>
  </si>
  <si>
    <t>20210807ORGIP</t>
  </si>
  <si>
    <t>Gilbert Heights Elementary School</t>
  </si>
  <si>
    <t>Local</t>
  </si>
  <si>
    <t>Summer</t>
  </si>
  <si>
    <t>Portland</t>
  </si>
  <si>
    <t>OR</t>
  </si>
  <si>
    <t>Elementary</t>
  </si>
  <si>
    <t>Parking Lot</t>
  </si>
  <si>
    <t>Outside on School Property</t>
  </si>
  <si>
    <t>No</t>
  </si>
  <si>
    <t>Night</t>
  </si>
  <si>
    <t>Man found fatally shot in school parking lot</t>
  </si>
  <si>
    <t>No</t>
  </si>
  <si>
    <t>20210806LASTH</t>
  </si>
  <si>
    <t>St. Francis de Sales school</t>
  </si>
  <si>
    <t>Local</t>
  </si>
  <si>
    <t>Summer</t>
  </si>
  <si>
    <t>Houma</t>
  </si>
  <si>
    <t>LA</t>
  </si>
  <si>
    <t>K-8</t>
  </si>
  <si>
    <t>Front of School</t>
  </si>
  <si>
    <t>Outside on School Property</t>
  </si>
  <si>
    <t>Yes</t>
  </si>
  <si>
    <t>Dismissal</t>
  </si>
  <si>
    <t>Woman shot inside her car in pick-up line during attempted robbery</t>
  </si>
  <si>
    <t>Illegal Activity</t>
  </si>
  <si>
    <t>Random Shooting</t>
  </si>
  <si>
    <t>No</t>
  </si>
  <si>
    <t>20210805GACHD</t>
  </si>
  <si>
    <t>Chapel Hill Middle School</t>
  </si>
  <si>
    <t>National</t>
  </si>
  <si>
    <t>Summer</t>
  </si>
  <si>
    <t>Douglasville</t>
  </si>
  <si>
    <t>GA</t>
  </si>
  <si>
    <t>Middle</t>
  </si>
  <si>
    <t>Office</t>
  </si>
  <si>
    <t>Inside School Building</t>
  </si>
  <si>
    <t>No</t>
  </si>
  <si>
    <t>Night</t>
  </si>
  <si>
    <t>Teacher set fired to school office and fired shots, placed on admin leave day prior</t>
  </si>
  <si>
    <t>Intentional Property Damage</t>
  </si>
  <si>
    <t>Neither</t>
  </si>
  <si>
    <t>No</t>
  </si>
  <si>
    <t>20210804ALBUM</t>
  </si>
  <si>
    <t>Burns Middle School</t>
  </si>
  <si>
    <t>Local</t>
  </si>
  <si>
    <t>Summer</t>
  </si>
  <si>
    <t>Mobile</t>
  </si>
  <si>
    <t>AL</t>
  </si>
  <si>
    <t>Middle</t>
  </si>
  <si>
    <t>Parking Lot</t>
  </si>
  <si>
    <t>Outside on School Property</t>
  </si>
  <si>
    <t>No</t>
  </si>
  <si>
    <t>Night</t>
  </si>
  <si>
    <t>Two teens shot in school parking lot</t>
  </si>
  <si>
    <t>No</t>
  </si>
  <si>
    <t>20210727WATYS</t>
  </si>
  <si>
    <t>Tyee High School</t>
  </si>
  <si>
    <t>Local</t>
  </si>
  <si>
    <t>Summer</t>
  </si>
  <si>
    <t>SeaTac</t>
  </si>
  <si>
    <t>WA</t>
  </si>
  <si>
    <t>High</t>
  </si>
  <si>
    <t>Basketball Court</t>
  </si>
  <si>
    <t>Outside on School Property</t>
  </si>
  <si>
    <t>No</t>
  </si>
  <si>
    <t>Night</t>
  </si>
  <si>
    <t>Adult man fatally shot on school basketball court</t>
  </si>
  <si>
    <t>No</t>
  </si>
  <si>
    <t>20210721ILTHC</t>
  </si>
  <si>
    <t>Theodore Herzl Elementary School</t>
  </si>
  <si>
    <t>Local</t>
  </si>
  <si>
    <t>Summer</t>
  </si>
  <si>
    <t>Chicago</t>
  </si>
  <si>
    <t>IL</t>
  </si>
  <si>
    <t>Elementary</t>
  </si>
  <si>
    <t>Front of School</t>
  </si>
  <si>
    <t>Outside on School Property</t>
  </si>
  <si>
    <t>No</t>
  </si>
  <si>
    <t>Evening</t>
  </si>
  <si>
    <t>5 people shot outside of elementary school</t>
  </si>
  <si>
    <t>Drive-by Shooting</t>
  </si>
  <si>
    <t>No</t>
  </si>
  <si>
    <t>20210719TXCAC</t>
  </si>
  <si>
    <t>Caldwell High School</t>
  </si>
  <si>
    <t>Local</t>
  </si>
  <si>
    <t>Summer</t>
  </si>
  <si>
    <t>Caldwell</t>
  </si>
  <si>
    <t>TX</t>
  </si>
  <si>
    <t>High</t>
  </si>
  <si>
    <t>Parking Lot</t>
  </si>
  <si>
    <t>Outside on School Property</t>
  </si>
  <si>
    <t>Yes</t>
  </si>
  <si>
    <t>Afternoon Classes</t>
  </si>
  <si>
    <t>Teen in a vehicle fired "hydroball" gun at students in the parking lot</t>
  </si>
  <si>
    <t>Drive-by Shooting</t>
  </si>
  <si>
    <t>Random Shooting</t>
  </si>
  <si>
    <t>Yes</t>
  </si>
  <si>
    <t>No</t>
  </si>
  <si>
    <t>20210718ARFOL</t>
  </si>
  <si>
    <t>Forest Park Elementary</t>
  </si>
  <si>
    <t>Local</t>
  </si>
  <si>
    <t>Summer</t>
  </si>
  <si>
    <t>Little Rock</t>
  </si>
  <si>
    <t>AL</t>
  </si>
  <si>
    <t>Elementary</t>
  </si>
  <si>
    <t>Basketball Court</t>
  </si>
  <si>
    <t>Outside on School Property</t>
  </si>
  <si>
    <t>No</t>
  </si>
  <si>
    <t>Not a School Day</t>
  </si>
  <si>
    <t>Shots fired on school basketball court</t>
  </si>
  <si>
    <t>No</t>
  </si>
  <si>
    <t>20210709KSCAW</t>
  </si>
  <si>
    <t>Campus High School</t>
  </si>
  <si>
    <t>Local</t>
  </si>
  <si>
    <t>Summer</t>
  </si>
  <si>
    <t>Wichita</t>
  </si>
  <si>
    <t>KS</t>
  </si>
  <si>
    <t>High</t>
  </si>
  <si>
    <t>Field (General)</t>
  </si>
  <si>
    <t>Outside on School Property</t>
  </si>
  <si>
    <t>No</t>
  </si>
  <si>
    <t>Not a School Day</t>
  </si>
  <si>
    <t>Following police chase, vehicle crashed and caught fire on the field in front of the high school, driver fired shots at officers</t>
  </si>
  <si>
    <t>Suicide/Attempted</t>
  </si>
  <si>
    <t>Random Shooting</t>
  </si>
  <si>
    <t>No</t>
  </si>
  <si>
    <t>20210708ILBEC</t>
  </si>
  <si>
    <t>Benito Juarez Community Academy</t>
  </si>
  <si>
    <t>Local</t>
  </si>
  <si>
    <t>Summer</t>
  </si>
  <si>
    <t>Chicago</t>
  </si>
  <si>
    <t>IL</t>
  </si>
  <si>
    <t>High</t>
  </si>
  <si>
    <t>Front of School</t>
  </si>
  <si>
    <t>Outside on School Property</t>
  </si>
  <si>
    <t>Yes</t>
  </si>
  <si>
    <t>Afternoon Classes</t>
  </si>
  <si>
    <t>Teen student bystander struck during shooting resulting from fight between 2 adult women</t>
  </si>
  <si>
    <t>Drive-by Shooting</t>
  </si>
  <si>
    <t>Both</t>
  </si>
  <si>
    <t>No</t>
  </si>
  <si>
    <t>20210704NYDRR</t>
  </si>
  <si>
    <t>Dr. Louis A. Cerulli School No. 34</t>
  </si>
  <si>
    <t>Local</t>
  </si>
  <si>
    <t>Summer</t>
  </si>
  <si>
    <t>Rochester</t>
  </si>
  <si>
    <t>NY</t>
  </si>
  <si>
    <t>High</t>
  </si>
  <si>
    <t>Parking Lot</t>
  </si>
  <si>
    <t>Outside on School Property</t>
  </si>
  <si>
    <t>No</t>
  </si>
  <si>
    <t>Night</t>
  </si>
  <si>
    <t>Teen sitting in vehicle shot during drive-by in school parking lot</t>
  </si>
  <si>
    <t>Drive-by Shooting</t>
  </si>
  <si>
    <t>No</t>
  </si>
  <si>
    <t>20210628CASLF</t>
  </si>
  <si>
    <t>Slater Elementary School</t>
  </si>
  <si>
    <t>Local</t>
  </si>
  <si>
    <t>Summer</t>
  </si>
  <si>
    <t>Fresno</t>
  </si>
  <si>
    <t>CA</t>
  </si>
  <si>
    <t>Elementary</t>
  </si>
  <si>
    <t>Field (General)</t>
  </si>
  <si>
    <t>Outside on School Property</t>
  </si>
  <si>
    <t>No</t>
  </si>
  <si>
    <t>Not a School Day</t>
  </si>
  <si>
    <t>Shot fired at vehicle that crashed through fence onto school property</t>
  </si>
  <si>
    <t>Drive-by Shooting</t>
  </si>
  <si>
    <t>Victims Targeted</t>
  </si>
  <si>
    <t>No</t>
  </si>
  <si>
    <t>20210624ILABR</t>
  </si>
  <si>
    <t>Abraham Lincoln Middle School</t>
  </si>
  <si>
    <t>Local</t>
  </si>
  <si>
    <t>Summer</t>
  </si>
  <si>
    <t>Rockford</t>
  </si>
  <si>
    <t>IL</t>
  </si>
  <si>
    <t>Middle</t>
  </si>
  <si>
    <t>Front of School</t>
  </si>
  <si>
    <t>Outside on School Property</t>
  </si>
  <si>
    <t>No</t>
  </si>
  <si>
    <t>Evening</t>
  </si>
  <si>
    <t>Man shot while driving, crashed his vehicle on the front lawn of the school</t>
  </si>
  <si>
    <t>Drive-by Shooting</t>
  </si>
  <si>
    <t>No</t>
  </si>
  <si>
    <t>20210620CAGRM</t>
  </si>
  <si>
    <t>Modesto Christian School</t>
  </si>
  <si>
    <t>Local</t>
  </si>
  <si>
    <t>Summer</t>
  </si>
  <si>
    <t>Modesto</t>
  </si>
  <si>
    <t>CA</t>
  </si>
  <si>
    <t>K-12</t>
  </si>
  <si>
    <t>Parking Lot</t>
  </si>
  <si>
    <t>Outside on School Property</t>
  </si>
  <si>
    <t>No</t>
  </si>
  <si>
    <t>Not a School Day</t>
  </si>
  <si>
    <t>Armed security guard fired at man who attempted to run him over with vehicle</t>
  </si>
  <si>
    <t>Illegal Activity</t>
  </si>
  <si>
    <t>Neither</t>
  </si>
  <si>
    <t>No</t>
  </si>
  <si>
    <t>20210614TXEAF</t>
  </si>
  <si>
    <t>Eastern Hills High School</t>
  </si>
  <si>
    <t>Local</t>
  </si>
  <si>
    <t>Summer</t>
  </si>
  <si>
    <t>Fort Worth</t>
  </si>
  <si>
    <t>TX</t>
  </si>
  <si>
    <t>High</t>
  </si>
  <si>
    <t>Parking Lot</t>
  </si>
  <si>
    <t>Outside on School Property</t>
  </si>
  <si>
    <t>No</t>
  </si>
  <si>
    <t>Evening</t>
  </si>
  <si>
    <t>Man shot during robbery in school parking lot</t>
  </si>
  <si>
    <t>Illegal Activity</t>
  </si>
  <si>
    <t>Victims Targeted</t>
  </si>
  <si>
    <t>Yes</t>
  </si>
  <si>
    <t>No</t>
  </si>
  <si>
    <t>20210614NCROR</t>
  </si>
  <si>
    <t>Rowland Middle School</t>
  </si>
  <si>
    <t>Local</t>
  </si>
  <si>
    <t>Summer</t>
  </si>
  <si>
    <t>Rowland</t>
  </si>
  <si>
    <t>NC</t>
  </si>
  <si>
    <t>Middle</t>
  </si>
  <si>
    <t>Parking Lot</t>
  </si>
  <si>
    <t>Outside on School Property</t>
  </si>
  <si>
    <t>No</t>
  </si>
  <si>
    <t>Evening</t>
  </si>
  <si>
    <t>6 vehicles shot in school parking lot, several individuals fired shots</t>
  </si>
  <si>
    <t>Yes</t>
  </si>
  <si>
    <t>No</t>
  </si>
  <si>
    <t>20210614NCRJW</t>
  </si>
  <si>
    <t>R.J. Reynolds High School</t>
  </si>
  <si>
    <t>Local</t>
  </si>
  <si>
    <t>Summer</t>
  </si>
  <si>
    <t>Winston Salem</t>
  </si>
  <si>
    <t>NC</t>
  </si>
  <si>
    <t>High</t>
  </si>
  <si>
    <t>Beside Building</t>
  </si>
  <si>
    <t>Outside on School Property</t>
  </si>
  <si>
    <t>No</t>
  </si>
  <si>
    <t>Not a School Day</t>
  </si>
  <si>
    <t>Police chase ended at school, man fired shots at police and fled on foot across campus</t>
  </si>
  <si>
    <t>Domestic w/ Targeted Victim</t>
  </si>
  <si>
    <t>Both</t>
  </si>
  <si>
    <t>No</t>
  </si>
  <si>
    <t>Yes</t>
  </si>
  <si>
    <t>20210613PAWIP</t>
  </si>
  <si>
    <t>William Dick School</t>
  </si>
  <si>
    <t>Local</t>
  </si>
  <si>
    <t>Summer</t>
  </si>
  <si>
    <t>Philadelphia</t>
  </si>
  <si>
    <t>PA</t>
  </si>
  <si>
    <t>K-8</t>
  </si>
  <si>
    <t>Basketball Court</t>
  </si>
  <si>
    <t>Outside on School Property</t>
  </si>
  <si>
    <t>No</t>
  </si>
  <si>
    <t>Night</t>
  </si>
  <si>
    <t>Man shot on the school basketball court</t>
  </si>
  <si>
    <t>Victims Targeted</t>
  </si>
  <si>
    <t>No</t>
  </si>
  <si>
    <t>20210613PAPAC</t>
  </si>
  <si>
    <t>Park Elementary School</t>
  </si>
  <si>
    <t>Local</t>
  </si>
  <si>
    <t>Summer</t>
  </si>
  <si>
    <t>Columbia</t>
  </si>
  <si>
    <t>PA</t>
  </si>
  <si>
    <t>Elementary</t>
  </si>
  <si>
    <t>Parking Lot</t>
  </si>
  <si>
    <t>Outside on School Property</t>
  </si>
  <si>
    <t>No</t>
  </si>
  <si>
    <t>Not a School Day</t>
  </si>
  <si>
    <t>Elderly man shot himself in the school parking lot</t>
  </si>
  <si>
    <t>Suicide/Attempted</t>
  </si>
  <si>
    <t>Victims Targeted</t>
  </si>
  <si>
    <t>No</t>
  </si>
  <si>
    <t>20210612MOMCF</t>
  </si>
  <si>
    <t>McCluer North High School</t>
  </si>
  <si>
    <t>Local</t>
  </si>
  <si>
    <t>Summer</t>
  </si>
  <si>
    <t>Florissant</t>
  </si>
  <si>
    <t>MO</t>
  </si>
  <si>
    <t>High</t>
  </si>
  <si>
    <t>Outside on School Property</t>
  </si>
  <si>
    <t>No</t>
  </si>
  <si>
    <t>Night</t>
  </si>
  <si>
    <t>Teen shot and killed by another teen on school campus late at night</t>
  </si>
  <si>
    <t>Escalation of Dispute</t>
  </si>
  <si>
    <t>Victims Targeted</t>
  </si>
  <si>
    <t>No</t>
  </si>
  <si>
    <t>20210610CTHOW</t>
  </si>
  <si>
    <t>Holy Cross High School</t>
  </si>
  <si>
    <t>Local</t>
  </si>
  <si>
    <t>Summer</t>
  </si>
  <si>
    <t>Waterbury</t>
  </si>
  <si>
    <t>CT</t>
  </si>
  <si>
    <t>High</t>
  </si>
  <si>
    <t>Field (General)</t>
  </si>
  <si>
    <t>Outside on School Property</t>
  </si>
  <si>
    <t>No</t>
  </si>
  <si>
    <t>Before School</t>
  </si>
  <si>
    <t>Adult men fired multiple shots on school baseball field during illegal arms sale</t>
  </si>
  <si>
    <t>Illegal Activity</t>
  </si>
  <si>
    <t>Neither</t>
  </si>
  <si>
    <t>Yes</t>
  </si>
  <si>
    <t>No</t>
  </si>
  <si>
    <t>20210609TXNOH</t>
  </si>
  <si>
    <t>North Forest High School</t>
  </si>
  <si>
    <t>Local</t>
  </si>
  <si>
    <t>Summer</t>
  </si>
  <si>
    <t>Houston</t>
  </si>
  <si>
    <t>TX</t>
  </si>
  <si>
    <t>High</t>
  </si>
  <si>
    <t>Parking Lot</t>
  </si>
  <si>
    <t>Outside on School Property</t>
  </si>
  <si>
    <t>Yes</t>
  </si>
  <si>
    <t>School Event</t>
  </si>
  <si>
    <t>Student bystander shot during fight following graduation rehearsal</t>
  </si>
  <si>
    <t>Escalation of Dispute</t>
  </si>
  <si>
    <t>Both</t>
  </si>
  <si>
    <t>No</t>
  </si>
  <si>
    <t>20210609VAWIR</t>
  </si>
  <si>
    <t>William Fleming High School</t>
  </si>
  <si>
    <t>National</t>
  </si>
  <si>
    <t>Roanoke</t>
  </si>
  <si>
    <t>VA</t>
  </si>
  <si>
    <t>High</t>
  </si>
  <si>
    <t>Parking Lot</t>
  </si>
  <si>
    <t>Outside on School Property</t>
  </si>
  <si>
    <t>No</t>
  </si>
  <si>
    <t>Sport Event</t>
  </si>
  <si>
    <t>Student shot in parking lot during graduation rehearsal</t>
  </si>
  <si>
    <t>Escalation of Dispute</t>
  </si>
  <si>
    <t>No</t>
  </si>
  <si>
    <t>20210608KSHAK</t>
  </si>
  <si>
    <t>Hazel Grove Elementary</t>
  </si>
  <si>
    <t>Local</t>
  </si>
  <si>
    <t>Summer</t>
  </si>
  <si>
    <t>Kansas City</t>
  </si>
  <si>
    <t>KS</t>
  </si>
  <si>
    <t>Elementary</t>
  </si>
  <si>
    <t>Front of School</t>
  </si>
  <si>
    <t>Outside on School Property</t>
  </si>
  <si>
    <t>Yes</t>
  </si>
  <si>
    <t>Afternoon Classes</t>
  </si>
  <si>
    <t>Teen walking in front of school fatally shot by drive-by</t>
  </si>
  <si>
    <t>Drive-by Shooting</t>
  </si>
  <si>
    <t>Victims Targeted</t>
  </si>
  <si>
    <t>Yes</t>
  </si>
  <si>
    <t>No</t>
  </si>
  <si>
    <t>20210608PAMUS</t>
  </si>
  <si>
    <t>Musser Elementary School</t>
  </si>
  <si>
    <t>Local</t>
  </si>
  <si>
    <t>Summer</t>
  </si>
  <si>
    <t>Sharon</t>
  </si>
  <si>
    <t>PA</t>
  </si>
  <si>
    <t>Elementary</t>
  </si>
  <si>
    <t>Parking Lot</t>
  </si>
  <si>
    <t>Outside on School Property</t>
  </si>
  <si>
    <t>No</t>
  </si>
  <si>
    <t>Evening</t>
  </si>
  <si>
    <t>Teen fired multiple shots during dispute with other teens</t>
  </si>
  <si>
    <t>Escalation of Dispute</t>
  </si>
  <si>
    <t>Victims Targeted</t>
  </si>
  <si>
    <t>Yes</t>
  </si>
  <si>
    <t>No</t>
  </si>
  <si>
    <t>20210607TXEAF</t>
  </si>
  <si>
    <t>Eastern Hills High School</t>
  </si>
  <si>
    <t>National</t>
  </si>
  <si>
    <t>Fort Worth</t>
  </si>
  <si>
    <t>TX</t>
  </si>
  <si>
    <t>High</t>
  </si>
  <si>
    <t>Parking Lot</t>
  </si>
  <si>
    <t>Outside on School Property</t>
  </si>
  <si>
    <t>No</t>
  </si>
  <si>
    <t>Sport Event</t>
  </si>
  <si>
    <t>Teen shot in the neck during fight outside school gym during sporting event</t>
  </si>
  <si>
    <t>Escalation of Dispute</t>
  </si>
  <si>
    <t>Victims Targeted</t>
  </si>
  <si>
    <t>No</t>
  </si>
  <si>
    <t>20210606VADRA</t>
  </si>
  <si>
    <t>Dr. Charles R. Drew Elementary School</t>
  </si>
  <si>
    <t>Local</t>
  </si>
  <si>
    <t>Arlington</t>
  </si>
  <si>
    <t>VA</t>
  </si>
  <si>
    <t>Elementary</t>
  </si>
  <si>
    <t>Parking Lot</t>
  </si>
  <si>
    <t>Outside on School Property</t>
  </si>
  <si>
    <t>No</t>
  </si>
  <si>
    <t>Night</t>
  </si>
  <si>
    <t>Shots fired in parking lot during fight involving large crowd</t>
  </si>
  <si>
    <t>Escalation of Dispute</t>
  </si>
  <si>
    <t>Random Shooting</t>
  </si>
  <si>
    <t>Yes</t>
  </si>
  <si>
    <t>No</t>
  </si>
  <si>
    <t>20210601ILLIC</t>
  </si>
  <si>
    <t>Lincoln Park High School</t>
  </si>
  <si>
    <t>Local</t>
  </si>
  <si>
    <t>Summer</t>
  </si>
  <si>
    <t>Chicago</t>
  </si>
  <si>
    <t>IL</t>
  </si>
  <si>
    <t>High</t>
  </si>
  <si>
    <t>Parking Lot</t>
  </si>
  <si>
    <t>Outside on School Property</t>
  </si>
  <si>
    <t>No</t>
  </si>
  <si>
    <t>Evening</t>
  </si>
  <si>
    <t>Teen shot in school parking lot, shooter fled</t>
  </si>
  <si>
    <t>No</t>
  </si>
  <si>
    <t>20210525NJPAP</t>
  </si>
  <si>
    <t>Paterson School 6</t>
  </si>
  <si>
    <t>Local</t>
  </si>
  <si>
    <t>Spring</t>
  </si>
  <si>
    <t>Paterson</t>
  </si>
  <si>
    <t>NJ</t>
  </si>
  <si>
    <t>Elementary</t>
  </si>
  <si>
    <t>Front of School</t>
  </si>
  <si>
    <t>Off School Property</t>
  </si>
  <si>
    <t>Yes</t>
  </si>
  <si>
    <t>Afternoon Classes</t>
  </si>
  <si>
    <t>Police responded for shots fired and detained teen with high-powered firearm</t>
  </si>
  <si>
    <t>Random Shooting</t>
  </si>
  <si>
    <t>No</t>
  </si>
  <si>
    <t>20210517TXBRE</t>
  </si>
  <si>
    <t>Brown Middle School</t>
  </si>
  <si>
    <t>Local</t>
  </si>
  <si>
    <t>Spring</t>
  </si>
  <si>
    <t>El Paso</t>
  </si>
  <si>
    <t>TX</t>
  </si>
  <si>
    <t>Middle</t>
  </si>
  <si>
    <t>Classroom</t>
  </si>
  <si>
    <t>Inside School Building</t>
  </si>
  <si>
    <t>Yes</t>
  </si>
  <si>
    <t>Afternoon Classes</t>
  </si>
  <si>
    <t>Student pointed BB gun at a female student in the classroom and then fired at students in the hallway</t>
  </si>
  <si>
    <t>Indiscriminate Shooting</t>
  </si>
  <si>
    <t>Both</t>
  </si>
  <si>
    <t>No</t>
  </si>
  <si>
    <t>20210517TNAUM</t>
  </si>
  <si>
    <t>Aurora Collegiate Academy</t>
  </si>
  <si>
    <t>Local</t>
  </si>
  <si>
    <t>Spring</t>
  </si>
  <si>
    <t>Memphis</t>
  </si>
  <si>
    <t>TN</t>
  </si>
  <si>
    <t>Elementary</t>
  </si>
  <si>
    <t>Front of School</t>
  </si>
  <si>
    <t>Off School Property</t>
  </si>
  <si>
    <t>Yes</t>
  </si>
  <si>
    <t>Morning Classes</t>
  </si>
  <si>
    <t>Man in vehicle shot and crashed vehicle into the front of the school</t>
  </si>
  <si>
    <t>Illegal Activity</t>
  </si>
  <si>
    <t>Victims Targeted</t>
  </si>
  <si>
    <t>No</t>
  </si>
  <si>
    <t>20210517MDLOC</t>
  </si>
  <si>
    <t>Long Reach High School</t>
  </si>
  <si>
    <t>Local</t>
  </si>
  <si>
    <t>Spring</t>
  </si>
  <si>
    <t>Columbia</t>
  </si>
  <si>
    <t>MD</t>
  </si>
  <si>
    <t>High</t>
  </si>
  <si>
    <t>Parking Lot</t>
  </si>
  <si>
    <t>Outside on School Property</t>
  </si>
  <si>
    <t>Yes</t>
  </si>
  <si>
    <t>Morning Classes</t>
  </si>
  <si>
    <t>Domestic dispute in dropoff lane, both arrested with handguns</t>
  </si>
  <si>
    <t>Domestic w/ Targeted Victim</t>
  </si>
  <si>
    <t>Victims Targeted</t>
  </si>
  <si>
    <t>No</t>
  </si>
  <si>
    <t>Yes</t>
  </si>
  <si>
    <t>No</t>
  </si>
  <si>
    <t>20210514CASAS</t>
  </si>
  <si>
    <t>San Mateo High School</t>
  </si>
  <si>
    <t>National</t>
  </si>
  <si>
    <t>Spring</t>
  </si>
  <si>
    <t>San Mateo</t>
  </si>
  <si>
    <t>CA</t>
  </si>
  <si>
    <t>High</t>
  </si>
  <si>
    <t>Parking Lot</t>
  </si>
  <si>
    <t>Outside on School Property</t>
  </si>
  <si>
    <t>No</t>
  </si>
  <si>
    <t>Night</t>
  </si>
  <si>
    <t>Teen fatally shot inside car in the school parking lot during attempted carjacking</t>
  </si>
  <si>
    <t>Illegal Activity</t>
  </si>
  <si>
    <t>Victims Targeted</t>
  </si>
  <si>
    <t>Yes</t>
  </si>
  <si>
    <t>No</t>
  </si>
  <si>
    <t>20210511CAVEL</t>
  </si>
  <si>
    <t>Verbum Dei High School</t>
  </si>
  <si>
    <t>Local</t>
  </si>
  <si>
    <t>Spring</t>
  </si>
  <si>
    <t>Los Angeles</t>
  </si>
  <si>
    <t>CA</t>
  </si>
  <si>
    <t>High</t>
  </si>
  <si>
    <t>School Bus</t>
  </si>
  <si>
    <t>Yes</t>
  </si>
  <si>
    <t>Afternoon Classes</t>
  </si>
  <si>
    <t>School bus windows shot by pellet gun on freeway</t>
  </si>
  <si>
    <t>Intentional Property Damage</t>
  </si>
  <si>
    <t>Random Shooting</t>
  </si>
  <si>
    <t>No</t>
  </si>
  <si>
    <t>20210511NYPSB</t>
  </si>
  <si>
    <t>P.S. 178 Saint Clair Mckelway Grade School</t>
  </si>
  <si>
    <t>Local</t>
  </si>
  <si>
    <t>Spring</t>
  </si>
  <si>
    <t>Brooklyn</t>
  </si>
  <si>
    <t>NY</t>
  </si>
  <si>
    <t>K-8</t>
  </si>
  <si>
    <t>Front of School</t>
  </si>
  <si>
    <t>Outside on School Property</t>
  </si>
  <si>
    <t>No</t>
  </si>
  <si>
    <t>Evening</t>
  </si>
  <si>
    <t>Teen shot in front of school during fight that escalated into shooting</t>
  </si>
  <si>
    <t>Escalation of Dispute</t>
  </si>
  <si>
    <t>Victims Targeted</t>
  </si>
  <si>
    <t>No</t>
  </si>
  <si>
    <t>20210506SCFOC</t>
  </si>
  <si>
    <t>Forest Lake Elementary</t>
  </si>
  <si>
    <t>National</t>
  </si>
  <si>
    <t>Spring</t>
  </si>
  <si>
    <t>Columbia</t>
  </si>
  <si>
    <t>SC</t>
  </si>
  <si>
    <t>Elementary</t>
  </si>
  <si>
    <t>School Bus</t>
  </si>
  <si>
    <t>Yes</t>
  </si>
  <si>
    <t>Before School</t>
  </si>
  <si>
    <t>Army trainee jumped the fence of the fort with a rifle then hijacked school bus full of students</t>
  </si>
  <si>
    <t>Hostage/Standoff</t>
  </si>
  <si>
    <t>Random Shooting</t>
  </si>
  <si>
    <t>No</t>
  </si>
  <si>
    <t>Yes</t>
  </si>
  <si>
    <t>No</t>
  </si>
  <si>
    <t>Yes</t>
  </si>
  <si>
    <t>20210506IDRIR</t>
  </si>
  <si>
    <t>Rigby Middle School</t>
  </si>
  <si>
    <t>International</t>
  </si>
  <si>
    <t>Spring</t>
  </si>
  <si>
    <t>Rigby</t>
  </si>
  <si>
    <t>ID</t>
  </si>
  <si>
    <t>Middle</t>
  </si>
  <si>
    <t>Inside School Building</t>
  </si>
  <si>
    <t>Both Inside/Outside</t>
  </si>
  <si>
    <t>Yes</t>
  </si>
  <si>
    <t>Morning Classes</t>
  </si>
  <si>
    <t>Female student pulled handgun from backpack and fired at 1 person inside the school and 2 people outside before being disarmed by a teacher</t>
  </si>
  <si>
    <t>Indiscriminate Shooting</t>
  </si>
  <si>
    <t>Both</t>
  </si>
  <si>
    <t>No</t>
  </si>
  <si>
    <t>Yes</t>
  </si>
  <si>
    <t>20210505MICRC</t>
  </si>
  <si>
    <t>Crossroads Alternative High</t>
  </si>
  <si>
    <t>Local</t>
  </si>
  <si>
    <t>Spring</t>
  </si>
  <si>
    <t>Cutlerville</t>
  </si>
  <si>
    <t>MI</t>
  </si>
  <si>
    <t>High</t>
  </si>
  <si>
    <t>Front of School</t>
  </si>
  <si>
    <t>Outside on School Property</t>
  </si>
  <si>
    <t>Yes</t>
  </si>
  <si>
    <t>Afternoon Classes</t>
  </si>
  <si>
    <t>Man on scooter fired at another man on the sidewalk, then accidentally shot himself and collapsed in front of the school</t>
  </si>
  <si>
    <t>Drive-by Shooting</t>
  </si>
  <si>
    <t>Victims Targeted</t>
  </si>
  <si>
    <t>No</t>
  </si>
  <si>
    <t>20210505SCWAW</t>
  </si>
  <si>
    <t>Ware Shoals High School</t>
  </si>
  <si>
    <t>Regional</t>
  </si>
  <si>
    <t>Spring</t>
  </si>
  <si>
    <t>Ware Shoals</t>
  </si>
  <si>
    <t>SC</t>
  </si>
  <si>
    <t>High</t>
  </si>
  <si>
    <t>Parking Lot</t>
  </si>
  <si>
    <t>Outside on School Property</t>
  </si>
  <si>
    <t>Yes</t>
  </si>
  <si>
    <t>School Start</t>
  </si>
  <si>
    <t>Student got out of his car with a handgun and then shot himself in the head</t>
  </si>
  <si>
    <t>Suicide/Attempted</t>
  </si>
  <si>
    <t>No</t>
  </si>
  <si>
    <t>20210502ILCHC</t>
  </si>
  <si>
    <t>Chicago Bulls College Prep High School</t>
  </si>
  <si>
    <t>Local</t>
  </si>
  <si>
    <t>Spring</t>
  </si>
  <si>
    <t>Chicago</t>
  </si>
  <si>
    <t>IL</t>
  </si>
  <si>
    <t>High</t>
  </si>
  <si>
    <t>Front of School</t>
  </si>
  <si>
    <t>Outside on School Property</t>
  </si>
  <si>
    <t>No</t>
  </si>
  <si>
    <t>Night</t>
  </si>
  <si>
    <t>5 people shot during drive-by shooting in front of the school</t>
  </si>
  <si>
    <t>Drive-by Shooting</t>
  </si>
  <si>
    <t>Both</t>
  </si>
  <si>
    <t>Yes</t>
  </si>
  <si>
    <t>No</t>
  </si>
  <si>
    <t>20210501MNBES</t>
  </si>
  <si>
    <t>Benjamin E Mays School</t>
  </si>
  <si>
    <t>Local</t>
  </si>
  <si>
    <t>Spring</t>
  </si>
  <si>
    <t>St. Paul</t>
  </si>
  <si>
    <t>MN</t>
  </si>
  <si>
    <t>Elementary</t>
  </si>
  <si>
    <t>Front of School</t>
  </si>
  <si>
    <t>Outside on School Property</t>
  </si>
  <si>
    <t>No</t>
  </si>
  <si>
    <t>Night</t>
  </si>
  <si>
    <t>Shots fired by 5 different armed men involved in a fight struck the school building</t>
  </si>
  <si>
    <t>Victims Targeted</t>
  </si>
  <si>
    <t>Yes</t>
  </si>
  <si>
    <t>No</t>
  </si>
  <si>
    <t>20210430INMAI</t>
  </si>
  <si>
    <t>Mary Castle Elementary School</t>
  </si>
  <si>
    <t>Regional</t>
  </si>
  <si>
    <t>Spring</t>
  </si>
  <si>
    <t>Indianapolis</t>
  </si>
  <si>
    <t>IN</t>
  </si>
  <si>
    <t>Elementary</t>
  </si>
  <si>
    <t>Parking Lot</t>
  </si>
  <si>
    <t>Off School Property</t>
  </si>
  <si>
    <t>Yes</t>
  </si>
  <si>
    <t>Afternoon Classes</t>
  </si>
  <si>
    <t>Parent shot during domestic incident in school parking lot while class was in session</t>
  </si>
  <si>
    <t>Domestic w/ Targeted Victim</t>
  </si>
  <si>
    <t>Victims Targeted</t>
  </si>
  <si>
    <t>No</t>
  </si>
  <si>
    <t>Yes</t>
  </si>
  <si>
    <t>No</t>
  </si>
  <si>
    <t>20210429NYURB</t>
  </si>
  <si>
    <t>Urban Dove Charter School</t>
  </si>
  <si>
    <t>Regional</t>
  </si>
  <si>
    <t>Spring</t>
  </si>
  <si>
    <t>Brooklyn</t>
  </si>
  <si>
    <t>NY</t>
  </si>
  <si>
    <t>High</t>
  </si>
  <si>
    <t>Front of School</t>
  </si>
  <si>
    <t>Outside on School Property</t>
  </si>
  <si>
    <t>Yes</t>
  </si>
  <si>
    <t>Dismissal</t>
  </si>
  <si>
    <t>Teen fatally shot on front steps leaving the school building</t>
  </si>
  <si>
    <t>Victims Targeted</t>
  </si>
  <si>
    <t>Yes</t>
  </si>
  <si>
    <t>No</t>
  </si>
  <si>
    <t>20210429CAVIV</t>
  </si>
  <si>
    <t>Victor Valley High School</t>
  </si>
  <si>
    <t>Regional</t>
  </si>
  <si>
    <t>Spring</t>
  </si>
  <si>
    <t>Victorville</t>
  </si>
  <si>
    <t>CA</t>
  </si>
  <si>
    <t>High</t>
  </si>
  <si>
    <t>Parking Lot</t>
  </si>
  <si>
    <t>Outside on School Property</t>
  </si>
  <si>
    <t>Yes</t>
  </si>
  <si>
    <t>Lunch</t>
  </si>
  <si>
    <t>Teen fired into crowd during fight in school parking lot during lunch</t>
  </si>
  <si>
    <t>Escalation of Dispute</t>
  </si>
  <si>
    <t>Random Shooting</t>
  </si>
  <si>
    <t>No</t>
  </si>
  <si>
    <t>20210427TNLAM</t>
  </si>
  <si>
    <t>La Petite Academy</t>
  </si>
  <si>
    <t>Local</t>
  </si>
  <si>
    <t>Spring</t>
  </si>
  <si>
    <t>Memphis</t>
  </si>
  <si>
    <t>TN</t>
  </si>
  <si>
    <t>Other</t>
  </si>
  <si>
    <t>Front of School</t>
  </si>
  <si>
    <t>Outside on School Property</t>
  </si>
  <si>
    <t>Yes</t>
  </si>
  <si>
    <t>Dismissal</t>
  </si>
  <si>
    <t>Following a dispute with staff about attendance, a parent fired a shot at the front door of the school</t>
  </si>
  <si>
    <t>Escalation of Dispute</t>
  </si>
  <si>
    <t>Random Shooting</t>
  </si>
  <si>
    <t>No</t>
  </si>
  <si>
    <t>20210427DESMS</t>
  </si>
  <si>
    <t>Smyrna Middle School</t>
  </si>
  <si>
    <t>Regional</t>
  </si>
  <si>
    <t>Spring</t>
  </si>
  <si>
    <t>Smyrna</t>
  </si>
  <si>
    <t>DE</t>
  </si>
  <si>
    <t>Middle</t>
  </si>
  <si>
    <t>Parking Lot</t>
  </si>
  <si>
    <t>Outside on School Property</t>
  </si>
  <si>
    <t>Yes</t>
  </si>
  <si>
    <t>Morning Classes</t>
  </si>
  <si>
    <t>Husband shot wife in school parking lot while she was waiting to pick-up child from medical appointment</t>
  </si>
  <si>
    <t>Domestic w/ Targeted Victim</t>
  </si>
  <si>
    <t>Victims Targeted</t>
  </si>
  <si>
    <t>No</t>
  </si>
  <si>
    <t>Yes</t>
  </si>
  <si>
    <t>No</t>
  </si>
  <si>
    <t>20210426MNPLP</t>
  </si>
  <si>
    <t>Plymouth Middle School</t>
  </si>
  <si>
    <t>National</t>
  </si>
  <si>
    <t>Spring</t>
  </si>
  <si>
    <t>Plymouth</t>
  </si>
  <si>
    <t>MN</t>
  </si>
  <si>
    <t>Middle</t>
  </si>
  <si>
    <t>Hallway</t>
  </si>
  <si>
    <t>Inside School Building</t>
  </si>
  <si>
    <t>Yes</t>
  </si>
  <si>
    <t>Morning Classes</t>
  </si>
  <si>
    <t>Student fired multiple shots in the school hallway attempting suicide by cop</t>
  </si>
  <si>
    <t>Suicide/Attempted</t>
  </si>
  <si>
    <t>Random Shooting</t>
  </si>
  <si>
    <t>No</t>
  </si>
  <si>
    <t>20210420TXHAH</t>
  </si>
  <si>
    <t>Harker Heights High School</t>
  </si>
  <si>
    <t>Local</t>
  </si>
  <si>
    <t>Spring</t>
  </si>
  <si>
    <t>Harker Heights</t>
  </si>
  <si>
    <t>TX</t>
  </si>
  <si>
    <t>High</t>
  </si>
  <si>
    <t>Parking Lot</t>
  </si>
  <si>
    <t>Outside on School Property</t>
  </si>
  <si>
    <t>No</t>
  </si>
  <si>
    <t>Night</t>
  </si>
  <si>
    <t>Teen shot and killed in school parking lot</t>
  </si>
  <si>
    <t>Illegal Activity</t>
  </si>
  <si>
    <t>Victims Targeted</t>
  </si>
  <si>
    <t>Yes</t>
  </si>
  <si>
    <t>No</t>
  </si>
  <si>
    <t>20210418OHWED</t>
  </si>
  <si>
    <t>Westwood Elementary School</t>
  </si>
  <si>
    <t>Local</t>
  </si>
  <si>
    <t>Spring</t>
  </si>
  <si>
    <t>Dayton</t>
  </si>
  <si>
    <t>OH</t>
  </si>
  <si>
    <t>Elementary</t>
  </si>
  <si>
    <t>Playground</t>
  </si>
  <si>
    <t>Outside on School Property</t>
  </si>
  <si>
    <t>No</t>
  </si>
  <si>
    <t>Not a School Day</t>
  </si>
  <si>
    <t>Two teens found shot inside a vehicle near the school playground</t>
  </si>
  <si>
    <t>Victims Targeted</t>
  </si>
  <si>
    <t>No</t>
  </si>
  <si>
    <t>20210413TNMAC</t>
  </si>
  <si>
    <t>Maury County Public Schools Bus No. 50</t>
  </si>
  <si>
    <t>Local</t>
  </si>
  <si>
    <t>Spring</t>
  </si>
  <si>
    <t>Columbia</t>
  </si>
  <si>
    <t>TN</t>
  </si>
  <si>
    <t>School Bus</t>
  </si>
  <si>
    <t>Yes</t>
  </si>
  <si>
    <t>Dismissal</t>
  </si>
  <si>
    <t>Woman was upset school bus was late and pulled gun during argument with bus driver</t>
  </si>
  <si>
    <t>Escalation of Dispute</t>
  </si>
  <si>
    <t>Victims Targeted</t>
  </si>
  <si>
    <t>No</t>
  </si>
  <si>
    <t>20210412TNAUK</t>
  </si>
  <si>
    <t>Austin-East Magnet High School</t>
  </si>
  <si>
    <t>International</t>
  </si>
  <si>
    <t>Spring</t>
  </si>
  <si>
    <t>Knoxville</t>
  </si>
  <si>
    <t>TN</t>
  </si>
  <si>
    <t>High</t>
  </si>
  <si>
    <t>Bathroom</t>
  </si>
  <si>
    <t>Inside School Building</t>
  </si>
  <si>
    <t>Yes</t>
  </si>
  <si>
    <t>Afternoon Classes</t>
  </si>
  <si>
    <t>Shots fired during struggle with police in school bathroom by armed student</t>
  </si>
  <si>
    <t>Victims Targeted</t>
  </si>
  <si>
    <t>No</t>
  </si>
  <si>
    <t>Yes</t>
  </si>
  <si>
    <t>No</t>
  </si>
  <si>
    <t>Yes</t>
  </si>
  <si>
    <t>No</t>
  </si>
  <si>
    <t>20210412CASAS</t>
  </si>
  <si>
    <t>San Diego High School</t>
  </si>
  <si>
    <t>Regional</t>
  </si>
  <si>
    <t>Spring</t>
  </si>
  <si>
    <t>San Diego</t>
  </si>
  <si>
    <t>CA</t>
  </si>
  <si>
    <t>High</t>
  </si>
  <si>
    <t>Football Field/Track</t>
  </si>
  <si>
    <t>Outside on School Property</t>
  </si>
  <si>
    <t>No</t>
  </si>
  <si>
    <t>Evening</t>
  </si>
  <si>
    <t>Hostage standoff inside dumpster near the football field</t>
  </si>
  <si>
    <t>Hostage/Standoff</t>
  </si>
  <si>
    <t>Random Shooting</t>
  </si>
  <si>
    <t>Yes</t>
  </si>
  <si>
    <t>No</t>
  </si>
  <si>
    <t>Yes</t>
  </si>
  <si>
    <t>20210411INBIH</t>
  </si>
  <si>
    <t>Bishop Noll Institute</t>
  </si>
  <si>
    <t>Regional</t>
  </si>
  <si>
    <t>Spring</t>
  </si>
  <si>
    <t>Hammond</t>
  </si>
  <si>
    <t>IN</t>
  </si>
  <si>
    <t>High</t>
  </si>
  <si>
    <t>Parking Lot</t>
  </si>
  <si>
    <t>Outside on School Property</t>
  </si>
  <si>
    <t>No</t>
  </si>
  <si>
    <t>Night</t>
  </si>
  <si>
    <t>Adult male shot adult female in the school parking lot</t>
  </si>
  <si>
    <t>Domestic w/ Targeted Victim</t>
  </si>
  <si>
    <t>Victims Targeted</t>
  </si>
  <si>
    <t>No</t>
  </si>
  <si>
    <t>Yes</t>
  </si>
  <si>
    <t>No</t>
  </si>
  <si>
    <t>20210407ILPEP</t>
  </si>
  <si>
    <t>Peoria High School</t>
  </si>
  <si>
    <t>Local</t>
  </si>
  <si>
    <t>Spring</t>
  </si>
  <si>
    <t>Peoria</t>
  </si>
  <si>
    <t>IL</t>
  </si>
  <si>
    <t>High</t>
  </si>
  <si>
    <t>Inside School Building</t>
  </si>
  <si>
    <t>Yes</t>
  </si>
  <si>
    <t>Morning Classes</t>
  </si>
  <si>
    <t>Student pointed a gun at another student during a fight inside the school</t>
  </si>
  <si>
    <t>Escalation of Dispute</t>
  </si>
  <si>
    <t>Victims Targeted</t>
  </si>
  <si>
    <t>No</t>
  </si>
  <si>
    <t>20210406ILBAC</t>
  </si>
  <si>
    <t>Back of the Yards College Prep High School</t>
  </si>
  <si>
    <t>Local</t>
  </si>
  <si>
    <t>Spring</t>
  </si>
  <si>
    <t>Chicago</t>
  </si>
  <si>
    <t>IL</t>
  </si>
  <si>
    <t>High</t>
  </si>
  <si>
    <t>Beside Building</t>
  </si>
  <si>
    <t>Outside on School Property</t>
  </si>
  <si>
    <t>Yes</t>
  </si>
  <si>
    <t>Afternoon Classes</t>
  </si>
  <si>
    <t>Window of the school shot by BB during classes</t>
  </si>
  <si>
    <t>Intentional Property Damage</t>
  </si>
  <si>
    <t>Neither</t>
  </si>
  <si>
    <t>No</t>
  </si>
  <si>
    <t>20210401OKCLC</t>
  </si>
  <si>
    <t>Cleveland High School</t>
  </si>
  <si>
    <t>Local</t>
  </si>
  <si>
    <t>Spring</t>
  </si>
  <si>
    <t>Cleveland</t>
  </si>
  <si>
    <t>OK</t>
  </si>
  <si>
    <t>High</t>
  </si>
  <si>
    <t>School Bus</t>
  </si>
  <si>
    <t>Yes</t>
  </si>
  <si>
    <t>Evening</t>
  </si>
  <si>
    <t>5 windows shot and broken on moving school bus with students returning from field trip</t>
  </si>
  <si>
    <t>Drive-by Shooting</t>
  </si>
  <si>
    <t>Neither</t>
  </si>
  <si>
    <t>No</t>
  </si>
  <si>
    <t>20210401ALSES</t>
  </si>
  <si>
    <t>Selma High School</t>
  </si>
  <si>
    <t>Regional</t>
  </si>
  <si>
    <t>Spring</t>
  </si>
  <si>
    <t>Selma</t>
  </si>
  <si>
    <t>AL</t>
  </si>
  <si>
    <t>High</t>
  </si>
  <si>
    <t>Cafeteria</t>
  </si>
  <si>
    <t>Inside School Building</t>
  </si>
  <si>
    <t>Yes</t>
  </si>
  <si>
    <t>Lunch</t>
  </si>
  <si>
    <t>Student fired one shot at another student during a fight in the cafeteria</t>
  </si>
  <si>
    <t>Escalation of Dispute</t>
  </si>
  <si>
    <t>Victims Targeted</t>
  </si>
  <si>
    <t>Yes</t>
  </si>
  <si>
    <t>No</t>
  </si>
  <si>
    <t>20210327MAPEC</t>
  </si>
  <si>
    <t>Peabody Elementary School</t>
  </si>
  <si>
    <t>Local</t>
  </si>
  <si>
    <t>Spring</t>
  </si>
  <si>
    <t>Cambridge</t>
  </si>
  <si>
    <t>MA</t>
  </si>
  <si>
    <t>Elementary</t>
  </si>
  <si>
    <t>Basketball Court</t>
  </si>
  <si>
    <t>Outside on School Property</t>
  </si>
  <si>
    <t>No</t>
  </si>
  <si>
    <t>Night</t>
  </si>
  <si>
    <t>Man found fatally shot next to basketball court</t>
  </si>
  <si>
    <t>Victims Targeted</t>
  </si>
  <si>
    <t>No</t>
  </si>
  <si>
    <t>20210326MOCAS</t>
  </si>
  <si>
    <t>Castlio Elementary School</t>
  </si>
  <si>
    <t>Local</t>
  </si>
  <si>
    <t>Spring</t>
  </si>
  <si>
    <t>St Charles</t>
  </si>
  <si>
    <t>MO</t>
  </si>
  <si>
    <t>Elementary</t>
  </si>
  <si>
    <t>Parking Lot</t>
  </si>
  <si>
    <t>Outside on School Property</t>
  </si>
  <si>
    <t>No</t>
  </si>
  <si>
    <t>Night</t>
  </si>
  <si>
    <t>Suicidal man pointed gun at officer who then shot him</t>
  </si>
  <si>
    <t>Suicide/Attempted</t>
  </si>
  <si>
    <t>Victims Targeted</t>
  </si>
  <si>
    <t>No</t>
  </si>
  <si>
    <t>20210324ORFOS</t>
  </si>
  <si>
    <t>Four Corners Elementary School</t>
  </si>
  <si>
    <t>Local</t>
  </si>
  <si>
    <t>Spring</t>
  </si>
  <si>
    <t>Salem</t>
  </si>
  <si>
    <t>OR</t>
  </si>
  <si>
    <t>Elementary</t>
  </si>
  <si>
    <t>Parking Lot</t>
  </si>
  <si>
    <t>Outside on School Property</t>
  </si>
  <si>
    <t>No</t>
  </si>
  <si>
    <t>Evening</t>
  </si>
  <si>
    <t>Two teens shot during drug deal in school parking lot</t>
  </si>
  <si>
    <t>Illegal Activity</t>
  </si>
  <si>
    <t>Victims Targeted</t>
  </si>
  <si>
    <t>Yes</t>
  </si>
  <si>
    <t>No</t>
  </si>
  <si>
    <t>20210319WVSPM</t>
  </si>
  <si>
    <t>Spring Mills Middle School</t>
  </si>
  <si>
    <t>Local</t>
  </si>
  <si>
    <t>Spring</t>
  </si>
  <si>
    <t>Martinsburg</t>
  </si>
  <si>
    <t>WV</t>
  </si>
  <si>
    <t>Middle</t>
  </si>
  <si>
    <t>School Bus</t>
  </si>
  <si>
    <t>Yes</t>
  </si>
  <si>
    <t>Dismissal</t>
  </si>
  <si>
    <t>Two teens fired BB guns at two school buses full of students leaving the school</t>
  </si>
  <si>
    <t>Intentional Property Damage</t>
  </si>
  <si>
    <t>Random Shooting</t>
  </si>
  <si>
    <t>Yes</t>
  </si>
  <si>
    <t>No</t>
  </si>
  <si>
    <t>20210318KYGRL</t>
  </si>
  <si>
    <t>Greenwood Elementary School</t>
  </si>
  <si>
    <t>Local</t>
  </si>
  <si>
    <t>Spring</t>
  </si>
  <si>
    <t>Louisville</t>
  </si>
  <si>
    <t>KY</t>
  </si>
  <si>
    <t>Elementary</t>
  </si>
  <si>
    <t>Cafeteria</t>
  </si>
  <si>
    <t>Outside on School Property</t>
  </si>
  <si>
    <t>Yes</t>
  </si>
  <si>
    <t>Lunch</t>
  </si>
  <si>
    <t>Adult male pointed gun and threatened school staff who did not allow him to enter</t>
  </si>
  <si>
    <t>Domestic w/ Targeted Victim</t>
  </si>
  <si>
    <t>Neither</t>
  </si>
  <si>
    <t>No</t>
  </si>
  <si>
    <t>Yes</t>
  </si>
  <si>
    <t>No</t>
  </si>
  <si>
    <t>20210315INMEM</t>
  </si>
  <si>
    <t>Merrillville High School</t>
  </si>
  <si>
    <t>Regional</t>
  </si>
  <si>
    <t>Spring</t>
  </si>
  <si>
    <t>Merrillville</t>
  </si>
  <si>
    <t>IN</t>
  </si>
  <si>
    <t>High</t>
  </si>
  <si>
    <t>Parking Lot</t>
  </si>
  <si>
    <t>Outside on School Property</t>
  </si>
  <si>
    <t>No</t>
  </si>
  <si>
    <t>Night</t>
  </si>
  <si>
    <t>Two men shot during planned fight in the school parking lot</t>
  </si>
  <si>
    <t>Escalation of Dispute</t>
  </si>
  <si>
    <t>Victims Targeted</t>
  </si>
  <si>
    <t>Yes</t>
  </si>
  <si>
    <t>No</t>
  </si>
  <si>
    <t>20210313TXLEA</t>
  </si>
  <si>
    <t>Lee Elementary School</t>
  </si>
  <si>
    <t>Local</t>
  </si>
  <si>
    <t>Spring</t>
  </si>
  <si>
    <t>Abilene</t>
  </si>
  <si>
    <t>TX</t>
  </si>
  <si>
    <t>Elementary</t>
  </si>
  <si>
    <t>Football Field/Track</t>
  </si>
  <si>
    <t>Outside on School Property</t>
  </si>
  <si>
    <t>No</t>
  </si>
  <si>
    <t>Night</t>
  </si>
  <si>
    <t>Semi-pro football player shot by fan during game held at elementary school field</t>
  </si>
  <si>
    <t>Victims Targeted</t>
  </si>
  <si>
    <t>No</t>
  </si>
  <si>
    <t>20210311OHCIC</t>
  </si>
  <si>
    <t>Cincinnati College Preparatory Academy</t>
  </si>
  <si>
    <t>Spring</t>
  </si>
  <si>
    <t>Cincinnati</t>
  </si>
  <si>
    <t>OH</t>
  </si>
  <si>
    <t>K-12</t>
  </si>
  <si>
    <t>Front of School</t>
  </si>
  <si>
    <t>Outside on School Property</t>
  </si>
  <si>
    <t>Yes</t>
  </si>
  <si>
    <t>School Start</t>
  </si>
  <si>
    <t>Person in vehicle shot and crashed in front of school</t>
  </si>
  <si>
    <t>Victims Targeted</t>
  </si>
  <si>
    <t>No</t>
  </si>
  <si>
    <t>20210309TNSAK</t>
  </si>
  <si>
    <t>Sarah Moore Greene Elementary</t>
  </si>
  <si>
    <t>Local</t>
  </si>
  <si>
    <t>Spring</t>
  </si>
  <si>
    <t>Knoxville</t>
  </si>
  <si>
    <t>TN</t>
  </si>
  <si>
    <t>Elementary</t>
  </si>
  <si>
    <t>Parking Lot</t>
  </si>
  <si>
    <t>Outside on School Property</t>
  </si>
  <si>
    <t>Yes</t>
  </si>
  <si>
    <t>Afternoon Classes</t>
  </si>
  <si>
    <t>Shots fired from a vehicle in the school parking lot</t>
  </si>
  <si>
    <t>Drive-by Shooting</t>
  </si>
  <si>
    <t>Victims Targeted</t>
  </si>
  <si>
    <t>No</t>
  </si>
  <si>
    <t>20210309OHBIC</t>
  </si>
  <si>
    <t>Bishop Hartley High School</t>
  </si>
  <si>
    <t>Local</t>
  </si>
  <si>
    <t>Spring</t>
  </si>
  <si>
    <t>Columbus</t>
  </si>
  <si>
    <t>OH</t>
  </si>
  <si>
    <t>High</t>
  </si>
  <si>
    <t>Gym</t>
  </si>
  <si>
    <t>Both Inside/Outside</t>
  </si>
  <si>
    <t>Yes</t>
  </si>
  <si>
    <t>Morning Classes</t>
  </si>
  <si>
    <t>Bullet fired from outside the school went through the gym wall with 59 students inside</t>
  </si>
  <si>
    <t>No</t>
  </si>
  <si>
    <t>20210308SCEDC</t>
  </si>
  <si>
    <t>Chesterfield Elementary School</t>
  </si>
  <si>
    <t>Regional</t>
  </si>
  <si>
    <t>Spring</t>
  </si>
  <si>
    <t>Chesterfield</t>
  </si>
  <si>
    <t>SC</t>
  </si>
  <si>
    <t>Elementary</t>
  </si>
  <si>
    <t>Parking Lot</t>
  </si>
  <si>
    <t>Outside on School Property</t>
  </si>
  <si>
    <t>Yes</t>
  </si>
  <si>
    <t>Afternoon Classes</t>
  </si>
  <si>
    <t>Adult woman shot her son-in-law in the leg in the school parking lot</t>
  </si>
  <si>
    <t>Domestic w/ Targeted Victim</t>
  </si>
  <si>
    <t>Victims Targeted</t>
  </si>
  <si>
    <t>Yes</t>
  </si>
  <si>
    <t>No</t>
  </si>
  <si>
    <t>Yes</t>
  </si>
  <si>
    <t>No</t>
  </si>
  <si>
    <t>20210301ARWAP</t>
  </si>
  <si>
    <t>Watson Chapel Junior High</t>
  </si>
  <si>
    <t>National</t>
  </si>
  <si>
    <t>Spring</t>
  </si>
  <si>
    <t>Pine Bluff</t>
  </si>
  <si>
    <t>AR</t>
  </si>
  <si>
    <t>Junior High</t>
  </si>
  <si>
    <t>Hallway</t>
  </si>
  <si>
    <t>Inside School Building</t>
  </si>
  <si>
    <t>Yes</t>
  </si>
  <si>
    <t>Morning Classes</t>
  </si>
  <si>
    <t>Student shot by another student in the hallway between classes</t>
  </si>
  <si>
    <t>Escalation of Dispute</t>
  </si>
  <si>
    <t>Victims Targeted</t>
  </si>
  <si>
    <t>No</t>
  </si>
  <si>
    <t>20210226LAGEN</t>
  </si>
  <si>
    <t>George Washington Carver High School</t>
  </si>
  <si>
    <t>National</t>
  </si>
  <si>
    <t>New Orleans</t>
  </si>
  <si>
    <t>LA</t>
  </si>
  <si>
    <t>High</t>
  </si>
  <si>
    <t>Hallway</t>
  </si>
  <si>
    <t>Inside School Building</t>
  </si>
  <si>
    <t>No</t>
  </si>
  <si>
    <t>Sport Event</t>
  </si>
  <si>
    <t>Police officer shot while escorting person out of high school basketball game</t>
  </si>
  <si>
    <t>Illegal Activity</t>
  </si>
  <si>
    <t>Random Shooting</t>
  </si>
  <si>
    <t>No</t>
  </si>
  <si>
    <t>20210224WAGAY</t>
  </si>
  <si>
    <t>Garfield Elementary School</t>
  </si>
  <si>
    <t>Local</t>
  </si>
  <si>
    <t>Winter</t>
  </si>
  <si>
    <t>Yakima</t>
  </si>
  <si>
    <t>WA</t>
  </si>
  <si>
    <t>Elementary</t>
  </si>
  <si>
    <t>Parking Lot</t>
  </si>
  <si>
    <t>Outside on School Property</t>
  </si>
  <si>
    <t>Yes</t>
  </si>
  <si>
    <t>Afternoon Classes</t>
  </si>
  <si>
    <t>Teen shot in the parking lot of the school, shooter fled and crashed vehicle into school bus</t>
  </si>
  <si>
    <t>Drive-by Shooting</t>
  </si>
  <si>
    <t>Victims Targeted</t>
  </si>
  <si>
    <t>Yes</t>
  </si>
  <si>
    <t>No</t>
  </si>
  <si>
    <t>20210222CAHOV</t>
  </si>
  <si>
    <t>Houston Elementary School</t>
  </si>
  <si>
    <t>Local</t>
  </si>
  <si>
    <t>Winter</t>
  </si>
  <si>
    <t>Visalia</t>
  </si>
  <si>
    <t>CA</t>
  </si>
  <si>
    <t>Elementary</t>
  </si>
  <si>
    <t>Front of School</t>
  </si>
  <si>
    <t>Outside on School Property</t>
  </si>
  <si>
    <t>No</t>
  </si>
  <si>
    <t>Night</t>
  </si>
  <si>
    <t>Man shot in front of the school</t>
  </si>
  <si>
    <t>No</t>
  </si>
  <si>
    <t>20210219ILLIR</t>
  </si>
  <si>
    <t>Lincoln Middle School</t>
  </si>
  <si>
    <t>Local</t>
  </si>
  <si>
    <t>Winter</t>
  </si>
  <si>
    <t>Rockford</t>
  </si>
  <si>
    <t>IL</t>
  </si>
  <si>
    <t>Middle</t>
  </si>
  <si>
    <t>Front of School</t>
  </si>
  <si>
    <t>Outside on School Property</t>
  </si>
  <si>
    <t>Yes</t>
  </si>
  <si>
    <t>Afternoon Classes</t>
  </si>
  <si>
    <t>Man who was fatally shot found inside vehicle on the front yard of the school</t>
  </si>
  <si>
    <t>Victims Targeted</t>
  </si>
  <si>
    <t>No</t>
  </si>
  <si>
    <t>20210217TNKNK</t>
  </si>
  <si>
    <t>Christenberry Elementary School</t>
  </si>
  <si>
    <t>Local</t>
  </si>
  <si>
    <t>Winter</t>
  </si>
  <si>
    <t>Knoxville</t>
  </si>
  <si>
    <t>TN</t>
  </si>
  <si>
    <t>Elementary</t>
  </si>
  <si>
    <t>School Bus</t>
  </si>
  <si>
    <t>Yes</t>
  </si>
  <si>
    <t>Dismissal</t>
  </si>
  <si>
    <t>School bus struck by bullet</t>
  </si>
  <si>
    <t>No</t>
  </si>
  <si>
    <t>20210216NCTHS</t>
  </si>
  <si>
    <t>Third Creek Elementary School</t>
  </si>
  <si>
    <t>Local</t>
  </si>
  <si>
    <t>Winter</t>
  </si>
  <si>
    <t>Statesville</t>
  </si>
  <si>
    <t>NC</t>
  </si>
  <si>
    <t>Elementary</t>
  </si>
  <si>
    <t>School Bus</t>
  </si>
  <si>
    <t>Yes</t>
  </si>
  <si>
    <t>School Start</t>
  </si>
  <si>
    <t>Student shot another student with a pellet gun on the school bus</t>
  </si>
  <si>
    <t>Yes</t>
  </si>
  <si>
    <t>No</t>
  </si>
  <si>
    <t>20210214MNROM</t>
  </si>
  <si>
    <t>Roosevelt High School</t>
  </si>
  <si>
    <t>Local</t>
  </si>
  <si>
    <t>Winter</t>
  </si>
  <si>
    <t>Minneapolis</t>
  </si>
  <si>
    <t>MN</t>
  </si>
  <si>
    <t>High</t>
  </si>
  <si>
    <t>Front of School</t>
  </si>
  <si>
    <t>Outside on School Property</t>
  </si>
  <si>
    <t>No</t>
  </si>
  <si>
    <t>Night</t>
  </si>
  <si>
    <t>Two adults found fatally shot inside car in front of the school</t>
  </si>
  <si>
    <t>Victims Targeted</t>
  </si>
  <si>
    <t>No</t>
  </si>
  <si>
    <t>20210210LASTS</t>
  </si>
  <si>
    <t>St. Martinville Head Start Center</t>
  </si>
  <si>
    <t>Local</t>
  </si>
  <si>
    <t>Winter</t>
  </si>
  <si>
    <t>Saint Martinville</t>
  </si>
  <si>
    <t>LA</t>
  </si>
  <si>
    <t>Other</t>
  </si>
  <si>
    <t>Cafeteria</t>
  </si>
  <si>
    <t>Inside School Building</t>
  </si>
  <si>
    <t>Yes</t>
  </si>
  <si>
    <t>Lunch</t>
  </si>
  <si>
    <t>Bullet from drive-by struck plate child was holding in cafeteria</t>
  </si>
  <si>
    <t>Drive-by Shooting</t>
  </si>
  <si>
    <t>Both</t>
  </si>
  <si>
    <t>Yes</t>
  </si>
  <si>
    <t>No</t>
  </si>
  <si>
    <t>20210210TXFOF</t>
  </si>
  <si>
    <t>Forest Oak Middle School</t>
  </si>
  <si>
    <t>Local</t>
  </si>
  <si>
    <t>Winter</t>
  </si>
  <si>
    <t>Fort Worth</t>
  </si>
  <si>
    <t>TX</t>
  </si>
  <si>
    <t>Middle</t>
  </si>
  <si>
    <t>Front of School</t>
  </si>
  <si>
    <t>Outside on School Property</t>
  </si>
  <si>
    <t>No</t>
  </si>
  <si>
    <t>Night</t>
  </si>
  <si>
    <t>Adult male shot to death in vehicle in front of school</t>
  </si>
  <si>
    <t>Victims Targeted</t>
  </si>
  <si>
    <t>No</t>
  </si>
  <si>
    <t>20210210NJSCP</t>
  </si>
  <si>
    <t>School Number 15</t>
  </si>
  <si>
    <t>Local</t>
  </si>
  <si>
    <t>Winter</t>
  </si>
  <si>
    <t>Paterson</t>
  </si>
  <si>
    <t>NJ</t>
  </si>
  <si>
    <t>Elementary</t>
  </si>
  <si>
    <t>Beside Building</t>
  </si>
  <si>
    <t>Outside on School Property</t>
  </si>
  <si>
    <t>No</t>
  </si>
  <si>
    <t>Night</t>
  </si>
  <si>
    <t>Woman shot multiple times next to school</t>
  </si>
  <si>
    <t>Victims Targeted</t>
  </si>
  <si>
    <t>No</t>
  </si>
  <si>
    <t>20210208MISCG</t>
  </si>
  <si>
    <t>School Bus</t>
  </si>
  <si>
    <t>Local</t>
  </si>
  <si>
    <t>Winter</t>
  </si>
  <si>
    <t>Grand Rapids</t>
  </si>
  <si>
    <t>MI</t>
  </si>
  <si>
    <t>School Bus</t>
  </si>
  <si>
    <t>Yes</t>
  </si>
  <si>
    <t>Dismissal</t>
  </si>
  <si>
    <t>School bus struck by bullet fired from another vehicle</t>
  </si>
  <si>
    <t>Drive-by Shooting</t>
  </si>
  <si>
    <t>Victims Targeted</t>
  </si>
  <si>
    <t>No</t>
  </si>
  <si>
    <t>20210205MDBEM</t>
  </si>
  <si>
    <t>Benjamin Stoddert Middle School</t>
  </si>
  <si>
    <t>Local</t>
  </si>
  <si>
    <t>Winter</t>
  </si>
  <si>
    <t>Temple Hills</t>
  </si>
  <si>
    <t>MD</t>
  </si>
  <si>
    <t>Middle</t>
  </si>
  <si>
    <t>Football Field/Track</t>
  </si>
  <si>
    <t>Outside on School Property</t>
  </si>
  <si>
    <t>No</t>
  </si>
  <si>
    <t>Evening</t>
  </si>
  <si>
    <t>Man shot near football field behind the school</t>
  </si>
  <si>
    <t>Victims Targeted</t>
  </si>
  <si>
    <t>No</t>
  </si>
  <si>
    <t>20210201MIMUD</t>
  </si>
  <si>
    <t>Muslim American Youth Academy</t>
  </si>
  <si>
    <t>Local</t>
  </si>
  <si>
    <t>Winter</t>
  </si>
  <si>
    <t>Dearborn</t>
  </si>
  <si>
    <t>MI</t>
  </si>
  <si>
    <t>K-8</t>
  </si>
  <si>
    <t>Gym</t>
  </si>
  <si>
    <t>Inside School Building</t>
  </si>
  <si>
    <t>No</t>
  </si>
  <si>
    <t>Night</t>
  </si>
  <si>
    <t>Shooting inside school gym during dispute between two groups</t>
  </si>
  <si>
    <t>Escalation of Dispute</t>
  </si>
  <si>
    <t>Victims Targeted</t>
  </si>
  <si>
    <t>No</t>
  </si>
  <si>
    <t>20210127FLHOH</t>
  </si>
  <si>
    <t>Holly Hill School</t>
  </si>
  <si>
    <t>Local</t>
  </si>
  <si>
    <t>Winter</t>
  </si>
  <si>
    <t>Holly Hill</t>
  </si>
  <si>
    <t>FL</t>
  </si>
  <si>
    <t>K-8</t>
  </si>
  <si>
    <t>Gym</t>
  </si>
  <si>
    <t>Inside School Building</t>
  </si>
  <si>
    <t>Yes</t>
  </si>
  <si>
    <t>Afternoon Classes</t>
  </si>
  <si>
    <t>Student shot with airsoft gun in locker room</t>
  </si>
  <si>
    <t>Victims Targeted</t>
  </si>
  <si>
    <t>Yes</t>
  </si>
  <si>
    <t>No</t>
  </si>
  <si>
    <t>20210127MSHAH</t>
  </si>
  <si>
    <t>Hattiesburg High School</t>
  </si>
  <si>
    <t>Local</t>
  </si>
  <si>
    <t>Winter</t>
  </si>
  <si>
    <t>Hattiesburg</t>
  </si>
  <si>
    <t>MS</t>
  </si>
  <si>
    <t>High</t>
  </si>
  <si>
    <t>Off School Property</t>
  </si>
  <si>
    <t>School Bus</t>
  </si>
  <si>
    <t>Yes</t>
  </si>
  <si>
    <t>School Start</t>
  </si>
  <si>
    <t>Teen pointed gun at school bus and then fired shots into the air near the school</t>
  </si>
  <si>
    <t>Random Shooting</t>
  </si>
  <si>
    <t>No</t>
  </si>
  <si>
    <t>20210121OKLOG</t>
  </si>
  <si>
    <t>Lower Elementary School</t>
  </si>
  <si>
    <t>Local</t>
  </si>
  <si>
    <t>Winter</t>
  </si>
  <si>
    <t>Grove</t>
  </si>
  <si>
    <t>OK</t>
  </si>
  <si>
    <t>Elementary</t>
  </si>
  <si>
    <t>Parking Lot</t>
  </si>
  <si>
    <t>Outside on School Property</t>
  </si>
  <si>
    <t>Yes</t>
  </si>
  <si>
    <t>Dismissal</t>
  </si>
  <si>
    <t>Parent shot self inside car while in pickup line at school</t>
  </si>
  <si>
    <t>Accidental</t>
  </si>
  <si>
    <t>Random Shooting</t>
  </si>
  <si>
    <t>No</t>
  </si>
  <si>
    <t>20210121OHEAC</t>
  </si>
  <si>
    <t>Eastmoor Academy</t>
  </si>
  <si>
    <t>Local</t>
  </si>
  <si>
    <t>Winter</t>
  </si>
  <si>
    <t>Columbus</t>
  </si>
  <si>
    <t>OH</t>
  </si>
  <si>
    <t>High</t>
  </si>
  <si>
    <t>Parking Lot</t>
  </si>
  <si>
    <t>Outside on School Property</t>
  </si>
  <si>
    <t>No</t>
  </si>
  <si>
    <t>Evening</t>
  </si>
  <si>
    <t>Man shot while watching fight in school parking lot</t>
  </si>
  <si>
    <t>Escalation of Dispute</t>
  </si>
  <si>
    <t>Both</t>
  </si>
  <si>
    <t>No</t>
  </si>
  <si>
    <t>20210114MDHIW</t>
  </si>
  <si>
    <t>Highland Elementary School</t>
  </si>
  <si>
    <t>Local</t>
  </si>
  <si>
    <t>Winter</t>
  </si>
  <si>
    <t>Wheaton</t>
  </si>
  <si>
    <t>MD</t>
  </si>
  <si>
    <t>Elementary</t>
  </si>
  <si>
    <t>Parking Lot</t>
  </si>
  <si>
    <t>Outside on School Property</t>
  </si>
  <si>
    <t>No</t>
  </si>
  <si>
    <t>Before School</t>
  </si>
  <si>
    <t>Man found shot and killed inside vehicle in school parking lot</t>
  </si>
  <si>
    <t>Victims Targeted</t>
  </si>
  <si>
    <t>No</t>
  </si>
  <si>
    <t>20210110ILSOS</t>
  </si>
  <si>
    <t>Southeast High School</t>
  </si>
  <si>
    <t>Local</t>
  </si>
  <si>
    <t>Winter</t>
  </si>
  <si>
    <t>Springfield</t>
  </si>
  <si>
    <t>IL</t>
  </si>
  <si>
    <t>High</t>
  </si>
  <si>
    <t>Parking Lot</t>
  </si>
  <si>
    <t>Outside on School Property</t>
  </si>
  <si>
    <t>No</t>
  </si>
  <si>
    <t>Not a School Day</t>
  </si>
  <si>
    <t>Two women in vehicle shot in school parking lot</t>
  </si>
  <si>
    <t>Victims Targeted</t>
  </si>
  <si>
    <t>No</t>
  </si>
  <si>
    <t>20210104NYPEJ</t>
  </si>
  <si>
    <t>Perth Bible Church and Christian Academy</t>
  </si>
  <si>
    <t>Local</t>
  </si>
  <si>
    <t>Winter</t>
  </si>
  <si>
    <t>Johnstown</t>
  </si>
  <si>
    <t>NY</t>
  </si>
  <si>
    <t>6-12</t>
  </si>
  <si>
    <t>Field (General)</t>
  </si>
  <si>
    <t>Outside on School Property</t>
  </si>
  <si>
    <t>Yes</t>
  </si>
  <si>
    <t>Morning Classes</t>
  </si>
  <si>
    <t>Animal control officer fired personal handgun at animal on school property while school was in session</t>
  </si>
  <si>
    <t>Illegal Activity</t>
  </si>
  <si>
    <t>Neither</t>
  </si>
  <si>
    <t>No</t>
  </si>
  <si>
    <t>20201229WAROS</t>
  </si>
  <si>
    <t>Rogers High School</t>
  </si>
  <si>
    <t>Local</t>
  </si>
  <si>
    <t>Winter</t>
  </si>
  <si>
    <t>Spokane</t>
  </si>
  <si>
    <t>WA</t>
  </si>
  <si>
    <t>High</t>
  </si>
  <si>
    <t>Parking Lot</t>
  </si>
  <si>
    <t>Outside on School Property</t>
  </si>
  <si>
    <t>No</t>
  </si>
  <si>
    <t>Evening</t>
  </si>
  <si>
    <t>Two teens shot in school parking lot</t>
  </si>
  <si>
    <t>Escalation of Dispute</t>
  </si>
  <si>
    <t>Victims Targeted</t>
  </si>
  <si>
    <t>No</t>
  </si>
  <si>
    <t>20201225FLYOP</t>
  </si>
  <si>
    <t>Youth Under Construction Youth Center</t>
  </si>
  <si>
    <t>Local</t>
  </si>
  <si>
    <t>Winter</t>
  </si>
  <si>
    <t>Pompano Beach</t>
  </si>
  <si>
    <t>FL</t>
  </si>
  <si>
    <t>High</t>
  </si>
  <si>
    <t>Parking Lot</t>
  </si>
  <si>
    <t>Outside on School Property</t>
  </si>
  <si>
    <t>No</t>
  </si>
  <si>
    <t>School Event</t>
  </si>
  <si>
    <t>Shots fired in the parking lot during school holiday party</t>
  </si>
  <si>
    <t>No</t>
  </si>
  <si>
    <t>20201216ILDUC</t>
  </si>
  <si>
    <t>Dubois Elementary School</t>
  </si>
  <si>
    <t>Local</t>
  </si>
  <si>
    <t>Winter</t>
  </si>
  <si>
    <t>Chicago</t>
  </si>
  <si>
    <t>IL</t>
  </si>
  <si>
    <t>Elementary</t>
  </si>
  <si>
    <t>Parking Lot</t>
  </si>
  <si>
    <t>Outside on School Property</t>
  </si>
  <si>
    <t>No</t>
  </si>
  <si>
    <t>Night</t>
  </si>
  <si>
    <t>Man fatally shot in parking lot of school</t>
  </si>
  <si>
    <t>Victims Targeted</t>
  </si>
  <si>
    <t>No</t>
  </si>
  <si>
    <t>20201211VATAY</t>
  </si>
  <si>
    <t>Tabb Middle School</t>
  </si>
  <si>
    <t>Local</t>
  </si>
  <si>
    <t>Winter</t>
  </si>
  <si>
    <t>Yorktown</t>
  </si>
  <si>
    <t>VA</t>
  </si>
  <si>
    <t>Middle</t>
  </si>
  <si>
    <t>Basketball Court</t>
  </si>
  <si>
    <t>Outside on School Property</t>
  </si>
  <si>
    <t>No</t>
  </si>
  <si>
    <t>Evening</t>
  </si>
  <si>
    <t>Shooting on school basketball court</t>
  </si>
  <si>
    <t>No</t>
  </si>
  <si>
    <t>20201207ILEAC</t>
  </si>
  <si>
    <t>East Chicago Academy of Visual and Performing Arts</t>
  </si>
  <si>
    <t>Local</t>
  </si>
  <si>
    <t>Winter</t>
  </si>
  <si>
    <t>Chicago</t>
  </si>
  <si>
    <t>IL</t>
  </si>
  <si>
    <t>High</t>
  </si>
  <si>
    <t>Front of School</t>
  </si>
  <si>
    <t>Outside on School Property</t>
  </si>
  <si>
    <t>No</t>
  </si>
  <si>
    <t>Night</t>
  </si>
  <si>
    <t>Man found dead in front of school from gunshot wound</t>
  </si>
  <si>
    <t>No</t>
  </si>
  <si>
    <t>20201124NCHEH</t>
  </si>
  <si>
    <t>Hendersonville Middle School</t>
  </si>
  <si>
    <t>Regional</t>
  </si>
  <si>
    <t>Fall</t>
  </si>
  <si>
    <t>Hendersonville</t>
  </si>
  <si>
    <t>NC</t>
  </si>
  <si>
    <t>Middle</t>
  </si>
  <si>
    <t>Gym</t>
  </si>
  <si>
    <t>Inside School Building</t>
  </si>
  <si>
    <t>Yes</t>
  </si>
  <si>
    <t>Morning Classes</t>
  </si>
  <si>
    <t>Student fired single shot at another student in the school gym</t>
  </si>
  <si>
    <t>Victims Targeted</t>
  </si>
  <si>
    <t>No</t>
  </si>
  <si>
    <t>20201125KSABG</t>
  </si>
  <si>
    <t>Abe Hubert Elementary School</t>
  </si>
  <si>
    <t>Local</t>
  </si>
  <si>
    <t>Fall</t>
  </si>
  <si>
    <t>Garden City</t>
  </si>
  <si>
    <t>KS</t>
  </si>
  <si>
    <t>Elementary</t>
  </si>
  <si>
    <t>Parking Lot</t>
  </si>
  <si>
    <t>Outside on School Property</t>
  </si>
  <si>
    <t>No</t>
  </si>
  <si>
    <t>Not a School Day</t>
  </si>
  <si>
    <t>Teen shot in parking lot of school</t>
  </si>
  <si>
    <t>Domestic w/ Targeted Victim</t>
  </si>
  <si>
    <t>Victims Targeted</t>
  </si>
  <si>
    <t>No</t>
  </si>
  <si>
    <t>Yes</t>
  </si>
  <si>
    <t>No</t>
  </si>
  <si>
    <t>20201117TXWEW</t>
  </si>
  <si>
    <t>Weatherford High School</t>
  </si>
  <si>
    <t>Regional</t>
  </si>
  <si>
    <t>Fall</t>
  </si>
  <si>
    <t>Weatherford</t>
  </si>
  <si>
    <t>TX</t>
  </si>
  <si>
    <t>High</t>
  </si>
  <si>
    <t>Beside Building</t>
  </si>
  <si>
    <t>Outside on School Property</t>
  </si>
  <si>
    <t>Yes</t>
  </si>
  <si>
    <t>Afternoon Classes</t>
  </si>
  <si>
    <t>Teen with handgun shot himself when confronted by police</t>
  </si>
  <si>
    <t>Suicide/Attempted</t>
  </si>
  <si>
    <t>Victims Targeted</t>
  </si>
  <si>
    <t>No</t>
  </si>
  <si>
    <t>20201117MTGRG</t>
  </si>
  <si>
    <t>Great Falls High School</t>
  </si>
  <si>
    <t>Local</t>
  </si>
  <si>
    <t>Great Falls</t>
  </si>
  <si>
    <t>MT</t>
  </si>
  <si>
    <t>High</t>
  </si>
  <si>
    <t>Front of School</t>
  </si>
  <si>
    <t>Outside on School Property</t>
  </si>
  <si>
    <t>No</t>
  </si>
  <si>
    <t>Evening</t>
  </si>
  <si>
    <t>Teen fired BB gun from vehicle breaking multiple windows</t>
  </si>
  <si>
    <t>Intentional Property Damage</t>
  </si>
  <si>
    <t>Neither</t>
  </si>
  <si>
    <t>No</t>
  </si>
  <si>
    <t>20201116TNWIM</t>
  </si>
  <si>
    <t>Winridge Elementary School</t>
  </si>
  <si>
    <t>Local</t>
  </si>
  <si>
    <t>Fall</t>
  </si>
  <si>
    <t>Memphis</t>
  </si>
  <si>
    <t>TN</t>
  </si>
  <si>
    <t>Elementary</t>
  </si>
  <si>
    <t>Beside Building</t>
  </si>
  <si>
    <t>Outside on School Property</t>
  </si>
  <si>
    <t>No</t>
  </si>
  <si>
    <t>Man shot at woman with two children following robbery</t>
  </si>
  <si>
    <t>Domestic w/ Targeted Victim</t>
  </si>
  <si>
    <t>Victims Targeted</t>
  </si>
  <si>
    <t>No</t>
  </si>
  <si>
    <t>Yes</t>
  </si>
  <si>
    <t>No</t>
  </si>
  <si>
    <t>20201113NCLIL</t>
  </si>
  <si>
    <t>Lincoln Elementary School</t>
  </si>
  <si>
    <t>International</t>
  </si>
  <si>
    <t>Fall</t>
  </si>
  <si>
    <t>Leland</t>
  </si>
  <si>
    <t>NC</t>
  </si>
  <si>
    <t>Elementary</t>
  </si>
  <si>
    <t>Playground</t>
  </si>
  <si>
    <t>Outside on School Property</t>
  </si>
  <si>
    <t>Yes</t>
  </si>
  <si>
    <t>Afternoon Classes</t>
  </si>
  <si>
    <t>Student struck by shot fired from long distance</t>
  </si>
  <si>
    <t>Accidental</t>
  </si>
  <si>
    <t>Random Shooting</t>
  </si>
  <si>
    <t>No</t>
  </si>
  <si>
    <t>20201112PANAH</t>
  </si>
  <si>
    <t>Nativity School of Harrisburg</t>
  </si>
  <si>
    <t>Local</t>
  </si>
  <si>
    <t>Fall</t>
  </si>
  <si>
    <t>Harrisburg</t>
  </si>
  <si>
    <t>PA</t>
  </si>
  <si>
    <t>Middle</t>
  </si>
  <si>
    <t>Parking Lot</t>
  </si>
  <si>
    <t>Outside on School Property</t>
  </si>
  <si>
    <t>No</t>
  </si>
  <si>
    <t>Evening</t>
  </si>
  <si>
    <t>Teen shot and killed in school parking lot</t>
  </si>
  <si>
    <t>No</t>
  </si>
  <si>
    <t>20201112CACEU</t>
  </si>
  <si>
    <t>Cesar Chavez Middle School</t>
  </si>
  <si>
    <t>Local</t>
  </si>
  <si>
    <t>Fall</t>
  </si>
  <si>
    <t>Union City</t>
  </si>
  <si>
    <t>CA</t>
  </si>
  <si>
    <t>Middle</t>
  </si>
  <si>
    <t>Parking Lot</t>
  </si>
  <si>
    <t>Outside on School Property</t>
  </si>
  <si>
    <t>No</t>
  </si>
  <si>
    <t>Evening</t>
  </si>
  <si>
    <t>Man in vehicle shot in school parking lot, fled and crashed nearby</t>
  </si>
  <si>
    <t>Victims Targeted</t>
  </si>
  <si>
    <t>No</t>
  </si>
  <si>
    <t>20201109TXCOH</t>
  </si>
  <si>
    <t>Collins Elementary School</t>
  </si>
  <si>
    <t>Local</t>
  </si>
  <si>
    <t>Fall</t>
  </si>
  <si>
    <t>Houston</t>
  </si>
  <si>
    <t>TX</t>
  </si>
  <si>
    <t>Elementary</t>
  </si>
  <si>
    <t>Parking Lot</t>
  </si>
  <si>
    <t>Outside on School Property</t>
  </si>
  <si>
    <t>No</t>
  </si>
  <si>
    <t>Night</t>
  </si>
  <si>
    <t>Man found fatally shot in school parking lot</t>
  </si>
  <si>
    <t>Victims Targeted</t>
  </si>
  <si>
    <t>No</t>
  </si>
  <si>
    <t>20201109CABAL</t>
  </si>
  <si>
    <t>Baldwin Elementary School</t>
  </si>
  <si>
    <t>Local</t>
  </si>
  <si>
    <t>Fall</t>
  </si>
  <si>
    <t>La Puente</t>
  </si>
  <si>
    <t>CA</t>
  </si>
  <si>
    <t>Elementary</t>
  </si>
  <si>
    <t>Beside Building</t>
  </si>
  <si>
    <t>Outside on School Property</t>
  </si>
  <si>
    <t>No</t>
  </si>
  <si>
    <t>Night</t>
  </si>
  <si>
    <t>Janitor found man dead from gunshot wound next to the school</t>
  </si>
  <si>
    <t>Suicide/Attempted</t>
  </si>
  <si>
    <t>Victims Targeted</t>
  </si>
  <si>
    <t>No</t>
  </si>
  <si>
    <t>20201108INTET</t>
  </si>
  <si>
    <t>Terre Haute South Vigo High School</t>
  </si>
  <si>
    <t>Local</t>
  </si>
  <si>
    <t>Fall</t>
  </si>
  <si>
    <t>Terre Haute</t>
  </si>
  <si>
    <t>IN</t>
  </si>
  <si>
    <t>High</t>
  </si>
  <si>
    <t>Parking Lot</t>
  </si>
  <si>
    <t>Outside on School Property</t>
  </si>
  <si>
    <t>No</t>
  </si>
  <si>
    <t>Not a School Day</t>
  </si>
  <si>
    <t>Shots fired in the school parking lot</t>
  </si>
  <si>
    <t>Victims Targeted</t>
  </si>
  <si>
    <t>No</t>
  </si>
  <si>
    <t>20201106AZKHT</t>
  </si>
  <si>
    <t>Khalsa Montessori Charter</t>
  </si>
  <si>
    <t>Local</t>
  </si>
  <si>
    <t>Fall</t>
  </si>
  <si>
    <t>Tucson</t>
  </si>
  <si>
    <t>AZ</t>
  </si>
  <si>
    <t>Elementary</t>
  </si>
  <si>
    <t>Parking Lot</t>
  </si>
  <si>
    <t>Outside on School Property</t>
  </si>
  <si>
    <t>Yes</t>
  </si>
  <si>
    <t>Morning Classes</t>
  </si>
  <si>
    <t>Man fired shots at multiple vehicles in the school parking lot during standoff with police</t>
  </si>
  <si>
    <t>Hostage/Standoff</t>
  </si>
  <si>
    <t>Neither</t>
  </si>
  <si>
    <t>No</t>
  </si>
  <si>
    <t>Yes</t>
  </si>
  <si>
    <t>20201102COERE</t>
  </si>
  <si>
    <t>Erie High School</t>
  </si>
  <si>
    <t>Local</t>
  </si>
  <si>
    <t>Fall</t>
  </si>
  <si>
    <t>Erie</t>
  </si>
  <si>
    <t>CO</t>
  </si>
  <si>
    <t>High</t>
  </si>
  <si>
    <t>Cafeteria</t>
  </si>
  <si>
    <t>Outside on School Property</t>
  </si>
  <si>
    <t>No</t>
  </si>
  <si>
    <t>Night</t>
  </si>
  <si>
    <t>Bullet shot at cafeteria window</t>
  </si>
  <si>
    <t>Intentional Property Damage</t>
  </si>
  <si>
    <t>Neither</t>
  </si>
  <si>
    <t>No</t>
  </si>
  <si>
    <t>20201029FLLAM</t>
  </si>
  <si>
    <t>Lawton Chiles Middle School</t>
  </si>
  <si>
    <t>National</t>
  </si>
  <si>
    <t>Fall</t>
  </si>
  <si>
    <t>Miramar</t>
  </si>
  <si>
    <t>FL</t>
  </si>
  <si>
    <t>Middle</t>
  </si>
  <si>
    <t>Parking Lot</t>
  </si>
  <si>
    <t>Outside on School Property</t>
  </si>
  <si>
    <t>No</t>
  </si>
  <si>
    <t>Night</t>
  </si>
  <si>
    <t>Two men fatally shot in school parking lot</t>
  </si>
  <si>
    <t>Victims Targeted</t>
  </si>
  <si>
    <t>No</t>
  </si>
  <si>
    <t>20201028NYROR</t>
  </si>
  <si>
    <t>Rochester Prep Charter School</t>
  </si>
  <si>
    <t>Local</t>
  </si>
  <si>
    <t>Fall</t>
  </si>
  <si>
    <t>Rochester</t>
  </si>
  <si>
    <t>NY</t>
  </si>
  <si>
    <t>K-12</t>
  </si>
  <si>
    <t>Front of School</t>
  </si>
  <si>
    <t>Off School Property</t>
  </si>
  <si>
    <t>No</t>
  </si>
  <si>
    <t>Evening</t>
  </si>
  <si>
    <t>School building struck by shot fired during drive-by</t>
  </si>
  <si>
    <t>Drive-by Shooting</t>
  </si>
  <si>
    <t>Victims Targeted</t>
  </si>
  <si>
    <t>No</t>
  </si>
  <si>
    <t>20201026GARIR</t>
  </si>
  <si>
    <t>Riverdale High School</t>
  </si>
  <si>
    <t>Local</t>
  </si>
  <si>
    <t>Fall</t>
  </si>
  <si>
    <t>Riverdale</t>
  </si>
  <si>
    <t>GA</t>
  </si>
  <si>
    <t>High</t>
  </si>
  <si>
    <t>Parking Lot</t>
  </si>
  <si>
    <t>Outside on School Property</t>
  </si>
  <si>
    <t>No</t>
  </si>
  <si>
    <t>Evening</t>
  </si>
  <si>
    <t>Man shot and killed in school parking lot</t>
  </si>
  <si>
    <t>Illegal Activity</t>
  </si>
  <si>
    <t>Victims Targeted</t>
  </si>
  <si>
    <t>Yes</t>
  </si>
  <si>
    <t>No</t>
  </si>
  <si>
    <t>20201024CTSTS</t>
  </si>
  <si>
    <t>Stillwater Elementary School</t>
  </si>
  <si>
    <t>Local</t>
  </si>
  <si>
    <t>Fall</t>
  </si>
  <si>
    <t>Stamford</t>
  </si>
  <si>
    <t>CT</t>
  </si>
  <si>
    <t>Elementary</t>
  </si>
  <si>
    <t>Beside Building</t>
  </si>
  <si>
    <t>Outside on School Property</t>
  </si>
  <si>
    <t>No</t>
  </si>
  <si>
    <t>Night</t>
  </si>
  <si>
    <t>Shots fired next to school building</t>
  </si>
  <si>
    <t>No</t>
  </si>
  <si>
    <t>20201020ARJAP</t>
  </si>
  <si>
    <t>Jack Robey Junior High School</t>
  </si>
  <si>
    <t>National</t>
  </si>
  <si>
    <t>Fall</t>
  </si>
  <si>
    <t>Pine Bluff</t>
  </si>
  <si>
    <t>AR</t>
  </si>
  <si>
    <t>Junior High</t>
  </si>
  <si>
    <t>Parking Lot</t>
  </si>
  <si>
    <t>Outside on School Property</t>
  </si>
  <si>
    <t>No</t>
  </si>
  <si>
    <t>Night</t>
  </si>
  <si>
    <t>Teen found shot and killed in vehicle in the school parking lot</t>
  </si>
  <si>
    <t>Escalation of Dispute</t>
  </si>
  <si>
    <t>Victims Targeted</t>
  </si>
  <si>
    <t>No</t>
  </si>
  <si>
    <t>20201018KYSEL</t>
  </si>
  <si>
    <t>Seneca High School</t>
  </si>
  <si>
    <t>Local</t>
  </si>
  <si>
    <t>Fall</t>
  </si>
  <si>
    <t>Louisville</t>
  </si>
  <si>
    <t>KY</t>
  </si>
  <si>
    <t>High</t>
  </si>
  <si>
    <t>Parking Lot (Bus)</t>
  </si>
  <si>
    <t>Outside on School Property</t>
  </si>
  <si>
    <t>No</t>
  </si>
  <si>
    <t>Not a School Day</t>
  </si>
  <si>
    <t>Three teens shot in school parking lot</t>
  </si>
  <si>
    <t>No</t>
  </si>
  <si>
    <t>20201014PABRB</t>
  </si>
  <si>
    <t>Bradford Area School District</t>
  </si>
  <si>
    <t>Local</t>
  </si>
  <si>
    <t>Fall</t>
  </si>
  <si>
    <t>Bradford</t>
  </si>
  <si>
    <t>PA</t>
  </si>
  <si>
    <t>School Bus</t>
  </si>
  <si>
    <t>Yes</t>
  </si>
  <si>
    <t>After School</t>
  </si>
  <si>
    <t>School bus window behind driver's head struck by BB</t>
  </si>
  <si>
    <t>Intentional Property Damage</t>
  </si>
  <si>
    <t>Neither</t>
  </si>
  <si>
    <t>No</t>
  </si>
  <si>
    <t>20201014WAWAS</t>
  </si>
  <si>
    <t>Washington Elementary School</t>
  </si>
  <si>
    <t>Local</t>
  </si>
  <si>
    <t>Fall</t>
  </si>
  <si>
    <t>Sunnyside</t>
  </si>
  <si>
    <t>WA</t>
  </si>
  <si>
    <t>Elementary</t>
  </si>
  <si>
    <t>Front of School</t>
  </si>
  <si>
    <t>Off School Property</t>
  </si>
  <si>
    <t>Yes</t>
  </si>
  <si>
    <t>Morning Classes</t>
  </si>
  <si>
    <t>Shots from drive-by shooting struck occupied school building</t>
  </si>
  <si>
    <t>Drive-by Shooting</t>
  </si>
  <si>
    <t>Victims Targeted</t>
  </si>
  <si>
    <t>Yes</t>
  </si>
  <si>
    <t>No</t>
  </si>
  <si>
    <t>20201013RIRHP</t>
  </si>
  <si>
    <t>Rhode Island School for the Deaf</t>
  </si>
  <si>
    <t>Local</t>
  </si>
  <si>
    <t>Fall</t>
  </si>
  <si>
    <t>Providence</t>
  </si>
  <si>
    <t>RI</t>
  </si>
  <si>
    <t>K-12</t>
  </si>
  <si>
    <t>Parking Lot</t>
  </si>
  <si>
    <t>Outside on School Property</t>
  </si>
  <si>
    <t>No</t>
  </si>
  <si>
    <t>After School</t>
  </si>
  <si>
    <t>3 adult men shot in the school parking lot</t>
  </si>
  <si>
    <t>Victims Targeted</t>
  </si>
  <si>
    <t>No</t>
  </si>
  <si>
    <t>20201012TXNOD</t>
  </si>
  <si>
    <t>North Dallas High School</t>
  </si>
  <si>
    <t>Local</t>
  </si>
  <si>
    <t>Fall</t>
  </si>
  <si>
    <t>Dallas</t>
  </si>
  <si>
    <t>TX</t>
  </si>
  <si>
    <t>High</t>
  </si>
  <si>
    <t>Parking Lot</t>
  </si>
  <si>
    <t>Outside on School Property</t>
  </si>
  <si>
    <t>Yes</t>
  </si>
  <si>
    <t>Afternoon Classes</t>
  </si>
  <si>
    <t>Shots fired during dispute in school parking lot</t>
  </si>
  <si>
    <t>Escalation of Dispute</t>
  </si>
  <si>
    <t>Victims Targeted</t>
  </si>
  <si>
    <t>No</t>
  </si>
  <si>
    <t>20201012MNSHS</t>
  </si>
  <si>
    <t>Shakopee High School</t>
  </si>
  <si>
    <t>Local</t>
  </si>
  <si>
    <t>Fall</t>
  </si>
  <si>
    <t>Shakopee</t>
  </si>
  <si>
    <t>MN</t>
  </si>
  <si>
    <t>High</t>
  </si>
  <si>
    <t>Field (General)</t>
  </si>
  <si>
    <t>Off School Property</t>
  </si>
  <si>
    <t>No</t>
  </si>
  <si>
    <t>Sport Event</t>
  </si>
  <si>
    <t>Shots fired at field during high school baseball practice</t>
  </si>
  <si>
    <t>Accidental</t>
  </si>
  <si>
    <t>Neither</t>
  </si>
  <si>
    <t>No</t>
  </si>
  <si>
    <t>20201009FLJEJ</t>
  </si>
  <si>
    <t>Jean Ribault High School</t>
  </si>
  <si>
    <t>Local</t>
  </si>
  <si>
    <t>Fall</t>
  </si>
  <si>
    <t>Jacksonville</t>
  </si>
  <si>
    <t>FL</t>
  </si>
  <si>
    <t>High</t>
  </si>
  <si>
    <t>Student shot in the arm by another student</t>
  </si>
  <si>
    <t>Accidental</t>
  </si>
  <si>
    <t>Random Shooting</t>
  </si>
  <si>
    <t>No</t>
  </si>
  <si>
    <t>20201005OKSOM</t>
  </si>
  <si>
    <t>Southridge Junior High</t>
  </si>
  <si>
    <t>Local</t>
  </si>
  <si>
    <t>Fall</t>
  </si>
  <si>
    <t>Moore</t>
  </si>
  <si>
    <t>OK</t>
  </si>
  <si>
    <t>High</t>
  </si>
  <si>
    <t>School Bus</t>
  </si>
  <si>
    <t>Yes</t>
  </si>
  <si>
    <t>Before School</t>
  </si>
  <si>
    <t>Student with airsoft gun fired multiple shots at other students on school bus</t>
  </si>
  <si>
    <t>No</t>
  </si>
  <si>
    <t>20201005ARKIH</t>
  </si>
  <si>
    <t>KIPP Delta Elementary School</t>
  </si>
  <si>
    <t>Local</t>
  </si>
  <si>
    <t>Fall</t>
  </si>
  <si>
    <t>West Helena</t>
  </si>
  <si>
    <t>AR</t>
  </si>
  <si>
    <t>Elementary</t>
  </si>
  <si>
    <t>Front of School</t>
  </si>
  <si>
    <t>Outside on School Property</t>
  </si>
  <si>
    <t>Yes</t>
  </si>
  <si>
    <t>Dismissal</t>
  </si>
  <si>
    <t>Two men shot during domestic dispute in front of school during dismissal</t>
  </si>
  <si>
    <t>Domestic w/ Targeted Victim</t>
  </si>
  <si>
    <t>Victims Targeted</t>
  </si>
  <si>
    <t>No</t>
  </si>
  <si>
    <t>Yes</t>
  </si>
  <si>
    <t>No</t>
  </si>
  <si>
    <t>20201004NEADL</t>
  </si>
  <si>
    <t>Adam’s Elementary School</t>
  </si>
  <si>
    <t>Local</t>
  </si>
  <si>
    <t>Fall</t>
  </si>
  <si>
    <t>Lincoln</t>
  </si>
  <si>
    <t>NE</t>
  </si>
  <si>
    <t>Elementary</t>
  </si>
  <si>
    <t>Parking Lot</t>
  </si>
  <si>
    <t>Outside on School Property</t>
  </si>
  <si>
    <t>No</t>
  </si>
  <si>
    <t>Police found shell casings near the elementary school playground</t>
  </si>
  <si>
    <t>Drive-by Shooting</t>
  </si>
  <si>
    <t>Neither</t>
  </si>
  <si>
    <t>No</t>
  </si>
  <si>
    <t>20201002PAMAE</t>
  </si>
  <si>
    <t>Marple-Newtown School Bus</t>
  </si>
  <si>
    <t>Local</t>
  </si>
  <si>
    <t>Fall</t>
  </si>
  <si>
    <t>Exton</t>
  </si>
  <si>
    <t>PA</t>
  </si>
  <si>
    <t>School Bus</t>
  </si>
  <si>
    <t>Multiple school bus windows shot while bus was driving on city street</t>
  </si>
  <si>
    <t>Intentional Property Damage</t>
  </si>
  <si>
    <t>Neither</t>
  </si>
  <si>
    <t>No</t>
  </si>
  <si>
    <t>20200930CADYL</t>
  </si>
  <si>
    <t>Dymally High School</t>
  </si>
  <si>
    <t>Local</t>
  </si>
  <si>
    <t>Fall</t>
  </si>
  <si>
    <t>Los Angeles</t>
  </si>
  <si>
    <t>CA</t>
  </si>
  <si>
    <t>High</t>
  </si>
  <si>
    <t>Front of School</t>
  </si>
  <si>
    <t>Outside on School Property</t>
  </si>
  <si>
    <t>Yes</t>
  </si>
  <si>
    <t>Afternoon Classes</t>
  </si>
  <si>
    <t>Two men were shot in front of the school</t>
  </si>
  <si>
    <t>Victims Targeted</t>
  </si>
  <si>
    <t>No</t>
  </si>
  <si>
    <t>20200928CTEAN</t>
  </si>
  <si>
    <t>East Rock Community Magnet School</t>
  </si>
  <si>
    <t>Local</t>
  </si>
  <si>
    <t>Fall</t>
  </si>
  <si>
    <t>New Haven</t>
  </si>
  <si>
    <t>CT</t>
  </si>
  <si>
    <t>K-8</t>
  </si>
  <si>
    <t>Beside Building</t>
  </si>
  <si>
    <t>Outside on School Property</t>
  </si>
  <si>
    <t>No</t>
  </si>
  <si>
    <t>Before School</t>
  </si>
  <si>
    <t>Man shot next to school building</t>
  </si>
  <si>
    <t>Victims Targeted</t>
  </si>
  <si>
    <t>No</t>
  </si>
  <si>
    <t>20200925NJHAH</t>
  </si>
  <si>
    <t>Haledon Public School</t>
  </si>
  <si>
    <t>Local</t>
  </si>
  <si>
    <t>Fall</t>
  </si>
  <si>
    <t>Haledon</t>
  </si>
  <si>
    <t>NJ</t>
  </si>
  <si>
    <t>K-8</t>
  </si>
  <si>
    <t>Beside Building</t>
  </si>
  <si>
    <t>Outside on School Property</t>
  </si>
  <si>
    <t>No</t>
  </si>
  <si>
    <t>Evening</t>
  </si>
  <si>
    <t>Shooting victim found beside school building</t>
  </si>
  <si>
    <t>No</t>
  </si>
  <si>
    <t>20200925ILROR</t>
  </si>
  <si>
    <t>Rock Island Academy</t>
  </si>
  <si>
    <t>Local</t>
  </si>
  <si>
    <t>Fall</t>
  </si>
  <si>
    <t>Rock Island</t>
  </si>
  <si>
    <t>IL</t>
  </si>
  <si>
    <t>Elementary</t>
  </si>
  <si>
    <t>Hallway</t>
  </si>
  <si>
    <t>Inside School Building</t>
  </si>
  <si>
    <t>No</t>
  </si>
  <si>
    <t>Armed man fled from police into the school where he was arrested</t>
  </si>
  <si>
    <t>No</t>
  </si>
  <si>
    <t>20200924ILMCS</t>
  </si>
  <si>
    <t>McClernand Elementary School</t>
  </si>
  <si>
    <t>Local</t>
  </si>
  <si>
    <t>Fall</t>
  </si>
  <si>
    <t>Springfield</t>
  </si>
  <si>
    <t>IL</t>
  </si>
  <si>
    <t>Elementary</t>
  </si>
  <si>
    <t>Beside Building</t>
  </si>
  <si>
    <t>Outside on School Property</t>
  </si>
  <si>
    <t>Yes</t>
  </si>
  <si>
    <t>Afternoon Classes</t>
  </si>
  <si>
    <t>Man fired shot that broke window then walked past classroom with BB gun</t>
  </si>
  <si>
    <t>Intentional Property Damage</t>
  </si>
  <si>
    <t>Neither</t>
  </si>
  <si>
    <t>No</t>
  </si>
  <si>
    <t>20200924CAWAC</t>
  </si>
  <si>
    <t>Walt Hanline Middle School</t>
  </si>
  <si>
    <t>National</t>
  </si>
  <si>
    <t>Fall</t>
  </si>
  <si>
    <t>Ceres</t>
  </si>
  <si>
    <t>CA</t>
  </si>
  <si>
    <t>Middle</t>
  </si>
  <si>
    <t>Classroom</t>
  </si>
  <si>
    <t>Both Inside/Outside</t>
  </si>
  <si>
    <t>Yes</t>
  </si>
  <si>
    <t>Afternoon Classes</t>
  </si>
  <si>
    <t>Bullets struck classroom and gym occupied by teachers</t>
  </si>
  <si>
    <t>Illegal Activity</t>
  </si>
  <si>
    <t>Neither</t>
  </si>
  <si>
    <t>Yes</t>
  </si>
  <si>
    <t>No</t>
  </si>
  <si>
    <t>20200923PAWIW</t>
  </si>
  <si>
    <t>William Tennent High School</t>
  </si>
  <si>
    <t>Local</t>
  </si>
  <si>
    <t>Fall</t>
  </si>
  <si>
    <t>Warminster</t>
  </si>
  <si>
    <t>PA</t>
  </si>
  <si>
    <t>High</t>
  </si>
  <si>
    <t>Parking Lot</t>
  </si>
  <si>
    <t>Outside on School Property</t>
  </si>
  <si>
    <t>No</t>
  </si>
  <si>
    <t>After School</t>
  </si>
  <si>
    <t>Shooting in parking lot during sports practice</t>
  </si>
  <si>
    <t>Illegal Activity</t>
  </si>
  <si>
    <t>Victims Targeted</t>
  </si>
  <si>
    <t>Yes</t>
  </si>
  <si>
    <t>No</t>
  </si>
  <si>
    <t>20200923FLHIJ</t>
  </si>
  <si>
    <t>Highlands Middle School</t>
  </si>
  <si>
    <t>Local</t>
  </si>
  <si>
    <t>Fall</t>
  </si>
  <si>
    <t>Jacksonville</t>
  </si>
  <si>
    <t>FL</t>
  </si>
  <si>
    <t>Middle</t>
  </si>
  <si>
    <t>School Bus</t>
  </si>
  <si>
    <t>Yes</t>
  </si>
  <si>
    <t>Dismissal</t>
  </si>
  <si>
    <t>Teen shot BB breaking window of occupied school bus</t>
  </si>
  <si>
    <t>Intentional Property Damage</t>
  </si>
  <si>
    <t>Neither</t>
  </si>
  <si>
    <t>No</t>
  </si>
  <si>
    <t>20200921CAPLP</t>
  </si>
  <si>
    <t>Pleasant Hill Elementary School</t>
  </si>
  <si>
    <t>Local</t>
  </si>
  <si>
    <t>Fall</t>
  </si>
  <si>
    <t>Pleasant Hill</t>
  </si>
  <si>
    <t>CA</t>
  </si>
  <si>
    <t>Elementary</t>
  </si>
  <si>
    <t>Beside Building</t>
  </si>
  <si>
    <t>Outside on School Property</t>
  </si>
  <si>
    <t>No</t>
  </si>
  <si>
    <t>Evening</t>
  </si>
  <si>
    <t>Man attempted suicide behind school after firing at officers during pursuit</t>
  </si>
  <si>
    <t>Suicide/Attempted</t>
  </si>
  <si>
    <t>Neither</t>
  </si>
  <si>
    <t>No</t>
  </si>
  <si>
    <t>20200920UTLIS</t>
  </si>
  <si>
    <t>Liberty Elementary School</t>
  </si>
  <si>
    <t>Local</t>
  </si>
  <si>
    <t>Fall</t>
  </si>
  <si>
    <t>Salt Lake City</t>
  </si>
  <si>
    <t>UT</t>
  </si>
  <si>
    <t>Elementary</t>
  </si>
  <si>
    <t>Field (General)</t>
  </si>
  <si>
    <t>Outside on School Property</t>
  </si>
  <si>
    <t>No</t>
  </si>
  <si>
    <t>Not a School Day</t>
  </si>
  <si>
    <t>8 shots fired on school soccer field</t>
  </si>
  <si>
    <t>No</t>
  </si>
  <si>
    <t>20200919CAKRS</t>
  </si>
  <si>
    <t>Krouzian Zekarian Vasbouragan Armenian School</t>
  </si>
  <si>
    <t>Regional</t>
  </si>
  <si>
    <t>San Francisco</t>
  </si>
  <si>
    <t>CA</t>
  </si>
  <si>
    <t>K-8</t>
  </si>
  <si>
    <t>Outside on School Property</t>
  </si>
  <si>
    <t>No</t>
  </si>
  <si>
    <t>Night</t>
  </si>
  <si>
    <t>School sign damaged by gunshot</t>
  </si>
  <si>
    <t>Intentional Property Damage</t>
  </si>
  <si>
    <t>Neither</t>
  </si>
  <si>
    <t>No</t>
  </si>
  <si>
    <t>20200918KYWIL</t>
  </si>
  <si>
    <t>Winburn Middle School</t>
  </si>
  <si>
    <t>Local</t>
  </si>
  <si>
    <t>Fall</t>
  </si>
  <si>
    <t>Lexington</t>
  </si>
  <si>
    <t>KY</t>
  </si>
  <si>
    <t>Middle</t>
  </si>
  <si>
    <t>Basketball Court</t>
  </si>
  <si>
    <t>Outside on School Property</t>
  </si>
  <si>
    <t>No</t>
  </si>
  <si>
    <t>Evening</t>
  </si>
  <si>
    <t>Man shot near the school basketball court</t>
  </si>
  <si>
    <t>No</t>
  </si>
  <si>
    <t>20200917ORDRP</t>
  </si>
  <si>
    <t>Dr. Martin Luther King Jr. Elementary School</t>
  </si>
  <si>
    <t>Local</t>
  </si>
  <si>
    <t>Fall</t>
  </si>
  <si>
    <t>Portland</t>
  </si>
  <si>
    <t>OR</t>
  </si>
  <si>
    <t>Elementary</t>
  </si>
  <si>
    <t>Outside on School Property</t>
  </si>
  <si>
    <t>No</t>
  </si>
  <si>
    <t>Night</t>
  </si>
  <si>
    <t>Victim shot near school tennis court</t>
  </si>
  <si>
    <t>No</t>
  </si>
  <si>
    <t>20200917OHELA</t>
  </si>
  <si>
    <t>Ellet High School</t>
  </si>
  <si>
    <t>Local</t>
  </si>
  <si>
    <t>Fall</t>
  </si>
  <si>
    <t>Akron</t>
  </si>
  <si>
    <t>OH</t>
  </si>
  <si>
    <t>High</t>
  </si>
  <si>
    <t>Football Field/Track</t>
  </si>
  <si>
    <t>Outside on School Property</t>
  </si>
  <si>
    <t>No</t>
  </si>
  <si>
    <t>Sport Event</t>
  </si>
  <si>
    <t>Teen shot another teen and bystander during dispute at football game</t>
  </si>
  <si>
    <t>Escalation of Dispute</t>
  </si>
  <si>
    <t>Both</t>
  </si>
  <si>
    <t>No</t>
  </si>
  <si>
    <t>20200916CASOS</t>
  </si>
  <si>
    <t>Sonora High School</t>
  </si>
  <si>
    <t>Local</t>
  </si>
  <si>
    <t>Fall</t>
  </si>
  <si>
    <t>Sonora</t>
  </si>
  <si>
    <t>CA</t>
  </si>
  <si>
    <t>High</t>
  </si>
  <si>
    <t>Parking Lot</t>
  </si>
  <si>
    <t>Outside on School Property</t>
  </si>
  <si>
    <t>No</t>
  </si>
  <si>
    <t>Night</t>
  </si>
  <si>
    <t>17 year-old male killed in the school parking lot</t>
  </si>
  <si>
    <t>Drive-by Shooting</t>
  </si>
  <si>
    <t>Victims Targeted</t>
  </si>
  <si>
    <t>Yes</t>
  </si>
  <si>
    <t>No</t>
  </si>
  <si>
    <t>20200915SCYOR</t>
  </si>
  <si>
    <t>York County School Bus</t>
  </si>
  <si>
    <t>Local</t>
  </si>
  <si>
    <t>Fall</t>
  </si>
  <si>
    <t>Rock Hill</t>
  </si>
  <si>
    <t>SC</t>
  </si>
  <si>
    <t>School Bus</t>
  </si>
  <si>
    <t>Yes</t>
  </si>
  <si>
    <t>Dismissal</t>
  </si>
  <si>
    <t>BB shot at occupied school bus broke window</t>
  </si>
  <si>
    <t>Intentional Property Damage</t>
  </si>
  <si>
    <t>Neither</t>
  </si>
  <si>
    <t>No</t>
  </si>
  <si>
    <t>20200916WAARG</t>
  </si>
  <si>
    <t>Artondale Elementary School</t>
  </si>
  <si>
    <t>Local</t>
  </si>
  <si>
    <t>Fall</t>
  </si>
  <si>
    <t>Gig Harbor</t>
  </si>
  <si>
    <t>WA</t>
  </si>
  <si>
    <t>Elementary</t>
  </si>
  <si>
    <t>Beside Building</t>
  </si>
  <si>
    <t>Outside on School Property</t>
  </si>
  <si>
    <t>No</t>
  </si>
  <si>
    <t>Evening</t>
  </si>
  <si>
    <t>Neighbor shot man stealing construction materials from the school</t>
  </si>
  <si>
    <t>Illegal Activity</t>
  </si>
  <si>
    <t>Victims Targeted</t>
  </si>
  <si>
    <t>No</t>
  </si>
  <si>
    <t>20200915UTVIB</t>
  </si>
  <si>
    <t>Viewmont High School</t>
  </si>
  <si>
    <t>Regional</t>
  </si>
  <si>
    <t>Fall</t>
  </si>
  <si>
    <t>Bountiful</t>
  </si>
  <si>
    <t>UT</t>
  </si>
  <si>
    <t>High</t>
  </si>
  <si>
    <t>Front of School</t>
  </si>
  <si>
    <t>Outside on School Property</t>
  </si>
  <si>
    <t>No</t>
  </si>
  <si>
    <t>Night</t>
  </si>
  <si>
    <t>Police shot a man armed with a rifle and bow in front of the school</t>
  </si>
  <si>
    <t>Psychosis</t>
  </si>
  <si>
    <t>Neither</t>
  </si>
  <si>
    <t>No</t>
  </si>
  <si>
    <t>20200910ILPEP</t>
  </si>
  <si>
    <t>Peoria Public Schools Bus</t>
  </si>
  <si>
    <t>Local</t>
  </si>
  <si>
    <t>Fall</t>
  </si>
  <si>
    <t>Peoria</t>
  </si>
  <si>
    <t>IL</t>
  </si>
  <si>
    <t>School Bus</t>
  </si>
  <si>
    <t>Yes</t>
  </si>
  <si>
    <t>Afternoon Classes</t>
  </si>
  <si>
    <t>Occupied school bus struck by gunfire</t>
  </si>
  <si>
    <t>Drive-by Shooting</t>
  </si>
  <si>
    <t>Victims Targeted</t>
  </si>
  <si>
    <t>No</t>
  </si>
  <si>
    <t>20200910OHSAC</t>
  </si>
  <si>
    <t>Saint Francis DeSales High School</t>
  </si>
  <si>
    <t>Local</t>
  </si>
  <si>
    <t>Fall</t>
  </si>
  <si>
    <t>Columbus</t>
  </si>
  <si>
    <t>OH</t>
  </si>
  <si>
    <t>High</t>
  </si>
  <si>
    <t>School Bus</t>
  </si>
  <si>
    <t>Yes</t>
  </si>
  <si>
    <t>Dismissal</t>
  </si>
  <si>
    <t>School bus struck by multiple shots fired from vehicle</t>
  </si>
  <si>
    <t>Drive-by Shooting</t>
  </si>
  <si>
    <t>Both</t>
  </si>
  <si>
    <t>No</t>
  </si>
  <si>
    <t>20200909PAWEW</t>
  </si>
  <si>
    <t>West Bradford Elementary School</t>
  </si>
  <si>
    <t>Local</t>
  </si>
  <si>
    <t>Fall</t>
  </si>
  <si>
    <t>West Bradford</t>
  </si>
  <si>
    <t>PA</t>
  </si>
  <si>
    <t>Elementary</t>
  </si>
  <si>
    <t>Parking Lot</t>
  </si>
  <si>
    <t>Outside on School Property</t>
  </si>
  <si>
    <t>No</t>
  </si>
  <si>
    <t>Evening</t>
  </si>
  <si>
    <t>Shot fired in school parking lot following roadrage incident</t>
  </si>
  <si>
    <t>Escalation of Dispute</t>
  </si>
  <si>
    <t>Victims Targeted</t>
  </si>
  <si>
    <t>No</t>
  </si>
  <si>
    <t>20200909TXSOH</t>
  </si>
  <si>
    <t>Southmayd Elementary School</t>
  </si>
  <si>
    <t>Regional</t>
  </si>
  <si>
    <t>Fall</t>
  </si>
  <si>
    <t>Houston</t>
  </si>
  <si>
    <t>TX</t>
  </si>
  <si>
    <t>Elementary</t>
  </si>
  <si>
    <t>Front of School</t>
  </si>
  <si>
    <t>Outside on School Property</t>
  </si>
  <si>
    <t>Yes</t>
  </si>
  <si>
    <t>Morning Classes</t>
  </si>
  <si>
    <t>Teen shot during drive-by in front of school</t>
  </si>
  <si>
    <t>Drive-by Shooting</t>
  </si>
  <si>
    <t>Victims Targeted</t>
  </si>
  <si>
    <t>Yes</t>
  </si>
  <si>
    <t>No</t>
  </si>
  <si>
    <t>20200904FLLOJ</t>
  </si>
  <si>
    <t>Lone Star Elementary School</t>
  </si>
  <si>
    <t>Local</t>
  </si>
  <si>
    <t>Fall</t>
  </si>
  <si>
    <t>Jacksonville</t>
  </si>
  <si>
    <t>FL</t>
  </si>
  <si>
    <t>Elementary</t>
  </si>
  <si>
    <t>Beside Building</t>
  </si>
  <si>
    <t>Outside on School Property</t>
  </si>
  <si>
    <t>No</t>
  </si>
  <si>
    <t>Night</t>
  </si>
  <si>
    <t>Adult male found shot to death outside of school</t>
  </si>
  <si>
    <t>No</t>
  </si>
  <si>
    <t>20200903GADOA</t>
  </si>
  <si>
    <t>Dougherty Comprehensive High School</t>
  </si>
  <si>
    <t>Local</t>
  </si>
  <si>
    <t>Fall</t>
  </si>
  <si>
    <t>Albany</t>
  </si>
  <si>
    <t>GA</t>
  </si>
  <si>
    <t>High</t>
  </si>
  <si>
    <t>Parking Lot</t>
  </si>
  <si>
    <t>Outside on School Property</t>
  </si>
  <si>
    <t>No</t>
  </si>
  <si>
    <t>Not a School Day</t>
  </si>
  <si>
    <t>18 year-old found shot and killed in vehicle in school parking lot</t>
  </si>
  <si>
    <t>Victims Targeted</t>
  </si>
  <si>
    <t>No</t>
  </si>
  <si>
    <t>20200830TXLOD</t>
  </si>
  <si>
    <t>L.O. Donald Leadership Academy</t>
  </si>
  <si>
    <t>Local</t>
  </si>
  <si>
    <t>Summer</t>
  </si>
  <si>
    <t>Dallas</t>
  </si>
  <si>
    <t>TX</t>
  </si>
  <si>
    <t>Elementary</t>
  </si>
  <si>
    <t>Playground</t>
  </si>
  <si>
    <t>Outside on School Property</t>
  </si>
  <si>
    <t>No</t>
  </si>
  <si>
    <t>Night</t>
  </si>
  <si>
    <t>Adult man shot and killed on school playground</t>
  </si>
  <si>
    <t>Illegal Activity</t>
  </si>
  <si>
    <t>Victims Targeted</t>
  </si>
  <si>
    <t>No</t>
  </si>
  <si>
    <t>20200825MOWEC</t>
  </si>
  <si>
    <t>West Middle School</t>
  </si>
  <si>
    <t>Local</t>
  </si>
  <si>
    <t>Summer</t>
  </si>
  <si>
    <t>Columbia</t>
  </si>
  <si>
    <t>MO</t>
  </si>
  <si>
    <t>Middle</t>
  </si>
  <si>
    <t>Football Field/Track</t>
  </si>
  <si>
    <t>Outside on School Property</t>
  </si>
  <si>
    <t>No</t>
  </si>
  <si>
    <t>Night</t>
  </si>
  <si>
    <t>Adult male shot on the school track</t>
  </si>
  <si>
    <t>No</t>
  </si>
  <si>
    <t>20200817MIABG</t>
  </si>
  <si>
    <t>Aberdeen K-8 School</t>
  </si>
  <si>
    <t>Local</t>
  </si>
  <si>
    <t>Summer</t>
  </si>
  <si>
    <t>Grand Rapids</t>
  </si>
  <si>
    <t>MI</t>
  </si>
  <si>
    <t>K-8</t>
  </si>
  <si>
    <t>Beside Building</t>
  </si>
  <si>
    <t>Outside on School Property</t>
  </si>
  <si>
    <t>No</t>
  </si>
  <si>
    <t>Not a School Day</t>
  </si>
  <si>
    <t>Adult male shot in hand next to school</t>
  </si>
  <si>
    <t>No</t>
  </si>
  <si>
    <t>20200804PAKEP</t>
  </si>
  <si>
    <t>Kelly Elementary School</t>
  </si>
  <si>
    <t>Local</t>
  </si>
  <si>
    <t>Summer</t>
  </si>
  <si>
    <t>Pittsburg</t>
  </si>
  <si>
    <t>PA</t>
  </si>
  <si>
    <t>Elementary</t>
  </si>
  <si>
    <t>Beside Building</t>
  </si>
  <si>
    <t>Outside on School Property</t>
  </si>
  <si>
    <t>No</t>
  </si>
  <si>
    <t>Not A School Day</t>
  </si>
  <si>
    <t>Adult male found shot next to school building</t>
  </si>
  <si>
    <t>Unknown</t>
  </si>
  <si>
    <t>Victims Targeted</t>
  </si>
  <si>
    <t>No</t>
  </si>
  <si>
    <t>20200729ILCOC</t>
  </si>
  <si>
    <t>Collinsville High School</t>
  </si>
  <si>
    <t>Local</t>
  </si>
  <si>
    <t>Collinsville</t>
  </si>
  <si>
    <t>IL</t>
  </si>
  <si>
    <t>High</t>
  </si>
  <si>
    <t>Beside Building</t>
  </si>
  <si>
    <t>Outside on School Property</t>
  </si>
  <si>
    <t>No</t>
  </si>
  <si>
    <t>Night</t>
  </si>
  <si>
    <t>Teen shot by police officer after pointing gun at the officers</t>
  </si>
  <si>
    <t>Unknown</t>
  </si>
  <si>
    <t>Neither</t>
  </si>
  <si>
    <t>No</t>
  </si>
  <si>
    <t>20200727AZCAO</t>
  </si>
  <si>
    <t>Canyon del Oro High School</t>
  </si>
  <si>
    <t>Local</t>
  </si>
  <si>
    <t>Summer</t>
  </si>
  <si>
    <t>Oro Valley</t>
  </si>
  <si>
    <t>AZ</t>
  </si>
  <si>
    <t>High</t>
  </si>
  <si>
    <t>Beside Building</t>
  </si>
  <si>
    <t>Outside on School Property</t>
  </si>
  <si>
    <t>No</t>
  </si>
  <si>
    <t>Not a School Day</t>
  </si>
  <si>
    <t>Adult male construction work fatal shot self in leg</t>
  </si>
  <si>
    <t>Accidental</t>
  </si>
  <si>
    <t>Neither</t>
  </si>
  <si>
    <t>No</t>
  </si>
  <si>
    <t>20200721SCBRO</t>
  </si>
  <si>
    <t>Brookdale Elementary School</t>
  </si>
  <si>
    <t>Local</t>
  </si>
  <si>
    <t>Summer</t>
  </si>
  <si>
    <t>Orangeburg</t>
  </si>
  <si>
    <t>SC</t>
  </si>
  <si>
    <t>Elementary</t>
  </si>
  <si>
    <t>Basketball Court</t>
  </si>
  <si>
    <t>Outside on School Property</t>
  </si>
  <si>
    <t>No</t>
  </si>
  <si>
    <t>Night</t>
  </si>
  <si>
    <t>Adult male shot on school basketball court</t>
  </si>
  <si>
    <t>Escalation of Dispute</t>
  </si>
  <si>
    <t>No</t>
  </si>
  <si>
    <t>20200714MIWID</t>
  </si>
  <si>
    <t>Willow Woods Elementary School</t>
  </si>
  <si>
    <t>Local</t>
  </si>
  <si>
    <t>Summer</t>
  </si>
  <si>
    <t>Detroit</t>
  </si>
  <si>
    <t>MI</t>
  </si>
  <si>
    <t>Elementary</t>
  </si>
  <si>
    <t>Parking Lot</t>
  </si>
  <si>
    <t>Outside on School Property</t>
  </si>
  <si>
    <t>No</t>
  </si>
  <si>
    <t>Not a School Day</t>
  </si>
  <si>
    <t>Shots fired into the air during fight between two men</t>
  </si>
  <si>
    <t>Escalation of Dispute</t>
  </si>
  <si>
    <t>Neither</t>
  </si>
  <si>
    <t>No</t>
  </si>
  <si>
    <t>20200704INLAM</t>
  </si>
  <si>
    <t>Lake Hills Elementary School</t>
  </si>
  <si>
    <t>Local</t>
  </si>
  <si>
    <t>Summer</t>
  </si>
  <si>
    <t>Michigan City</t>
  </si>
  <si>
    <t>IN</t>
  </si>
  <si>
    <t>Elementary</t>
  </si>
  <si>
    <t>Parking Lot</t>
  </si>
  <si>
    <t>Outside on School Property</t>
  </si>
  <si>
    <t>No</t>
  </si>
  <si>
    <t>Night</t>
  </si>
  <si>
    <t>Adult male fired shot during exchange of stolen cellphone</t>
  </si>
  <si>
    <t>Illegal Activity</t>
  </si>
  <si>
    <t>Victims Targeted</t>
  </si>
  <si>
    <t>No</t>
  </si>
  <si>
    <t>20200701ILFRP</t>
  </si>
  <si>
    <t>Frost Elementary School</t>
  </si>
  <si>
    <t>Local</t>
  </si>
  <si>
    <t>Summer</t>
  </si>
  <si>
    <t>Prospect Heights</t>
  </si>
  <si>
    <t>IL</t>
  </si>
  <si>
    <t>Elementary</t>
  </si>
  <si>
    <t>Parking Lot</t>
  </si>
  <si>
    <t>Outside on School Property</t>
  </si>
  <si>
    <t>No</t>
  </si>
  <si>
    <t>Not a School Day</t>
  </si>
  <si>
    <t>Adult male fired shot from vehicle at 4 people</t>
  </si>
  <si>
    <t>Drive-by Shooting</t>
  </si>
  <si>
    <t>Yes</t>
  </si>
  <si>
    <t>No</t>
  </si>
  <si>
    <t>20200630OHLAW</t>
  </si>
  <si>
    <t>Lakota Career Readiness Academy</t>
  </si>
  <si>
    <t>Local</t>
  </si>
  <si>
    <t>Summer</t>
  </si>
  <si>
    <t>West Chester</t>
  </si>
  <si>
    <t>OH</t>
  </si>
  <si>
    <t>K-12</t>
  </si>
  <si>
    <t>Front of School</t>
  </si>
  <si>
    <t>Outside on School Property</t>
  </si>
  <si>
    <t>No</t>
  </si>
  <si>
    <t>Before School</t>
  </si>
  <si>
    <t>Adult male with AK-47 shot the front glass doors of the school</t>
  </si>
  <si>
    <t>Intentional Property Damage</t>
  </si>
  <si>
    <t>Neither</t>
  </si>
  <si>
    <t>No</t>
  </si>
  <si>
    <t>20200627VAHAS</t>
  </si>
  <si>
    <t>Halifax County Middle School</t>
  </si>
  <si>
    <t>Local</t>
  </si>
  <si>
    <t>Summer</t>
  </si>
  <si>
    <t>South Boston</t>
  </si>
  <si>
    <t>VA</t>
  </si>
  <si>
    <t>Middle</t>
  </si>
  <si>
    <t>Football Field/Track</t>
  </si>
  <si>
    <t>Outside on School Property</t>
  </si>
  <si>
    <t>No</t>
  </si>
  <si>
    <t>Night</t>
  </si>
  <si>
    <t>Teen fired shot during large fight between multiple teens and adults on school football field</t>
  </si>
  <si>
    <t>Escalation of Dispute</t>
  </si>
  <si>
    <t>No</t>
  </si>
  <si>
    <t>20200621INCOC</t>
  </si>
  <si>
    <t>Columbus East High School</t>
  </si>
  <si>
    <t>Local</t>
  </si>
  <si>
    <t>Summer</t>
  </si>
  <si>
    <t>Columbus</t>
  </si>
  <si>
    <t>IN</t>
  </si>
  <si>
    <t>High</t>
  </si>
  <si>
    <t>Beside Building</t>
  </si>
  <si>
    <t>Outside on School Property</t>
  </si>
  <si>
    <t>No</t>
  </si>
  <si>
    <t>Night</t>
  </si>
  <si>
    <t>Three teen males fired a stolen handgun at the school building damaging windows.</t>
  </si>
  <si>
    <t>Intentional Property Damage</t>
  </si>
  <si>
    <t>Neither</t>
  </si>
  <si>
    <t>Yes</t>
  </si>
  <si>
    <t>No</t>
  </si>
  <si>
    <t>20200618INJOI</t>
  </si>
  <si>
    <t>Joyce Kilmer School 69</t>
  </si>
  <si>
    <t>Local</t>
  </si>
  <si>
    <t>Summer</t>
  </si>
  <si>
    <t>Indianapolis</t>
  </si>
  <si>
    <t>IN</t>
  </si>
  <si>
    <t>Elementary</t>
  </si>
  <si>
    <t>Beside Building</t>
  </si>
  <si>
    <t>Outside on School Property</t>
  </si>
  <si>
    <t>No</t>
  </si>
  <si>
    <t>Night</t>
  </si>
  <si>
    <t>Adult male found dead next to school</t>
  </si>
  <si>
    <t>Illegal Activity</t>
  </si>
  <si>
    <t>No</t>
  </si>
  <si>
    <t>20200616FLTOM</t>
  </si>
  <si>
    <t>Touissant Louverture Elementary School</t>
  </si>
  <si>
    <t>Local</t>
  </si>
  <si>
    <t>Summer</t>
  </si>
  <si>
    <t>Miami</t>
  </si>
  <si>
    <t>FL</t>
  </si>
  <si>
    <t>Elementary</t>
  </si>
  <si>
    <t>Front of School</t>
  </si>
  <si>
    <t>Off School Property</t>
  </si>
  <si>
    <t>No</t>
  </si>
  <si>
    <t>Night</t>
  </si>
  <si>
    <t>Shots fired during a drive-by struck the school building</t>
  </si>
  <si>
    <t>Drive-by Shooting</t>
  </si>
  <si>
    <t>No</t>
  </si>
  <si>
    <t>20200603IAGAD</t>
  </si>
  <si>
    <t>Garfield Elementary School</t>
  </si>
  <si>
    <t>Summer</t>
  </si>
  <si>
    <t>Davenport</t>
  </si>
  <si>
    <t>IA</t>
  </si>
  <si>
    <t>Elementary</t>
  </si>
  <si>
    <t>Front of School</t>
  </si>
  <si>
    <t>Outside on School Property</t>
  </si>
  <si>
    <t>No</t>
  </si>
  <si>
    <t>Not a School Day</t>
  </si>
  <si>
    <t>Adult male shot in front of school</t>
  </si>
  <si>
    <t>Drive-by Shooting</t>
  </si>
  <si>
    <t>Victims Targeted</t>
  </si>
  <si>
    <t>No</t>
  </si>
  <si>
    <t>20200527OHLUC</t>
  </si>
  <si>
    <t>Luis Munoz Marin Middle School</t>
  </si>
  <si>
    <t>Spring</t>
  </si>
  <si>
    <t>Cleveland</t>
  </si>
  <si>
    <t>OH</t>
  </si>
  <si>
    <t>Middle</t>
  </si>
  <si>
    <t>Parking Lot</t>
  </si>
  <si>
    <t>Outside on School Property</t>
  </si>
  <si>
    <t>No</t>
  </si>
  <si>
    <t>Night</t>
  </si>
  <si>
    <t>Two men shot each other during sale of handgun at school parking lot</t>
  </si>
  <si>
    <t>Illegal Activity</t>
  </si>
  <si>
    <t>Victims Targeted</t>
  </si>
  <si>
    <t>No</t>
  </si>
  <si>
    <t>20200525ALORM</t>
  </si>
  <si>
    <t>O Rourke Elementary School</t>
  </si>
  <si>
    <t>Spring</t>
  </si>
  <si>
    <t>Mobile</t>
  </si>
  <si>
    <t>AL</t>
  </si>
  <si>
    <t>Elementary</t>
  </si>
  <si>
    <t>Parking Lot</t>
  </si>
  <si>
    <t>Outside on School Property</t>
  </si>
  <si>
    <t>No</t>
  </si>
  <si>
    <t>Night</t>
  </si>
  <si>
    <t>Three adult males shot during robbery in school parking lot</t>
  </si>
  <si>
    <t>Illegal Activity</t>
  </si>
  <si>
    <t>Victims Targeted</t>
  </si>
  <si>
    <t>Yes</t>
  </si>
  <si>
    <t>No</t>
  </si>
  <si>
    <t>20200522OHMIC</t>
  </si>
  <si>
    <t>Miles Elementary School</t>
  </si>
  <si>
    <t>Spring</t>
  </si>
  <si>
    <t>Cleveland</t>
  </si>
  <si>
    <t>OH</t>
  </si>
  <si>
    <t>Elementary</t>
  </si>
  <si>
    <t>Beside Building</t>
  </si>
  <si>
    <t>Outside on School Property</t>
  </si>
  <si>
    <t>No</t>
  </si>
  <si>
    <t>Night</t>
  </si>
  <si>
    <t>Adult man found dead outside of school from gunshot to chest</t>
  </si>
  <si>
    <t>Unknown</t>
  </si>
  <si>
    <t>Victims Targeted</t>
  </si>
  <si>
    <t>No</t>
  </si>
  <si>
    <t>20200519VAWEM</t>
  </si>
  <si>
    <t>West Gate Elementary School</t>
  </si>
  <si>
    <t>Spring</t>
  </si>
  <si>
    <t>Manassas</t>
  </si>
  <si>
    <t>VA</t>
  </si>
  <si>
    <t>Elementary</t>
  </si>
  <si>
    <t>Beside Building</t>
  </si>
  <si>
    <t>Outside on School Property</t>
  </si>
  <si>
    <t>No</t>
  </si>
  <si>
    <t>Not a School Day</t>
  </si>
  <si>
    <t>Teen fired shot at another group of teens during a dispute</t>
  </si>
  <si>
    <t>Escalation of Dispute</t>
  </si>
  <si>
    <t>Victims Targeted</t>
  </si>
  <si>
    <t>Yes</t>
  </si>
  <si>
    <t>No</t>
  </si>
  <si>
    <t>20200515NCSTC</t>
  </si>
  <si>
    <t>Stuart W Cramer High School</t>
  </si>
  <si>
    <t>Spring</t>
  </si>
  <si>
    <t>Cramerton</t>
  </si>
  <si>
    <t>NC</t>
  </si>
  <si>
    <t>High</t>
  </si>
  <si>
    <t>Parking Lot</t>
  </si>
  <si>
    <t>Outside on School Property</t>
  </si>
  <si>
    <t>No</t>
  </si>
  <si>
    <t>Night</t>
  </si>
  <si>
    <t>Couple confused with mafia members during drug deal</t>
  </si>
  <si>
    <t>Illegal Activity</t>
  </si>
  <si>
    <t>Random Shooting</t>
  </si>
  <si>
    <t>No</t>
  </si>
  <si>
    <t>20200505CAGOV</t>
  </si>
  <si>
    <t>Golden West High School</t>
  </si>
  <si>
    <t>Regional</t>
  </si>
  <si>
    <t>Spring</t>
  </si>
  <si>
    <t>Visalia</t>
  </si>
  <si>
    <t>CA</t>
  </si>
  <si>
    <t>High</t>
  </si>
  <si>
    <t>Parking Lot</t>
  </si>
  <si>
    <t>Outside on School Property</t>
  </si>
  <si>
    <t>No</t>
  </si>
  <si>
    <t>Night</t>
  </si>
  <si>
    <t>Three victims found dead in school parking lot</t>
  </si>
  <si>
    <t>Escalation of Dispute</t>
  </si>
  <si>
    <t>No</t>
  </si>
  <si>
    <t>20200419NCABR</t>
  </si>
  <si>
    <t>Abbotts Creek Elementary School</t>
  </si>
  <si>
    <t>Local</t>
  </si>
  <si>
    <t>Spring</t>
  </si>
  <si>
    <t>Raleigh</t>
  </si>
  <si>
    <t>NC</t>
  </si>
  <si>
    <t>Elementary</t>
  </si>
  <si>
    <t>Parking Lot</t>
  </si>
  <si>
    <t>Outside on School Property</t>
  </si>
  <si>
    <t>No</t>
  </si>
  <si>
    <t>Night</t>
  </si>
  <si>
    <t>Man fired multiple gunshots in school parking lot</t>
  </si>
  <si>
    <t>Illegal Activity</t>
  </si>
  <si>
    <t>Victims Targeted</t>
  </si>
  <si>
    <t>No</t>
  </si>
  <si>
    <t>20200413NEMOO</t>
  </si>
  <si>
    <t>Morton Middle School</t>
  </si>
  <si>
    <t>Spring</t>
  </si>
  <si>
    <t>Omaha</t>
  </si>
  <si>
    <t>NE</t>
  </si>
  <si>
    <t>Middle</t>
  </si>
  <si>
    <t>Parking Lot</t>
  </si>
  <si>
    <t>Outside on School Property</t>
  </si>
  <si>
    <t>No</t>
  </si>
  <si>
    <t>Not a School Day</t>
  </si>
  <si>
    <t>18YOM shot during fight in school parking lot</t>
  </si>
  <si>
    <t>Escalation of Dispute</t>
  </si>
  <si>
    <t>No</t>
  </si>
  <si>
    <t>20200330GANAS</t>
  </si>
  <si>
    <t>Narvie J. Harris Elementary School</t>
  </si>
  <si>
    <t>Spring</t>
  </si>
  <si>
    <t>Decatur</t>
  </si>
  <si>
    <t>GA</t>
  </si>
  <si>
    <t>Elementary</t>
  </si>
  <si>
    <t>Parking Lot</t>
  </si>
  <si>
    <t>Outside on School Property</t>
  </si>
  <si>
    <t>No</t>
  </si>
  <si>
    <t>Night</t>
  </si>
  <si>
    <t>Three people shot during fight in the school parking lot</t>
  </si>
  <si>
    <t>Escalation of Dispute</t>
  </si>
  <si>
    <t>Victims Targeted</t>
  </si>
  <si>
    <t>Yes</t>
  </si>
  <si>
    <t>No</t>
  </si>
  <si>
    <t>20200324LAROM</t>
  </si>
  <si>
    <t>Roy Shelling Elementary School</t>
  </si>
  <si>
    <t>Spring</t>
  </si>
  <si>
    <t>Monroe</t>
  </si>
  <si>
    <t>LA</t>
  </si>
  <si>
    <t>Elementary</t>
  </si>
  <si>
    <t>Parking Lot</t>
  </si>
  <si>
    <t>Outside on School Property</t>
  </si>
  <si>
    <t>No</t>
  </si>
  <si>
    <t>Not a School Day</t>
  </si>
  <si>
    <t>Male shot during fight between 20 people in school parking lot</t>
  </si>
  <si>
    <t>Escalation of Dispute</t>
  </si>
  <si>
    <t>Victims Targeted</t>
  </si>
  <si>
    <t>No</t>
  </si>
  <si>
    <t>20200318LABOS</t>
  </si>
  <si>
    <t>Booker T. Washington High School</t>
  </si>
  <si>
    <t>Spring</t>
  </si>
  <si>
    <t>Shreveport</t>
  </si>
  <si>
    <t>LA</t>
  </si>
  <si>
    <t>High</t>
  </si>
  <si>
    <t>Parking Lot</t>
  </si>
  <si>
    <t>Outside on School Property</t>
  </si>
  <si>
    <t>No</t>
  </si>
  <si>
    <t>Night</t>
  </si>
  <si>
    <t>Teen shot outside of school during fight</t>
  </si>
  <si>
    <t>Escalation of Dispute</t>
  </si>
  <si>
    <t>Victims Targeted</t>
  </si>
  <si>
    <t>No</t>
  </si>
  <si>
    <t>20200315TXATH</t>
  </si>
  <si>
    <t>Atascocita High School</t>
  </si>
  <si>
    <t>Spring</t>
  </si>
  <si>
    <t>Humble</t>
  </si>
  <si>
    <t>TX</t>
  </si>
  <si>
    <t>High</t>
  </si>
  <si>
    <t>Football Field/Track</t>
  </si>
  <si>
    <t>Outside on School Property</t>
  </si>
  <si>
    <t>No</t>
  </si>
  <si>
    <t>Not a School Day</t>
  </si>
  <si>
    <t>19YOM former student shot during fight on school football field</t>
  </si>
  <si>
    <t>Escalation of Dispute</t>
  </si>
  <si>
    <t>Victims Targeted</t>
  </si>
  <si>
    <t>No</t>
  </si>
  <si>
    <t>20200313TNPIR</t>
  </si>
  <si>
    <t>Pine View Elementary</t>
  </si>
  <si>
    <t>Spring</t>
  </si>
  <si>
    <t>Rockwood</t>
  </si>
  <si>
    <t>TN</t>
  </si>
  <si>
    <t>Elementary</t>
  </si>
  <si>
    <t>Office</t>
  </si>
  <si>
    <t>Inside School Building</t>
  </si>
  <si>
    <t>Yes</t>
  </si>
  <si>
    <t>Morning Classes</t>
  </si>
  <si>
    <t>SRO discharged firearm inside his office in the school</t>
  </si>
  <si>
    <t>Accidental</t>
  </si>
  <si>
    <t>Neither</t>
  </si>
  <si>
    <t>No</t>
  </si>
  <si>
    <t>N/A</t>
  </si>
  <si>
    <t>20200310PASHN</t>
  </si>
  <si>
    <t>Shenango Area Schools (bus)</t>
  </si>
  <si>
    <t>Local</t>
  </si>
  <si>
    <t>Spring</t>
  </si>
  <si>
    <t>New Castle</t>
  </si>
  <si>
    <t>PA</t>
  </si>
  <si>
    <t>Elementary</t>
  </si>
  <si>
    <t>School Bus</t>
  </si>
  <si>
    <t>Yes</t>
  </si>
  <si>
    <t>School Start</t>
  </si>
  <si>
    <t>Adult male fired shot breaking two windows of school van with elementary school students abroad</t>
  </si>
  <si>
    <t>Indiscriminate Shooting</t>
  </si>
  <si>
    <t>No</t>
  </si>
  <si>
    <t>20200305FLSAW</t>
  </si>
  <si>
    <t>Sagemont School</t>
  </si>
  <si>
    <t>Spring</t>
  </si>
  <si>
    <t>Weston</t>
  </si>
  <si>
    <t>FL</t>
  </si>
  <si>
    <t>K-12</t>
  </si>
  <si>
    <t>Parking Lot</t>
  </si>
  <si>
    <t>Outside on School Property</t>
  </si>
  <si>
    <t>Yes</t>
  </si>
  <si>
    <t>Lunch</t>
  </si>
  <si>
    <t>School security officer was showing off gun and accidentally shot another school employee</t>
  </si>
  <si>
    <t>Accidental</t>
  </si>
  <si>
    <t>Random Shooting</t>
  </si>
  <si>
    <t>No</t>
  </si>
  <si>
    <t>20200302TXNOF</t>
  </si>
  <si>
    <t>North Forney High School</t>
  </si>
  <si>
    <t>Spring</t>
  </si>
  <si>
    <t>Forney</t>
  </si>
  <si>
    <t>TX</t>
  </si>
  <si>
    <t>High</t>
  </si>
  <si>
    <t>Inside School Building</t>
  </si>
  <si>
    <t>Yes</t>
  </si>
  <si>
    <t>Morning Classes</t>
  </si>
  <si>
    <t>Accidental discharge showing off gun</t>
  </si>
  <si>
    <t>Accidental</t>
  </si>
  <si>
    <t>Neither</t>
  </si>
  <si>
    <t>No</t>
  </si>
  <si>
    <t>20200221NMCEA</t>
  </si>
  <si>
    <t>Cesar Chavez Community School</t>
  </si>
  <si>
    <t>Winter</t>
  </si>
  <si>
    <t>Albuquerque</t>
  </si>
  <si>
    <t>NM</t>
  </si>
  <si>
    <t>Other</t>
  </si>
  <si>
    <t>Front of School</t>
  </si>
  <si>
    <t>Outside on School Property</t>
  </si>
  <si>
    <t>Yes</t>
  </si>
  <si>
    <t>Morning Classes</t>
  </si>
  <si>
    <t>Shots fired from vehicle struck school damaging screen inside classroom</t>
  </si>
  <si>
    <t>Drive-by Shooting</t>
  </si>
  <si>
    <t>Victims Targeted</t>
  </si>
  <si>
    <t>No</t>
  </si>
  <si>
    <t>20200215DCDUW</t>
  </si>
  <si>
    <t>Dunbar High School</t>
  </si>
  <si>
    <t>Winter</t>
  </si>
  <si>
    <t>Washington</t>
  </si>
  <si>
    <t>DC</t>
  </si>
  <si>
    <t>High</t>
  </si>
  <si>
    <t>Front of School</t>
  </si>
  <si>
    <t>Outside on School Property</t>
  </si>
  <si>
    <t>No</t>
  </si>
  <si>
    <t>Sport Event</t>
  </si>
  <si>
    <t>Adult male shot and killed in front of school during basketball game</t>
  </si>
  <si>
    <t>Drive-by Shooting</t>
  </si>
  <si>
    <t>No</t>
  </si>
  <si>
    <t>20200212MOJOF</t>
  </si>
  <si>
    <t>Johnson-Wabash Elementary School</t>
  </si>
  <si>
    <t>Local</t>
  </si>
  <si>
    <t>Winter</t>
  </si>
  <si>
    <t>Ferguson</t>
  </si>
  <si>
    <t>MO</t>
  </si>
  <si>
    <t>Elementary</t>
  </si>
  <si>
    <t>School Bus</t>
  </si>
  <si>
    <t>Yes</t>
  </si>
  <si>
    <t>School Start</t>
  </si>
  <si>
    <t>Father pointed gun at students on school bus following fight between students</t>
  </si>
  <si>
    <t>Escalation of Dispute</t>
  </si>
  <si>
    <t>Victims Targeted</t>
  </si>
  <si>
    <t>No</t>
  </si>
  <si>
    <t>20200205NHSEC</t>
  </si>
  <si>
    <t>Second Start Alternative High School</t>
  </si>
  <si>
    <t>Regional</t>
  </si>
  <si>
    <t>Winter</t>
  </si>
  <si>
    <t>Concord</t>
  </si>
  <si>
    <t>NH</t>
  </si>
  <si>
    <t>High</t>
  </si>
  <si>
    <t>Classroom</t>
  </si>
  <si>
    <t>Inside School Building</t>
  </si>
  <si>
    <t>Yes</t>
  </si>
  <si>
    <t>Morning Classes</t>
  </si>
  <si>
    <t>Student fired shot at school employee then killed self</t>
  </si>
  <si>
    <t>Suicide/Attempted</t>
  </si>
  <si>
    <t>Victims Targeted</t>
  </si>
  <si>
    <t>No</t>
  </si>
  <si>
    <t>20200204LABEA</t>
  </si>
  <si>
    <t>Beau Chene High School</t>
  </si>
  <si>
    <t>Winter</t>
  </si>
  <si>
    <t>Arnaudville</t>
  </si>
  <si>
    <t>LA</t>
  </si>
  <si>
    <t>High</t>
  </si>
  <si>
    <t>Parking Lot</t>
  </si>
  <si>
    <t>Outside on School Property</t>
  </si>
  <si>
    <t>No</t>
  </si>
  <si>
    <t>Sport Event</t>
  </si>
  <si>
    <t>17YOM pointed rifle at people in school parking lot during soccer game, arrested by SRO</t>
  </si>
  <si>
    <t>Escalation of Dispute</t>
  </si>
  <si>
    <t>Neither</t>
  </si>
  <si>
    <t>Yes</t>
  </si>
  <si>
    <t>No</t>
  </si>
  <si>
    <t>20200203FLGEJ</t>
  </si>
  <si>
    <t>George Washington Carver Elementary School</t>
  </si>
  <si>
    <t>Winter</t>
  </si>
  <si>
    <t>Jacksonville</t>
  </si>
  <si>
    <t>FL</t>
  </si>
  <si>
    <t>Elementary</t>
  </si>
  <si>
    <t>Parking Lot</t>
  </si>
  <si>
    <t>Outside on School Property</t>
  </si>
  <si>
    <t>No</t>
  </si>
  <si>
    <t>Evening</t>
  </si>
  <si>
    <t>Drive-by shooting in school parking lot</t>
  </si>
  <si>
    <t>Drive-by Shooting</t>
  </si>
  <si>
    <t>Yes</t>
  </si>
  <si>
    <t>No</t>
  </si>
  <si>
    <t>20200201TXHIH</t>
  </si>
  <si>
    <t>Hicks Elementary School</t>
  </si>
  <si>
    <t>Winter</t>
  </si>
  <si>
    <t>Houston</t>
  </si>
  <si>
    <t>TX</t>
  </si>
  <si>
    <t>Elementary</t>
  </si>
  <si>
    <t>Outside on School Property</t>
  </si>
  <si>
    <t>No</t>
  </si>
  <si>
    <t>Not a School Day</t>
  </si>
  <si>
    <t>Adult male shot during robbery at the school</t>
  </si>
  <si>
    <t>Illegal Activity</t>
  </si>
  <si>
    <t>Victims Targeted</t>
  </si>
  <si>
    <t>No</t>
  </si>
  <si>
    <t>20200131CADEA</t>
  </si>
  <si>
    <t>Deer Valley High School</t>
  </si>
  <si>
    <t>Winter</t>
  </si>
  <si>
    <t>Antioch</t>
  </si>
  <si>
    <t>CA</t>
  </si>
  <si>
    <t>High</t>
  </si>
  <si>
    <t>Parking Lot</t>
  </si>
  <si>
    <t>Outside on School Property</t>
  </si>
  <si>
    <t>No</t>
  </si>
  <si>
    <t>Sport Event</t>
  </si>
  <si>
    <t>16YOM student shot during fight outside of school during basketball game</t>
  </si>
  <si>
    <t>Escalation of Dispute</t>
  </si>
  <si>
    <t>No</t>
  </si>
  <si>
    <t>20200128NYMAQ</t>
  </si>
  <si>
    <t>Martin Van Buren High School</t>
  </si>
  <si>
    <t>Winter</t>
  </si>
  <si>
    <t>Queens Village</t>
  </si>
  <si>
    <t>NY</t>
  </si>
  <si>
    <t>High</t>
  </si>
  <si>
    <t>Beside Building</t>
  </si>
  <si>
    <t>Outside on School Property</t>
  </si>
  <si>
    <t>Yes</t>
  </si>
  <si>
    <t>Dismissal</t>
  </si>
  <si>
    <t>Student accidentally shot self during fight outside of school</t>
  </si>
  <si>
    <t>Escalation of Dispute</t>
  </si>
  <si>
    <t>No</t>
  </si>
  <si>
    <t>20200128TNWHM</t>
  </si>
  <si>
    <t>White Station High School</t>
  </si>
  <si>
    <t>Winter</t>
  </si>
  <si>
    <t>Memphis</t>
  </si>
  <si>
    <t>TN</t>
  </si>
  <si>
    <t>High</t>
  </si>
  <si>
    <t>Parking Lot</t>
  </si>
  <si>
    <t>Outside on School Property</t>
  </si>
  <si>
    <t>No</t>
  </si>
  <si>
    <t>Evening</t>
  </si>
  <si>
    <t>18YPM fired shots from vehicle following argument in school parking lot</t>
  </si>
  <si>
    <t>Drive-by Shooting</t>
  </si>
  <si>
    <t>Both</t>
  </si>
  <si>
    <t>No</t>
  </si>
  <si>
    <t>20200128TXLUL</t>
  </si>
  <si>
    <t>Lufkin Middle School</t>
  </si>
  <si>
    <t>Winter</t>
  </si>
  <si>
    <t>Lufkin</t>
  </si>
  <si>
    <t>TX</t>
  </si>
  <si>
    <t>High</t>
  </si>
  <si>
    <t>Front of School</t>
  </si>
  <si>
    <t>Outside on School Property</t>
  </si>
  <si>
    <t>No</t>
  </si>
  <si>
    <t>Sport Event</t>
  </si>
  <si>
    <t>17YOM student shot by two suspects in front of school during basketball game</t>
  </si>
  <si>
    <t>Escalation of Dispute</t>
  </si>
  <si>
    <t>Victims Targeted</t>
  </si>
  <si>
    <t>Yes</t>
  </si>
  <si>
    <t>No</t>
  </si>
  <si>
    <t>20200127WAROY</t>
  </si>
  <si>
    <t>Robertson Elementary School</t>
  </si>
  <si>
    <t>Winter</t>
  </si>
  <si>
    <t>Yakima</t>
  </si>
  <si>
    <t>WA</t>
  </si>
  <si>
    <t>Elementary</t>
  </si>
  <si>
    <t>Playground</t>
  </si>
  <si>
    <t>Outside on School Property</t>
  </si>
  <si>
    <t>No</t>
  </si>
  <si>
    <t>After School</t>
  </si>
  <si>
    <t>18YOM pointed gun at multiple students and parents on school playground then fled the area in a vehicle</t>
  </si>
  <si>
    <t>Illegal Activity</t>
  </si>
  <si>
    <t>Victims Targeted</t>
  </si>
  <si>
    <t>Yes</t>
  </si>
  <si>
    <t>No</t>
  </si>
  <si>
    <t>20200123CAOXO</t>
  </si>
  <si>
    <t>Oxnard's Christa McAuliffe Elementary School</t>
  </si>
  <si>
    <t>Regional</t>
  </si>
  <si>
    <t>Winter</t>
  </si>
  <si>
    <t>Oxnard</t>
  </si>
  <si>
    <t>CA</t>
  </si>
  <si>
    <t>Elementary</t>
  </si>
  <si>
    <t>Playground</t>
  </si>
  <si>
    <t>Outside on School Property</t>
  </si>
  <si>
    <t>Yes</t>
  </si>
  <si>
    <t>Lunch</t>
  </si>
  <si>
    <t>Car-to-car shooting, a student was struck on the playground</t>
  </si>
  <si>
    <t>Drive-by Shooting</t>
  </si>
  <si>
    <t>Random Shooting</t>
  </si>
  <si>
    <t>No</t>
  </si>
  <si>
    <t>N/A</t>
  </si>
  <si>
    <t>No</t>
  </si>
  <si>
    <t>20200121NEPAL</t>
  </si>
  <si>
    <t>Park Middle School</t>
  </si>
  <si>
    <t>Winter</t>
  </si>
  <si>
    <t>Lincoln</t>
  </si>
  <si>
    <t>NE</t>
  </si>
  <si>
    <t>Middle</t>
  </si>
  <si>
    <t>Parking Lot</t>
  </si>
  <si>
    <t>Outside on School Property</t>
  </si>
  <si>
    <t>No</t>
  </si>
  <si>
    <t>Evening</t>
  </si>
  <si>
    <t>Shot vehicle windows in school parking lot during break-in</t>
  </si>
  <si>
    <t>Intentional Property Damage</t>
  </si>
  <si>
    <t>Neither</t>
  </si>
  <si>
    <t>No</t>
  </si>
  <si>
    <t>20200121ILLIC</t>
  </si>
  <si>
    <t>Lindblom Math &amp; Science Academy High School</t>
  </si>
  <si>
    <t>Winter</t>
  </si>
  <si>
    <t>Chicago</t>
  </si>
  <si>
    <t>IL</t>
  </si>
  <si>
    <t>High</t>
  </si>
  <si>
    <t>Front of School</t>
  </si>
  <si>
    <t>Outside on School Property</t>
  </si>
  <si>
    <t>No</t>
  </si>
  <si>
    <t>Sport Event</t>
  </si>
  <si>
    <t>Student shot during robbery after leaving swim meet at school</t>
  </si>
  <si>
    <t>Illegal Activity</t>
  </si>
  <si>
    <t>Victims Targeted</t>
  </si>
  <si>
    <t>Yes</t>
  </si>
  <si>
    <t>No</t>
  </si>
  <si>
    <t>20200119TXNOF</t>
  </si>
  <si>
    <t>North Crowley Ninth Grade Campus</t>
  </si>
  <si>
    <t>Winter</t>
  </si>
  <si>
    <t>Fort Worth</t>
  </si>
  <si>
    <t>TX</t>
  </si>
  <si>
    <t>High</t>
  </si>
  <si>
    <t>Parking Lot</t>
  </si>
  <si>
    <t>Outside on School Property</t>
  </si>
  <si>
    <t>No</t>
  </si>
  <si>
    <t>Sport Event</t>
  </si>
  <si>
    <t>Targeted shooting of adult male in school parking lot, child was also struck</t>
  </si>
  <si>
    <t>Escalation of Dispute</t>
  </si>
  <si>
    <t>Both</t>
  </si>
  <si>
    <t>Yes</t>
  </si>
  <si>
    <t>No</t>
  </si>
  <si>
    <t>20200117MITHH</t>
  </si>
  <si>
    <t>Three Fires Elementary School</t>
  </si>
  <si>
    <t>Winter</t>
  </si>
  <si>
    <t>Howell</t>
  </si>
  <si>
    <t>MI</t>
  </si>
  <si>
    <t>Elementary</t>
  </si>
  <si>
    <t>Parking Lot</t>
  </si>
  <si>
    <t>Outside on School Property</t>
  </si>
  <si>
    <t>Yes</t>
  </si>
  <si>
    <t>Dismissal</t>
  </si>
  <si>
    <t>Parent shot self while adjusting gun in vehicle while waiting to pick up child</t>
  </si>
  <si>
    <t>Accidental</t>
  </si>
  <si>
    <t>Neither</t>
  </si>
  <si>
    <t>No</t>
  </si>
  <si>
    <t>20200117SCCAS</t>
  </si>
  <si>
    <t>Cane Bay High School</t>
  </si>
  <si>
    <t>Winter</t>
  </si>
  <si>
    <t>Summerville</t>
  </si>
  <si>
    <t>SC</t>
  </si>
  <si>
    <t>High</t>
  </si>
  <si>
    <t>Parking Lot</t>
  </si>
  <si>
    <t>Outside on School Property</t>
  </si>
  <si>
    <t>Yes</t>
  </si>
  <si>
    <t>Morning Classes</t>
  </si>
  <si>
    <t>16YOM found dead in vehicle in school parking lot, school locked down</t>
  </si>
  <si>
    <t>Suicide/Attempted</t>
  </si>
  <si>
    <t>Victims Targeted</t>
  </si>
  <si>
    <t>No</t>
  </si>
  <si>
    <t>20200114TXBEH</t>
  </si>
  <si>
    <t>Bellaire High School</t>
  </si>
  <si>
    <t>Winter</t>
  </si>
  <si>
    <t>Houston</t>
  </si>
  <si>
    <t>TX</t>
  </si>
  <si>
    <t>High</t>
  </si>
  <si>
    <t>Classroom</t>
  </si>
  <si>
    <t>Inside School Building</t>
  </si>
  <si>
    <t>Yes</t>
  </si>
  <si>
    <t>Dismissal</t>
  </si>
  <si>
    <t>16YOM student shot 19YON student inside the school and then fled</t>
  </si>
  <si>
    <t>Accidental</t>
  </si>
  <si>
    <t>Neither</t>
  </si>
  <si>
    <t>Yes</t>
  </si>
  <si>
    <t>No</t>
  </si>
  <si>
    <t>20200114TXPOM</t>
  </si>
  <si>
    <t>Poteet High School</t>
  </si>
  <si>
    <t>Winter</t>
  </si>
  <si>
    <t>Mesquite</t>
  </si>
  <si>
    <t>TX</t>
  </si>
  <si>
    <t>High</t>
  </si>
  <si>
    <t>Parking Lot</t>
  </si>
  <si>
    <t>Outside on School Property</t>
  </si>
  <si>
    <t>No</t>
  </si>
  <si>
    <t>Sport Event</t>
  </si>
  <si>
    <t>Two non-student teens fired shots in the school parking lot following an altercation at a basketball game</t>
  </si>
  <si>
    <t>Escalation of Dispute</t>
  </si>
  <si>
    <t>Victims Targeted</t>
  </si>
  <si>
    <t>Yes</t>
  </si>
  <si>
    <t>No</t>
  </si>
  <si>
    <t>20200111TXELD</t>
  </si>
  <si>
    <t>Ellis Davis Field House</t>
  </si>
  <si>
    <t>Winter</t>
  </si>
  <si>
    <t>Dallas</t>
  </si>
  <si>
    <t>TX</t>
  </si>
  <si>
    <t>High</t>
  </si>
  <si>
    <t>Gym</t>
  </si>
  <si>
    <t>Inside School Building</t>
  </si>
  <si>
    <t>No</t>
  </si>
  <si>
    <t>Sport Event</t>
  </si>
  <si>
    <t>18YOM and officer shot during fight at basketball game</t>
  </si>
  <si>
    <t>Escalation of Dispute</t>
  </si>
  <si>
    <t>Both</t>
  </si>
  <si>
    <t>Yes</t>
  </si>
  <si>
    <t>No</t>
  </si>
  <si>
    <t>20200110MSMCJ</t>
  </si>
  <si>
    <t>McWillie Elementary School</t>
  </si>
  <si>
    <t>Winter</t>
  </si>
  <si>
    <t>Jackson</t>
  </si>
  <si>
    <t>MS</t>
  </si>
  <si>
    <t>Middle</t>
  </si>
  <si>
    <t>School Bus</t>
  </si>
  <si>
    <t>Yes</t>
  </si>
  <si>
    <t>School Start</t>
  </si>
  <si>
    <t>Student struck by BB and bus window shattered</t>
  </si>
  <si>
    <t>Unknown</t>
  </si>
  <si>
    <t>No</t>
  </si>
  <si>
    <t>20200108FLGLB</t>
  </si>
  <si>
    <t>Glades Central Community High School</t>
  </si>
  <si>
    <t>Winter</t>
  </si>
  <si>
    <t>Belle Glade</t>
  </si>
  <si>
    <t>FL</t>
  </si>
  <si>
    <t>High</t>
  </si>
  <si>
    <t>Parking Lot</t>
  </si>
  <si>
    <t>Outside on School Property</t>
  </si>
  <si>
    <t>Yes</t>
  </si>
  <si>
    <t>Afternoon Classes</t>
  </si>
  <si>
    <t>Unidentified person shot themselves in the leg in the school parking lot</t>
  </si>
  <si>
    <t>Accidental</t>
  </si>
  <si>
    <t>Neither</t>
  </si>
  <si>
    <t>No</t>
  </si>
  <si>
    <t>20200107WASOK</t>
  </si>
  <si>
    <t>Southridge High School</t>
  </si>
  <si>
    <t>Winter</t>
  </si>
  <si>
    <t>Kennewick</t>
  </si>
  <si>
    <t>WA</t>
  </si>
  <si>
    <t>High</t>
  </si>
  <si>
    <t>Beside Building</t>
  </si>
  <si>
    <t>Outside on School Property</t>
  </si>
  <si>
    <t>No</t>
  </si>
  <si>
    <t>Night</t>
  </si>
  <si>
    <t>Two 16YOM shot more than 60 windows at homes and the high school</t>
  </si>
  <si>
    <t>Intentional Property Damage</t>
  </si>
  <si>
    <t>Neither</t>
  </si>
  <si>
    <t>Yes</t>
  </si>
  <si>
    <t>No</t>
  </si>
  <si>
    <t>20191228MOMAS</t>
  </si>
  <si>
    <t>Mason-Clark Middle School</t>
  </si>
  <si>
    <t>Winter</t>
  </si>
  <si>
    <t>St. Louis</t>
  </si>
  <si>
    <t>MO</t>
  </si>
  <si>
    <t>Middle</t>
  </si>
  <si>
    <t>Parking Lot</t>
  </si>
  <si>
    <t>Outside on School Property</t>
  </si>
  <si>
    <t>No</t>
  </si>
  <si>
    <t>Evening</t>
  </si>
  <si>
    <t>13YOM shot in the street and found dead in school parking lot the next morning</t>
  </si>
  <si>
    <t>Unknown</t>
  </si>
  <si>
    <t>Victims Targeted</t>
  </si>
  <si>
    <t>No</t>
  </si>
  <si>
    <t>20191221LAWES</t>
  </si>
  <si>
    <t>West St. John Elementary School</t>
  </si>
  <si>
    <t>Winter</t>
  </si>
  <si>
    <t>Edgard</t>
  </si>
  <si>
    <t>LA</t>
  </si>
  <si>
    <t>Elementary</t>
  </si>
  <si>
    <t>Parking Lot</t>
  </si>
  <si>
    <t>Outside on School Property</t>
  </si>
  <si>
    <t>No</t>
  </si>
  <si>
    <t>Night</t>
  </si>
  <si>
    <t>4 people shot outside of school after party (rented school for event)</t>
  </si>
  <si>
    <t>Escalation of Dispute</t>
  </si>
  <si>
    <t>Yes</t>
  </si>
  <si>
    <t>No</t>
  </si>
  <si>
    <t>20191219FLLEN</t>
  </si>
  <si>
    <t>Lely High School</t>
  </si>
  <si>
    <t>Winter</t>
  </si>
  <si>
    <t>Naples</t>
  </si>
  <si>
    <t>FL</t>
  </si>
  <si>
    <t>High</t>
  </si>
  <si>
    <t>Parking Lot</t>
  </si>
  <si>
    <t>Outside on School Property</t>
  </si>
  <si>
    <t>No</t>
  </si>
  <si>
    <t>Evening</t>
  </si>
  <si>
    <t>Adult male shot adult female night school students in parking lot</t>
  </si>
  <si>
    <t>Domestic w/ Targeted Victim</t>
  </si>
  <si>
    <t>Victims Targeted</t>
  </si>
  <si>
    <t>No</t>
  </si>
  <si>
    <t>Yes</t>
  </si>
  <si>
    <t>No</t>
  </si>
  <si>
    <t>20191216CTCAN</t>
  </si>
  <si>
    <t>Catholic Academy of New Haven</t>
  </si>
  <si>
    <t>Winter</t>
  </si>
  <si>
    <t>New Haven</t>
  </si>
  <si>
    <t>CT</t>
  </si>
  <si>
    <t>K-8</t>
  </si>
  <si>
    <t>Beside Building</t>
  </si>
  <si>
    <t>Outside on School Property</t>
  </si>
  <si>
    <t>Yes</t>
  </si>
  <si>
    <t>School Start</t>
  </si>
  <si>
    <t>Adult dropping child off shot in targeted shooting, 7 bullets hit school building</t>
  </si>
  <si>
    <t>Drive-by Shooting</t>
  </si>
  <si>
    <t>Victims Targeted</t>
  </si>
  <si>
    <t>No</t>
  </si>
  <si>
    <t>20191213VAMAN</t>
  </si>
  <si>
    <t>Maury High School</t>
  </si>
  <si>
    <t>Winter</t>
  </si>
  <si>
    <t>Norfolk</t>
  </si>
  <si>
    <t>VA</t>
  </si>
  <si>
    <t>High</t>
  </si>
  <si>
    <t>Classroom</t>
  </si>
  <si>
    <t>Inside School Building</t>
  </si>
  <si>
    <t>Yes</t>
  </si>
  <si>
    <t>Afternoon Classes</t>
  </si>
  <si>
    <t>Student shot self in hand in classroom</t>
  </si>
  <si>
    <t>Accidental</t>
  </si>
  <si>
    <t>Neither</t>
  </si>
  <si>
    <t>Yes</t>
  </si>
  <si>
    <t>No</t>
  </si>
  <si>
    <t>20191211INEVE</t>
  </si>
  <si>
    <t>Evans Elementary School</t>
  </si>
  <si>
    <t>Winter</t>
  </si>
  <si>
    <t>Evansville</t>
  </si>
  <si>
    <t>IN</t>
  </si>
  <si>
    <t>Elementary</t>
  </si>
  <si>
    <t>School Bus</t>
  </si>
  <si>
    <t>No</t>
  </si>
  <si>
    <t>After School</t>
  </si>
  <si>
    <t>BB shattered school bus window while driving</t>
  </si>
  <si>
    <t>Unknown</t>
  </si>
  <si>
    <t>No</t>
  </si>
  <si>
    <t>20191211KSCHT</t>
  </si>
  <si>
    <t>Chase Middle School</t>
  </si>
  <si>
    <t>Winter</t>
  </si>
  <si>
    <t>Topeka</t>
  </si>
  <si>
    <t>KS</t>
  </si>
  <si>
    <t>Middle</t>
  </si>
  <si>
    <t>School Bus</t>
  </si>
  <si>
    <t>Yes</t>
  </si>
  <si>
    <t>Dismissal</t>
  </si>
  <si>
    <t>Bus shot with multiple BBs with students onboard</t>
  </si>
  <si>
    <t>Unknown</t>
  </si>
  <si>
    <t>No</t>
  </si>
  <si>
    <t>20191210NJSAJ</t>
  </si>
  <si>
    <t>Sacred Heart School</t>
  </si>
  <si>
    <t>Winter</t>
  </si>
  <si>
    <t>Jersey City</t>
  </si>
  <si>
    <t>NJ</t>
  </si>
  <si>
    <t>K-8</t>
  </si>
  <si>
    <t>Off School Property</t>
  </si>
  <si>
    <t>Yes</t>
  </si>
  <si>
    <t>Afternoon Classes</t>
  </si>
  <si>
    <t>Attack on Jewish Grocery Store across the street from school, multiple shots struck school building</t>
  </si>
  <si>
    <t>Indiscriminate Shooting</t>
  </si>
  <si>
    <t>Neither</t>
  </si>
  <si>
    <t>Yes</t>
  </si>
  <si>
    <t>No</t>
  </si>
  <si>
    <t>Yes</t>
  </si>
  <si>
    <t>No</t>
  </si>
  <si>
    <t>Yes</t>
  </si>
  <si>
    <t>20191210KSJCK</t>
  </si>
  <si>
    <t>J C Harmon High School</t>
  </si>
  <si>
    <t>Winter</t>
  </si>
  <si>
    <t>Kansas City</t>
  </si>
  <si>
    <t>KS</t>
  </si>
  <si>
    <t>High</t>
  </si>
  <si>
    <t>Parking Lot (Bus)</t>
  </si>
  <si>
    <t>Off School Property</t>
  </si>
  <si>
    <t>Yes</t>
  </si>
  <si>
    <t>Dismissal</t>
  </si>
  <si>
    <t>School bus hit in school parking lot during drive by shooting</t>
  </si>
  <si>
    <t>Drive-by Shooting</t>
  </si>
  <si>
    <t>No</t>
  </si>
  <si>
    <t>20191210ALDED</t>
  </si>
  <si>
    <t>Decatur High School</t>
  </si>
  <si>
    <t>Winter</t>
  </si>
  <si>
    <t>Decatur</t>
  </si>
  <si>
    <t>AL</t>
  </si>
  <si>
    <t>High</t>
  </si>
  <si>
    <t>Parking Lot</t>
  </si>
  <si>
    <t>Outside on School Property</t>
  </si>
  <si>
    <t>Yes</t>
  </si>
  <si>
    <t>School Start</t>
  </si>
  <si>
    <t>Man fired shots into the air in the school parking lot following dispute with girlfriend</t>
  </si>
  <si>
    <t>Domestic w/ Targeted Victim</t>
  </si>
  <si>
    <t>Victims Targeted</t>
  </si>
  <si>
    <t>No</t>
  </si>
  <si>
    <t>Yes</t>
  </si>
  <si>
    <t>No</t>
  </si>
  <si>
    <t>20191204NMPIL</t>
  </si>
  <si>
    <t>Picacho Middle School</t>
  </si>
  <si>
    <t>Winter</t>
  </si>
  <si>
    <t>Las Cruces</t>
  </si>
  <si>
    <t>NM</t>
  </si>
  <si>
    <t>High</t>
  </si>
  <si>
    <t>Office</t>
  </si>
  <si>
    <t>Inside School Building</t>
  </si>
  <si>
    <t>Yes</t>
  </si>
  <si>
    <t>Afternoon Classes</t>
  </si>
  <si>
    <t>SRO fired weapon inside office with student present</t>
  </si>
  <si>
    <t>Accidental</t>
  </si>
  <si>
    <t>Neither</t>
  </si>
  <si>
    <t>No</t>
  </si>
  <si>
    <t>20191203WITHM</t>
  </si>
  <si>
    <t>Thomas Jefferson Middle School</t>
  </si>
  <si>
    <t>Winter</t>
  </si>
  <si>
    <t>Madison</t>
  </si>
  <si>
    <t>WI</t>
  </si>
  <si>
    <t>Middle</t>
  </si>
  <si>
    <t>School Bus</t>
  </si>
  <si>
    <t>Yes</t>
  </si>
  <si>
    <t>Dismissal</t>
  </si>
  <si>
    <t>Student fired pellet gun from school bus at female student getting off the bus</t>
  </si>
  <si>
    <t>Unknown</t>
  </si>
  <si>
    <t>Victims Targeted</t>
  </si>
  <si>
    <t>Yes</t>
  </si>
  <si>
    <t>No</t>
  </si>
  <si>
    <t>20191203WIOSO</t>
  </si>
  <si>
    <t>Oshkosh West High School</t>
  </si>
  <si>
    <t>Winter</t>
  </si>
  <si>
    <t>Oshkosh</t>
  </si>
  <si>
    <t>WI</t>
  </si>
  <si>
    <t>High</t>
  </si>
  <si>
    <t>Hallway</t>
  </si>
  <si>
    <t>Inside School Building</t>
  </si>
  <si>
    <t>Yes</t>
  </si>
  <si>
    <t>Morning Classes</t>
  </si>
  <si>
    <t>SRO fired at student who stabbed him with edged weapon</t>
  </si>
  <si>
    <t>Self-defense</t>
  </si>
  <si>
    <t>NA</t>
  </si>
  <si>
    <t>No</t>
  </si>
  <si>
    <t>20191202WIWAW</t>
  </si>
  <si>
    <t>Waukesha South High School</t>
  </si>
  <si>
    <t>Local</t>
  </si>
  <si>
    <t>Winter</t>
  </si>
  <si>
    <t>Waukesha</t>
  </si>
  <si>
    <t>WI</t>
  </si>
  <si>
    <t>High</t>
  </si>
  <si>
    <t>Classroom</t>
  </si>
  <si>
    <t>Inside School Building</t>
  </si>
  <si>
    <t>Yes</t>
  </si>
  <si>
    <t>Morning Classes</t>
  </si>
  <si>
    <t>Armed student shot by police officer in classroom during attempted negotiation</t>
  </si>
  <si>
    <t>Bullying</t>
  </si>
  <si>
    <t>No</t>
  </si>
  <si>
    <t>20191201ALMOM</t>
  </si>
  <si>
    <t>Mountain Brook High School</t>
  </si>
  <si>
    <t>Winter</t>
  </si>
  <si>
    <t>Mountain Brook</t>
  </si>
  <si>
    <t>AL</t>
  </si>
  <si>
    <t>High</t>
  </si>
  <si>
    <t>Parking Lot</t>
  </si>
  <si>
    <t>Outside on School Property</t>
  </si>
  <si>
    <t>No</t>
  </si>
  <si>
    <t>Night</t>
  </si>
  <si>
    <t>Woman killed during domestic dispute in parking lot</t>
  </si>
  <si>
    <t>Domestic w/ Targeted Victim</t>
  </si>
  <si>
    <t>Victims Targeted</t>
  </si>
  <si>
    <t>No</t>
  </si>
  <si>
    <t>Yes</t>
  </si>
  <si>
    <t>No</t>
  </si>
  <si>
    <t>20191126WASAV</t>
  </si>
  <si>
    <t>Sarah J. Anderson Elementary School</t>
  </si>
  <si>
    <t>Fall</t>
  </si>
  <si>
    <t>Vancouver</t>
  </si>
  <si>
    <t>WA</t>
  </si>
  <si>
    <t>Elementary</t>
  </si>
  <si>
    <t>Parking Lot</t>
  </si>
  <si>
    <t>Outside on School Property</t>
  </si>
  <si>
    <t>Yes</t>
  </si>
  <si>
    <t>Dismissal</t>
  </si>
  <si>
    <t>Father shot ex-wife and her mother in vehicle in the school parking lot (3 kids inside the car)</t>
  </si>
  <si>
    <t>Domestic w/ Targeted Victim</t>
  </si>
  <si>
    <t>Victims Targeted</t>
  </si>
  <si>
    <t>No</t>
  </si>
  <si>
    <t>Yes</t>
  </si>
  <si>
    <t>No</t>
  </si>
  <si>
    <t>20191125ILCAC</t>
  </si>
  <si>
    <t>Catalyst Circle Rock Charter School</t>
  </si>
  <si>
    <t>Fall</t>
  </si>
  <si>
    <t>Chicago</t>
  </si>
  <si>
    <t>IL</t>
  </si>
  <si>
    <t>Elementary</t>
  </si>
  <si>
    <t>Front of School</t>
  </si>
  <si>
    <t>Both Inside/Outside</t>
  </si>
  <si>
    <t>Yes</t>
  </si>
  <si>
    <t>School Start</t>
  </si>
  <si>
    <t>37 YOM shot outside of school while students were outside, went into school for assistance</t>
  </si>
  <si>
    <t>Unknown</t>
  </si>
  <si>
    <t>Victims Targeted</t>
  </si>
  <si>
    <t>No</t>
  </si>
  <si>
    <t>20191124CASEU</t>
  </si>
  <si>
    <t>Searles Elementary School</t>
  </si>
  <si>
    <t>National</t>
  </si>
  <si>
    <t>Fall</t>
  </si>
  <si>
    <t>Union City</t>
  </si>
  <si>
    <t>CA</t>
  </si>
  <si>
    <t>Elementary</t>
  </si>
  <si>
    <t>Parking Lot</t>
  </si>
  <si>
    <t>Outside on School Property</t>
  </si>
  <si>
    <t>No</t>
  </si>
  <si>
    <t>Night</t>
  </si>
  <si>
    <t>2 boys sitting inside van were shot and killed in school parking lot</t>
  </si>
  <si>
    <t>Illegal Activity</t>
  </si>
  <si>
    <t>Random Shooting</t>
  </si>
  <si>
    <t>Yes</t>
  </si>
  <si>
    <t>No</t>
  </si>
  <si>
    <t>20191121ILRIO</t>
  </si>
  <si>
    <t>Rich Central High School</t>
  </si>
  <si>
    <t>Fall</t>
  </si>
  <si>
    <t>Olympia Fields</t>
  </si>
  <si>
    <t>IL</t>
  </si>
  <si>
    <t>High</t>
  </si>
  <si>
    <t>Parking Lot (Bus)</t>
  </si>
  <si>
    <t>Outside on School Property</t>
  </si>
  <si>
    <t>Yes</t>
  </si>
  <si>
    <t>Dismissal</t>
  </si>
  <si>
    <t>Student fired pellet gun at bus window injuring student inside</t>
  </si>
  <si>
    <t>Intentional Property Damage</t>
  </si>
  <si>
    <t>Random Shooting</t>
  </si>
  <si>
    <t>No</t>
  </si>
  <si>
    <t>20191115NJPLP</t>
  </si>
  <si>
    <t>Pleasantville High School</t>
  </si>
  <si>
    <t>Fall</t>
  </si>
  <si>
    <t>Pleasantville</t>
  </si>
  <si>
    <t>NJ</t>
  </si>
  <si>
    <t>High</t>
  </si>
  <si>
    <t>Football Field/Track</t>
  </si>
  <si>
    <t>Outside on School Property</t>
  </si>
  <si>
    <t>No</t>
  </si>
  <si>
    <t>Sport Event</t>
  </si>
  <si>
    <t>Targeted shooting at football game, missed target and stuck 3 bystanders in the stands</t>
  </si>
  <si>
    <t>Unknown</t>
  </si>
  <si>
    <t>Both</t>
  </si>
  <si>
    <t>Yes</t>
  </si>
  <si>
    <t>No</t>
  </si>
  <si>
    <t>20191114CASAS</t>
  </si>
  <si>
    <t>Saugus High School</t>
  </si>
  <si>
    <t>National</t>
  </si>
  <si>
    <t>Fall</t>
  </si>
  <si>
    <t>Santa Clarita</t>
  </si>
  <si>
    <t>CA</t>
  </si>
  <si>
    <t>High</t>
  </si>
  <si>
    <t>Courtyard</t>
  </si>
  <si>
    <t>Outside on School Property</t>
  </si>
  <si>
    <t>Yes</t>
  </si>
  <si>
    <t>School Start</t>
  </si>
  <si>
    <t>Student fired at multiple students in school courtyard then commit suicide</t>
  </si>
  <si>
    <t>Indiscriminate Shooting</t>
  </si>
  <si>
    <t>Random Shooting</t>
  </si>
  <si>
    <t>No</t>
  </si>
  <si>
    <t>Yes</t>
  </si>
  <si>
    <t>20191113CAESL</t>
  </si>
  <si>
    <t>Esteban Torres High School</t>
  </si>
  <si>
    <t>Fall</t>
  </si>
  <si>
    <t>Los Angeles</t>
  </si>
  <si>
    <t>CA</t>
  </si>
  <si>
    <t>High</t>
  </si>
  <si>
    <t>Courtyard</t>
  </si>
  <si>
    <t>Outside on School Property</t>
  </si>
  <si>
    <t>Yes</t>
  </si>
  <si>
    <t>Morning Classes</t>
  </si>
  <si>
    <t>Officer shot and killed suspect with sword in outdoor lunch area of school campus</t>
  </si>
  <si>
    <t>Self-defense</t>
  </si>
  <si>
    <t>NA</t>
  </si>
  <si>
    <t>No</t>
  </si>
  <si>
    <t>N/A</t>
  </si>
  <si>
    <t>20191111MDACB</t>
  </si>
  <si>
    <t>Achievement Academy</t>
  </si>
  <si>
    <t>Fall</t>
  </si>
  <si>
    <t>Baltimore</t>
  </si>
  <si>
    <t>MD</t>
  </si>
  <si>
    <t>High</t>
  </si>
  <si>
    <t>Parking Lot</t>
  </si>
  <si>
    <t>Outside on School Property</t>
  </si>
  <si>
    <t>Yes</t>
  </si>
  <si>
    <t>Afternoon Classes</t>
  </si>
  <si>
    <t>19YOM student shot outside of school then ran into school for assistance</t>
  </si>
  <si>
    <t>Escalation of Dispute</t>
  </si>
  <si>
    <t>Victims Targeted</t>
  </si>
  <si>
    <t>No</t>
  </si>
  <si>
    <t>20191108TXROD</t>
  </si>
  <si>
    <t>Robert L. Thornton Elementary School</t>
  </si>
  <si>
    <t>Fall</t>
  </si>
  <si>
    <t>Dallas</t>
  </si>
  <si>
    <t>TX</t>
  </si>
  <si>
    <t>Elementary</t>
  </si>
  <si>
    <t>Basketball Court</t>
  </si>
  <si>
    <t>Outside on School Property</t>
  </si>
  <si>
    <t>No</t>
  </si>
  <si>
    <t>Evening</t>
  </si>
  <si>
    <t>15YOM shot on school basketball court. Specific target and received prior threats.</t>
  </si>
  <si>
    <t>Escalation of Dispute</t>
  </si>
  <si>
    <t>Victims Targeted</t>
  </si>
  <si>
    <t>Yes</t>
  </si>
  <si>
    <t>No</t>
  </si>
  <si>
    <t>20191108CAEDS</t>
  </si>
  <si>
    <t>Edison High School</t>
  </si>
  <si>
    <t>Fall</t>
  </si>
  <si>
    <t>Stockton</t>
  </si>
  <si>
    <t>CA</t>
  </si>
  <si>
    <t>High</t>
  </si>
  <si>
    <t>Football Field/Track</t>
  </si>
  <si>
    <t>Outside on School Property</t>
  </si>
  <si>
    <t>No</t>
  </si>
  <si>
    <t>Sport Event</t>
  </si>
  <si>
    <t>Shots fired in parking lot during football game, stadium locked down</t>
  </si>
  <si>
    <t>Escalation of Dispute</t>
  </si>
  <si>
    <t>No</t>
  </si>
  <si>
    <t>20191029NYNEN</t>
  </si>
  <si>
    <t>New Dawn Charter High School</t>
  </si>
  <si>
    <t>Fall</t>
  </si>
  <si>
    <t>New York</t>
  </si>
  <si>
    <t>NY</t>
  </si>
  <si>
    <t>High</t>
  </si>
  <si>
    <t>Front of School</t>
  </si>
  <si>
    <t>Outside on School Property</t>
  </si>
  <si>
    <t>Yes</t>
  </si>
  <si>
    <t>Dismissal</t>
  </si>
  <si>
    <t>Female student bystander shot during fight after school</t>
  </si>
  <si>
    <t>Escalation of Dispute</t>
  </si>
  <si>
    <t>Both</t>
  </si>
  <si>
    <t>Yes</t>
  </si>
  <si>
    <t>No</t>
  </si>
  <si>
    <t>20191027MDLAL</t>
  </si>
  <si>
    <t>Laurel Woods Elementary School</t>
  </si>
  <si>
    <t>Fall</t>
  </si>
  <si>
    <t>Laurel</t>
  </si>
  <si>
    <t>MD</t>
  </si>
  <si>
    <t>Elementary</t>
  </si>
  <si>
    <t>Parking Lot</t>
  </si>
  <si>
    <t>Outside on School Property</t>
  </si>
  <si>
    <t>No</t>
  </si>
  <si>
    <t>Not a School Day</t>
  </si>
  <si>
    <t>Adult female shot in parking lot of school following memorial service unrelated to the school</t>
  </si>
  <si>
    <t>Escalation of Dispute</t>
  </si>
  <si>
    <t>Both</t>
  </si>
  <si>
    <t>No</t>
  </si>
  <si>
    <t>20191022NJBRB</t>
  </si>
  <si>
    <t>Brick Memorial High School</t>
  </si>
  <si>
    <t>Local</t>
  </si>
  <si>
    <t>Fall</t>
  </si>
  <si>
    <t>Brick</t>
  </si>
  <si>
    <t>NJ</t>
  </si>
  <si>
    <t>High</t>
  </si>
  <si>
    <t>Off School Property</t>
  </si>
  <si>
    <t>Yes</t>
  </si>
  <si>
    <t>Afternoon Classes</t>
  </si>
  <si>
    <t>Teen shot near school by another teen, ran back to school for help</t>
  </si>
  <si>
    <t>Victims Targeted</t>
  </si>
  <si>
    <t>Yes</t>
  </si>
  <si>
    <t>No</t>
  </si>
  <si>
    <t>20191022CARIS</t>
  </si>
  <si>
    <t>Ridgway High School</t>
  </si>
  <si>
    <t>Local</t>
  </si>
  <si>
    <t>Fall</t>
  </si>
  <si>
    <t>Santa Rosa</t>
  </si>
  <si>
    <t>CA</t>
  </si>
  <si>
    <t>High</t>
  </si>
  <si>
    <t>Beside Building</t>
  </si>
  <si>
    <t>Outside on School Property</t>
  </si>
  <si>
    <t>Yes</t>
  </si>
  <si>
    <t>Morning Classes</t>
  </si>
  <si>
    <t>Student shot another student following argument outside of school building, gave gun to driver in a car, and then returned to class in the school building</t>
  </si>
  <si>
    <t>Escalation of Dispute</t>
  </si>
  <si>
    <t>Victims Targeted</t>
  </si>
  <si>
    <t>Yes</t>
  </si>
  <si>
    <t>No</t>
  </si>
  <si>
    <t>20191018OHWOT</t>
  </si>
  <si>
    <t>Woodward High School</t>
  </si>
  <si>
    <t>Fall</t>
  </si>
  <si>
    <t>Toledo</t>
  </si>
  <si>
    <t>OH</t>
  </si>
  <si>
    <t>High</t>
  </si>
  <si>
    <t>Football Field/Track</t>
  </si>
  <si>
    <t>Outside on School Property</t>
  </si>
  <si>
    <t>No</t>
  </si>
  <si>
    <t>Sport Event</t>
  </si>
  <si>
    <t>Shots fired during football game, stadium evacuated</t>
  </si>
  <si>
    <t>Escalation of Dispute</t>
  </si>
  <si>
    <t>No</t>
  </si>
  <si>
    <t>20191018GACRS</t>
  </si>
  <si>
    <t>Creekside High School</t>
  </si>
  <si>
    <t>Fall</t>
  </si>
  <si>
    <t>South Fulton</t>
  </si>
  <si>
    <t>GA</t>
  </si>
  <si>
    <t>High</t>
  </si>
  <si>
    <t>Beside Building</t>
  </si>
  <si>
    <t>Outside on School Property</t>
  </si>
  <si>
    <t>No</t>
  </si>
  <si>
    <t>Sport Event</t>
  </si>
  <si>
    <t>Unidentified male shot behind school during football game</t>
  </si>
  <si>
    <t>Unknown</t>
  </si>
  <si>
    <t>No</t>
  </si>
  <si>
    <t>20190918MNFOC</t>
  </si>
  <si>
    <t>Fond Du Lac Ojibwe High School</t>
  </si>
  <si>
    <t>Regional</t>
  </si>
  <si>
    <t>Fall</t>
  </si>
  <si>
    <t>Cloquet</t>
  </si>
  <si>
    <t>MN</t>
  </si>
  <si>
    <t>High</t>
  </si>
  <si>
    <t>Outside on School Property</t>
  </si>
  <si>
    <t>Yes</t>
  </si>
  <si>
    <t>Man shot his sister's boyfriend in the head</t>
  </si>
  <si>
    <t>Domestic w/ Targeted Victim</t>
  </si>
  <si>
    <t>Victims Targeted</t>
  </si>
  <si>
    <t>No</t>
  </si>
  <si>
    <t>Yes</t>
  </si>
  <si>
    <t>No</t>
  </si>
  <si>
    <t>20191015LAGEN</t>
  </si>
  <si>
    <t>George Washington Carver High School</t>
  </si>
  <si>
    <t>Fall</t>
  </si>
  <si>
    <t>New Orleans</t>
  </si>
  <si>
    <t>LA</t>
  </si>
  <si>
    <t>High</t>
  </si>
  <si>
    <t>Off School Property</t>
  </si>
  <si>
    <t>Yes</t>
  </si>
  <si>
    <t>Morning Classes</t>
  </si>
  <si>
    <t>Student shot near school, ran inside school for assistance, school locked down then dismissed</t>
  </si>
  <si>
    <t>Escalation of Dispute</t>
  </si>
  <si>
    <t>No</t>
  </si>
  <si>
    <t>20191011LARAR</t>
  </si>
  <si>
    <t>Rayne High School</t>
  </si>
  <si>
    <t>Fall</t>
  </si>
  <si>
    <t>Rayne</t>
  </si>
  <si>
    <t>LA</t>
  </si>
  <si>
    <t>High</t>
  </si>
  <si>
    <t>Parking Lot</t>
  </si>
  <si>
    <t>Outside on School Property</t>
  </si>
  <si>
    <t>No</t>
  </si>
  <si>
    <t>Sport Event</t>
  </si>
  <si>
    <t>20 shots fired in parking lot after football game</t>
  </si>
  <si>
    <t>Indiscriminate Shooting</t>
  </si>
  <si>
    <t>Victims Targeted</t>
  </si>
  <si>
    <t>Yes</t>
  </si>
  <si>
    <t>No</t>
  </si>
  <si>
    <t>20191009MAGRL</t>
  </si>
  <si>
    <t>Greenhalge Elementary School</t>
  </si>
  <si>
    <t>Fall</t>
  </si>
  <si>
    <t>Lowell</t>
  </si>
  <si>
    <t>MA</t>
  </si>
  <si>
    <t>Elementary</t>
  </si>
  <si>
    <t>Playground</t>
  </si>
  <si>
    <t>Outside on School Property</t>
  </si>
  <si>
    <t>No</t>
  </si>
  <si>
    <t>After School</t>
  </si>
  <si>
    <t>Three teens on bicycles fired bb guns at the students on the playground.</t>
  </si>
  <si>
    <t>Indiscriminate Shooting</t>
  </si>
  <si>
    <t>Random Shooting</t>
  </si>
  <si>
    <t>Yes</t>
  </si>
  <si>
    <t>No</t>
  </si>
  <si>
    <t>20191008TXWEH</t>
  </si>
  <si>
    <t>Westbury High School</t>
  </si>
  <si>
    <t>Fall</t>
  </si>
  <si>
    <t>Houston</t>
  </si>
  <si>
    <t>TX</t>
  </si>
  <si>
    <t>High</t>
  </si>
  <si>
    <t>Beside Building</t>
  </si>
  <si>
    <t>No</t>
  </si>
  <si>
    <t>After School</t>
  </si>
  <si>
    <t>Student shot in school, no details released</t>
  </si>
  <si>
    <t>Unknown</t>
  </si>
  <si>
    <t>No</t>
  </si>
  <si>
    <t>20191008COSHS</t>
  </si>
  <si>
    <t>Sheridan High School</t>
  </si>
  <si>
    <t>Fall</t>
  </si>
  <si>
    <t>Sheridan</t>
  </si>
  <si>
    <t>CO</t>
  </si>
  <si>
    <t>High</t>
  </si>
  <si>
    <t>Beside Building</t>
  </si>
  <si>
    <t>Outside on School Property</t>
  </si>
  <si>
    <t>No</t>
  </si>
  <si>
    <t>Sport Event</t>
  </si>
  <si>
    <t>Teen shot during fight outside of school during volleyball game</t>
  </si>
  <si>
    <t>Escalation of Dispute</t>
  </si>
  <si>
    <t>Victims Targeted</t>
  </si>
  <si>
    <t>No</t>
  </si>
  <si>
    <t>20191002GASOA</t>
  </si>
  <si>
    <t>South Atlanta High School</t>
  </si>
  <si>
    <t>Fall</t>
  </si>
  <si>
    <t>Atlanta</t>
  </si>
  <si>
    <t>GA</t>
  </si>
  <si>
    <t>High</t>
  </si>
  <si>
    <t>Field (General)</t>
  </si>
  <si>
    <t>Outside on School Property</t>
  </si>
  <si>
    <t>No</t>
  </si>
  <si>
    <t>Sport Event</t>
  </si>
  <si>
    <t>Adult fired shot into air during fight at high school softball game</t>
  </si>
  <si>
    <t>Escalation of Dispute</t>
  </si>
  <si>
    <t>Neither</t>
  </si>
  <si>
    <t>No</t>
  </si>
  <si>
    <t>20190927NCZEC</t>
  </si>
  <si>
    <t>Zebulon B. Vance High School</t>
  </si>
  <si>
    <t>Fall</t>
  </si>
  <si>
    <t>Charlotte</t>
  </si>
  <si>
    <t>NC</t>
  </si>
  <si>
    <t>High</t>
  </si>
  <si>
    <t>Parking Lot</t>
  </si>
  <si>
    <t>Outside on School Property</t>
  </si>
  <si>
    <t>No</t>
  </si>
  <si>
    <t>Sport Event</t>
  </si>
  <si>
    <t>Shots fired during fight in the parking lot during football game</t>
  </si>
  <si>
    <t>Escalation of Dispute</t>
  </si>
  <si>
    <t>No</t>
  </si>
  <si>
    <t>20190927CADER</t>
  </si>
  <si>
    <t>De Anza High School</t>
  </si>
  <si>
    <t>Local</t>
  </si>
  <si>
    <t>Fall</t>
  </si>
  <si>
    <t>Richmond</t>
  </si>
  <si>
    <t>CA</t>
  </si>
  <si>
    <t>High</t>
  </si>
  <si>
    <t>Off School Property</t>
  </si>
  <si>
    <t>No</t>
  </si>
  <si>
    <t>Sport Event</t>
  </si>
  <si>
    <t>Three teen students shot leaving football game</t>
  </si>
  <si>
    <t>Escalation of Dispute</t>
  </si>
  <si>
    <t>Both</t>
  </si>
  <si>
    <t>Yes</t>
  </si>
  <si>
    <t>No</t>
  </si>
  <si>
    <t>20190920PASIP</t>
  </si>
  <si>
    <t>Simon Gratz High School Mastery Charter</t>
  </si>
  <si>
    <t>Fall</t>
  </si>
  <si>
    <t>Philadelphia</t>
  </si>
  <si>
    <t>PA</t>
  </si>
  <si>
    <t>High</t>
  </si>
  <si>
    <t>Football Field/Track</t>
  </si>
  <si>
    <t>Outside on School Property</t>
  </si>
  <si>
    <t>No</t>
  </si>
  <si>
    <t>Sport Event</t>
  </si>
  <si>
    <t>Two teens shot at football game, stadium evacuated</t>
  </si>
  <si>
    <t>Escalation of Dispute</t>
  </si>
  <si>
    <t>No</t>
  </si>
  <si>
    <t>20190916ILILK</t>
  </si>
  <si>
    <t>Illinois Central School Bus</t>
  </si>
  <si>
    <t>Fall</t>
  </si>
  <si>
    <t>Kankakee</t>
  </si>
  <si>
    <t>IL</t>
  </si>
  <si>
    <t>School Bus</t>
  </si>
  <si>
    <t>Yes</t>
  </si>
  <si>
    <t>Dismissal</t>
  </si>
  <si>
    <t>Occupied school bus struck by gunfire during gang fight</t>
  </si>
  <si>
    <t>Unknown</t>
  </si>
  <si>
    <t>Victims Targeted</t>
  </si>
  <si>
    <t>No</t>
  </si>
  <si>
    <t>20190916VAPHH</t>
  </si>
  <si>
    <t>Phoebus High School</t>
  </si>
  <si>
    <t>Fall</t>
  </si>
  <si>
    <t>Hampton</t>
  </si>
  <si>
    <t>VA</t>
  </si>
  <si>
    <t>High</t>
  </si>
  <si>
    <t>Parking Lot</t>
  </si>
  <si>
    <t>Off School Property</t>
  </si>
  <si>
    <t>Yes</t>
  </si>
  <si>
    <t>Morning Classes</t>
  </si>
  <si>
    <t>Man shot across the street from the school and died in school parking lot during classes</t>
  </si>
  <si>
    <t>Unknown</t>
  </si>
  <si>
    <t>Victims Targeted</t>
  </si>
  <si>
    <t>No</t>
  </si>
  <si>
    <t>20190914TXEAF</t>
  </si>
  <si>
    <t>Eastern Hills High School</t>
  </si>
  <si>
    <t>Fall</t>
  </si>
  <si>
    <t>Fort Worth</t>
  </si>
  <si>
    <t>TX</t>
  </si>
  <si>
    <t>High</t>
  </si>
  <si>
    <t>Football Field/Track</t>
  </si>
  <si>
    <t>Outside on School Property</t>
  </si>
  <si>
    <t>No</t>
  </si>
  <si>
    <t>Sport Event</t>
  </si>
  <si>
    <t>Shots fired during fight between parents at youth football game</t>
  </si>
  <si>
    <t>Escalation of Dispute</t>
  </si>
  <si>
    <t>Both</t>
  </si>
  <si>
    <t>Yes</t>
  </si>
  <si>
    <t>No</t>
  </si>
  <si>
    <t>20190913VAETN</t>
  </si>
  <si>
    <t>Ethel M. Gildersleeve Middle School</t>
  </si>
  <si>
    <t>Fall</t>
  </si>
  <si>
    <t>Newport News</t>
  </si>
  <si>
    <t>VA</t>
  </si>
  <si>
    <t>Middle</t>
  </si>
  <si>
    <t>Football Field/Track</t>
  </si>
  <si>
    <t>Outside on School Property</t>
  </si>
  <si>
    <t>No</t>
  </si>
  <si>
    <t>Sport Event</t>
  </si>
  <si>
    <t>Shots fired in parking lot after football game</t>
  </si>
  <si>
    <t>Escalation of Dispute</t>
  </si>
  <si>
    <t>No</t>
  </si>
  <si>
    <t>20190913UTGRW</t>
  </si>
  <si>
    <t>Granger High School</t>
  </si>
  <si>
    <t>Fall</t>
  </si>
  <si>
    <t>West Valley City</t>
  </si>
  <si>
    <t>UT</t>
  </si>
  <si>
    <t>High</t>
  </si>
  <si>
    <t>Football Field/Track</t>
  </si>
  <si>
    <t>Outside on School Property</t>
  </si>
  <si>
    <t>No</t>
  </si>
  <si>
    <t>Sport Event</t>
  </si>
  <si>
    <t>Shots fired into air during gang related altercation at football game</t>
  </si>
  <si>
    <t>Escalation of Dispute</t>
  </si>
  <si>
    <t>Neither</t>
  </si>
  <si>
    <t>Yes</t>
  </si>
  <si>
    <t>No</t>
  </si>
  <si>
    <t>20190912KSMAM</t>
  </si>
  <si>
    <t>Manhattan High School</t>
  </si>
  <si>
    <t>Fall</t>
  </si>
  <si>
    <t>Manhattan</t>
  </si>
  <si>
    <t>KS</t>
  </si>
  <si>
    <t>High</t>
  </si>
  <si>
    <t>Parking Lot</t>
  </si>
  <si>
    <t>Outside on School Property</t>
  </si>
  <si>
    <t>No</t>
  </si>
  <si>
    <t>Evening</t>
  </si>
  <si>
    <t>Shots fired in school parking lot.</t>
  </si>
  <si>
    <t>Illegal Activity</t>
  </si>
  <si>
    <t>No</t>
  </si>
  <si>
    <t>20190910SCSOA</t>
  </si>
  <si>
    <t>South Aiken High School</t>
  </si>
  <si>
    <t>Fall</t>
  </si>
  <si>
    <t>Aiken</t>
  </si>
  <si>
    <t>SC</t>
  </si>
  <si>
    <t>High</t>
  </si>
  <si>
    <t>Parking Lot</t>
  </si>
  <si>
    <t>Outside on School Property</t>
  </si>
  <si>
    <t>No</t>
  </si>
  <si>
    <t>Dismissal</t>
  </si>
  <si>
    <t>Shot fired during altercation in school parking lot</t>
  </si>
  <si>
    <t>Escalation of Dispute</t>
  </si>
  <si>
    <t>Victims Targeted</t>
  </si>
  <si>
    <t>Yes</t>
  </si>
  <si>
    <t>No</t>
  </si>
  <si>
    <t>20190906PAWEM</t>
  </si>
  <si>
    <t>West Palmer High School</t>
  </si>
  <si>
    <t>Fall</t>
  </si>
  <si>
    <t>Morrisville</t>
  </si>
  <si>
    <t>PA</t>
  </si>
  <si>
    <t>High</t>
  </si>
  <si>
    <t>Parking Lot</t>
  </si>
  <si>
    <t>Outside on School Property</t>
  </si>
  <si>
    <t>No</t>
  </si>
  <si>
    <t>Sport Event</t>
  </si>
  <si>
    <t>Female student shot in school parking lot following football game</t>
  </si>
  <si>
    <t>Escalation of Dispute</t>
  </si>
  <si>
    <t>No</t>
  </si>
  <si>
    <t>20190906PAMCJ</t>
  </si>
  <si>
    <t>McKee Middle School</t>
  </si>
  <si>
    <t>Regional</t>
  </si>
  <si>
    <t>Fall</t>
  </si>
  <si>
    <t>Jeannette</t>
  </si>
  <si>
    <t>PA</t>
  </si>
  <si>
    <t>Middle</t>
  </si>
  <si>
    <t>Football Field/Track</t>
  </si>
  <si>
    <t>Outside on School Property</t>
  </si>
  <si>
    <t>No</t>
  </si>
  <si>
    <t>Sport Event</t>
  </si>
  <si>
    <t>Adult male shot/killed adult male at gate of football stadium during high school game</t>
  </si>
  <si>
    <t>Escalation of Dispute</t>
  </si>
  <si>
    <t>Victims Targeted</t>
  </si>
  <si>
    <t>No</t>
  </si>
  <si>
    <t>20190906ALCEC</t>
  </si>
  <si>
    <t>Center Point High School</t>
  </si>
  <si>
    <t>Fall</t>
  </si>
  <si>
    <t>Center Point</t>
  </si>
  <si>
    <t>AL</t>
  </si>
  <si>
    <t>High</t>
  </si>
  <si>
    <t>Football Field/Track</t>
  </si>
  <si>
    <t>Outside on School Property</t>
  </si>
  <si>
    <t>No</t>
  </si>
  <si>
    <t>Sport Event</t>
  </si>
  <si>
    <t>8-9 shots fired from woods by football stadium during game</t>
  </si>
  <si>
    <t>Indiscriminate Shooting</t>
  </si>
  <si>
    <t>No</t>
  </si>
  <si>
    <t>20190902MDNOB</t>
  </si>
  <si>
    <t>Northwood Elementary School</t>
  </si>
  <si>
    <t>Fall</t>
  </si>
  <si>
    <t>Baltimore</t>
  </si>
  <si>
    <t>MD</t>
  </si>
  <si>
    <t>Elementary</t>
  </si>
  <si>
    <t>Courtyard</t>
  </si>
  <si>
    <t>Outside on School Property</t>
  </si>
  <si>
    <t>No</t>
  </si>
  <si>
    <t>Evening</t>
  </si>
  <si>
    <t>Adult male killed and two other adult men injured by unknown shooter in school courtyard</t>
  </si>
  <si>
    <t>Escalation of Dispute</t>
  </si>
  <si>
    <t>No</t>
  </si>
  <si>
    <t>20190830OHCET</t>
  </si>
  <si>
    <t>Central Catholic High School</t>
  </si>
  <si>
    <t>Summer</t>
  </si>
  <si>
    <t>Toledo</t>
  </si>
  <si>
    <t>OH</t>
  </si>
  <si>
    <t>High</t>
  </si>
  <si>
    <t>Football Field/Track</t>
  </si>
  <si>
    <t>Outside on School Property</t>
  </si>
  <si>
    <t>No</t>
  </si>
  <si>
    <t>Sport Event</t>
  </si>
  <si>
    <t>16YOM non-student shot when crowd was exiting football game</t>
  </si>
  <si>
    <t>Escalation of Dispute</t>
  </si>
  <si>
    <t>Random Shooting</t>
  </si>
  <si>
    <t>No</t>
  </si>
  <si>
    <t>20190830NCKIK</t>
  </si>
  <si>
    <t>Kinston High School</t>
  </si>
  <si>
    <t>Summer</t>
  </si>
  <si>
    <t>Kingston</t>
  </si>
  <si>
    <t>NC</t>
  </si>
  <si>
    <t>High</t>
  </si>
  <si>
    <t>Parking Lot</t>
  </si>
  <si>
    <t>Outside on School Property</t>
  </si>
  <si>
    <t>No</t>
  </si>
  <si>
    <t>Sport Event</t>
  </si>
  <si>
    <t>Shots fired into air the parking lot after football game</t>
  </si>
  <si>
    <t>Escalation of Dispute</t>
  </si>
  <si>
    <t>Neither</t>
  </si>
  <si>
    <t>Yes</t>
  </si>
  <si>
    <t>No</t>
  </si>
  <si>
    <t>20190830ALLAM</t>
  </si>
  <si>
    <t>Ladd-Peebles Stadium</t>
  </si>
  <si>
    <t>Summer</t>
  </si>
  <si>
    <t>Mobile</t>
  </si>
  <si>
    <t>AL</t>
  </si>
  <si>
    <t>High</t>
  </si>
  <si>
    <t>Off School Property</t>
  </si>
  <si>
    <t>No</t>
  </si>
  <si>
    <t>Sport Event</t>
  </si>
  <si>
    <t>10 teens shot after 17YO fired shots into crowd following dispute</t>
  </si>
  <si>
    <t>Escalation of Dispute</t>
  </si>
  <si>
    <t>Both</t>
  </si>
  <si>
    <t>No</t>
  </si>
  <si>
    <t>Yes</t>
  </si>
  <si>
    <t>20190827CAHOL</t>
  </si>
  <si>
    <t>Hollenbeck Middle School</t>
  </si>
  <si>
    <t>Summer</t>
  </si>
  <si>
    <t>Los Angeles</t>
  </si>
  <si>
    <t>CA</t>
  </si>
  <si>
    <t>High</t>
  </si>
  <si>
    <t>Cafeteria</t>
  </si>
  <si>
    <t>Off School Property</t>
  </si>
  <si>
    <t>Yes</t>
  </si>
  <si>
    <t>Lunch</t>
  </si>
  <si>
    <t>Student hit by bullet in lunch line. Shot fired from off campus.</t>
  </si>
  <si>
    <t>Unknown</t>
  </si>
  <si>
    <t>No</t>
  </si>
  <si>
    <t>20190827NYROR</t>
  </si>
  <si>
    <t>Roosevelt High School</t>
  </si>
  <si>
    <t>Summer</t>
  </si>
  <si>
    <t>Roosevelt</t>
  </si>
  <si>
    <t>NY</t>
  </si>
  <si>
    <t>High</t>
  </si>
  <si>
    <t>Field (General)</t>
  </si>
  <si>
    <t>Outside on School Property</t>
  </si>
  <si>
    <t>No</t>
  </si>
  <si>
    <t>Not a School Day</t>
  </si>
  <si>
    <t>Man fired 3 shots into the ground during dispute the school staff about landscaping</t>
  </si>
  <si>
    <t>Escalation of Dispute</t>
  </si>
  <si>
    <t>Victims Targeted</t>
  </si>
  <si>
    <t>No</t>
  </si>
  <si>
    <t>20190824PAWIP</t>
  </si>
  <si>
    <t>William C. Longstreth Elementary School</t>
  </si>
  <si>
    <t>Summer</t>
  </si>
  <si>
    <t>Philadelphia</t>
  </si>
  <si>
    <t>PA</t>
  </si>
  <si>
    <t>Elementary</t>
  </si>
  <si>
    <t>Playground</t>
  </si>
  <si>
    <t>Outside on School Property</t>
  </si>
  <si>
    <t>No</t>
  </si>
  <si>
    <t>Evening</t>
  </si>
  <si>
    <t>14YOM shot and killed on school playground during argument</t>
  </si>
  <si>
    <t>Escalation of Dispute</t>
  </si>
  <si>
    <t>Victims Targeted</t>
  </si>
  <si>
    <t>No</t>
  </si>
  <si>
    <t>20190823GAPEC</t>
  </si>
  <si>
    <t>Peek's Chapel Elementary School</t>
  </si>
  <si>
    <t>Summer</t>
  </si>
  <si>
    <t>Conyers</t>
  </si>
  <si>
    <t>GA</t>
  </si>
  <si>
    <t>Elementary</t>
  </si>
  <si>
    <t>Outside on School Property</t>
  </si>
  <si>
    <t>No</t>
  </si>
  <si>
    <t>Evening</t>
  </si>
  <si>
    <t>15YOM shot 12YOM outside of elementary school after hours</t>
  </si>
  <si>
    <t>Unknown</t>
  </si>
  <si>
    <t>No</t>
  </si>
  <si>
    <t>20190823MOROS</t>
  </si>
  <si>
    <t>Roosevelt High School</t>
  </si>
  <si>
    <t>Summer</t>
  </si>
  <si>
    <t>St. Louis</t>
  </si>
  <si>
    <t>MO</t>
  </si>
  <si>
    <t>High</t>
  </si>
  <si>
    <t>Parking Lot</t>
  </si>
  <si>
    <t>Outside on School Property</t>
  </si>
  <si>
    <t>No</t>
  </si>
  <si>
    <t>Night</t>
  </si>
  <si>
    <t>16YOF student found dead (multiple shots) behind school</t>
  </si>
  <si>
    <t>Unknown</t>
  </si>
  <si>
    <t>Victims Targeted</t>
  </si>
  <si>
    <t>No</t>
  </si>
  <si>
    <t>20190823MOPAS</t>
  </si>
  <si>
    <t>Parkway North High School</t>
  </si>
  <si>
    <t>Summer</t>
  </si>
  <si>
    <t>St. Louis</t>
  </si>
  <si>
    <t>MO</t>
  </si>
  <si>
    <t>High</t>
  </si>
  <si>
    <t>Football Field/Track</t>
  </si>
  <si>
    <t>Outside on School Property</t>
  </si>
  <si>
    <t>No</t>
  </si>
  <si>
    <t>Sport Event</t>
  </si>
  <si>
    <t>Shots fired during fight at football jamboree</t>
  </si>
  <si>
    <t>Escalation of Dispute</t>
  </si>
  <si>
    <t>No</t>
  </si>
  <si>
    <t>20190820PASAC</t>
  </si>
  <si>
    <t>Saint Patrick School</t>
  </si>
  <si>
    <t>Summer</t>
  </si>
  <si>
    <t>Carlisle</t>
  </si>
  <si>
    <t>PA</t>
  </si>
  <si>
    <t>High</t>
  </si>
  <si>
    <t>Parking Lot</t>
  </si>
  <si>
    <t>Outside on School Property</t>
  </si>
  <si>
    <t>No</t>
  </si>
  <si>
    <t>School Event</t>
  </si>
  <si>
    <t>Parent accidentally discharged handgun shooting himself</t>
  </si>
  <si>
    <t>Accidental</t>
  </si>
  <si>
    <t>Random Shooting</t>
  </si>
  <si>
    <t>No</t>
  </si>
  <si>
    <t>20190817GALAA</t>
  </si>
  <si>
    <t>Lakewood Stadium</t>
  </si>
  <si>
    <t>Summer</t>
  </si>
  <si>
    <t>Atlanta</t>
  </si>
  <si>
    <t>GA</t>
  </si>
  <si>
    <t>High</t>
  </si>
  <si>
    <t>Football Field/Track</t>
  </si>
  <si>
    <t>Outside on School Property</t>
  </si>
  <si>
    <t>No</t>
  </si>
  <si>
    <t>Sport Event</t>
  </si>
  <si>
    <t>Shots fired during fight at football game</t>
  </si>
  <si>
    <t>Escalation of Dispute</t>
  </si>
  <si>
    <t>Both</t>
  </si>
  <si>
    <t>No</t>
  </si>
  <si>
    <t>20190815TNEAN</t>
  </si>
  <si>
    <t>East Magnet High School</t>
  </si>
  <si>
    <t>Summer</t>
  </si>
  <si>
    <t>Nashville</t>
  </si>
  <si>
    <t>TN</t>
  </si>
  <si>
    <t>High</t>
  </si>
  <si>
    <t>Football Field/Track</t>
  </si>
  <si>
    <t>Outside on School Property</t>
  </si>
  <si>
    <t>No</t>
  </si>
  <si>
    <t>Sport Event</t>
  </si>
  <si>
    <t>15YOM fired multiple shots during football jamboree</t>
  </si>
  <si>
    <t>Escalation of Dispute</t>
  </si>
  <si>
    <t>Yes</t>
  </si>
  <si>
    <t>No</t>
  </si>
  <si>
    <t>20190809NJWEN</t>
  </si>
  <si>
    <t>West Side High School</t>
  </si>
  <si>
    <t>Local</t>
  </si>
  <si>
    <t>Fall</t>
  </si>
  <si>
    <t>Newark</t>
  </si>
  <si>
    <t>NJ</t>
  </si>
  <si>
    <t>High</t>
  </si>
  <si>
    <t>Front of School</t>
  </si>
  <si>
    <t>Outside on School Property</t>
  </si>
  <si>
    <t>No</t>
  </si>
  <si>
    <t>Night</t>
  </si>
  <si>
    <t>Two teens shot in front of the school</t>
  </si>
  <si>
    <t>No</t>
  </si>
  <si>
    <t>20190808ALBLM</t>
  </si>
  <si>
    <t>Blount Elementary School</t>
  </si>
  <si>
    <t>Summer</t>
  </si>
  <si>
    <t>Montgomery</t>
  </si>
  <si>
    <t>AL</t>
  </si>
  <si>
    <t>Elementary</t>
  </si>
  <si>
    <t>Parking Lot</t>
  </si>
  <si>
    <t>Outside on School Property</t>
  </si>
  <si>
    <t>Yes</t>
  </si>
  <si>
    <t>School Start</t>
  </si>
  <si>
    <t>Adult male fired shots in school parking lot during road rage incident</t>
  </si>
  <si>
    <t>Escalation of Dispute</t>
  </si>
  <si>
    <t>Victims Targeted</t>
  </si>
  <si>
    <t>No</t>
  </si>
  <si>
    <t>20190719CAMOS</t>
  </si>
  <si>
    <t>Monroe Clark Middle School</t>
  </si>
  <si>
    <t>Summer</t>
  </si>
  <si>
    <t>San Diego</t>
  </si>
  <si>
    <t>CA</t>
  </si>
  <si>
    <t>Middle</t>
  </si>
  <si>
    <t>Front of School</t>
  </si>
  <si>
    <t>Outside on School Property</t>
  </si>
  <si>
    <t>Yes</t>
  </si>
  <si>
    <t>Morning Classes</t>
  </si>
  <si>
    <t>Teen fired BB's at school building then fled</t>
  </si>
  <si>
    <t>Intentional Property Damage</t>
  </si>
  <si>
    <t>Neither</t>
  </si>
  <si>
    <t>No</t>
  </si>
  <si>
    <t>20190711CTBUH</t>
  </si>
  <si>
    <t>Bulkeley High School</t>
  </si>
  <si>
    <t>Local</t>
  </si>
  <si>
    <t>Summer</t>
  </si>
  <si>
    <t>Hartford</t>
  </si>
  <si>
    <t>CT</t>
  </si>
  <si>
    <t>High</t>
  </si>
  <si>
    <t>Beside Building</t>
  </si>
  <si>
    <t>Outside on School Property</t>
  </si>
  <si>
    <t>No</t>
  </si>
  <si>
    <t>Not a School Day</t>
  </si>
  <si>
    <t>Two women in car chased victim onto school property then shot and killed him</t>
  </si>
  <si>
    <t>Drive-by Shooting</t>
  </si>
  <si>
    <t>Victims Targeted</t>
  </si>
  <si>
    <t>Yes</t>
  </si>
  <si>
    <t>No</t>
  </si>
  <si>
    <t>20190702AKWIA</t>
  </si>
  <si>
    <t>Williwaw Elementary School</t>
  </si>
  <si>
    <t>Summer</t>
  </si>
  <si>
    <t>Anchorage</t>
  </si>
  <si>
    <t>AK</t>
  </si>
  <si>
    <t>Elementary</t>
  </si>
  <si>
    <t>Basketball Court</t>
  </si>
  <si>
    <t>Outside on School Property</t>
  </si>
  <si>
    <t>No</t>
  </si>
  <si>
    <t>Evening</t>
  </si>
  <si>
    <t>Teen shot on basketball court after altercation</t>
  </si>
  <si>
    <t>Escalation of Dispute</t>
  </si>
  <si>
    <t>No</t>
  </si>
  <si>
    <t>20190701NYSCN</t>
  </si>
  <si>
    <t>School of Science and Applied Learning</t>
  </si>
  <si>
    <t>Summer</t>
  </si>
  <si>
    <t>New York</t>
  </si>
  <si>
    <t>NY</t>
  </si>
  <si>
    <t>Elementary</t>
  </si>
  <si>
    <t>Playground</t>
  </si>
  <si>
    <t>Outside on School Property</t>
  </si>
  <si>
    <t>No</t>
  </si>
  <si>
    <t>Night</t>
  </si>
  <si>
    <t>Cab driver shot 13YOM who had previously robbed him at the school playground</t>
  </si>
  <si>
    <t>Illegal Activity</t>
  </si>
  <si>
    <t>Victims Targeted</t>
  </si>
  <si>
    <t>No</t>
  </si>
  <si>
    <t>20190629COJAC</t>
  </si>
  <si>
    <t>Jack Swigert Aerospace Academy</t>
  </si>
  <si>
    <t>Summer</t>
  </si>
  <si>
    <t>Colorado Springs</t>
  </si>
  <si>
    <t>CO</t>
  </si>
  <si>
    <t>Elementary</t>
  </si>
  <si>
    <t>Football Field/Track</t>
  </si>
  <si>
    <t>Outside on School Property</t>
  </si>
  <si>
    <t>No</t>
  </si>
  <si>
    <t>Night</t>
  </si>
  <si>
    <t>Two men shot and killed during fight between two groups on school track</t>
  </si>
  <si>
    <t>Escalation of Dispute</t>
  </si>
  <si>
    <t>Victims Targeted</t>
  </si>
  <si>
    <t>Yes</t>
  </si>
  <si>
    <t>No</t>
  </si>
  <si>
    <t>20190621MICAF</t>
  </si>
  <si>
    <t>Carman-Ainsworth High School</t>
  </si>
  <si>
    <t>Summer</t>
  </si>
  <si>
    <t>Flint</t>
  </si>
  <si>
    <t>MI</t>
  </si>
  <si>
    <t>High</t>
  </si>
  <si>
    <t>Beside Building</t>
  </si>
  <si>
    <t>Outside on School Property</t>
  </si>
  <si>
    <t>No</t>
  </si>
  <si>
    <t>Sport Event</t>
  </si>
  <si>
    <t>15YOM male shot during fight involving 50 people at basketball game</t>
  </si>
  <si>
    <t>Escalation of Dispute</t>
  </si>
  <si>
    <t>No</t>
  </si>
  <si>
    <t>20190613NJTAW</t>
  </si>
  <si>
    <t>Tamaques Elementary School</t>
  </si>
  <si>
    <t>Summer</t>
  </si>
  <si>
    <t>Westfield</t>
  </si>
  <si>
    <t>NJ</t>
  </si>
  <si>
    <t>Elementary</t>
  </si>
  <si>
    <t>Parking Lot</t>
  </si>
  <si>
    <t>Outside on School Property</t>
  </si>
  <si>
    <t>No</t>
  </si>
  <si>
    <t>After School</t>
  </si>
  <si>
    <t>Man arrested in school parking lot after tip holding pistol with 130 rounds of ammo</t>
  </si>
  <si>
    <t>Indiscriminate Shooting</t>
  </si>
  <si>
    <t>No</t>
  </si>
  <si>
    <t>20190612PAJEE</t>
  </si>
  <si>
    <t>Jefferson Elementary School</t>
  </si>
  <si>
    <t>Summer</t>
  </si>
  <si>
    <t>Emmaus</t>
  </si>
  <si>
    <t>PA</t>
  </si>
  <si>
    <t>Elementary</t>
  </si>
  <si>
    <t>Parking Lot</t>
  </si>
  <si>
    <t>Outside on School Property</t>
  </si>
  <si>
    <t>No</t>
  </si>
  <si>
    <t>Night</t>
  </si>
  <si>
    <t>Targeted domestic shooting in school parking lot</t>
  </si>
  <si>
    <t>Domestic w/ Targeted Victim</t>
  </si>
  <si>
    <t>Victims Targeted</t>
  </si>
  <si>
    <t>Yes</t>
  </si>
  <si>
    <t>No</t>
  </si>
  <si>
    <t>Yes</t>
  </si>
  <si>
    <t>No</t>
  </si>
  <si>
    <t>20190612DCHEW</t>
  </si>
  <si>
    <t>Hendley Elementary School</t>
  </si>
  <si>
    <t>Summer</t>
  </si>
  <si>
    <t>Washington</t>
  </si>
  <si>
    <t>DC</t>
  </si>
  <si>
    <t>Elementary</t>
  </si>
  <si>
    <t>Front of School</t>
  </si>
  <si>
    <t>Off School Property</t>
  </si>
  <si>
    <t>No</t>
  </si>
  <si>
    <t>School Event</t>
  </si>
  <si>
    <t>Gang related shooting outside of school. Shots struck occupied school building and broke windows. Students and staff locked down.</t>
  </si>
  <si>
    <t>Escalation of Dispute</t>
  </si>
  <si>
    <t>No</t>
  </si>
  <si>
    <t>20190610ILMEW</t>
  </si>
  <si>
    <t>Menta Academy North</t>
  </si>
  <si>
    <t>Summer</t>
  </si>
  <si>
    <t>Waukegan</t>
  </si>
  <si>
    <t>IL</t>
  </si>
  <si>
    <t>Other</t>
  </si>
  <si>
    <t>Front of School</t>
  </si>
  <si>
    <t>Inside School Building</t>
  </si>
  <si>
    <t>Yes</t>
  </si>
  <si>
    <t>Afternoon Classes</t>
  </si>
  <si>
    <t>Adult male and teen fired shots at each other outside of school following argument, bullets struck occupied school building</t>
  </si>
  <si>
    <t>Escalation of Dispute</t>
  </si>
  <si>
    <t>Victims Targeted</t>
  </si>
  <si>
    <t>No</t>
  </si>
  <si>
    <t>20190606ILGEC</t>
  </si>
  <si>
    <t>Genevieve Melody STEM Elementary School</t>
  </si>
  <si>
    <t>Summer</t>
  </si>
  <si>
    <t>Chicago</t>
  </si>
  <si>
    <t>IL</t>
  </si>
  <si>
    <t>Elementary</t>
  </si>
  <si>
    <t>Basketball Court</t>
  </si>
  <si>
    <t>Outside on School Property</t>
  </si>
  <si>
    <t>No</t>
  </si>
  <si>
    <t>Evening</t>
  </si>
  <si>
    <t>25YOM shot on school basketball court</t>
  </si>
  <si>
    <t>Escalation of Dispute</t>
  </si>
  <si>
    <t>No</t>
  </si>
  <si>
    <t>20190530DCHEW</t>
  </si>
  <si>
    <t>Hendley Elementary School</t>
  </si>
  <si>
    <t>Spring</t>
  </si>
  <si>
    <t>Washington</t>
  </si>
  <si>
    <t>DC</t>
  </si>
  <si>
    <t>Elementary</t>
  </si>
  <si>
    <t>Front of School</t>
  </si>
  <si>
    <t>Off School Property</t>
  </si>
  <si>
    <t>No</t>
  </si>
  <si>
    <t>Night</t>
  </si>
  <si>
    <t>Gunshots from gang fight struck the school building and broke windows.</t>
  </si>
  <si>
    <t>Escalation of Dispute</t>
  </si>
  <si>
    <t>No</t>
  </si>
  <si>
    <t>20190522OHSAC</t>
  </si>
  <si>
    <t>Shady Lane Elementary School</t>
  </si>
  <si>
    <t>Local</t>
  </si>
  <si>
    <t>Spring</t>
  </si>
  <si>
    <t>Columbus</t>
  </si>
  <si>
    <t>OH</t>
  </si>
  <si>
    <t>Elementary</t>
  </si>
  <si>
    <t>Playground</t>
  </si>
  <si>
    <t>Outside on School Property</t>
  </si>
  <si>
    <t>No</t>
  </si>
  <si>
    <t>Evening</t>
  </si>
  <si>
    <t>13 year old shot two other teens during dispute over cell phone</t>
  </si>
  <si>
    <t>Escalation of Dispute</t>
  </si>
  <si>
    <t>Both</t>
  </si>
  <si>
    <t>Yes</t>
  </si>
  <si>
    <t>No</t>
  </si>
  <si>
    <t>20190517ORPAP</t>
  </si>
  <si>
    <t>Parkrose High School</t>
  </si>
  <si>
    <t>Spring</t>
  </si>
  <si>
    <t>Portland</t>
  </si>
  <si>
    <t>OR</t>
  </si>
  <si>
    <t>High</t>
  </si>
  <si>
    <t>Classroom</t>
  </si>
  <si>
    <t>Inside School Building</t>
  </si>
  <si>
    <t>Yes</t>
  </si>
  <si>
    <t>Morning Classes</t>
  </si>
  <si>
    <t>Student wearing a trench coat walked into classroom with a shotgun. Tackled by football coach.</t>
  </si>
  <si>
    <t>Suicide/Attempted</t>
  </si>
  <si>
    <t>No</t>
  </si>
  <si>
    <t>Yes</t>
  </si>
  <si>
    <t>20190517FLTEJ</t>
  </si>
  <si>
    <t>Terry Parker High School</t>
  </si>
  <si>
    <t>Spring</t>
  </si>
  <si>
    <t>Jacksonville</t>
  </si>
  <si>
    <t>FL</t>
  </si>
  <si>
    <t>High</t>
  </si>
  <si>
    <t>Parking Lot</t>
  </si>
  <si>
    <t>Outside on School Property</t>
  </si>
  <si>
    <t>No</t>
  </si>
  <si>
    <t>Sport Event</t>
  </si>
  <si>
    <t>Student shot in parking lot after football game.</t>
  </si>
  <si>
    <t>Escalation of Dispute</t>
  </si>
  <si>
    <t>Victims Targeted</t>
  </si>
  <si>
    <t>Yes</t>
  </si>
  <si>
    <t>No</t>
  </si>
  <si>
    <t>20190508ILSEC</t>
  </si>
  <si>
    <t>Second Change High School</t>
  </si>
  <si>
    <t>Spring</t>
  </si>
  <si>
    <t>Chicago</t>
  </si>
  <si>
    <t>IL</t>
  </si>
  <si>
    <t>High</t>
  </si>
  <si>
    <t>Parking Lot</t>
  </si>
  <si>
    <t>Outside on School Property</t>
  </si>
  <si>
    <t>Yes</t>
  </si>
  <si>
    <t>Dismissal</t>
  </si>
  <si>
    <t>19YOM student shot in school parking lot during targeted shooting</t>
  </si>
  <si>
    <t>Drive-by Shooting</t>
  </si>
  <si>
    <t>Victims Targeted</t>
  </si>
  <si>
    <t>No</t>
  </si>
  <si>
    <t>20190507COSTH</t>
  </si>
  <si>
    <t>STEM School Highlands Ranch</t>
  </si>
  <si>
    <t>International</t>
  </si>
  <si>
    <t>Spring</t>
  </si>
  <si>
    <t>Highlands Ranch</t>
  </si>
  <si>
    <t>CO</t>
  </si>
  <si>
    <t>K-12</t>
  </si>
  <si>
    <t>Classroom</t>
  </si>
  <si>
    <t>Inside School Building</t>
  </si>
  <si>
    <t>Yes</t>
  </si>
  <si>
    <t>Afternoon Classes</t>
  </si>
  <si>
    <t>Two students planned attack on school, subdued by other students and law enforcement</t>
  </si>
  <si>
    <t>Indiscriminate Shooting</t>
  </si>
  <si>
    <t>Yes</t>
  </si>
  <si>
    <t>No</t>
  </si>
  <si>
    <t>Yes</t>
  </si>
  <si>
    <t>No</t>
  </si>
  <si>
    <t>Yes</t>
  </si>
  <si>
    <t>20190430VACDW</t>
  </si>
  <si>
    <t>C D Hylton High School</t>
  </si>
  <si>
    <t>Spring</t>
  </si>
  <si>
    <t>Woodbridge</t>
  </si>
  <si>
    <t>VA</t>
  </si>
  <si>
    <t>High</t>
  </si>
  <si>
    <t>Classroom</t>
  </si>
  <si>
    <t>Inside School Building</t>
  </si>
  <si>
    <t>Yes</t>
  </si>
  <si>
    <t>Afternoon Classes</t>
  </si>
  <si>
    <t>Student fired gun in classroom, fled classroom, hid gun, and was arrested by SRO</t>
  </si>
  <si>
    <t>Accidental</t>
  </si>
  <si>
    <t>Neither</t>
  </si>
  <si>
    <t>No</t>
  </si>
  <si>
    <t>20190430FLWEW</t>
  </si>
  <si>
    <t>Weightman Middle School</t>
  </si>
  <si>
    <t>Spring</t>
  </si>
  <si>
    <t>Wesley Chapel</t>
  </si>
  <si>
    <t>FL</t>
  </si>
  <si>
    <t>Middle</t>
  </si>
  <si>
    <t>Cafeteria</t>
  </si>
  <si>
    <t>Inside School Building</t>
  </si>
  <si>
    <t>Yes</t>
  </si>
  <si>
    <t>Lunch</t>
  </si>
  <si>
    <t>SRO's gun discharged in school cafeteria during the school day</t>
  </si>
  <si>
    <t>Accidental</t>
  </si>
  <si>
    <t>Neither</t>
  </si>
  <si>
    <t>No</t>
  </si>
  <si>
    <t>N/A</t>
  </si>
  <si>
    <t>No</t>
  </si>
  <si>
    <t>20190426GACRF</t>
  </si>
  <si>
    <t>Creekside High School</t>
  </si>
  <si>
    <t>Spring</t>
  </si>
  <si>
    <t>Fairburn</t>
  </si>
  <si>
    <t>GA</t>
  </si>
  <si>
    <t>High</t>
  </si>
  <si>
    <t>School Bus</t>
  </si>
  <si>
    <t>No</t>
  </si>
  <si>
    <t>Dismissal</t>
  </si>
  <si>
    <t>Parent fired at school bus after argument with bus driver</t>
  </si>
  <si>
    <t>Escalation of Dispute</t>
  </si>
  <si>
    <t>Victims Targeted</t>
  </si>
  <si>
    <t>Yes</t>
  </si>
  <si>
    <t>No</t>
  </si>
  <si>
    <t>20190425GAWYS</t>
  </si>
  <si>
    <t>Wynbrooke Elementary Theme School</t>
  </si>
  <si>
    <t>National</t>
  </si>
  <si>
    <t>Spring</t>
  </si>
  <si>
    <t>Stone Mountain</t>
  </si>
  <si>
    <t>GA</t>
  </si>
  <si>
    <t>Elementary</t>
  </si>
  <si>
    <t>Playground</t>
  </si>
  <si>
    <t>Outside on School Property</t>
  </si>
  <si>
    <t>Yes</t>
  </si>
  <si>
    <t>Lunch</t>
  </si>
  <si>
    <t>BB/pellet gun projectiles shot from outside of the school hit 10 students</t>
  </si>
  <si>
    <t>Indiscriminate Shooting</t>
  </si>
  <si>
    <t>Random Shooting</t>
  </si>
  <si>
    <t>No</t>
  </si>
  <si>
    <t>Yes</t>
  </si>
  <si>
    <t>20190424ARCOC</t>
  </si>
  <si>
    <t>Concord High School</t>
  </si>
  <si>
    <t>Spring</t>
  </si>
  <si>
    <t>Concord</t>
  </si>
  <si>
    <t>AR</t>
  </si>
  <si>
    <t>High</t>
  </si>
  <si>
    <t>Bathroom</t>
  </si>
  <si>
    <t>Inside School Building</t>
  </si>
  <si>
    <t>Yes</t>
  </si>
  <si>
    <t>Lunch</t>
  </si>
  <si>
    <t>Student shot himself in the school bathroom</t>
  </si>
  <si>
    <t>Suicide/Attempted</t>
  </si>
  <si>
    <t>Victims Targeted</t>
  </si>
  <si>
    <t>No</t>
  </si>
  <si>
    <t>20190417ILWAL</t>
  </si>
  <si>
    <t>Washington Middle School</t>
  </si>
  <si>
    <t>Spring</t>
  </si>
  <si>
    <t>Lyons</t>
  </si>
  <si>
    <t>IL</t>
  </si>
  <si>
    <t>Middle</t>
  </si>
  <si>
    <t>Bathroom</t>
  </si>
  <si>
    <t>Inside School Building</t>
  </si>
  <si>
    <t>Yes</t>
  </si>
  <si>
    <t>Afternoon Classes</t>
  </si>
  <si>
    <t>Student shot himself in the school bathroom</t>
  </si>
  <si>
    <t>Suicide/Attempted</t>
  </si>
  <si>
    <t>Victims Targeted</t>
  </si>
  <si>
    <t>No</t>
  </si>
  <si>
    <t>20190410TXROH</t>
  </si>
  <si>
    <t>Ross Shaw Sterling Aviation High School</t>
  </si>
  <si>
    <t>Spring</t>
  </si>
  <si>
    <t>Houston</t>
  </si>
  <si>
    <t>TX</t>
  </si>
  <si>
    <t>High</t>
  </si>
  <si>
    <t>Basketball Court</t>
  </si>
  <si>
    <t>Outside on School Property</t>
  </si>
  <si>
    <t>No</t>
  </si>
  <si>
    <t>After School</t>
  </si>
  <si>
    <t>Bullet fired in gang shooting hit student 1/2 mile away on school basketball court</t>
  </si>
  <si>
    <t>Drive-by Shooting</t>
  </si>
  <si>
    <t>Victims Targeted</t>
  </si>
  <si>
    <t>Yes</t>
  </si>
  <si>
    <t>No</t>
  </si>
  <si>
    <t>20190407MAHOL</t>
  </si>
  <si>
    <t>Hood Elementary School</t>
  </si>
  <si>
    <t>Spring</t>
  </si>
  <si>
    <t>Lynn</t>
  </si>
  <si>
    <t>MA</t>
  </si>
  <si>
    <t>Elementary</t>
  </si>
  <si>
    <t>Beside Building</t>
  </si>
  <si>
    <t>Outside on School Property</t>
  </si>
  <si>
    <t>No</t>
  </si>
  <si>
    <t>Night</t>
  </si>
  <si>
    <t>Shots fired at unoccupied school building</t>
  </si>
  <si>
    <t>Intentional Property Damage</t>
  </si>
  <si>
    <t>No</t>
  </si>
  <si>
    <t>20190405WISTM</t>
  </si>
  <si>
    <t>St. Josaphat Parish School</t>
  </si>
  <si>
    <t>Spring</t>
  </si>
  <si>
    <t>Milwaukee</t>
  </si>
  <si>
    <t>WI</t>
  </si>
  <si>
    <t>Other</t>
  </si>
  <si>
    <t>Hallway</t>
  </si>
  <si>
    <t>Inside School Building</t>
  </si>
  <si>
    <t>Yes</t>
  </si>
  <si>
    <t>Morning Classes</t>
  </si>
  <si>
    <t>Accidental discharge of school employees handgun grazed student.</t>
  </si>
  <si>
    <t>Accidental</t>
  </si>
  <si>
    <t>Random Shooting</t>
  </si>
  <si>
    <t>No</t>
  </si>
  <si>
    <t>20190403COAUA</t>
  </si>
  <si>
    <t>Aurora West College Preparatory Academy</t>
  </si>
  <si>
    <t>Spring</t>
  </si>
  <si>
    <t>Aurora</t>
  </si>
  <si>
    <t>CO</t>
  </si>
  <si>
    <t>Unknown</t>
  </si>
  <si>
    <t>Office</t>
  </si>
  <si>
    <t>Inside School Building</t>
  </si>
  <si>
    <t>No</t>
  </si>
  <si>
    <t>After School</t>
  </si>
  <si>
    <t>School administrator threatened two school employees with handgun in office then ran through school building with gun</t>
  </si>
  <si>
    <t>Escalation of Dispute</t>
  </si>
  <si>
    <t>Victims Targeted</t>
  </si>
  <si>
    <t>No</t>
  </si>
  <si>
    <t>20190403FLSAJ</t>
  </si>
  <si>
    <t>Saint Clair Evans Academy</t>
  </si>
  <si>
    <t>Spring</t>
  </si>
  <si>
    <t>Jacksonville</t>
  </si>
  <si>
    <t>FL</t>
  </si>
  <si>
    <t>Elementary</t>
  </si>
  <si>
    <t>Off School Property</t>
  </si>
  <si>
    <t>Yes</t>
  </si>
  <si>
    <t>Morning Classes</t>
  </si>
  <si>
    <t>Shots fired nearby struck the school and broke a classroom window</t>
  </si>
  <si>
    <t>Drive-by Shooting</t>
  </si>
  <si>
    <t>Victims Targeted</t>
  </si>
  <si>
    <t>No</t>
  </si>
  <si>
    <t>20190401ARPRP</t>
  </si>
  <si>
    <t>Prescott 
 High School</t>
  </si>
  <si>
    <t>Spring</t>
  </si>
  <si>
    <t>Prescott</t>
  </si>
  <si>
    <t>AR</t>
  </si>
  <si>
    <t>High</t>
  </si>
  <si>
    <t>Hallway</t>
  </si>
  <si>
    <t>Inside School Building</t>
  </si>
  <si>
    <t>Yes</t>
  </si>
  <si>
    <t>Morning Classes</t>
  </si>
  <si>
    <t>Student brought a handgun to school and shot a targeted classmate</t>
  </si>
  <si>
    <t>Escalation of Dispute</t>
  </si>
  <si>
    <t>Victims Targeted</t>
  </si>
  <si>
    <t>No</t>
  </si>
  <si>
    <t>20190327FLMAJ</t>
  </si>
  <si>
    <t>Mayport Coastal Sciences Middle School</t>
  </si>
  <si>
    <t>Local</t>
  </si>
  <si>
    <t>Spring</t>
  </si>
  <si>
    <t>Jacksonville</t>
  </si>
  <si>
    <t>FL</t>
  </si>
  <si>
    <t>Middle</t>
  </si>
  <si>
    <t>School Bus</t>
  </si>
  <si>
    <t>Yes</t>
  </si>
  <si>
    <t>After School</t>
  </si>
  <si>
    <t>Student riding on school bus shot by BB gun</t>
  </si>
  <si>
    <t>Random Shooting</t>
  </si>
  <si>
    <t>No</t>
  </si>
  <si>
    <t>20190327MSSVH</t>
  </si>
  <si>
    <t>S V Marshall Elementary</t>
  </si>
  <si>
    <t>Spring</t>
  </si>
  <si>
    <t>Lexington</t>
  </si>
  <si>
    <t>MS</t>
  </si>
  <si>
    <t>Elementary</t>
  </si>
  <si>
    <t>School Bus</t>
  </si>
  <si>
    <t>Yes</t>
  </si>
  <si>
    <t>Dismissal</t>
  </si>
  <si>
    <t>Student shot in hand while on school bus</t>
  </si>
  <si>
    <t>Unknown</t>
  </si>
  <si>
    <t>Random Shooting</t>
  </si>
  <si>
    <t>No</t>
  </si>
  <si>
    <t>20190322ALBLB</t>
  </si>
  <si>
    <t>Blountsville Elementary School</t>
  </si>
  <si>
    <t>Spring</t>
  </si>
  <si>
    <t>Blountsville</t>
  </si>
  <si>
    <t>AL</t>
  </si>
  <si>
    <t>Elementary</t>
  </si>
  <si>
    <t>Classroom</t>
  </si>
  <si>
    <t>Inside School Building</t>
  </si>
  <si>
    <t>Yes</t>
  </si>
  <si>
    <t>Morning Classes</t>
  </si>
  <si>
    <t>Gun discharged in teacher's pocket</t>
  </si>
  <si>
    <t>Accidental</t>
  </si>
  <si>
    <t>Random Shooting</t>
  </si>
  <si>
    <t>No</t>
  </si>
  <si>
    <t>20190313FLLAO</t>
  </si>
  <si>
    <t>Lake Mary High School</t>
  </si>
  <si>
    <t>Spring</t>
  </si>
  <si>
    <t>Orlando</t>
  </si>
  <si>
    <t>FL</t>
  </si>
  <si>
    <t>High</t>
  </si>
  <si>
    <t>Auditorium</t>
  </si>
  <si>
    <t>Inside School Building</t>
  </si>
  <si>
    <t>Yes</t>
  </si>
  <si>
    <t>Morning Classes</t>
  </si>
  <si>
    <t>Student asked to leave classroom and commit suicide in school auditorium</t>
  </si>
  <si>
    <t>Suicide/Attempted</t>
  </si>
  <si>
    <t>Victims Targeted</t>
  </si>
  <si>
    <t>No</t>
  </si>
  <si>
    <t>20190301KSHIM</t>
  </si>
  <si>
    <t>Highlands Elementary School</t>
  </si>
  <si>
    <t>Local</t>
  </si>
  <si>
    <t>Spring</t>
  </si>
  <si>
    <t>Mission</t>
  </si>
  <si>
    <t>KS</t>
  </si>
  <si>
    <t>Elementary</t>
  </si>
  <si>
    <t>Off School Property</t>
  </si>
  <si>
    <t>Yes</t>
  </si>
  <si>
    <t>Afternoon Classes</t>
  </si>
  <si>
    <t>Shooter fired 27 shots at the school from his bedroom during attempted suicide by cop</t>
  </si>
  <si>
    <t>Suicide/Attempted</t>
  </si>
  <si>
    <t>Neither</t>
  </si>
  <si>
    <t>No</t>
  </si>
  <si>
    <t>20190226ALROM</t>
  </si>
  <si>
    <t>Robert E. Lee High School</t>
  </si>
  <si>
    <t>Local</t>
  </si>
  <si>
    <t>Winter</t>
  </si>
  <si>
    <t>Montgomery</t>
  </si>
  <si>
    <t>AL</t>
  </si>
  <si>
    <t>High</t>
  </si>
  <si>
    <t>Gym</t>
  </si>
  <si>
    <t>Inside School Building</t>
  </si>
  <si>
    <t>Yes</t>
  </si>
  <si>
    <t>Morning Classes</t>
  </si>
  <si>
    <t>Student shot by other student in the school gym. Police said shooting was targeted.</t>
  </si>
  <si>
    <t>Escalation of Dispute</t>
  </si>
  <si>
    <t>Victims Targeted</t>
  </si>
  <si>
    <t>Yes</t>
  </si>
  <si>
    <t>No</t>
  </si>
  <si>
    <t>20190217COEAA</t>
  </si>
  <si>
    <t>Eaglecrest High School</t>
  </si>
  <si>
    <t>Winter</t>
  </si>
  <si>
    <t>Aurora</t>
  </si>
  <si>
    <t>CO</t>
  </si>
  <si>
    <t>High</t>
  </si>
  <si>
    <t>Field (General)</t>
  </si>
  <si>
    <t>Outside on School Property</t>
  </si>
  <si>
    <t>No</t>
  </si>
  <si>
    <t>Not a School Day</t>
  </si>
  <si>
    <t>Neighbors met at school to talk about ongoing dispute over parking, argument lead to shooting</t>
  </si>
  <si>
    <t>Escalation of Dispute</t>
  </si>
  <si>
    <t>Victims Targeted</t>
  </si>
  <si>
    <t>No</t>
  </si>
  <si>
    <t>20190214NMV.R</t>
  </si>
  <si>
    <t>V. Sue Cleveland High School</t>
  </si>
  <si>
    <t>Winter</t>
  </si>
  <si>
    <t>Rio Rancho</t>
  </si>
  <si>
    <t>NM</t>
  </si>
  <si>
    <t>High</t>
  </si>
  <si>
    <t>Hallway</t>
  </si>
  <si>
    <t>Inside School Building</t>
  </si>
  <si>
    <t>Yes</t>
  </si>
  <si>
    <t>School Start</t>
  </si>
  <si>
    <t>Student fired shot as school opened then fled the scene. Reported attempt to kill ex girlfriend.</t>
  </si>
  <si>
    <t>Domestic w/ Targeted Victim</t>
  </si>
  <si>
    <t>Victims Targeted</t>
  </si>
  <si>
    <t>No</t>
  </si>
  <si>
    <t>Yes</t>
  </si>
  <si>
    <t>No</t>
  </si>
  <si>
    <t>20190212MOCEK</t>
  </si>
  <si>
    <t>Central Academy of Excellence</t>
  </si>
  <si>
    <t>Local</t>
  </si>
  <si>
    <t>Winter</t>
  </si>
  <si>
    <t>Kansas City</t>
  </si>
  <si>
    <t>MO</t>
  </si>
  <si>
    <t>High</t>
  </si>
  <si>
    <t>Beside Building</t>
  </si>
  <si>
    <t>Outside on School Property</t>
  </si>
  <si>
    <t>No</t>
  </si>
  <si>
    <t>Sport Event</t>
  </si>
  <si>
    <t>Shooting outside school after fight inside during basketball game</t>
  </si>
  <si>
    <t>Escalation of Dispute</t>
  </si>
  <si>
    <t>Victims Targeted</t>
  </si>
  <si>
    <t>Yes</t>
  </si>
  <si>
    <t>No</t>
  </si>
  <si>
    <t>20190208MDFRB</t>
  </si>
  <si>
    <t>Frederick Douglass High School</t>
  </si>
  <si>
    <t>Winter</t>
  </si>
  <si>
    <t>Baltimore</t>
  </si>
  <si>
    <t>MD</t>
  </si>
  <si>
    <t>High</t>
  </si>
  <si>
    <t>Entryway</t>
  </si>
  <si>
    <t>Inside School Building</t>
  </si>
  <si>
    <t>Yes</t>
  </si>
  <si>
    <t>Afternoon Classes</t>
  </si>
  <si>
    <t>Hall monitor shot by armed intruder looking for specific student, arrested by police officer assigned at school meeting</t>
  </si>
  <si>
    <t>Escalation of Dispute</t>
  </si>
  <si>
    <t>Both</t>
  </si>
  <si>
    <t>No</t>
  </si>
  <si>
    <t>Yes</t>
  </si>
  <si>
    <t>20190205MNMIM</t>
  </si>
  <si>
    <t>Minneapolis School District Bus</t>
  </si>
  <si>
    <t>Winter</t>
  </si>
  <si>
    <t>Minneapolis</t>
  </si>
  <si>
    <t>MN</t>
  </si>
  <si>
    <t>School Bus</t>
  </si>
  <si>
    <t>Yes</t>
  </si>
  <si>
    <t>Dismissal</t>
  </si>
  <si>
    <t>Bus driver shot on school bus during road rage incident</t>
  </si>
  <si>
    <t>Escalation of Dispute</t>
  </si>
  <si>
    <t>Victims Targeted</t>
  </si>
  <si>
    <t>No</t>
  </si>
  <si>
    <t>20190131TXATA</t>
  </si>
  <si>
    <t>Atascocita High School</t>
  </si>
  <si>
    <t>Winter</t>
  </si>
  <si>
    <t>Atascocita</t>
  </si>
  <si>
    <t>TX</t>
  </si>
  <si>
    <t>High</t>
  </si>
  <si>
    <t>Parking Lot</t>
  </si>
  <si>
    <t>Outside on School Property</t>
  </si>
  <si>
    <t>No</t>
  </si>
  <si>
    <t>Evening</t>
  </si>
  <si>
    <t>Student shot by other student during drug deal behind school</t>
  </si>
  <si>
    <t>Illegal Activity</t>
  </si>
  <si>
    <t>Victims Targeted</t>
  </si>
  <si>
    <t>Yes</t>
  </si>
  <si>
    <t>No</t>
  </si>
  <si>
    <t>20190131TNMAM</t>
  </si>
  <si>
    <t>Manassas High School</t>
  </si>
  <si>
    <t>Winter</t>
  </si>
  <si>
    <t>Memphis</t>
  </si>
  <si>
    <t>TN</t>
  </si>
  <si>
    <t>High</t>
  </si>
  <si>
    <t>Outside on School Property</t>
  </si>
  <si>
    <t>No</t>
  </si>
  <si>
    <t>School Event</t>
  </si>
  <si>
    <t>14YOM student shot with pellet gun during ROTC practice</t>
  </si>
  <si>
    <t>Unknown</t>
  </si>
  <si>
    <t>No</t>
  </si>
  <si>
    <t>20190130GAMIL</t>
  </si>
  <si>
    <t>Miller Grove High School</t>
  </si>
  <si>
    <t>Winter</t>
  </si>
  <si>
    <t>Lithonia</t>
  </si>
  <si>
    <t>GA</t>
  </si>
  <si>
    <t>High</t>
  </si>
  <si>
    <t>Parking Lot</t>
  </si>
  <si>
    <t>Outside on School Property</t>
  </si>
  <si>
    <t>No</t>
  </si>
  <si>
    <t>Evening</t>
  </si>
  <si>
    <t>Adult shot while trying to stop man from breaking into his car in school parking lot</t>
  </si>
  <si>
    <t>Illegal Activity</t>
  </si>
  <si>
    <t>Victims Targeted</t>
  </si>
  <si>
    <t>No</t>
  </si>
  <si>
    <t>20190127NVRER</t>
  </si>
  <si>
    <t>Reno High School</t>
  </si>
  <si>
    <t>Local</t>
  </si>
  <si>
    <t>Winter</t>
  </si>
  <si>
    <t>Reno</t>
  </si>
  <si>
    <t>NV</t>
  </si>
  <si>
    <t>High</t>
  </si>
  <si>
    <t>Front of School</t>
  </si>
  <si>
    <t>Outside on School Property</t>
  </si>
  <si>
    <t>No</t>
  </si>
  <si>
    <t>Night</t>
  </si>
  <si>
    <t>After pursuit, man pointed gun at officers in front of the school and was shot by police</t>
  </si>
  <si>
    <t>Illegal Activity</t>
  </si>
  <si>
    <t>Neither</t>
  </si>
  <si>
    <t>No</t>
  </si>
  <si>
    <t>20190125TNMAM</t>
  </si>
  <si>
    <t>Manassas High School</t>
  </si>
  <si>
    <t>Winter</t>
  </si>
  <si>
    <t>Memphis</t>
  </si>
  <si>
    <t>TN</t>
  </si>
  <si>
    <t>High</t>
  </si>
  <si>
    <t>Front of School</t>
  </si>
  <si>
    <t>Outside on School Property</t>
  </si>
  <si>
    <t>Yes</t>
  </si>
  <si>
    <t>School Start</t>
  </si>
  <si>
    <t>Shots fired at bus in school parking lot by 5 teens in stolen car.</t>
  </si>
  <si>
    <t>Drive-by Shooting</t>
  </si>
  <si>
    <t>Yes</t>
  </si>
  <si>
    <t>No</t>
  </si>
  <si>
    <t>20190125ALDAM</t>
  </si>
  <si>
    <t>Davidson High School</t>
  </si>
  <si>
    <t>Winter</t>
  </si>
  <si>
    <t>Mobile</t>
  </si>
  <si>
    <t>AL</t>
  </si>
  <si>
    <t>High</t>
  </si>
  <si>
    <t>Parking Lot</t>
  </si>
  <si>
    <t>Outside on School Property</t>
  </si>
  <si>
    <t>No</t>
  </si>
  <si>
    <t>Sport Event</t>
  </si>
  <si>
    <t>2 shot during altercation outside of basketball game, shooter fled</t>
  </si>
  <si>
    <t>Escalation of Dispute</t>
  </si>
  <si>
    <t>Yes</t>
  </si>
  <si>
    <t>No</t>
  </si>
  <si>
    <t>20190123LASOS</t>
  </si>
  <si>
    <t>Southern Hills Elementary School</t>
  </si>
  <si>
    <t>Winter</t>
  </si>
  <si>
    <t>Shreveport</t>
  </si>
  <si>
    <t>LA</t>
  </si>
  <si>
    <t>Elementary</t>
  </si>
  <si>
    <t>Parking Lot</t>
  </si>
  <si>
    <t>Off School Property</t>
  </si>
  <si>
    <t>Yes</t>
  </si>
  <si>
    <t>Afternoon Classes</t>
  </si>
  <si>
    <t>Adult male who was shot was found by SRO in the parking lot</t>
  </si>
  <si>
    <t>Unknown</t>
  </si>
  <si>
    <t>No</t>
  </si>
  <si>
    <t>20190119KSLAO</t>
  </si>
  <si>
    <t>Lakewood Middle School</t>
  </si>
  <si>
    <t>Winter</t>
  </si>
  <si>
    <t>Overland Park</t>
  </si>
  <si>
    <t>KS</t>
  </si>
  <si>
    <t>Middle</t>
  </si>
  <si>
    <t>Parking Lot</t>
  </si>
  <si>
    <t>Outside on School Property</t>
  </si>
  <si>
    <t>No</t>
  </si>
  <si>
    <t>Night</t>
  </si>
  <si>
    <t>Two teens shot in parking lot during robbery</t>
  </si>
  <si>
    <t>Illegal Activity</t>
  </si>
  <si>
    <t>Victims Targeted</t>
  </si>
  <si>
    <t>No</t>
  </si>
  <si>
    <t>20190118MOHAS</t>
  </si>
  <si>
    <t>Hazelwood East High School</t>
  </si>
  <si>
    <t>Winter</t>
  </si>
  <si>
    <t>St. Louis</t>
  </si>
  <si>
    <t>MO</t>
  </si>
  <si>
    <t>High</t>
  </si>
  <si>
    <t>Parking Lot</t>
  </si>
  <si>
    <t>Outside on School Property</t>
  </si>
  <si>
    <t>Yes</t>
  </si>
  <si>
    <t>Afternoon Classes</t>
  </si>
  <si>
    <t>Shots fired from vehicles in the school parking lot. No students injured.</t>
  </si>
  <si>
    <t>Drive-by Shooting</t>
  </si>
  <si>
    <t>Victims Targeted</t>
  </si>
  <si>
    <t>Yes</t>
  </si>
  <si>
    <t>No</t>
  </si>
  <si>
    <t>20190118ALCET</t>
  </si>
  <si>
    <t>Central High School</t>
  </si>
  <si>
    <t>Winter</t>
  </si>
  <si>
    <t>Tuscaloosa</t>
  </si>
  <si>
    <t>AL</t>
  </si>
  <si>
    <t>High</t>
  </si>
  <si>
    <t>Parking Lot</t>
  </si>
  <si>
    <t>Outside on School Property</t>
  </si>
  <si>
    <t>Yes</t>
  </si>
  <si>
    <t>Afternoon Classes</t>
  </si>
  <si>
    <t>Non-student shot at female in parking lot, school locked down</t>
  </si>
  <si>
    <t>Domestic w/ Targeted Victim</t>
  </si>
  <si>
    <t>Victims Targeted</t>
  </si>
  <si>
    <t>No</t>
  </si>
  <si>
    <t>Yes</t>
  </si>
  <si>
    <t>No</t>
  </si>
  <si>
    <t>20190118NCSHD</t>
  </si>
  <si>
    <t>Sheppard Middle School</t>
  </si>
  <si>
    <t>Winter</t>
  </si>
  <si>
    <t>Durham</t>
  </si>
  <si>
    <t>NC</t>
  </si>
  <si>
    <t>Middle</t>
  </si>
  <si>
    <t>School Bus</t>
  </si>
  <si>
    <t>Yes</t>
  </si>
  <si>
    <t>Dismissal</t>
  </si>
  <si>
    <t>School bus hit by stray bullet injuring driver</t>
  </si>
  <si>
    <t>Drive-by Shooting</t>
  </si>
  <si>
    <t>Random Shooting</t>
  </si>
  <si>
    <t>Yes</t>
  </si>
  <si>
    <t>No</t>
  </si>
  <si>
    <t>20190111ORCAE</t>
  </si>
  <si>
    <t>Cascade Middle School</t>
  </si>
  <si>
    <t>Winter</t>
  </si>
  <si>
    <t>Eugene</t>
  </si>
  <si>
    <t>OR</t>
  </si>
  <si>
    <t>Middle</t>
  </si>
  <si>
    <t>Front of School</t>
  </si>
  <si>
    <t>Outside on School Property</t>
  </si>
  <si>
    <t>Yes</t>
  </si>
  <si>
    <t>Morning Classes</t>
  </si>
  <si>
    <t>Parent with gun shot by police following custody dispute</t>
  </si>
  <si>
    <t>Domestic w/ Targeted Victim</t>
  </si>
  <si>
    <t>Victims Targeted</t>
  </si>
  <si>
    <t>No</t>
  </si>
  <si>
    <t>20190107CACEB</t>
  </si>
  <si>
    <t>Central Elementary School</t>
  </si>
  <si>
    <t>Winter</t>
  </si>
  <si>
    <t>Belmont</t>
  </si>
  <si>
    <t>CA</t>
  </si>
  <si>
    <t>Elementary</t>
  </si>
  <si>
    <t>Parking Lot</t>
  </si>
  <si>
    <t>Off School Property</t>
  </si>
  <si>
    <t>No</t>
  </si>
  <si>
    <t>Night</t>
  </si>
  <si>
    <t>17YOM high school student shot in elementary school parking lot</t>
  </si>
  <si>
    <t>Escalation of Dispute</t>
  </si>
  <si>
    <t>Victims Targeted</t>
  </si>
  <si>
    <t>No</t>
  </si>
  <si>
    <t>20181218DEAIG</t>
  </si>
  <si>
    <t>A I du Pont High School</t>
  </si>
  <si>
    <t>Winter</t>
  </si>
  <si>
    <t>Greenville</t>
  </si>
  <si>
    <t>DE</t>
  </si>
  <si>
    <t>High</t>
  </si>
  <si>
    <t>Parking Lot</t>
  </si>
  <si>
    <t>Outside on School Property</t>
  </si>
  <si>
    <t>No</t>
  </si>
  <si>
    <t>Sport Event</t>
  </si>
  <si>
    <t>Shots fired in parking lot after basketball game, vehicle struck</t>
  </si>
  <si>
    <t>Escalation of Dispute</t>
  </si>
  <si>
    <t>No</t>
  </si>
  <si>
    <t>20181214MOWIK</t>
  </si>
  <si>
    <t>Winnetonka High School</t>
  </si>
  <si>
    <t>Winter</t>
  </si>
  <si>
    <t>Kansas City</t>
  </si>
  <si>
    <t>MO</t>
  </si>
  <si>
    <t>High</t>
  </si>
  <si>
    <t>Parking Lot</t>
  </si>
  <si>
    <t>Outside on School Property</t>
  </si>
  <si>
    <t>Yes</t>
  </si>
  <si>
    <t>Dismissal</t>
  </si>
  <si>
    <t>Student fired gun into air in parking lot. School locked down.</t>
  </si>
  <si>
    <t>Escalation of Dispute</t>
  </si>
  <si>
    <t>Neither</t>
  </si>
  <si>
    <t>No</t>
  </si>
  <si>
    <t>20181213INDER</t>
  </si>
  <si>
    <t>Dennis Intermediate School</t>
  </si>
  <si>
    <t>National</t>
  </si>
  <si>
    <t>Winter</t>
  </si>
  <si>
    <t>Richmond</t>
  </si>
  <si>
    <t>IN</t>
  </si>
  <si>
    <t>Middle</t>
  </si>
  <si>
    <t>Hallway</t>
  </si>
  <si>
    <t>Inside School Building</t>
  </si>
  <si>
    <t>Yes</t>
  </si>
  <si>
    <t>Morning Classes</t>
  </si>
  <si>
    <t>14YOM planned attack on the school but was confronted by police on-scene thanks to a tip</t>
  </si>
  <si>
    <t>Indiscriminate Shooting</t>
  </si>
  <si>
    <t>No</t>
  </si>
  <si>
    <t>Yes</t>
  </si>
  <si>
    <t>No</t>
  </si>
  <si>
    <t>Yes</t>
  </si>
  <si>
    <t>20181211KYCAC</t>
  </si>
  <si>
    <t>Cawood Elementary School</t>
  </si>
  <si>
    <t>Winter</t>
  </si>
  <si>
    <t>Cawood</t>
  </si>
  <si>
    <t>KY</t>
  </si>
  <si>
    <t>Elementary</t>
  </si>
  <si>
    <t>Parking Lot</t>
  </si>
  <si>
    <t>Outside on School Property</t>
  </si>
  <si>
    <t>No</t>
  </si>
  <si>
    <t>Evening</t>
  </si>
  <si>
    <t>20YOM and 15YOF shot with pellet gun in parking lot of school</t>
  </si>
  <si>
    <t>Unknown</t>
  </si>
  <si>
    <t>Yes</t>
  </si>
  <si>
    <t>No</t>
  </si>
  <si>
    <t>20181210NYJEJ</t>
  </si>
  <si>
    <t>Jefferson High School</t>
  </si>
  <si>
    <t>Winter</t>
  </si>
  <si>
    <t>Jefferson</t>
  </si>
  <si>
    <t>NY</t>
  </si>
  <si>
    <t>High</t>
  </si>
  <si>
    <t>Field (General)</t>
  </si>
  <si>
    <t>Outside on School Property</t>
  </si>
  <si>
    <t>Yes</t>
  </si>
  <si>
    <t>Morning Classes</t>
  </si>
  <si>
    <t>Student commit suicide on baseball field</t>
  </si>
  <si>
    <t>Suicide/Attempted</t>
  </si>
  <si>
    <t>Victims Targeted</t>
  </si>
  <si>
    <t>No</t>
  </si>
  <si>
    <t>20181128PASTP</t>
  </si>
  <si>
    <t>Strawberry Mansion High School</t>
  </si>
  <si>
    <t>Fall</t>
  </si>
  <si>
    <t>Philadelphia</t>
  </si>
  <si>
    <t>PA</t>
  </si>
  <si>
    <t>High</t>
  </si>
  <si>
    <t>Other</t>
  </si>
  <si>
    <t>Off School Property</t>
  </si>
  <si>
    <t>No</t>
  </si>
  <si>
    <t>After School</t>
  </si>
  <si>
    <t>Stray bullet broke window of school, school locked down</t>
  </si>
  <si>
    <t>Unknown</t>
  </si>
  <si>
    <t>Neither</t>
  </si>
  <si>
    <t>No</t>
  </si>
  <si>
    <t>20181124OHAFC</t>
  </si>
  <si>
    <t>Africentric Early College High School</t>
  </si>
  <si>
    <t>Fall</t>
  </si>
  <si>
    <t>Columbus</t>
  </si>
  <si>
    <t>OH</t>
  </si>
  <si>
    <t>K-12</t>
  </si>
  <si>
    <t>Outside on School Property</t>
  </si>
  <si>
    <t>No</t>
  </si>
  <si>
    <t>Not a School Day</t>
  </si>
  <si>
    <t>Two adult men shot in fight outside of school during weekend night</t>
  </si>
  <si>
    <t>Escalation of Dispute</t>
  </si>
  <si>
    <t>Victims Targeted</t>
  </si>
  <si>
    <t>No</t>
  </si>
  <si>
    <t>20181122TXSKD</t>
  </si>
  <si>
    <t>Skyline High School</t>
  </si>
  <si>
    <t>Fall</t>
  </si>
  <si>
    <t>Dallas</t>
  </si>
  <si>
    <t>TX</t>
  </si>
  <si>
    <t>High</t>
  </si>
  <si>
    <t>Front of School</t>
  </si>
  <si>
    <t>Outside on School Property</t>
  </si>
  <si>
    <t>No</t>
  </si>
  <si>
    <t>Not a School Day</t>
  </si>
  <si>
    <t>17YOM shot outside of school building</t>
  </si>
  <si>
    <t>Escalation of Dispute</t>
  </si>
  <si>
    <t>Victims Targeted</t>
  </si>
  <si>
    <t>Yes</t>
  </si>
  <si>
    <t>No</t>
  </si>
  <si>
    <t>20181122WAMOD</t>
  </si>
  <si>
    <t>Mount Rainier High School</t>
  </si>
  <si>
    <t>Fall</t>
  </si>
  <si>
    <t>Des Moines</t>
  </si>
  <si>
    <t>WA</t>
  </si>
  <si>
    <t>High</t>
  </si>
  <si>
    <t>Football Field/Track</t>
  </si>
  <si>
    <t>Outside on School Property</t>
  </si>
  <si>
    <t>No</t>
  </si>
  <si>
    <t>Sport Event</t>
  </si>
  <si>
    <t>Man shot during argument following pick-up football game</t>
  </si>
  <si>
    <t>Escalation of Dispute</t>
  </si>
  <si>
    <t>Victims Targeted</t>
  </si>
  <si>
    <t>Yes</t>
  </si>
  <si>
    <t>No</t>
  </si>
  <si>
    <t>20181121MIPEP</t>
  </si>
  <si>
    <t>Pentwater Public School</t>
  </si>
  <si>
    <t>Fall</t>
  </si>
  <si>
    <t>Pentwater</t>
  </si>
  <si>
    <t>MI</t>
  </si>
  <si>
    <t>K-8</t>
  </si>
  <si>
    <t>Front of School</t>
  </si>
  <si>
    <t>Outside on School Property</t>
  </si>
  <si>
    <t>No</t>
  </si>
  <si>
    <t>Not a School Day</t>
  </si>
  <si>
    <t>Adult male fired BB gun and broke multiple windows at the school</t>
  </si>
  <si>
    <t>Intentional Property Damage</t>
  </si>
  <si>
    <t>Neither</t>
  </si>
  <si>
    <t>No</t>
  </si>
  <si>
    <t>20181120VASIP</t>
  </si>
  <si>
    <t>Simonsdale Elementary School</t>
  </si>
  <si>
    <t>Fall</t>
  </si>
  <si>
    <t>Portsmouth</t>
  </si>
  <si>
    <t>VA</t>
  </si>
  <si>
    <t>Elementary</t>
  </si>
  <si>
    <t>Hallway</t>
  </si>
  <si>
    <t>Inside School Building</t>
  </si>
  <si>
    <t>No</t>
  </si>
  <si>
    <t>Dismissal</t>
  </si>
  <si>
    <t>Parent's concealed weapon discharged striking other parent</t>
  </si>
  <si>
    <t>Accidental</t>
  </si>
  <si>
    <t>Random Shooting</t>
  </si>
  <si>
    <t>No</t>
  </si>
  <si>
    <t>20181112MDEAE</t>
  </si>
  <si>
    <t>Eastern Tech High School</t>
  </si>
  <si>
    <t>Fall</t>
  </si>
  <si>
    <t>Essex</t>
  </si>
  <si>
    <t>MD</t>
  </si>
  <si>
    <t>High</t>
  </si>
  <si>
    <t>Office</t>
  </si>
  <si>
    <t>Inside School Building</t>
  </si>
  <si>
    <t>Yes</t>
  </si>
  <si>
    <t>Afternoon Classes</t>
  </si>
  <si>
    <t>SRO killed self in officer inside school</t>
  </si>
  <si>
    <t>Suicide/Attempted</t>
  </si>
  <si>
    <t>Victims Targeted</t>
  </si>
  <si>
    <t>No</t>
  </si>
  <si>
    <t>20181109GAGAM</t>
  </si>
  <si>
    <t>Garrett Middle School</t>
  </si>
  <si>
    <t>Fall</t>
  </si>
  <si>
    <t>Marietta</t>
  </si>
  <si>
    <t>GA</t>
  </si>
  <si>
    <t>Middle</t>
  </si>
  <si>
    <t>Bathroom</t>
  </si>
  <si>
    <t>Inside School Building</t>
  </si>
  <si>
    <t>Yes</t>
  </si>
  <si>
    <t>Student accidentally fired handgun showing it off in bathroom</t>
  </si>
  <si>
    <t>Accidental</t>
  </si>
  <si>
    <t>Neither</t>
  </si>
  <si>
    <t>Yes</t>
  </si>
  <si>
    <t>No</t>
  </si>
  <si>
    <t>20181108CACLS</t>
  </si>
  <si>
    <t>Cleveland Elementary School</t>
  </si>
  <si>
    <t>Fall</t>
  </si>
  <si>
    <t>Santa Barbara</t>
  </si>
  <si>
    <t>CA</t>
  </si>
  <si>
    <t>Elementary</t>
  </si>
  <si>
    <t>Outside on School Property</t>
  </si>
  <si>
    <t>No</t>
  </si>
  <si>
    <t>Night</t>
  </si>
  <si>
    <t>Shot during robbery outside of school</t>
  </si>
  <si>
    <t>Illegal Activity</t>
  </si>
  <si>
    <t>Victims Targeted</t>
  </si>
  <si>
    <t>Yes</t>
  </si>
  <si>
    <t>No</t>
  </si>
  <si>
    <t>20181105SCACC</t>
  </si>
  <si>
    <t>Academy of Hope</t>
  </si>
  <si>
    <t>Fall</t>
  </si>
  <si>
    <t>Conway</t>
  </si>
  <si>
    <t>SC</t>
  </si>
  <si>
    <t>K-8</t>
  </si>
  <si>
    <t>Classroom</t>
  </si>
  <si>
    <t>Inside School Building</t>
  </si>
  <si>
    <t>Yes</t>
  </si>
  <si>
    <t>Morning Classes</t>
  </si>
  <si>
    <t>Student fired bb gun at other student in classroom</t>
  </si>
  <si>
    <t>Unknown</t>
  </si>
  <si>
    <t>No</t>
  </si>
  <si>
    <t>20181104KYCRL</t>
  </si>
  <si>
    <t>Crums Lane Elementary School</t>
  </si>
  <si>
    <t>Fall</t>
  </si>
  <si>
    <t>Louisville</t>
  </si>
  <si>
    <t>KY</t>
  </si>
  <si>
    <t>Elementary</t>
  </si>
  <si>
    <t>Beside Building</t>
  </si>
  <si>
    <t>Outside on School Property</t>
  </si>
  <si>
    <t>No</t>
  </si>
  <si>
    <t>Evening</t>
  </si>
  <si>
    <t>Two men in their 20s shot outside of school by unknown shooter</t>
  </si>
  <si>
    <t>Escalation of Dispute</t>
  </si>
  <si>
    <t>No</t>
  </si>
  <si>
    <t>20181029NCBUM</t>
  </si>
  <si>
    <t>Butler High School</t>
  </si>
  <si>
    <t>National</t>
  </si>
  <si>
    <t>Fall</t>
  </si>
  <si>
    <t>Matthews</t>
  </si>
  <si>
    <t>NC</t>
  </si>
  <si>
    <t>High</t>
  </si>
  <si>
    <t>Hallway</t>
  </si>
  <si>
    <t>Inside School Building</t>
  </si>
  <si>
    <t>Yes</t>
  </si>
  <si>
    <t>Morning Classes</t>
  </si>
  <si>
    <t>Escalated fight the previous day involving multiple students</t>
  </si>
  <si>
    <t>Escalation of Dispute</t>
  </si>
  <si>
    <t>Victims Targeted</t>
  </si>
  <si>
    <t>No</t>
  </si>
  <si>
    <t>Yes</t>
  </si>
  <si>
    <t>No</t>
  </si>
  <si>
    <t>20181026FLSAO</t>
  </si>
  <si>
    <t>Saddlewood Elementary School</t>
  </si>
  <si>
    <t>Regional</t>
  </si>
  <si>
    <t>Fall</t>
  </si>
  <si>
    <t>Ocala</t>
  </si>
  <si>
    <t>FL</t>
  </si>
  <si>
    <t>Elementary</t>
  </si>
  <si>
    <t>Front of School</t>
  </si>
  <si>
    <t>Outside on School Property</t>
  </si>
  <si>
    <t>No</t>
  </si>
  <si>
    <t>School Event</t>
  </si>
  <si>
    <t>Man shot during drug deal outside of school (Halloween party inside)</t>
  </si>
  <si>
    <t>Illegal Activity</t>
  </si>
  <si>
    <t>Victims Targeted</t>
  </si>
  <si>
    <t>Yes</t>
  </si>
  <si>
    <t>No</t>
  </si>
  <si>
    <t>20181025MICOD</t>
  </si>
  <si>
    <t>Cody High School</t>
  </si>
  <si>
    <t>Fall</t>
  </si>
  <si>
    <t>Detroit</t>
  </si>
  <si>
    <t>MI</t>
  </si>
  <si>
    <t>High</t>
  </si>
  <si>
    <t>Outside on School Property</t>
  </si>
  <si>
    <t>Student shot at on school property, shots missed</t>
  </si>
  <si>
    <t>Drive-by Shooting</t>
  </si>
  <si>
    <t>Victims Targeted</t>
  </si>
  <si>
    <t>Yes</t>
  </si>
  <si>
    <t>No</t>
  </si>
  <si>
    <t>20181023NHGOM</t>
  </si>
  <si>
    <t>Gossler Park Elementary School</t>
  </si>
  <si>
    <t>Fall</t>
  </si>
  <si>
    <t>Manchester</t>
  </si>
  <si>
    <t>NH</t>
  </si>
  <si>
    <t>Elementary</t>
  </si>
  <si>
    <t>Playground</t>
  </si>
  <si>
    <t>Outside on School Property</t>
  </si>
  <si>
    <t>Yes</t>
  </si>
  <si>
    <t>Afternoon Classes</t>
  </si>
  <si>
    <t>Unknown shooter fired pellet gun at students and teacher from the tree line near the school</t>
  </si>
  <si>
    <t>Indiscriminate Shooting</t>
  </si>
  <si>
    <t>Random Shooting</t>
  </si>
  <si>
    <t>No</t>
  </si>
  <si>
    <t>20181022CTDUB</t>
  </si>
  <si>
    <t>Dunbar Elementary School</t>
  </si>
  <si>
    <t>Fall</t>
  </si>
  <si>
    <t>Bridgeport</t>
  </si>
  <si>
    <t>CT</t>
  </si>
  <si>
    <t>Elementary</t>
  </si>
  <si>
    <t>Off School Property</t>
  </si>
  <si>
    <t>No</t>
  </si>
  <si>
    <t>Before School</t>
  </si>
  <si>
    <t>18YOM fired shot at mother's boyfriend, shot missed and struck school window</t>
  </si>
  <si>
    <t>Escalation of Dispute</t>
  </si>
  <si>
    <t>Victims Targeted</t>
  </si>
  <si>
    <t>No</t>
  </si>
  <si>
    <t>Yes</t>
  </si>
  <si>
    <t>No</t>
  </si>
  <si>
    <t>20181020GASHS</t>
  </si>
  <si>
    <t>Shiloh Middle School</t>
  </si>
  <si>
    <t>Fall</t>
  </si>
  <si>
    <t>Snellville</t>
  </si>
  <si>
    <t>GA</t>
  </si>
  <si>
    <t>Middle</t>
  </si>
  <si>
    <t>Beside Building</t>
  </si>
  <si>
    <t>Outside on School Property</t>
  </si>
  <si>
    <t>No</t>
  </si>
  <si>
    <t>Not a School Day</t>
  </si>
  <si>
    <t>Police officer shot and killed investigating car parked behind school</t>
  </si>
  <si>
    <t>Illegal Activity</t>
  </si>
  <si>
    <t>Victims Targeted</t>
  </si>
  <si>
    <t>Yes</t>
  </si>
  <si>
    <t>No</t>
  </si>
  <si>
    <t>20181013TNMCN</t>
  </si>
  <si>
    <t>McGavock High School</t>
  </si>
  <si>
    <t>Fall</t>
  </si>
  <si>
    <t>Nashville</t>
  </si>
  <si>
    <t>TN</t>
  </si>
  <si>
    <t>High</t>
  </si>
  <si>
    <t>Parking Lot</t>
  </si>
  <si>
    <t>Outside on School Property</t>
  </si>
  <si>
    <t>No</t>
  </si>
  <si>
    <t>Evening</t>
  </si>
  <si>
    <t>Drive-by shooting in school parking lot</t>
  </si>
  <si>
    <t>Drive-by Shooting</t>
  </si>
  <si>
    <t>Victims Targeted</t>
  </si>
  <si>
    <t>Yes</t>
  </si>
  <si>
    <t>No</t>
  </si>
  <si>
    <t>20181012MIBAB</t>
  </si>
  <si>
    <t>Battle Creek Academy</t>
  </si>
  <si>
    <t>Fall</t>
  </si>
  <si>
    <t>Battle Creek</t>
  </si>
  <si>
    <t>MI</t>
  </si>
  <si>
    <t>Elementary</t>
  </si>
  <si>
    <t>Off School Property</t>
  </si>
  <si>
    <t>Yes</t>
  </si>
  <si>
    <t>Afternoon Classes</t>
  </si>
  <si>
    <t>Bullet struck school building</t>
  </si>
  <si>
    <t>Unknown</t>
  </si>
  <si>
    <t>No</t>
  </si>
  <si>
    <t>20181007VAVAH</t>
  </si>
  <si>
    <t>Varina High School</t>
  </si>
  <si>
    <t>Fall</t>
  </si>
  <si>
    <t>Henrico</t>
  </si>
  <si>
    <t>VA</t>
  </si>
  <si>
    <t>High</t>
  </si>
  <si>
    <t>Gym</t>
  </si>
  <si>
    <t>Outside on School Property</t>
  </si>
  <si>
    <t>No</t>
  </si>
  <si>
    <t>Sport Event</t>
  </si>
  <si>
    <t>Basketball coach shot during fight at weekend practice</t>
  </si>
  <si>
    <t>Escalation of Dispute</t>
  </si>
  <si>
    <t>Both</t>
  </si>
  <si>
    <t>No</t>
  </si>
  <si>
    <t>20181005VALAN</t>
  </si>
  <si>
    <t>Lake Taylor High School</t>
  </si>
  <si>
    <t>Fall</t>
  </si>
  <si>
    <t>Norfolk</t>
  </si>
  <si>
    <t>VA</t>
  </si>
  <si>
    <t>High</t>
  </si>
  <si>
    <t>Parking Lot</t>
  </si>
  <si>
    <t>Outside on School Property</t>
  </si>
  <si>
    <t>No</t>
  </si>
  <si>
    <t>Sport Event</t>
  </si>
  <si>
    <t>Shots fired during fight after football game in school parking lot</t>
  </si>
  <si>
    <t>Escalation of Dispute</t>
  </si>
  <si>
    <t>No</t>
  </si>
  <si>
    <t>20181005TNHAB</t>
  </si>
  <si>
    <t>Haywood High School</t>
  </si>
  <si>
    <t>Fall</t>
  </si>
  <si>
    <t>Brownsville</t>
  </si>
  <si>
    <t>TN</t>
  </si>
  <si>
    <t>High</t>
  </si>
  <si>
    <t>Parking Lot</t>
  </si>
  <si>
    <t>Outside on School Property</t>
  </si>
  <si>
    <t>No</t>
  </si>
  <si>
    <t>Sport Event</t>
  </si>
  <si>
    <t>Two victims shot in school parking lot during football game</t>
  </si>
  <si>
    <t>Escalation of Dispute</t>
  </si>
  <si>
    <t>Both</t>
  </si>
  <si>
    <t>No</t>
  </si>
  <si>
    <t>20181004ORJAP</t>
  </si>
  <si>
    <t>Jason Lee Elementary School</t>
  </si>
  <si>
    <t>Fall</t>
  </si>
  <si>
    <t>Portland</t>
  </si>
  <si>
    <t>OR</t>
  </si>
  <si>
    <t>Elementary</t>
  </si>
  <si>
    <t>Cafeteria</t>
  </si>
  <si>
    <t>Inside School Building</t>
  </si>
  <si>
    <t>Yes</t>
  </si>
  <si>
    <t>After School</t>
  </si>
  <si>
    <t>Parent's gun discharged in cafeteria while picking up daughter</t>
  </si>
  <si>
    <t>Accidental</t>
  </si>
  <si>
    <t>Neither</t>
  </si>
  <si>
    <t>No</t>
  </si>
  <si>
    <t>20181003AKDEA</t>
  </si>
  <si>
    <t>Denali Montessori Elementary School</t>
  </si>
  <si>
    <t>Local</t>
  </si>
  <si>
    <t>Fall</t>
  </si>
  <si>
    <t>Anchorage</t>
  </si>
  <si>
    <t>AK</t>
  </si>
  <si>
    <t>Elementary</t>
  </si>
  <si>
    <t>Front of School</t>
  </si>
  <si>
    <t>Outside on School Property</t>
  </si>
  <si>
    <t>Yes</t>
  </si>
  <si>
    <t>Morning Classes</t>
  </si>
  <si>
    <t>Adult male victim shot by another adult male in front of school during domestic dispute</t>
  </si>
  <si>
    <t>Domestic w/ Targeted Victim</t>
  </si>
  <si>
    <t>Victims Targeted</t>
  </si>
  <si>
    <t>No</t>
  </si>
  <si>
    <t>Yes</t>
  </si>
  <si>
    <t>No</t>
  </si>
  <si>
    <t>20181002ARCHL</t>
  </si>
  <si>
    <t>Chicot Elementary School</t>
  </si>
  <si>
    <t>Fall</t>
  </si>
  <si>
    <t>Little Rock</t>
  </si>
  <si>
    <t>AR</t>
  </si>
  <si>
    <t>Elementary</t>
  </si>
  <si>
    <t>Other</t>
  </si>
  <si>
    <t>Outside on School Property</t>
  </si>
  <si>
    <t>Yes</t>
  </si>
  <si>
    <t>Morning Classes</t>
  </si>
  <si>
    <t>6 bullets stuck the school building, no injuries</t>
  </si>
  <si>
    <t>Unknown</t>
  </si>
  <si>
    <t>No</t>
  </si>
  <si>
    <t>20180928SDCHC</t>
  </si>
  <si>
    <t>Chamberlain High School</t>
  </si>
  <si>
    <t>Fall</t>
  </si>
  <si>
    <t>Chamberlain</t>
  </si>
  <si>
    <t>SD</t>
  </si>
  <si>
    <t>High</t>
  </si>
  <si>
    <t>Field (General)</t>
  </si>
  <si>
    <t>Outside on School Property</t>
  </si>
  <si>
    <t>No</t>
  </si>
  <si>
    <t>Sport Event</t>
  </si>
  <si>
    <t>Man commit suicide on school field during game following police chase</t>
  </si>
  <si>
    <t>Suicide/Attempted</t>
  </si>
  <si>
    <t>Victims Targeted</t>
  </si>
  <si>
    <t>No</t>
  </si>
  <si>
    <t>20180927TXHEC</t>
  </si>
  <si>
    <t>Hebron High School</t>
  </si>
  <si>
    <t>Fall</t>
  </si>
  <si>
    <t>Carrollton</t>
  </si>
  <si>
    <t>TX</t>
  </si>
  <si>
    <t>High</t>
  </si>
  <si>
    <t>Parking Lot</t>
  </si>
  <si>
    <t>Outside on School Property</t>
  </si>
  <si>
    <t>No</t>
  </si>
  <si>
    <t>Sport Event</t>
  </si>
  <si>
    <t>Adult male shot in chest at football game during argument</t>
  </si>
  <si>
    <t>Escalation of Dispute</t>
  </si>
  <si>
    <t>Victims Targeted</t>
  </si>
  <si>
    <t>No</t>
  </si>
  <si>
    <t>20180926MDMAB</t>
  </si>
  <si>
    <t>Maree Garnett Farring Elementary</t>
  </si>
  <si>
    <t>Fall</t>
  </si>
  <si>
    <t>Baltimore</t>
  </si>
  <si>
    <t>MD</t>
  </si>
  <si>
    <t>Elementary</t>
  </si>
  <si>
    <t>Bathroom</t>
  </si>
  <si>
    <t>Outside on School Property</t>
  </si>
  <si>
    <t>Yes</t>
  </si>
  <si>
    <t>Morning Classes</t>
  </si>
  <si>
    <t>Two students playing with gun in school bathroom.</t>
  </si>
  <si>
    <t>Accidental</t>
  </si>
  <si>
    <t>Neither</t>
  </si>
  <si>
    <t>Yes</t>
  </si>
  <si>
    <t>No</t>
  </si>
  <si>
    <t>20180924GAAPB</t>
  </si>
  <si>
    <t>Appling County High School</t>
  </si>
  <si>
    <t>Fall</t>
  </si>
  <si>
    <t>Baxley</t>
  </si>
  <si>
    <t>GA</t>
  </si>
  <si>
    <t>High</t>
  </si>
  <si>
    <t>Bathroom</t>
  </si>
  <si>
    <t>Inside School Building</t>
  </si>
  <si>
    <t>Yes</t>
  </si>
  <si>
    <t>Morning Classes</t>
  </si>
  <si>
    <t>Student commit suicide in bathroom</t>
  </si>
  <si>
    <t>Suicide/Attempted</t>
  </si>
  <si>
    <t>Victims Targeted</t>
  </si>
  <si>
    <t>No</t>
  </si>
  <si>
    <t>20180924PACEP</t>
  </si>
  <si>
    <t>Central High School</t>
  </si>
  <si>
    <t>Fall</t>
  </si>
  <si>
    <t>Philadelphia</t>
  </si>
  <si>
    <t>PA</t>
  </si>
  <si>
    <t>High</t>
  </si>
  <si>
    <t>Front of School</t>
  </si>
  <si>
    <t>Outside on School Property</t>
  </si>
  <si>
    <t>Yes</t>
  </si>
  <si>
    <t>School Start</t>
  </si>
  <si>
    <t>Student killed in cross fire of shooting outside of school</t>
  </si>
  <si>
    <t>Escalation of Dispute</t>
  </si>
  <si>
    <t>Both</t>
  </si>
  <si>
    <t>No</t>
  </si>
  <si>
    <t>20180924NCLAC</t>
  </si>
  <si>
    <t>Lawrence Orr Elementary School</t>
  </si>
  <si>
    <t>Fall</t>
  </si>
  <si>
    <t>Charlotte</t>
  </si>
  <si>
    <t>NC</t>
  </si>
  <si>
    <t>Elementary</t>
  </si>
  <si>
    <t>Parking Lot</t>
  </si>
  <si>
    <t>Outside on School Property</t>
  </si>
  <si>
    <t>Yes</t>
  </si>
  <si>
    <t>School Start</t>
  </si>
  <si>
    <t>Multiple shots fired at vehicle after child was dropped off</t>
  </si>
  <si>
    <t>Escalation of Dispute</t>
  </si>
  <si>
    <t>Victims Targeted</t>
  </si>
  <si>
    <t>No</t>
  </si>
  <si>
    <t>20180920CAPOP</t>
  </si>
  <si>
    <t>Pomona High School</t>
  </si>
  <si>
    <t>Fall</t>
  </si>
  <si>
    <t>Pomona</t>
  </si>
  <si>
    <t>CA</t>
  </si>
  <si>
    <t>High</t>
  </si>
  <si>
    <t>Football Field/Track</t>
  </si>
  <si>
    <t>Outside on School Property</t>
  </si>
  <si>
    <t>No</t>
  </si>
  <si>
    <t>Before School</t>
  </si>
  <si>
    <t>Adult make commit suicide on the school campus before classes started</t>
  </si>
  <si>
    <t>Suicide/Attempted</t>
  </si>
  <si>
    <t>Victims Targeted</t>
  </si>
  <si>
    <t>No</t>
  </si>
  <si>
    <t>20180920CACHL</t>
  </si>
  <si>
    <t>CHAMPS Charter High School</t>
  </si>
  <si>
    <t>Fall</t>
  </si>
  <si>
    <t>Los Angeles</t>
  </si>
  <si>
    <t>CA</t>
  </si>
  <si>
    <t>High</t>
  </si>
  <si>
    <t>Off School Property</t>
  </si>
  <si>
    <t>Yes</t>
  </si>
  <si>
    <t>Lunch</t>
  </si>
  <si>
    <t>Shooting at fast food restaurant directly across from school, student and employee struck ran back to school</t>
  </si>
  <si>
    <t>Escalation of Dispute</t>
  </si>
  <si>
    <t>Yes</t>
  </si>
  <si>
    <t>No</t>
  </si>
  <si>
    <t>20180917ALBLH</t>
  </si>
  <si>
    <t>Blossomwood Elementary School</t>
  </si>
  <si>
    <t>Fall</t>
  </si>
  <si>
    <t>Huntsville</t>
  </si>
  <si>
    <t>AL</t>
  </si>
  <si>
    <t>Elementary</t>
  </si>
  <si>
    <t>Gym</t>
  </si>
  <si>
    <t>Inside School Building</t>
  </si>
  <si>
    <t>Yes</t>
  </si>
  <si>
    <t>Morning Classes</t>
  </si>
  <si>
    <t>Student showing gun off in gym class, accidental discharge</t>
  </si>
  <si>
    <t>Accidental</t>
  </si>
  <si>
    <t>Neither</t>
  </si>
  <si>
    <t>No</t>
  </si>
  <si>
    <t>20180914FLBOB</t>
  </si>
  <si>
    <t>Boynton Beach High School</t>
  </si>
  <si>
    <t>Fall</t>
  </si>
  <si>
    <t>Boynton Beach</t>
  </si>
  <si>
    <t>FL</t>
  </si>
  <si>
    <t>High</t>
  </si>
  <si>
    <t>Off School Property</t>
  </si>
  <si>
    <t>Yes</t>
  </si>
  <si>
    <t>Before School</t>
  </si>
  <si>
    <t>Two students had gun at bus stop, one shot fired, went to school, school locked down until gun was located</t>
  </si>
  <si>
    <t>Accidental</t>
  </si>
  <si>
    <t>Neither</t>
  </si>
  <si>
    <t>Yes</t>
  </si>
  <si>
    <t>No</t>
  </si>
  <si>
    <t>20180914WAMAE</t>
  </si>
  <si>
    <t>Mariner High School</t>
  </si>
  <si>
    <t>Fall</t>
  </si>
  <si>
    <t>Everett</t>
  </si>
  <si>
    <t>WA</t>
  </si>
  <si>
    <t>High</t>
  </si>
  <si>
    <t>Parking Lot</t>
  </si>
  <si>
    <t>Outside on School Property</t>
  </si>
  <si>
    <t>No</t>
  </si>
  <si>
    <t>Sport Event</t>
  </si>
  <si>
    <t>Shots fired in parking lot during football game, stadium evacuated</t>
  </si>
  <si>
    <t>Escalation of Dispute</t>
  </si>
  <si>
    <t>Victims Targeted</t>
  </si>
  <si>
    <t>No</t>
  </si>
  <si>
    <t>20180911NVCAL</t>
  </si>
  <si>
    <t>Canyon Springs High School</t>
  </si>
  <si>
    <t>Fall</t>
  </si>
  <si>
    <t>Las Vegas</t>
  </si>
  <si>
    <t>NV</t>
  </si>
  <si>
    <t>High</t>
  </si>
  <si>
    <t>Field (General)</t>
  </si>
  <si>
    <t>Outside on School Property</t>
  </si>
  <si>
    <t>No</t>
  </si>
  <si>
    <t>After School</t>
  </si>
  <si>
    <t>Student shot on baseball field during altercation</t>
  </si>
  <si>
    <t>Escalation of Dispute</t>
  </si>
  <si>
    <t>Victims Targeted</t>
  </si>
  <si>
    <t>No</t>
  </si>
  <si>
    <t>20180910TNFAM</t>
  </si>
  <si>
    <t>Fairley High School</t>
  </si>
  <si>
    <t>Fall</t>
  </si>
  <si>
    <t>Memphis</t>
  </si>
  <si>
    <t>TN</t>
  </si>
  <si>
    <t>High</t>
  </si>
  <si>
    <t>School Bus</t>
  </si>
  <si>
    <t>Yes</t>
  </si>
  <si>
    <t>After School</t>
  </si>
  <si>
    <t>Three shots were fired a school bus, 15YOF student injured</t>
  </si>
  <si>
    <t>Unknown</t>
  </si>
  <si>
    <t>No</t>
  </si>
  <si>
    <t>20180910ILCHC</t>
  </si>
  <si>
    <t>Chatham Academy High School</t>
  </si>
  <si>
    <t>Fall</t>
  </si>
  <si>
    <t>Chicago</t>
  </si>
  <si>
    <t>IL</t>
  </si>
  <si>
    <t>High</t>
  </si>
  <si>
    <t>Beside Building</t>
  </si>
  <si>
    <t>Outside on School Property</t>
  </si>
  <si>
    <t>Yes</t>
  </si>
  <si>
    <t>Dismissal</t>
  </si>
  <si>
    <t>Shooter in ski mask got out of vehicle and fired multiple shots at three students leaving school</t>
  </si>
  <si>
    <t>Escalation of Dispute</t>
  </si>
  <si>
    <t>Victims Targeted</t>
  </si>
  <si>
    <t>Yes</t>
  </si>
  <si>
    <t>No</t>
  </si>
  <si>
    <t>20180909CAGIG</t>
  </si>
  <si>
    <t>Gilroy High School</t>
  </si>
  <si>
    <t>Fall</t>
  </si>
  <si>
    <t>Gilroy</t>
  </si>
  <si>
    <t>CA</t>
  </si>
  <si>
    <t>High</t>
  </si>
  <si>
    <t>Field (General)</t>
  </si>
  <si>
    <t>Outside on School Property</t>
  </si>
  <si>
    <t>No</t>
  </si>
  <si>
    <t>Not a School Day</t>
  </si>
  <si>
    <t>Officer shot a vehicle driving recklessly on football field</t>
  </si>
  <si>
    <t>Illegal Activity</t>
  </si>
  <si>
    <t>Neither</t>
  </si>
  <si>
    <t>No</t>
  </si>
  <si>
    <t>N/A</t>
  </si>
  <si>
    <t>No</t>
  </si>
  <si>
    <t>20180907IAHED</t>
  </si>
  <si>
    <t>Herbert Hoover High School</t>
  </si>
  <si>
    <t>Fall</t>
  </si>
  <si>
    <t>Des Moines</t>
  </si>
  <si>
    <t>IA</t>
  </si>
  <si>
    <t>High</t>
  </si>
  <si>
    <t>Parking Lot</t>
  </si>
  <si>
    <t>Outside on School Property</t>
  </si>
  <si>
    <t>No</t>
  </si>
  <si>
    <t>Sport Event</t>
  </si>
  <si>
    <t>Shots fired in parking lot during football game, game canceled</t>
  </si>
  <si>
    <t>Escalation of Dispute</t>
  </si>
  <si>
    <t>No</t>
  </si>
  <si>
    <t>20180905RIPRP</t>
  </si>
  <si>
    <t>Providence Career and Technical Academy</t>
  </si>
  <si>
    <t>Local</t>
  </si>
  <si>
    <t>Fall</t>
  </si>
  <si>
    <t>Providence</t>
  </si>
  <si>
    <t>RI</t>
  </si>
  <si>
    <t>High</t>
  </si>
  <si>
    <t>Front of School</t>
  </si>
  <si>
    <t>Outside on School Property</t>
  </si>
  <si>
    <t>Yes</t>
  </si>
  <si>
    <t>Dismissal</t>
  </si>
  <si>
    <t>Shots during fight outside school</t>
  </si>
  <si>
    <t>Escalation of Dispute</t>
  </si>
  <si>
    <t>Both</t>
  </si>
  <si>
    <t>Yes</t>
  </si>
  <si>
    <t>No</t>
  </si>
  <si>
    <t>20180903NYLUN</t>
  </si>
  <si>
    <t>Luisa Pineiro Fuentes School of Science and Discovery</t>
  </si>
  <si>
    <t>Local</t>
  </si>
  <si>
    <t>Fall</t>
  </si>
  <si>
    <t>New York</t>
  </si>
  <si>
    <t>NY</t>
  </si>
  <si>
    <t>Elementary</t>
  </si>
  <si>
    <t>Field (General)</t>
  </si>
  <si>
    <t>Outside on School Property</t>
  </si>
  <si>
    <t>No</t>
  </si>
  <si>
    <t>Evening</t>
  </si>
  <si>
    <t>Non-student killed during argument outside of school (closed for holiday)</t>
  </si>
  <si>
    <t>Escalation of Dispute</t>
  </si>
  <si>
    <t>Victims Targeted</t>
  </si>
  <si>
    <t>No</t>
  </si>
  <si>
    <t>20180831CABAS</t>
  </si>
  <si>
    <t>Balboa High School</t>
  </si>
  <si>
    <t>Local</t>
  </si>
  <si>
    <t>Summer</t>
  </si>
  <si>
    <t>San Francisco</t>
  </si>
  <si>
    <t>CA</t>
  </si>
  <si>
    <t>High</t>
  </si>
  <si>
    <t>Classroom</t>
  </si>
  <si>
    <t>Inside School Building</t>
  </si>
  <si>
    <t>Yes</t>
  </si>
  <si>
    <t>Afternoon Classes</t>
  </si>
  <si>
    <t>Accidental discharge in classroom, student with gun fled</t>
  </si>
  <si>
    <t>Accidental</t>
  </si>
  <si>
    <t>Neither</t>
  </si>
  <si>
    <t>Yes</t>
  </si>
  <si>
    <t>No</t>
  </si>
  <si>
    <t>20180831IANOE</t>
  </si>
  <si>
    <t>North Scott Junior High School</t>
  </si>
  <si>
    <t>Local</t>
  </si>
  <si>
    <t>Summer</t>
  </si>
  <si>
    <t>Eldridge</t>
  </si>
  <si>
    <t>IA</t>
  </si>
  <si>
    <t>Junior High</t>
  </si>
  <si>
    <t>Classroom</t>
  </si>
  <si>
    <t>Inside School Building</t>
  </si>
  <si>
    <t>Yes</t>
  </si>
  <si>
    <t>Morning Classes</t>
  </si>
  <si>
    <t>Shooter was a student who attempted to shoot the teacher in class</t>
  </si>
  <si>
    <t>Hostage/Standoff</t>
  </si>
  <si>
    <t>Victims Targeted</t>
  </si>
  <si>
    <t>No</t>
  </si>
  <si>
    <t>Yes</t>
  </si>
  <si>
    <t>20180830MIOTG</t>
  </si>
  <si>
    <t>Ottawa Hills High School</t>
  </si>
  <si>
    <t>Local</t>
  </si>
  <si>
    <t>Summer</t>
  </si>
  <si>
    <t>Grand Rapids</t>
  </si>
  <si>
    <t>MI</t>
  </si>
  <si>
    <t>High</t>
  </si>
  <si>
    <t>Other</t>
  </si>
  <si>
    <t>Outside on School Property</t>
  </si>
  <si>
    <t>Yes</t>
  </si>
  <si>
    <t>Morning Classes</t>
  </si>
  <si>
    <t>Two non-student teens shot at during drive-by outside of school</t>
  </si>
  <si>
    <t>Drive-by Shooting</t>
  </si>
  <si>
    <t>Victims Targeted</t>
  </si>
  <si>
    <t>No</t>
  </si>
  <si>
    <t>20180830NCVIC</t>
  </si>
  <si>
    <t>Villa Heights Elementary School</t>
  </si>
  <si>
    <t>Local</t>
  </si>
  <si>
    <t>Summer</t>
  </si>
  <si>
    <t>Charlotte</t>
  </si>
  <si>
    <t>NC</t>
  </si>
  <si>
    <t>Elementary</t>
  </si>
  <si>
    <t>Parking Lot</t>
  </si>
  <si>
    <t>Outside on School Property</t>
  </si>
  <si>
    <t>Yes</t>
  </si>
  <si>
    <t>School Start</t>
  </si>
  <si>
    <t>Woman shot at in parking lot by ex-boyfriend while dropping off child</t>
  </si>
  <si>
    <t>Domestic w/ Targeted Victim</t>
  </si>
  <si>
    <t>Victims Targeted</t>
  </si>
  <si>
    <t>No</t>
  </si>
  <si>
    <t>Yes</t>
  </si>
  <si>
    <t>No</t>
  </si>
  <si>
    <t>20180829DETOD</t>
  </si>
  <si>
    <t>Towne Point Elementary School</t>
  </si>
  <si>
    <t>Local</t>
  </si>
  <si>
    <t>Summer</t>
  </si>
  <si>
    <t>Dover</t>
  </si>
  <si>
    <t>DE</t>
  </si>
  <si>
    <t>Elementary</t>
  </si>
  <si>
    <t>Parking Lot</t>
  </si>
  <si>
    <t>Outside on School Property</t>
  </si>
  <si>
    <t>No</t>
  </si>
  <si>
    <t>Evening</t>
  </si>
  <si>
    <t>Adult male found shot dead outside of school, killed by school janitor</t>
  </si>
  <si>
    <t>Domestic w/ Targeted Victim</t>
  </si>
  <si>
    <t>Victims Targeted</t>
  </si>
  <si>
    <t>No</t>
  </si>
  <si>
    <t>Yes</t>
  </si>
  <si>
    <t>No</t>
  </si>
  <si>
    <t>20180828COCOD</t>
  </si>
  <si>
    <t>Cole Middle School</t>
  </si>
  <si>
    <t>Summer</t>
  </si>
  <si>
    <t>Denver</t>
  </si>
  <si>
    <t>CO</t>
  </si>
  <si>
    <t>Middle</t>
  </si>
  <si>
    <t>Outside on School Property</t>
  </si>
  <si>
    <t>Yes</t>
  </si>
  <si>
    <t>Afternoon Classes</t>
  </si>
  <si>
    <t>Shooting outside of school, school locked down</t>
  </si>
  <si>
    <t>Escalation of Dispute</t>
  </si>
  <si>
    <t>No</t>
  </si>
  <si>
    <t>20180824ILMEC</t>
  </si>
  <si>
    <t>Metro East Lutheran High School</t>
  </si>
  <si>
    <t>Summer</t>
  </si>
  <si>
    <t>Chicago</t>
  </si>
  <si>
    <t>IL</t>
  </si>
  <si>
    <t>High</t>
  </si>
  <si>
    <t>Football Field/Track</t>
  </si>
  <si>
    <t>Outside on School Property</t>
  </si>
  <si>
    <t>No</t>
  </si>
  <si>
    <t>Sport Event</t>
  </si>
  <si>
    <t>Gang related shooting outside stadium gate prior to football game, 30-50 shots fired, game cancelled</t>
  </si>
  <si>
    <t>Escalation of Dispute</t>
  </si>
  <si>
    <t>Victims Targeted</t>
  </si>
  <si>
    <t>Yes</t>
  </si>
  <si>
    <t>No</t>
  </si>
  <si>
    <t>20180824FLRAJ</t>
  </si>
  <si>
    <t>Raines High School</t>
  </si>
  <si>
    <t>Summer</t>
  </si>
  <si>
    <t>Jacksonville</t>
  </si>
  <si>
    <t>FL</t>
  </si>
  <si>
    <t>High</t>
  </si>
  <si>
    <t>Football Field/Track</t>
  </si>
  <si>
    <t>Outside on School Property</t>
  </si>
  <si>
    <t>No</t>
  </si>
  <si>
    <t>Sport Event</t>
  </si>
  <si>
    <t>Two students from rival school and former student shot after football game</t>
  </si>
  <si>
    <t>Escalation of Dispute</t>
  </si>
  <si>
    <t>Both</t>
  </si>
  <si>
    <t>No</t>
  </si>
  <si>
    <t>20180823ALALM</t>
  </si>
  <si>
    <t>Alabama State University Stadium (high school game)</t>
  </si>
  <si>
    <t>Summer</t>
  </si>
  <si>
    <t>Montgomery</t>
  </si>
  <si>
    <t>AL</t>
  </si>
  <si>
    <t>High</t>
  </si>
  <si>
    <t>Football Field/Track</t>
  </si>
  <si>
    <t>Outside on School Property</t>
  </si>
  <si>
    <t>No</t>
  </si>
  <si>
    <t>Sport Event</t>
  </si>
  <si>
    <t>Shots fired in walkway of stadium during high school football game</t>
  </si>
  <si>
    <t>Escalation of Dispute</t>
  </si>
  <si>
    <t>No</t>
  </si>
  <si>
    <t>20180817FLPAW</t>
  </si>
  <si>
    <t>Palm Beach Central High School</t>
  </si>
  <si>
    <t>National</t>
  </si>
  <si>
    <t>Summer</t>
  </si>
  <si>
    <t>Wellington</t>
  </si>
  <si>
    <t>FL</t>
  </si>
  <si>
    <t>High</t>
  </si>
  <si>
    <t>Football Field/Track</t>
  </si>
  <si>
    <t>Outside on School Property</t>
  </si>
  <si>
    <t>No</t>
  </si>
  <si>
    <t>Sport Event</t>
  </si>
  <si>
    <t>4 shots fired during fight at football game under bleachers</t>
  </si>
  <si>
    <t>Escalation of Dispute</t>
  </si>
  <si>
    <t>Victims Targeted</t>
  </si>
  <si>
    <t>No</t>
  </si>
  <si>
    <t>20180811TNANN</t>
  </si>
  <si>
    <t>Antioch High School</t>
  </si>
  <si>
    <t>Summer</t>
  </si>
  <si>
    <t>Nashville</t>
  </si>
  <si>
    <t>TN</t>
  </si>
  <si>
    <t>High</t>
  </si>
  <si>
    <t>Football Field/Track</t>
  </si>
  <si>
    <t>Outside on School Property</t>
  </si>
  <si>
    <t>No</t>
  </si>
  <si>
    <t>Sport Event</t>
  </si>
  <si>
    <t>Parent shot football coach during fight with other parent</t>
  </si>
  <si>
    <t>Escalation of Dispute</t>
  </si>
  <si>
    <t>Both</t>
  </si>
  <si>
    <t>No</t>
  </si>
  <si>
    <t>20180809NJLAM</t>
  </si>
  <si>
    <t>Lakeside Middle School</t>
  </si>
  <si>
    <t>Summer</t>
  </si>
  <si>
    <t>Millville</t>
  </si>
  <si>
    <t>NJ</t>
  </si>
  <si>
    <t>Middle</t>
  </si>
  <si>
    <t>Parking Lot</t>
  </si>
  <si>
    <t>Outside on School Property</t>
  </si>
  <si>
    <t>No</t>
  </si>
  <si>
    <t>Sport Event</t>
  </si>
  <si>
    <t>Masked gunman shot football coach in school parking lot</t>
  </si>
  <si>
    <t>Unknown</t>
  </si>
  <si>
    <t>Victims Targeted</t>
  </si>
  <si>
    <t>No</t>
  </si>
  <si>
    <t>20180804MDEDE</t>
  </si>
  <si>
    <t>Edgewood High School</t>
  </si>
  <si>
    <t>Summer</t>
  </si>
  <si>
    <t>Edgewood</t>
  </si>
  <si>
    <t>MD</t>
  </si>
  <si>
    <t>High</t>
  </si>
  <si>
    <t>Parking Lot</t>
  </si>
  <si>
    <t>Outside on School Property</t>
  </si>
  <si>
    <t>No</t>
  </si>
  <si>
    <t>Not a School Day</t>
  </si>
  <si>
    <t>Man found dead in vehicle in school parking lot (GSW)</t>
  </si>
  <si>
    <t>Unknown</t>
  </si>
  <si>
    <t>No</t>
  </si>
  <si>
    <t>20180803IALIO</t>
  </si>
  <si>
    <t>Liberty Elementary School</t>
  </si>
  <si>
    <t>Local</t>
  </si>
  <si>
    <t>Summer</t>
  </si>
  <si>
    <t>Ottumwa</t>
  </si>
  <si>
    <t>IA</t>
  </si>
  <si>
    <t>Elementary</t>
  </si>
  <si>
    <t>Parking Lot</t>
  </si>
  <si>
    <t>Off School Property</t>
  </si>
  <si>
    <t>No</t>
  </si>
  <si>
    <t>Afternoon Classes</t>
  </si>
  <si>
    <t>3 men involved with robbery fired shot at police in the school parking lot while class was in session</t>
  </si>
  <si>
    <t>Illegal Activity</t>
  </si>
  <si>
    <t>Random Shooting</t>
  </si>
  <si>
    <t>Yes</t>
  </si>
  <si>
    <t>No</t>
  </si>
  <si>
    <t>20180719WAWEY</t>
  </si>
  <si>
    <t>West Valley Middle School</t>
  </si>
  <si>
    <t>Summer</t>
  </si>
  <si>
    <t>Yakima</t>
  </si>
  <si>
    <t>WA</t>
  </si>
  <si>
    <t>Middle</t>
  </si>
  <si>
    <t>Beside Building</t>
  </si>
  <si>
    <t>Outside on School Property</t>
  </si>
  <si>
    <t>No</t>
  </si>
  <si>
    <t>Evening</t>
  </si>
  <si>
    <t>Man found dead from GSW in vehicle outside of school</t>
  </si>
  <si>
    <t>Unknown</t>
  </si>
  <si>
    <t>No</t>
  </si>
  <si>
    <t>20180717WVHUH</t>
  </si>
  <si>
    <t>Hurricane High School</t>
  </si>
  <si>
    <t>Summer</t>
  </si>
  <si>
    <t>Hurricane</t>
  </si>
  <si>
    <t>WV</t>
  </si>
  <si>
    <t>High</t>
  </si>
  <si>
    <t>Parking Lot</t>
  </si>
  <si>
    <t>Outside on School Property</t>
  </si>
  <si>
    <t>No</t>
  </si>
  <si>
    <t>After School</t>
  </si>
  <si>
    <t>Shot fired during argument behind the school</t>
  </si>
  <si>
    <t>Escalation of Dispute</t>
  </si>
  <si>
    <t>NA</t>
  </si>
  <si>
    <t>No</t>
  </si>
  <si>
    <t>20180711OHMIM</t>
  </si>
  <si>
    <t>Milkovich Middle School</t>
  </si>
  <si>
    <t>Summer</t>
  </si>
  <si>
    <t>Maple Heights</t>
  </si>
  <si>
    <t>OH</t>
  </si>
  <si>
    <t>Middle</t>
  </si>
  <si>
    <t>Parking Lot</t>
  </si>
  <si>
    <t>Outside on School Property</t>
  </si>
  <si>
    <t>No</t>
  </si>
  <si>
    <t>Not a School Day</t>
  </si>
  <si>
    <t>Shots fired during large fight between teens</t>
  </si>
  <si>
    <t>Escalation of Dispute</t>
  </si>
  <si>
    <t>No</t>
  </si>
  <si>
    <t>20180703KSSUO</t>
  </si>
  <si>
    <t>Sunrise Point Elementary School</t>
  </si>
  <si>
    <t>Local</t>
  </si>
  <si>
    <t>Summer</t>
  </si>
  <si>
    <t>Overland</t>
  </si>
  <si>
    <t>KS</t>
  </si>
  <si>
    <t>Elementary</t>
  </si>
  <si>
    <t>Beside Building</t>
  </si>
  <si>
    <t>Outside on School Property</t>
  </si>
  <si>
    <t>No</t>
  </si>
  <si>
    <t>Not a School Day</t>
  </si>
  <si>
    <t>Two construction contractors shot by coworker during argument at school</t>
  </si>
  <si>
    <t>Escalation of Dispute</t>
  </si>
  <si>
    <t>Victims Targeted</t>
  </si>
  <si>
    <t>No</t>
  </si>
  <si>
    <t>20180701TNRAM</t>
  </si>
  <si>
    <t>Raineshaven Elementary School</t>
  </si>
  <si>
    <t>Local</t>
  </si>
  <si>
    <t>Summer</t>
  </si>
  <si>
    <t>Memphis</t>
  </si>
  <si>
    <t>TN</t>
  </si>
  <si>
    <t>Elementary</t>
  </si>
  <si>
    <t>Beside Building</t>
  </si>
  <si>
    <t>Outside on School Property</t>
  </si>
  <si>
    <t>No</t>
  </si>
  <si>
    <t>Night</t>
  </si>
  <si>
    <t>Victim shot in vehicle and crashed into school building</t>
  </si>
  <si>
    <t>Unknown</t>
  </si>
  <si>
    <t>No</t>
  </si>
  <si>
    <t>20180625OHFUS</t>
  </si>
  <si>
    <t>Fulton Elementary School</t>
  </si>
  <si>
    <t>Local</t>
  </si>
  <si>
    <t>Summer</t>
  </si>
  <si>
    <t>Springfield</t>
  </si>
  <si>
    <t>OH</t>
  </si>
  <si>
    <t>Elementary</t>
  </si>
  <si>
    <t>Parking Lot</t>
  </si>
  <si>
    <t>Outside on School Property</t>
  </si>
  <si>
    <t>No</t>
  </si>
  <si>
    <t>After School</t>
  </si>
  <si>
    <t>Attempted robbery in school parking lot, gun jammed when shooter fired, victim ran over shooter with car</t>
  </si>
  <si>
    <t>Illegal Activity</t>
  </si>
  <si>
    <t>Victims Targeted</t>
  </si>
  <si>
    <t>No</t>
  </si>
  <si>
    <t>20180624MTSEM</t>
  </si>
  <si>
    <t>Sentinel High School</t>
  </si>
  <si>
    <t>Local</t>
  </si>
  <si>
    <t>Summer</t>
  </si>
  <si>
    <t>Missoula</t>
  </si>
  <si>
    <t>MT</t>
  </si>
  <si>
    <t>High</t>
  </si>
  <si>
    <t>Field (General)</t>
  </si>
  <si>
    <t>Outside on School Property</t>
  </si>
  <si>
    <t>No</t>
  </si>
  <si>
    <t>Sport Event</t>
  </si>
  <si>
    <t>Two teens shot outside gym during open basketball practice; shooter fled; shooter and suspects had planned meeting just prior to shooting</t>
  </si>
  <si>
    <t>Illegal Activity</t>
  </si>
  <si>
    <t>Victims Targeted</t>
  </si>
  <si>
    <t>No</t>
  </si>
  <si>
    <t>20180621TXSKD</t>
  </si>
  <si>
    <t>Skyline High School</t>
  </si>
  <si>
    <t>Local</t>
  </si>
  <si>
    <t>Summer</t>
  </si>
  <si>
    <t>Dallas</t>
  </si>
  <si>
    <t>TX</t>
  </si>
  <si>
    <t>High</t>
  </si>
  <si>
    <t>Football Field/Track</t>
  </si>
  <si>
    <t>Outside on School Property</t>
  </si>
  <si>
    <t>No</t>
  </si>
  <si>
    <t>Before School</t>
  </si>
  <si>
    <t>Victim shot while walking around track at school football field</t>
  </si>
  <si>
    <t>Unknown</t>
  </si>
  <si>
    <t>No</t>
  </si>
  <si>
    <t>20180617ORGRP</t>
  </si>
  <si>
    <t>Grant High School</t>
  </si>
  <si>
    <t>Summer</t>
  </si>
  <si>
    <t>Portland</t>
  </si>
  <si>
    <t>OR</t>
  </si>
  <si>
    <t>High</t>
  </si>
  <si>
    <t>Football Field/Track</t>
  </si>
  <si>
    <t>Outside on School Property</t>
  </si>
  <si>
    <t>No</t>
  </si>
  <si>
    <t>Night</t>
  </si>
  <si>
    <t>Man found dead from GSW on the outdoor track</t>
  </si>
  <si>
    <t>Unknown</t>
  </si>
  <si>
    <t>No</t>
  </si>
  <si>
    <t>20180615OHVAB</t>
  </si>
  <si>
    <t>Valley Elementary School</t>
  </si>
  <si>
    <t>Summer</t>
  </si>
  <si>
    <t>Beaver Creek</t>
  </si>
  <si>
    <t>OH</t>
  </si>
  <si>
    <t>Elementary</t>
  </si>
  <si>
    <t>Basketball Court</t>
  </si>
  <si>
    <t>Outside on School Property</t>
  </si>
  <si>
    <t>No</t>
  </si>
  <si>
    <t>Night</t>
  </si>
  <si>
    <t>Shot fired during domestic dispute on basketball court</t>
  </si>
  <si>
    <t>Domestic w/ Targeted Victim</t>
  </si>
  <si>
    <t>Victims Targeted</t>
  </si>
  <si>
    <t>No</t>
  </si>
  <si>
    <t>Yes</t>
  </si>
  <si>
    <t>No</t>
  </si>
  <si>
    <t>20180601TXMCM</t>
  </si>
  <si>
    <t>McKinney North High School</t>
  </si>
  <si>
    <t>Local</t>
  </si>
  <si>
    <t>Summer</t>
  </si>
  <si>
    <t>McKinney</t>
  </si>
  <si>
    <t>TX</t>
  </si>
  <si>
    <t>High</t>
  </si>
  <si>
    <t>Classroom</t>
  </si>
  <si>
    <t>Inside School Building</t>
  </si>
  <si>
    <t>Yes</t>
  </si>
  <si>
    <t>Morning Classes</t>
  </si>
  <si>
    <t>Student commit suicide in classroom</t>
  </si>
  <si>
    <t>Suicide/Attempted</t>
  </si>
  <si>
    <t>Victims Targeted</t>
  </si>
  <si>
    <t>No</t>
  </si>
  <si>
    <t>20180525INNON</t>
  </si>
  <si>
    <t>Noblesville West Middle School</t>
  </si>
  <si>
    <t>National</t>
  </si>
  <si>
    <t>Spring</t>
  </si>
  <si>
    <t>Noblesville</t>
  </si>
  <si>
    <t>IN</t>
  </si>
  <si>
    <t>Middle</t>
  </si>
  <si>
    <t>Classroom</t>
  </si>
  <si>
    <t>Inside School Building</t>
  </si>
  <si>
    <t>Yes</t>
  </si>
  <si>
    <t>Morning Classes</t>
  </si>
  <si>
    <t>Planned attack by student, stopped by teacher</t>
  </si>
  <si>
    <t>Indiscriminate Shooting</t>
  </si>
  <si>
    <t>Victims Targeted</t>
  </si>
  <si>
    <t>No</t>
  </si>
  <si>
    <t>Yes</t>
  </si>
  <si>
    <t>20180521GABEG</t>
  </si>
  <si>
    <t>Beaverbrook Elementary School</t>
  </si>
  <si>
    <t>Spring</t>
  </si>
  <si>
    <t>Griffin</t>
  </si>
  <si>
    <t>GA</t>
  </si>
  <si>
    <t>High</t>
  </si>
  <si>
    <t>Parking Lot</t>
  </si>
  <si>
    <t>Outside on School Property</t>
  </si>
  <si>
    <t>Yes</t>
  </si>
  <si>
    <t>Afternoon Classes</t>
  </si>
  <si>
    <t>Woman shot in school parking lot</t>
  </si>
  <si>
    <t>Unknown</t>
  </si>
  <si>
    <t>Random Shooting</t>
  </si>
  <si>
    <t>No</t>
  </si>
  <si>
    <t>20180518TXSAS</t>
  </si>
  <si>
    <t>Santa Fe High School</t>
  </si>
  <si>
    <t>National</t>
  </si>
  <si>
    <t>Spring</t>
  </si>
  <si>
    <t>Santa Fe</t>
  </si>
  <si>
    <t>TX</t>
  </si>
  <si>
    <t>High</t>
  </si>
  <si>
    <t>Classroom</t>
  </si>
  <si>
    <t>Inside School Building</t>
  </si>
  <si>
    <t>Yes</t>
  </si>
  <si>
    <t>Morning Classes</t>
  </si>
  <si>
    <t>Planned attack after bullying, 30 minute standoff with police before surrendering</t>
  </si>
  <si>
    <t>Indiscriminate Shooting</t>
  </si>
  <si>
    <t>Both</t>
  </si>
  <si>
    <t>No</t>
  </si>
  <si>
    <t>Yes</t>
  </si>
  <si>
    <t>No</t>
  </si>
  <si>
    <t>Yes</t>
  </si>
  <si>
    <t>20180518GAMOA</t>
  </si>
  <si>
    <t>Mount Zion High School</t>
  </si>
  <si>
    <t>Spring</t>
  </si>
  <si>
    <t>Atlanta</t>
  </si>
  <si>
    <t>GA</t>
  </si>
  <si>
    <t>High</t>
  </si>
  <si>
    <t>Parking Lot</t>
  </si>
  <si>
    <t>Outside on School Property</t>
  </si>
  <si>
    <t>No</t>
  </si>
  <si>
    <t>School Event</t>
  </si>
  <si>
    <t>Shots fired during argument in school parking lot</t>
  </si>
  <si>
    <t>Escalation of Dispute</t>
  </si>
  <si>
    <t>Both</t>
  </si>
  <si>
    <t>No</t>
  </si>
  <si>
    <t>20180517MOCEK</t>
  </si>
  <si>
    <t>Central High School</t>
  </si>
  <si>
    <t>Spring</t>
  </si>
  <si>
    <t>Kansas City</t>
  </si>
  <si>
    <t>MO</t>
  </si>
  <si>
    <t>High</t>
  </si>
  <si>
    <t>Off School Property</t>
  </si>
  <si>
    <t>No</t>
  </si>
  <si>
    <t>School Event</t>
  </si>
  <si>
    <t>Shooting during fight at school graduation</t>
  </si>
  <si>
    <t>Escalation of Dispute</t>
  </si>
  <si>
    <t>Yes</t>
  </si>
  <si>
    <t>No</t>
  </si>
  <si>
    <t>20180516ILDID</t>
  </si>
  <si>
    <t>Dixon High School</t>
  </si>
  <si>
    <t>Spring</t>
  </si>
  <si>
    <t>Dixon</t>
  </si>
  <si>
    <t>IL</t>
  </si>
  <si>
    <t>High</t>
  </si>
  <si>
    <t>Gym</t>
  </si>
  <si>
    <t>Inside School Building</t>
  </si>
  <si>
    <t>Yes</t>
  </si>
  <si>
    <t>Morning Classes</t>
  </si>
  <si>
    <t>Shots fired during graduation rehearsal by shooter who was bullied</t>
  </si>
  <si>
    <t>Indiscriminate Shooting</t>
  </si>
  <si>
    <t>Random Shooting</t>
  </si>
  <si>
    <t>No</t>
  </si>
  <si>
    <t>Yes</t>
  </si>
  <si>
    <t>No</t>
  </si>
  <si>
    <t>Yes</t>
  </si>
  <si>
    <t>20180511CAHIP</t>
  </si>
  <si>
    <t>Highland High School</t>
  </si>
  <si>
    <t>Spring</t>
  </si>
  <si>
    <t>Palmdale</t>
  </si>
  <si>
    <t>CA</t>
  </si>
  <si>
    <t>High</t>
  </si>
  <si>
    <t>Bathroom</t>
  </si>
  <si>
    <t>Inside School Building</t>
  </si>
  <si>
    <t>No</t>
  </si>
  <si>
    <t>Before School</t>
  </si>
  <si>
    <t>Former student fired 10 shots, striking one student, then pointed rifle at random students before walking out of school</t>
  </si>
  <si>
    <t>Indiscriminate Shooting</t>
  </si>
  <si>
    <t>Random Shooting</t>
  </si>
  <si>
    <t>No</t>
  </si>
  <si>
    <t>Yes</t>
  </si>
  <si>
    <t>20180505MIFOF</t>
  </si>
  <si>
    <t>Fowlerville High School</t>
  </si>
  <si>
    <t>Spring</t>
  </si>
  <si>
    <t>Fowlerville</t>
  </si>
  <si>
    <t>MI</t>
  </si>
  <si>
    <t>High</t>
  </si>
  <si>
    <t>Gym</t>
  </si>
  <si>
    <t>Inside School Building</t>
  </si>
  <si>
    <t>No</t>
  </si>
  <si>
    <t>Sport Event</t>
  </si>
  <si>
    <t>Off duty officers gun discharged at wrestling meet in school gym</t>
  </si>
  <si>
    <t>Accidental</t>
  </si>
  <si>
    <t>Neither</t>
  </si>
  <si>
    <t>No</t>
  </si>
  <si>
    <t>N/A</t>
  </si>
  <si>
    <t>20180503SDENW</t>
  </si>
  <si>
    <t>Enemy Swim Day School</t>
  </si>
  <si>
    <t>Spring</t>
  </si>
  <si>
    <t>Waubay</t>
  </si>
  <si>
    <t>SD</t>
  </si>
  <si>
    <t>K-8</t>
  </si>
  <si>
    <t>Field (General)</t>
  </si>
  <si>
    <t>Outside on School Property</t>
  </si>
  <si>
    <t>No</t>
  </si>
  <si>
    <t>Evening</t>
  </si>
  <si>
    <t>School employee shot while walking around property, motive unknown</t>
  </si>
  <si>
    <t>Unknown</t>
  </si>
  <si>
    <t>No</t>
  </si>
  <si>
    <t>20180503TNWAW</t>
  </si>
  <si>
    <t>Waynesboro Elementary School</t>
  </si>
  <si>
    <t>Spring</t>
  </si>
  <si>
    <t>Waynesboro</t>
  </si>
  <si>
    <t>TN</t>
  </si>
  <si>
    <t>High</t>
  </si>
  <si>
    <t>Bathroom</t>
  </si>
  <si>
    <t>Inside School Building</t>
  </si>
  <si>
    <t>Yes</t>
  </si>
  <si>
    <t>Morning Classes</t>
  </si>
  <si>
    <t>Gun accidentally fired in the bathroom</t>
  </si>
  <si>
    <t>Accidental</t>
  </si>
  <si>
    <t>Neither</t>
  </si>
  <si>
    <t>No</t>
  </si>
  <si>
    <t>20180425NMHIA</t>
  </si>
  <si>
    <t>Highland High School</t>
  </si>
  <si>
    <t>Local</t>
  </si>
  <si>
    <t>Spring</t>
  </si>
  <si>
    <t>Albuquerque</t>
  </si>
  <si>
    <t>NM</t>
  </si>
  <si>
    <t>High</t>
  </si>
  <si>
    <t>Front of School</t>
  </si>
  <si>
    <t>Outside on School Property</t>
  </si>
  <si>
    <t>Yes</t>
  </si>
  <si>
    <t>Dismissal</t>
  </si>
  <si>
    <t>Parent shot another parent during argument in pick-up line</t>
  </si>
  <si>
    <t>Escalation of Dispute</t>
  </si>
  <si>
    <t>Victims Targeted</t>
  </si>
  <si>
    <t>No</t>
  </si>
  <si>
    <t>20180423GABEA</t>
  </si>
  <si>
    <t>Benjamin E. Mays High School</t>
  </si>
  <si>
    <t>Local</t>
  </si>
  <si>
    <t>Spring</t>
  </si>
  <si>
    <t>Atlanta</t>
  </si>
  <si>
    <t>GA</t>
  </si>
  <si>
    <t>High</t>
  </si>
  <si>
    <t>Parking Lot</t>
  </si>
  <si>
    <t>Outside on School Property</t>
  </si>
  <si>
    <t>Yes</t>
  </si>
  <si>
    <t>Lunch</t>
  </si>
  <si>
    <t>Shot fired into air during a verbal argument between male and female students</t>
  </si>
  <si>
    <t>Escalation of Dispute</t>
  </si>
  <si>
    <t>Victims Targeted</t>
  </si>
  <si>
    <t>No</t>
  </si>
  <si>
    <t>Yes</t>
  </si>
  <si>
    <t>No</t>
  </si>
  <si>
    <t>20180420FLFOO</t>
  </si>
  <si>
    <t>Forest High School</t>
  </si>
  <si>
    <t>National</t>
  </si>
  <si>
    <t>Spring</t>
  </si>
  <si>
    <t>Ocala</t>
  </si>
  <si>
    <t>FL</t>
  </si>
  <si>
    <t>High</t>
  </si>
  <si>
    <t>Classroom</t>
  </si>
  <si>
    <t>Inside School Building</t>
  </si>
  <si>
    <t>Yes</t>
  </si>
  <si>
    <t>Morning Classes</t>
  </si>
  <si>
    <t>Planned attack on school by heavily armed shooter</t>
  </si>
  <si>
    <t>Indiscriminate Shooting</t>
  </si>
  <si>
    <t>Random Shooting</t>
  </si>
  <si>
    <t>No</t>
  </si>
  <si>
    <t>Yes</t>
  </si>
  <si>
    <t>20180419MIJAJ</t>
  </si>
  <si>
    <t>Jackson High School</t>
  </si>
  <si>
    <t>Spring</t>
  </si>
  <si>
    <t>Jackson</t>
  </si>
  <si>
    <t>MI</t>
  </si>
  <si>
    <t>High</t>
  </si>
  <si>
    <t>Off School Property</t>
  </si>
  <si>
    <t>Yes</t>
  </si>
  <si>
    <t>Afternoon Classes</t>
  </si>
  <si>
    <t>Two shots struck windows of occupied classroom</t>
  </si>
  <si>
    <t>Unknown</t>
  </si>
  <si>
    <t>Neither</t>
  </si>
  <si>
    <t>Unknown</t>
  </si>
  <si>
    <t>No</t>
  </si>
  <si>
    <t>20180412MORAR</t>
  </si>
  <si>
    <t>Rayton South Middle School</t>
  </si>
  <si>
    <t>Spring</t>
  </si>
  <si>
    <t>Rayton</t>
  </si>
  <si>
    <t>MO</t>
  </si>
  <si>
    <t>Middle</t>
  </si>
  <si>
    <t>Parking Lot</t>
  </si>
  <si>
    <t>Outside on School Property</t>
  </si>
  <si>
    <t>No</t>
  </si>
  <si>
    <t>Sport Event</t>
  </si>
  <si>
    <t>Parent shot in parking lot</t>
  </si>
  <si>
    <t>Escalation of Dispute</t>
  </si>
  <si>
    <t>Victims Targeted</t>
  </si>
  <si>
    <t>No</t>
  </si>
  <si>
    <t>20180409NYGLG</t>
  </si>
  <si>
    <t>Gloversville Middle School</t>
  </si>
  <si>
    <t>Local</t>
  </si>
  <si>
    <t>Spring</t>
  </si>
  <si>
    <t>Gloversville</t>
  </si>
  <si>
    <t>NY</t>
  </si>
  <si>
    <t>Middle</t>
  </si>
  <si>
    <t>Hallway</t>
  </si>
  <si>
    <t>Inside School Building</t>
  </si>
  <si>
    <t>Yes</t>
  </si>
  <si>
    <t>Morning Classes</t>
  </si>
  <si>
    <t>Shooter chased victim around school with BB gun</t>
  </si>
  <si>
    <t>Escalation of Dispute</t>
  </si>
  <si>
    <t>Victims Targeted</t>
  </si>
  <si>
    <t>No</t>
  </si>
  <si>
    <t>20180329KYJOE</t>
  </si>
  <si>
    <t>John Hardin High School</t>
  </si>
  <si>
    <t>Spring</t>
  </si>
  <si>
    <t>Elizabethtown</t>
  </si>
  <si>
    <t>KY</t>
  </si>
  <si>
    <t>High</t>
  </si>
  <si>
    <t>Beside Building</t>
  </si>
  <si>
    <t>Outside on School Property</t>
  </si>
  <si>
    <t>Yes</t>
  </si>
  <si>
    <t>Afternoon Classes</t>
  </si>
  <si>
    <t>Father of student killed mother at home, attempted to enter school and take child, shot and killed by officers</t>
  </si>
  <si>
    <t>Domestic w/ Targeted Victim</t>
  </si>
  <si>
    <t>No</t>
  </si>
  <si>
    <t>Yes</t>
  </si>
  <si>
    <t>No</t>
  </si>
  <si>
    <t>20180328MSEUE</t>
  </si>
  <si>
    <t>Eupora High School</t>
  </si>
  <si>
    <t>Local</t>
  </si>
  <si>
    <t>Spring</t>
  </si>
  <si>
    <t>Eupora</t>
  </si>
  <si>
    <t>MS</t>
  </si>
  <si>
    <t>High</t>
  </si>
  <si>
    <t>Field (General)</t>
  </si>
  <si>
    <t>Outside on School Property</t>
  </si>
  <si>
    <t>No</t>
  </si>
  <si>
    <t>After School</t>
  </si>
  <si>
    <t>Fired shots from dirt bike at high school building</t>
  </si>
  <si>
    <t>Illegal Activity</t>
  </si>
  <si>
    <t>Neither</t>
  </si>
  <si>
    <t>No</t>
  </si>
  <si>
    <t>20180320MDGRG</t>
  </si>
  <si>
    <t>Great Mills High School</t>
  </si>
  <si>
    <t>National</t>
  </si>
  <si>
    <t>Spring</t>
  </si>
  <si>
    <t>Great Mills</t>
  </si>
  <si>
    <t>MD</t>
  </si>
  <si>
    <t>High</t>
  </si>
  <si>
    <t>Hallway</t>
  </si>
  <si>
    <t>Inside School Building</t>
  </si>
  <si>
    <t>Yes</t>
  </si>
  <si>
    <t>School Start</t>
  </si>
  <si>
    <t>Shot girlfriend then self in school hallway after recent break-up</t>
  </si>
  <si>
    <t>Murder/Suicide</t>
  </si>
  <si>
    <t>Both</t>
  </si>
  <si>
    <t>No</t>
  </si>
  <si>
    <t>Yes</t>
  </si>
  <si>
    <t>No</t>
  </si>
  <si>
    <t>20180319VADOP</t>
  </si>
  <si>
    <t>Douglass Park Elementary School</t>
  </si>
  <si>
    <t>Spring</t>
  </si>
  <si>
    <t>Portsmouth</t>
  </si>
  <si>
    <t>VA</t>
  </si>
  <si>
    <t>Elementary</t>
  </si>
  <si>
    <t>Parking Lot</t>
  </si>
  <si>
    <t>Off School Property</t>
  </si>
  <si>
    <t>No</t>
  </si>
  <si>
    <t>After School</t>
  </si>
  <si>
    <t>Adult shot outside of school picking up student</t>
  </si>
  <si>
    <t>Accidental</t>
  </si>
  <si>
    <t>Random Shooting</t>
  </si>
  <si>
    <t>No</t>
  </si>
  <si>
    <t>20180316MTBIM</t>
  </si>
  <si>
    <t>Big Sky High School</t>
  </si>
  <si>
    <t>Local</t>
  </si>
  <si>
    <t>Spring</t>
  </si>
  <si>
    <t>Missoula</t>
  </si>
  <si>
    <t>MT</t>
  </si>
  <si>
    <t>High</t>
  </si>
  <si>
    <t>Parking Lot</t>
  </si>
  <si>
    <t>Outside on School Property</t>
  </si>
  <si>
    <t>Yes</t>
  </si>
  <si>
    <t>Lunch</t>
  </si>
  <si>
    <t>SRO firing at student in vehicle in the parking lot</t>
  </si>
  <si>
    <t>Self-defense</t>
  </si>
  <si>
    <t>Victims Targeted</t>
  </si>
  <si>
    <t>No</t>
  </si>
  <si>
    <t>N/A</t>
  </si>
  <si>
    <t>20180313VAGEA</t>
  </si>
  <si>
    <t>George Washington Middle School</t>
  </si>
  <si>
    <t>Regional</t>
  </si>
  <si>
    <t>Spring</t>
  </si>
  <si>
    <t>Alexandria</t>
  </si>
  <si>
    <t>VA</t>
  </si>
  <si>
    <t>Middle</t>
  </si>
  <si>
    <t>Office</t>
  </si>
  <si>
    <t>Inside School Building</t>
  </si>
  <si>
    <t>Yes</t>
  </si>
  <si>
    <t>Morning Classes</t>
  </si>
  <si>
    <t>Accidental discharge while SRO was cleaning weapon</t>
  </si>
  <si>
    <t>Accidental</t>
  </si>
  <si>
    <t>Neither</t>
  </si>
  <si>
    <t>No</t>
  </si>
  <si>
    <t>20180313CASES</t>
  </si>
  <si>
    <t>Seaside High School</t>
  </si>
  <si>
    <t>Spring</t>
  </si>
  <si>
    <t>Seaside</t>
  </si>
  <si>
    <t>CA</t>
  </si>
  <si>
    <t>High</t>
  </si>
  <si>
    <t>Classroom</t>
  </si>
  <si>
    <t>Inside School Building</t>
  </si>
  <si>
    <t>Yes</t>
  </si>
  <si>
    <t>Morning Classes</t>
  </si>
  <si>
    <t>Accidental discharge during teacher's gun safety demonstration</t>
  </si>
  <si>
    <t>Accidental</t>
  </si>
  <si>
    <t>Random Shooting</t>
  </si>
  <si>
    <t>No</t>
  </si>
  <si>
    <t>20180309KYFRL</t>
  </si>
  <si>
    <t>Frederick Douglass High School</t>
  </si>
  <si>
    <t>Spring</t>
  </si>
  <si>
    <t>Lexington</t>
  </si>
  <si>
    <t>KY</t>
  </si>
  <si>
    <t>High</t>
  </si>
  <si>
    <t>Classroom</t>
  </si>
  <si>
    <t>Inside School Building</t>
  </si>
  <si>
    <t>Yes</t>
  </si>
  <si>
    <t>Morning Classes</t>
  </si>
  <si>
    <t>Student shot self in hand with firearm in classroom</t>
  </si>
  <si>
    <t>Accidental</t>
  </si>
  <si>
    <t>Random Shooting</t>
  </si>
  <si>
    <t>No</t>
  </si>
  <si>
    <t>20180307ALHUB</t>
  </si>
  <si>
    <t>Huffman High School</t>
  </si>
  <si>
    <t>Spring</t>
  </si>
  <si>
    <t>Birmingham</t>
  </si>
  <si>
    <t>AL</t>
  </si>
  <si>
    <t>High</t>
  </si>
  <si>
    <t>Inside School Building</t>
  </si>
  <si>
    <t>Yes</t>
  </si>
  <si>
    <t>After School</t>
  </si>
  <si>
    <t>Accidental discharge while showing off gun</t>
  </si>
  <si>
    <t>Accidental</t>
  </si>
  <si>
    <t>Random Shooting</t>
  </si>
  <si>
    <t>No</t>
  </si>
  <si>
    <t>20180305MOKIC</t>
  </si>
  <si>
    <t>Kingston High School</t>
  </si>
  <si>
    <t>Spring</t>
  </si>
  <si>
    <t>Cadet</t>
  </si>
  <si>
    <t>MO</t>
  </si>
  <si>
    <t>K-12</t>
  </si>
  <si>
    <t>Classroom</t>
  </si>
  <si>
    <t>Inside School Building</t>
  </si>
  <si>
    <t>Yes</t>
  </si>
  <si>
    <t>School Start</t>
  </si>
  <si>
    <t>Student shot self in bathroom</t>
  </si>
  <si>
    <t>Suicide/Attempted</t>
  </si>
  <si>
    <t>Victims Targeted</t>
  </si>
  <si>
    <t>No</t>
  </si>
  <si>
    <t>20180228GADAD</t>
  </si>
  <si>
    <t>Dalton High School</t>
  </si>
  <si>
    <t>National</t>
  </si>
  <si>
    <t>Winter</t>
  </si>
  <si>
    <t>Dalton</t>
  </si>
  <si>
    <t>GA</t>
  </si>
  <si>
    <t>High</t>
  </si>
  <si>
    <t>Classroom</t>
  </si>
  <si>
    <t>Inside School Building</t>
  </si>
  <si>
    <t>Yes</t>
  </si>
  <si>
    <t>Morning Classes</t>
  </si>
  <si>
    <t>Teacher with gun barricaded in classroom, surrendered to SRO after being talked down</t>
  </si>
  <si>
    <t>Psychosis</t>
  </si>
  <si>
    <t>Neither</t>
  </si>
  <si>
    <t>No</t>
  </si>
  <si>
    <t>Yes</t>
  </si>
  <si>
    <t>No</t>
  </si>
  <si>
    <t>Yes</t>
  </si>
  <si>
    <t>20180226WAOAT</t>
  </si>
  <si>
    <t>Oakland High School</t>
  </si>
  <si>
    <t>Winter</t>
  </si>
  <si>
    <t>Tacoma</t>
  </si>
  <si>
    <t>WA</t>
  </si>
  <si>
    <t>High</t>
  </si>
  <si>
    <t>Bathroom</t>
  </si>
  <si>
    <t>Inside School Building</t>
  </si>
  <si>
    <t>Yes</t>
  </si>
  <si>
    <t>Lunch</t>
  </si>
  <si>
    <t>Gun discharged in bathroom striking floor, students fled</t>
  </si>
  <si>
    <t>Accidental</t>
  </si>
  <si>
    <t>Neither</t>
  </si>
  <si>
    <t>Yes</t>
  </si>
  <si>
    <t>No</t>
  </si>
  <si>
    <t>20180220OHJAM</t>
  </si>
  <si>
    <t>Jackson Memorial Middle School</t>
  </si>
  <si>
    <t>Winter</t>
  </si>
  <si>
    <t>Massillon</t>
  </si>
  <si>
    <t>OH</t>
  </si>
  <si>
    <t>Middle</t>
  </si>
  <si>
    <t>Bathroom</t>
  </si>
  <si>
    <t>Inside School Building</t>
  </si>
  <si>
    <t>Yes</t>
  </si>
  <si>
    <t>School Start</t>
  </si>
  <si>
    <t>Planned attack, walked out of bathroom then immediately back in, shot himself in head</t>
  </si>
  <si>
    <t>Indiscriminate Shooting</t>
  </si>
  <si>
    <t>Victims Targeted</t>
  </si>
  <si>
    <t>No</t>
  </si>
  <si>
    <t>20180215FLNOC</t>
  </si>
  <si>
    <t>North Broward Preparatory School</t>
  </si>
  <si>
    <t>Winter</t>
  </si>
  <si>
    <t>Coconut Creek</t>
  </si>
  <si>
    <t>FL</t>
  </si>
  <si>
    <t>K-12</t>
  </si>
  <si>
    <t>Hallway</t>
  </si>
  <si>
    <t>Inside School Building</t>
  </si>
  <si>
    <t>Yes</t>
  </si>
  <si>
    <t>Morning Classes</t>
  </si>
  <si>
    <t>Officer accidentally fired while responding to a call at the school</t>
  </si>
  <si>
    <t>Accidental</t>
  </si>
  <si>
    <t>Random Shooting</t>
  </si>
  <si>
    <t>No</t>
  </si>
  <si>
    <t>N/A</t>
  </si>
  <si>
    <t>No</t>
  </si>
  <si>
    <t>20180214FLMAP</t>
  </si>
  <si>
    <t>Marjory Stoneman Douglas High School</t>
  </si>
  <si>
    <t>International</t>
  </si>
  <si>
    <t>Winter</t>
  </si>
  <si>
    <t>Parkland</t>
  </si>
  <si>
    <t>FL</t>
  </si>
  <si>
    <t>High</t>
  </si>
  <si>
    <t>Hallway</t>
  </si>
  <si>
    <t>Inside School Building</t>
  </si>
  <si>
    <t>Yes</t>
  </si>
  <si>
    <t>Afternoon Classes</t>
  </si>
  <si>
    <t>Planned attack by former student</t>
  </si>
  <si>
    <t>Indiscriminate Shooting</t>
  </si>
  <si>
    <t>Random Shooting</t>
  </si>
  <si>
    <t>No</t>
  </si>
  <si>
    <t>Yes</t>
  </si>
  <si>
    <t>20180209TNPEN</t>
  </si>
  <si>
    <t>Peal-Cohn High School</t>
  </si>
  <si>
    <t>Regional</t>
  </si>
  <si>
    <t>Winter</t>
  </si>
  <si>
    <t>Nashville</t>
  </si>
  <si>
    <t>TN</t>
  </si>
  <si>
    <t>High</t>
  </si>
  <si>
    <t>Parking Lot</t>
  </si>
  <si>
    <t>Outside on School Property</t>
  </si>
  <si>
    <t>No</t>
  </si>
  <si>
    <t>Dismissal</t>
  </si>
  <si>
    <t>Gang related shooting in parking lot</t>
  </si>
  <si>
    <t>Escalation of Dispute</t>
  </si>
  <si>
    <t>Victims Targeted</t>
  </si>
  <si>
    <t>No</t>
  </si>
  <si>
    <t>20180208NYTHN</t>
  </si>
  <si>
    <t>The Metropolitan High School</t>
  </si>
  <si>
    <t>Winter</t>
  </si>
  <si>
    <t>New York</t>
  </si>
  <si>
    <t>NY</t>
  </si>
  <si>
    <t>High</t>
  </si>
  <si>
    <t>Classroom</t>
  </si>
  <si>
    <t>Inside School Building</t>
  </si>
  <si>
    <t>Yes</t>
  </si>
  <si>
    <t>Afternoon Classes</t>
  </si>
  <si>
    <t>Single gun shot struck floor of classroom, student arrested</t>
  </si>
  <si>
    <t>Accidental</t>
  </si>
  <si>
    <t>No</t>
  </si>
  <si>
    <t>20180205MNHAM</t>
  </si>
  <si>
    <t>Harmony Learning Center</t>
  </si>
  <si>
    <t>Winter</t>
  </si>
  <si>
    <t>Maplewood</t>
  </si>
  <si>
    <t>MN</t>
  </si>
  <si>
    <t>Elementary</t>
  </si>
  <si>
    <t>Front of School</t>
  </si>
  <si>
    <t>Outside on School Property</t>
  </si>
  <si>
    <t>Yes</t>
  </si>
  <si>
    <t>Afternoon Classes</t>
  </si>
  <si>
    <t>Student pulled trigger on gun in officer's holster</t>
  </si>
  <si>
    <t>Accidental</t>
  </si>
  <si>
    <t>Neither</t>
  </si>
  <si>
    <t>No</t>
  </si>
  <si>
    <t>20180205MDOXO</t>
  </si>
  <si>
    <t>Oxon Hill High School</t>
  </si>
  <si>
    <t>International</t>
  </si>
  <si>
    <t>Winter</t>
  </si>
  <si>
    <t>Oxon Hill</t>
  </si>
  <si>
    <t>MD</t>
  </si>
  <si>
    <t>High</t>
  </si>
  <si>
    <t>Parking Lot</t>
  </si>
  <si>
    <t>Outside on School Property</t>
  </si>
  <si>
    <t>No</t>
  </si>
  <si>
    <t>Evening</t>
  </si>
  <si>
    <t>Robbery in school parking lot</t>
  </si>
  <si>
    <t>Illegal Activity</t>
  </si>
  <si>
    <t>Victims Targeted</t>
  </si>
  <si>
    <t>No</t>
  </si>
  <si>
    <t>20180201CASAL</t>
  </si>
  <si>
    <t>Salvador B. Castro Middle School</t>
  </si>
  <si>
    <t>Regional</t>
  </si>
  <si>
    <t>Winter</t>
  </si>
  <si>
    <t>Los Angeles</t>
  </si>
  <si>
    <t>CA</t>
  </si>
  <si>
    <t>Middle</t>
  </si>
  <si>
    <t>Classroom</t>
  </si>
  <si>
    <t>Inside School Building</t>
  </si>
  <si>
    <t>Yes</t>
  </si>
  <si>
    <t>Morning Classes</t>
  </si>
  <si>
    <t>Accidental Discharge Inside of Backpack; possible bullying</t>
  </si>
  <si>
    <t>Accidental</t>
  </si>
  <si>
    <t>Random Shooting</t>
  </si>
  <si>
    <t>No</t>
  </si>
  <si>
    <t>Yes</t>
  </si>
  <si>
    <t>No</t>
  </si>
  <si>
    <t>20180131PALIP</t>
  </si>
  <si>
    <t>Lincoln High School</t>
  </si>
  <si>
    <t>Local</t>
  </si>
  <si>
    <t>Winter</t>
  </si>
  <si>
    <t>Philadelphia</t>
  </si>
  <si>
    <t>PA</t>
  </si>
  <si>
    <t>High</t>
  </si>
  <si>
    <t>Parking Lot</t>
  </si>
  <si>
    <t>Outside on School Property</t>
  </si>
  <si>
    <t>No</t>
  </si>
  <si>
    <t>Sport Event</t>
  </si>
  <si>
    <t>Fight in parking lot after basketball game</t>
  </si>
  <si>
    <t>Escalation of Dispute</t>
  </si>
  <si>
    <t>Random Shooting</t>
  </si>
  <si>
    <t>No</t>
  </si>
  <si>
    <t>20180126MIDED</t>
  </si>
  <si>
    <t>Dearborn High School</t>
  </si>
  <si>
    <t>Winter</t>
  </si>
  <si>
    <t>Dearborn</t>
  </si>
  <si>
    <t>MI</t>
  </si>
  <si>
    <t>High</t>
  </si>
  <si>
    <t>Parking Lot</t>
  </si>
  <si>
    <t>Outside on School Property</t>
  </si>
  <si>
    <t>No</t>
  </si>
  <si>
    <t>Sport Event</t>
  </si>
  <si>
    <t>Fight in the hallway between students resulted in shooting in the parking lot</t>
  </si>
  <si>
    <t>Escalation of Dispute</t>
  </si>
  <si>
    <t>Yes</t>
  </si>
  <si>
    <t>No</t>
  </si>
  <si>
    <t>20180125ALMUM</t>
  </si>
  <si>
    <t>Murphy High School</t>
  </si>
  <si>
    <t>Local</t>
  </si>
  <si>
    <t>Winter</t>
  </si>
  <si>
    <t>Mobile</t>
  </si>
  <si>
    <t>AL</t>
  </si>
  <si>
    <t>High</t>
  </si>
  <si>
    <t>Beside Building</t>
  </si>
  <si>
    <t>Outside on School Property</t>
  </si>
  <si>
    <t>Yes</t>
  </si>
  <si>
    <t>Morning Classes</t>
  </si>
  <si>
    <t>Argument escalated</t>
  </si>
  <si>
    <t>Escalation of Dispute</t>
  </si>
  <si>
    <t>Victims Targeted</t>
  </si>
  <si>
    <t>No</t>
  </si>
  <si>
    <t>20180123KYMAB</t>
  </si>
  <si>
    <t>Marshall County High School</t>
  </si>
  <si>
    <t>National</t>
  </si>
  <si>
    <t>Winter</t>
  </si>
  <si>
    <t>Benton</t>
  </si>
  <si>
    <t>KY</t>
  </si>
  <si>
    <t>High</t>
  </si>
  <si>
    <t>Hallway</t>
  </si>
  <si>
    <t>Inside School Building</t>
  </si>
  <si>
    <t>Yes</t>
  </si>
  <si>
    <t>Morning Classes</t>
  </si>
  <si>
    <t>Planned attack. Shooting was science experiment to see how people reacted; belief human life has no purpose.</t>
  </si>
  <si>
    <t>Indiscriminate Shooting</t>
  </si>
  <si>
    <t>Random Shooting</t>
  </si>
  <si>
    <t>No</t>
  </si>
  <si>
    <t>Yes</t>
  </si>
  <si>
    <t>20180122LANEN</t>
  </si>
  <si>
    <t>NET Charter High School</t>
  </si>
  <si>
    <t>Local</t>
  </si>
  <si>
    <t>Winter</t>
  </si>
  <si>
    <t>New Orleans</t>
  </si>
  <si>
    <t>LA</t>
  </si>
  <si>
    <t>High</t>
  </si>
  <si>
    <t>Front of School</t>
  </si>
  <si>
    <t>Outside on School Property</t>
  </si>
  <si>
    <t>Yes</t>
  </si>
  <si>
    <t>Afternoon Classes</t>
  </si>
  <si>
    <t>Drive-by shooting in front of school</t>
  </si>
  <si>
    <t>Drive-by Shooting</t>
  </si>
  <si>
    <t>Victims Targeted</t>
  </si>
  <si>
    <t>No</t>
  </si>
  <si>
    <t>20180122TXITI</t>
  </si>
  <si>
    <t>Italy High School</t>
  </si>
  <si>
    <t>National</t>
  </si>
  <si>
    <t>Winter</t>
  </si>
  <si>
    <t>Italy</t>
  </si>
  <si>
    <t>TX</t>
  </si>
  <si>
    <t>High</t>
  </si>
  <si>
    <t>Cafeteria</t>
  </si>
  <si>
    <t>Inside School Building</t>
  </si>
  <si>
    <t>Yes</t>
  </si>
  <si>
    <t>Before School</t>
  </si>
  <si>
    <t>Shot ex-girlfriend after break-up</t>
  </si>
  <si>
    <t>Domestic w/ Targeted Victim</t>
  </si>
  <si>
    <t>Victims Targeted</t>
  </si>
  <si>
    <t>No</t>
  </si>
  <si>
    <t>Yes</t>
  </si>
  <si>
    <t>20180116VTMOM</t>
  </si>
  <si>
    <t>Montpelier High School</t>
  </si>
  <si>
    <t>Winter</t>
  </si>
  <si>
    <t>Montpelier</t>
  </si>
  <si>
    <t>VT</t>
  </si>
  <si>
    <t>High</t>
  </si>
  <si>
    <t>Outside on School Property</t>
  </si>
  <si>
    <t>Yes</t>
  </si>
  <si>
    <t>Morning Classes</t>
  </si>
  <si>
    <t>Armed bank robber shot by officers outside of school</t>
  </si>
  <si>
    <t>Illegal Activity</t>
  </si>
  <si>
    <t>Victims Targeted</t>
  </si>
  <si>
    <t>No</t>
  </si>
  <si>
    <t>N/A</t>
  </si>
  <si>
    <t>No</t>
  </si>
  <si>
    <t>20180109AZCOS</t>
  </si>
  <si>
    <t>Coronado Elementary School</t>
  </si>
  <si>
    <t>Local</t>
  </si>
  <si>
    <t>Winter</t>
  </si>
  <si>
    <t>Sierra Vista</t>
  </si>
  <si>
    <t>AZ</t>
  </si>
  <si>
    <t>Elementary</t>
  </si>
  <si>
    <t>Inside School Building</t>
  </si>
  <si>
    <t>Yes</t>
  </si>
  <si>
    <t>Morning Classes</t>
  </si>
  <si>
    <t>Suicide inside of school</t>
  </si>
  <si>
    <t>Suicide/Attempted</t>
  </si>
  <si>
    <t>Victims Targeted</t>
  </si>
  <si>
    <t>No</t>
  </si>
  <si>
    <t>20180105IAFOF</t>
  </si>
  <si>
    <t>Forest City School Bus</t>
  </si>
  <si>
    <t>Winter</t>
  </si>
  <si>
    <t>Forest City</t>
  </si>
  <si>
    <t>IA</t>
  </si>
  <si>
    <t>School Bus</t>
  </si>
  <si>
    <t>Yes</t>
  </si>
  <si>
    <t>Before School</t>
  </si>
  <si>
    <t>Shot occupied school bus with high-powered air rifle breaking window</t>
  </si>
  <si>
    <t>Intentional Property Damage</t>
  </si>
  <si>
    <t>Neither</t>
  </si>
  <si>
    <t>No</t>
  </si>
  <si>
    <t>20180104WANES</t>
  </si>
  <si>
    <t>New Start High School</t>
  </si>
  <si>
    <t>Winter</t>
  </si>
  <si>
    <t>Seattle</t>
  </si>
  <si>
    <t>WA</t>
  </si>
  <si>
    <t>High</t>
  </si>
  <si>
    <t>Front of School</t>
  </si>
  <si>
    <t>Outside on School Property</t>
  </si>
  <si>
    <t>Yes</t>
  </si>
  <si>
    <t>Afternoon Classes</t>
  </si>
  <si>
    <t>Damage to school property</t>
  </si>
  <si>
    <t>Intentional Property Damage</t>
  </si>
  <si>
    <t>NA</t>
  </si>
  <si>
    <t>No</t>
  </si>
  <si>
    <t>N/A</t>
  </si>
  <si>
    <t>No</t>
  </si>
  <si>
    <t>20171231WAPIM</t>
  </si>
  <si>
    <t>Pinewood Elementary School</t>
  </si>
  <si>
    <t>Winter</t>
  </si>
  <si>
    <t>Marysville</t>
  </si>
  <si>
    <t>WA</t>
  </si>
  <si>
    <t>Elementary</t>
  </si>
  <si>
    <t>Beside Building</t>
  </si>
  <si>
    <t>Outside on School Property</t>
  </si>
  <si>
    <t>No</t>
  </si>
  <si>
    <t>Not a School Day</t>
  </si>
  <si>
    <t>Two teens fired shots at school breaking windows</t>
  </si>
  <si>
    <t>Intentional Property Damage</t>
  </si>
  <si>
    <t>Neither</t>
  </si>
  <si>
    <t>Yes</t>
  </si>
  <si>
    <t>No</t>
  </si>
  <si>
    <t>20171231LAEDA</t>
  </si>
  <si>
    <t>Edna Karr High School</t>
  </si>
  <si>
    <t>Winter</t>
  </si>
  <si>
    <t>Algiers</t>
  </si>
  <si>
    <t>LA</t>
  </si>
  <si>
    <t>High</t>
  </si>
  <si>
    <t>Parking Lot</t>
  </si>
  <si>
    <t>Outside on School Property</t>
  </si>
  <si>
    <t>No</t>
  </si>
  <si>
    <t>Sport Event</t>
  </si>
  <si>
    <t>Drive-by in parking lot outside of school during basketball game</t>
  </si>
  <si>
    <t>Drive-by Shooting</t>
  </si>
  <si>
    <t>Victims Targeted</t>
  </si>
  <si>
    <t>Yes</t>
  </si>
  <si>
    <t>No</t>
  </si>
  <si>
    <t>20171227CALIL</t>
  </si>
  <si>
    <t>Lincoln Elementary School</t>
  </si>
  <si>
    <t>Winter</t>
  </si>
  <si>
    <t>Lancaster</t>
  </si>
  <si>
    <t>CA</t>
  </si>
  <si>
    <t>Elementary</t>
  </si>
  <si>
    <t>Parking Lot</t>
  </si>
  <si>
    <t>Outside on School Property</t>
  </si>
  <si>
    <t>No</t>
  </si>
  <si>
    <t>Evening</t>
  </si>
  <si>
    <t>Attempted to stop domestic then fled scene</t>
  </si>
  <si>
    <t>Domestic w/ Targeted Victim</t>
  </si>
  <si>
    <t>Victims Targeted</t>
  </si>
  <si>
    <t>No</t>
  </si>
  <si>
    <t>20171219MIBEB</t>
  </si>
  <si>
    <t>Beecher High School</t>
  </si>
  <si>
    <t>Winter</t>
  </si>
  <si>
    <t>Beecher</t>
  </si>
  <si>
    <t>MI</t>
  </si>
  <si>
    <t>High</t>
  </si>
  <si>
    <t>Parking Lot</t>
  </si>
  <si>
    <t>Outside on School Property</t>
  </si>
  <si>
    <t>No</t>
  </si>
  <si>
    <t>Sport Event</t>
  </si>
  <si>
    <t>Student shot in parking lot after basketball game</t>
  </si>
  <si>
    <t>Escalation of Dispute</t>
  </si>
  <si>
    <t>Victims Targeted</t>
  </si>
  <si>
    <t>Yes</t>
  </si>
  <si>
    <t>No</t>
  </si>
  <si>
    <t>20171214TXELD</t>
  </si>
  <si>
    <t>Elisha M. Pease Elementary School</t>
  </si>
  <si>
    <t>Winter</t>
  </si>
  <si>
    <t>Dallas</t>
  </si>
  <si>
    <t>TX</t>
  </si>
  <si>
    <t>Elementary</t>
  </si>
  <si>
    <t>Classroom</t>
  </si>
  <si>
    <t>Inside School Building</t>
  </si>
  <si>
    <t>Yes</t>
  </si>
  <si>
    <t>Dismissal</t>
  </si>
  <si>
    <t>Gun in backpack of 3rd grader discharged</t>
  </si>
  <si>
    <t>Accidental</t>
  </si>
  <si>
    <t>Neither</t>
  </si>
  <si>
    <t>No</t>
  </si>
  <si>
    <t>20171212TXSAP</t>
  </si>
  <si>
    <t>Sam Rayburn High School</t>
  </si>
  <si>
    <t>Winter</t>
  </si>
  <si>
    <t>Pasadena</t>
  </si>
  <si>
    <t>TX</t>
  </si>
  <si>
    <t>High</t>
  </si>
  <si>
    <t>Parking Lot</t>
  </si>
  <si>
    <t>Outside on School Property</t>
  </si>
  <si>
    <t>No</t>
  </si>
  <si>
    <t>School Event</t>
  </si>
  <si>
    <t>Accidental discharge in car striking both occupants</t>
  </si>
  <si>
    <t>Accidental</t>
  </si>
  <si>
    <t>Random Shooting</t>
  </si>
  <si>
    <t>Yes</t>
  </si>
  <si>
    <t>No</t>
  </si>
  <si>
    <t>20171211NCHIH</t>
  </si>
  <si>
    <t>High Point Central High School</t>
  </si>
  <si>
    <t>Regional</t>
  </si>
  <si>
    <t>Winter</t>
  </si>
  <si>
    <t>High Point</t>
  </si>
  <si>
    <t>NC</t>
  </si>
  <si>
    <t>High</t>
  </si>
  <si>
    <t>Cafeteria</t>
  </si>
  <si>
    <t>Inside School Building</t>
  </si>
  <si>
    <t>Yes</t>
  </si>
  <si>
    <t>Afternoon Classes</t>
  </si>
  <si>
    <t>Gang-related shooting near cafeteria</t>
  </si>
  <si>
    <t>Escalation of Dispute</t>
  </si>
  <si>
    <t>Victims Targeted</t>
  </si>
  <si>
    <t>No</t>
  </si>
  <si>
    <t>20171209ILCHC</t>
  </si>
  <si>
    <t>Champaign Central High School</t>
  </si>
  <si>
    <t>Winter</t>
  </si>
  <si>
    <t>Champaign</t>
  </si>
  <si>
    <t>IL</t>
  </si>
  <si>
    <t>High</t>
  </si>
  <si>
    <t>Parking Lot</t>
  </si>
  <si>
    <t>Outside on School Property</t>
  </si>
  <si>
    <t>No</t>
  </si>
  <si>
    <t>Sport Event</t>
  </si>
  <si>
    <t>Shots fired during fight after basketball game</t>
  </si>
  <si>
    <t>Escalation of Dispute</t>
  </si>
  <si>
    <t>Both</t>
  </si>
  <si>
    <t>No</t>
  </si>
  <si>
    <t>20171207NMAZA</t>
  </si>
  <si>
    <t>Aztec High School</t>
  </si>
  <si>
    <t>National</t>
  </si>
  <si>
    <t>Winter</t>
  </si>
  <si>
    <t>Aztec</t>
  </si>
  <si>
    <t>NM</t>
  </si>
  <si>
    <t>High</t>
  </si>
  <si>
    <t>Classroom</t>
  </si>
  <si>
    <t>Inside School Building</t>
  </si>
  <si>
    <t>Yes</t>
  </si>
  <si>
    <t>Morning Classes</t>
  </si>
  <si>
    <t>Planned mass shooting attack by former student</t>
  </si>
  <si>
    <t>Indiscriminate Shooting</t>
  </si>
  <si>
    <t>Random Shooting</t>
  </si>
  <si>
    <t>No</t>
  </si>
  <si>
    <t>Yes</t>
  </si>
  <si>
    <t>No</t>
  </si>
  <si>
    <t>Yes</t>
  </si>
  <si>
    <t>20171130VASAV</t>
  </si>
  <si>
    <t>Salem High School</t>
  </si>
  <si>
    <t>Fall</t>
  </si>
  <si>
    <t>Virginia Beach</t>
  </si>
  <si>
    <t>VA</t>
  </si>
  <si>
    <t>High</t>
  </si>
  <si>
    <t>Inside School Building</t>
  </si>
  <si>
    <t>Yes</t>
  </si>
  <si>
    <t>School Start</t>
  </si>
  <si>
    <t>Student commit suicide in school</t>
  </si>
  <si>
    <t>Suicide/Attempted</t>
  </si>
  <si>
    <t>Victims Targeted</t>
  </si>
  <si>
    <t>No</t>
  </si>
  <si>
    <t>20171129OHBAL</t>
  </si>
  <si>
    <t>Bath High School</t>
  </si>
  <si>
    <t>Fall</t>
  </si>
  <si>
    <t>Lima</t>
  </si>
  <si>
    <t>OH</t>
  </si>
  <si>
    <t>High</t>
  </si>
  <si>
    <t>Gym</t>
  </si>
  <si>
    <t>Inside School Building</t>
  </si>
  <si>
    <t>No</t>
  </si>
  <si>
    <t>Evening</t>
  </si>
  <si>
    <t>Gun discharged in man's pocket while at basketball referees' meeting</t>
  </si>
  <si>
    <t>Accidental</t>
  </si>
  <si>
    <t>Neither</t>
  </si>
  <si>
    <t>No</t>
  </si>
  <si>
    <t>20171128CABOS</t>
  </si>
  <si>
    <t>Booksin Elementary School</t>
  </si>
  <si>
    <t>Fall</t>
  </si>
  <si>
    <t>San Jose</t>
  </si>
  <si>
    <t>CA</t>
  </si>
  <si>
    <t>Elementary</t>
  </si>
  <si>
    <t>Beside Building</t>
  </si>
  <si>
    <t>Outside on School Property</t>
  </si>
  <si>
    <t>No</t>
  </si>
  <si>
    <t>Night</t>
  </si>
  <si>
    <t>Shot school security cameras</t>
  </si>
  <si>
    <t>Intentional Property Damage</t>
  </si>
  <si>
    <t>NA</t>
  </si>
  <si>
    <t>No</t>
  </si>
  <si>
    <t>N/A</t>
  </si>
  <si>
    <t>No</t>
  </si>
  <si>
    <t>20171123COMAD</t>
  </si>
  <si>
    <t>Manual High School</t>
  </si>
  <si>
    <t>Fall</t>
  </si>
  <si>
    <t>Denver</t>
  </si>
  <si>
    <t>CO</t>
  </si>
  <si>
    <t>High</t>
  </si>
  <si>
    <t>Parking Lot</t>
  </si>
  <si>
    <t>Outside on School Property</t>
  </si>
  <si>
    <t>No</t>
  </si>
  <si>
    <t>Not a School Day</t>
  </si>
  <si>
    <t>Three gunman fired multiple shots at 3 victims inside of car in school parking lot</t>
  </si>
  <si>
    <t>Escalation of Dispute</t>
  </si>
  <si>
    <t>Yes</t>
  </si>
  <si>
    <t>No</t>
  </si>
  <si>
    <t>20171117TNNOJ</t>
  </si>
  <si>
    <t>North Side High School</t>
  </si>
  <si>
    <t>Fall</t>
  </si>
  <si>
    <t>Jackson</t>
  </si>
  <si>
    <t>TN</t>
  </si>
  <si>
    <t>High</t>
  </si>
  <si>
    <t>Parking Lot</t>
  </si>
  <si>
    <t>Outside on School Property</t>
  </si>
  <si>
    <t>No</t>
  </si>
  <si>
    <t>Evening</t>
  </si>
  <si>
    <t>Shots fired in parking lot of school, school locked down, no injuries or suspect</t>
  </si>
  <si>
    <t>Escalation of Dispute</t>
  </si>
  <si>
    <t>Unknown</t>
  </si>
  <si>
    <t>No</t>
  </si>
  <si>
    <t>20171114FLLAM</t>
  </si>
  <si>
    <t>Lake Minneola High School</t>
  </si>
  <si>
    <t>Fall</t>
  </si>
  <si>
    <t>Minneola</t>
  </si>
  <si>
    <t>FL</t>
  </si>
  <si>
    <t>High</t>
  </si>
  <si>
    <t>Parking Lot</t>
  </si>
  <si>
    <t>Outside on School Property</t>
  </si>
  <si>
    <t>Yes</t>
  </si>
  <si>
    <t>Morning Classes</t>
  </si>
  <si>
    <t>Suicide outside of school building</t>
  </si>
  <si>
    <t>Suicide/Attempted</t>
  </si>
  <si>
    <t>Victims Targeted</t>
  </si>
  <si>
    <t>No</t>
  </si>
  <si>
    <t>20171114CARAR</t>
  </si>
  <si>
    <t>Rancho Tehama Elementary School</t>
  </si>
  <si>
    <t>National</t>
  </si>
  <si>
    <t>Fall</t>
  </si>
  <si>
    <t>Corning</t>
  </si>
  <si>
    <t>CA</t>
  </si>
  <si>
    <t>Elementary</t>
  </si>
  <si>
    <t>Beside Building</t>
  </si>
  <si>
    <t>Outside on School Property</t>
  </si>
  <si>
    <t>Yes</t>
  </si>
  <si>
    <t>Morning Classes</t>
  </si>
  <si>
    <t>Man on methamphetamine was denied entry to school and fired shots at the building wounding 5 students</t>
  </si>
  <si>
    <t>Indiscriminate Shooting</t>
  </si>
  <si>
    <t>Random Shooting</t>
  </si>
  <si>
    <t>No</t>
  </si>
  <si>
    <t>Yes</t>
  </si>
  <si>
    <t>20171110GALAM</t>
  </si>
  <si>
    <t>Lakeview Academy</t>
  </si>
  <si>
    <t>Fall</t>
  </si>
  <si>
    <t>Milledgeville</t>
  </si>
  <si>
    <t>GA</t>
  </si>
  <si>
    <t>Elementary</t>
  </si>
  <si>
    <t>Classroom</t>
  </si>
  <si>
    <t>Inside School Building</t>
  </si>
  <si>
    <t>Yes</t>
  </si>
  <si>
    <t>Morning Classes</t>
  </si>
  <si>
    <t>Gun in backpack discharged when student got book out</t>
  </si>
  <si>
    <t>Accidental</t>
  </si>
  <si>
    <t>Neither</t>
  </si>
  <si>
    <t>No</t>
  </si>
  <si>
    <t>20171109GABEC</t>
  </si>
  <si>
    <t>Benjamin Banneker High School</t>
  </si>
  <si>
    <t>National</t>
  </si>
  <si>
    <t>Fall</t>
  </si>
  <si>
    <t>College Park</t>
  </si>
  <si>
    <t>GA</t>
  </si>
  <si>
    <t>High</t>
  </si>
  <si>
    <t>Classroom</t>
  </si>
  <si>
    <t>Inside School Building</t>
  </si>
  <si>
    <t>Yes</t>
  </si>
  <si>
    <t>Afternoon Classes</t>
  </si>
  <si>
    <t>Accidental discharge while showing off gun in classroom</t>
  </si>
  <si>
    <t>Accidental</t>
  </si>
  <si>
    <t>Neither</t>
  </si>
  <si>
    <t>No</t>
  </si>
  <si>
    <t>20171103MIPAL</t>
  </si>
  <si>
    <t>Pattengill Academy</t>
  </si>
  <si>
    <t>Regional</t>
  </si>
  <si>
    <t>Fall</t>
  </si>
  <si>
    <t>Lansing</t>
  </si>
  <si>
    <t>MI</t>
  </si>
  <si>
    <t>Middle</t>
  </si>
  <si>
    <t>Parking Lot</t>
  </si>
  <si>
    <t>Outside on School Property</t>
  </si>
  <si>
    <t>Yes</t>
  </si>
  <si>
    <t>Dismissal</t>
  </si>
  <si>
    <t>Accidental discharge handling gun in school parking lot</t>
  </si>
  <si>
    <t>Accidental</t>
  </si>
  <si>
    <t>Neither</t>
  </si>
  <si>
    <t>No</t>
  </si>
  <si>
    <t>20171027NYPRU</t>
  </si>
  <si>
    <t>Proctor High School</t>
  </si>
  <si>
    <t>Fall</t>
  </si>
  <si>
    <t>Utica</t>
  </si>
  <si>
    <t>NY</t>
  </si>
  <si>
    <t>High</t>
  </si>
  <si>
    <t>Parking Lot (Bus)</t>
  </si>
  <si>
    <t>Outside on School Property</t>
  </si>
  <si>
    <t>Yes</t>
  </si>
  <si>
    <t>Dismissal</t>
  </si>
  <si>
    <t>Shots fired a person in school parking lot, missed and struck occupied school bus</t>
  </si>
  <si>
    <t>Drive-by Shooting</t>
  </si>
  <si>
    <t>Victims Targeted</t>
  </si>
  <si>
    <t>No</t>
  </si>
  <si>
    <t>20171020OHSTT</t>
  </si>
  <si>
    <t>Start High School</t>
  </si>
  <si>
    <t>Fall</t>
  </si>
  <si>
    <t>Toledo</t>
  </si>
  <si>
    <t>OH</t>
  </si>
  <si>
    <t>High</t>
  </si>
  <si>
    <t>Parking Lot</t>
  </si>
  <si>
    <t>Outside on School Property</t>
  </si>
  <si>
    <t>No</t>
  </si>
  <si>
    <t>Sport Event</t>
  </si>
  <si>
    <t>Shots fired in parking lot during football game</t>
  </si>
  <si>
    <t>Escalation of Dispute</t>
  </si>
  <si>
    <t>No</t>
  </si>
  <si>
    <t>20171014NCKEK</t>
  </si>
  <si>
    <t>Kernersville Elementary School</t>
  </si>
  <si>
    <t>Fall</t>
  </si>
  <si>
    <t>Kernersville</t>
  </si>
  <si>
    <t>NC</t>
  </si>
  <si>
    <t>Elementary</t>
  </si>
  <si>
    <t>Football Field/Track</t>
  </si>
  <si>
    <t>Outside on School Property</t>
  </si>
  <si>
    <t>No</t>
  </si>
  <si>
    <t>Sport Event</t>
  </si>
  <si>
    <t>Shot fired by parent during struggle with police officer during youth football game</t>
  </si>
  <si>
    <t>Escalation of Dispute</t>
  </si>
  <si>
    <t>Victims Targeted</t>
  </si>
  <si>
    <t>No</t>
  </si>
  <si>
    <t>20171012NCCHC</t>
  </si>
  <si>
    <t>Charlotte School Bus</t>
  </si>
  <si>
    <t>Fall</t>
  </si>
  <si>
    <t>Charlotte</t>
  </si>
  <si>
    <t>NC</t>
  </si>
  <si>
    <t>School Bus</t>
  </si>
  <si>
    <t>Yes</t>
  </si>
  <si>
    <t>School Start</t>
  </si>
  <si>
    <t>Bus with students struck by shots fired during drug dispute</t>
  </si>
  <si>
    <t>Escalation of Dispute</t>
  </si>
  <si>
    <t>Random Shooting</t>
  </si>
  <si>
    <t>No</t>
  </si>
  <si>
    <t>20170930PAPUC</t>
  </si>
  <si>
    <t>Purchase Line Elementary School</t>
  </si>
  <si>
    <t>Fall</t>
  </si>
  <si>
    <t>Commodore</t>
  </si>
  <si>
    <t>PA</t>
  </si>
  <si>
    <t>Elementary</t>
  </si>
  <si>
    <t>Parking Lot</t>
  </si>
  <si>
    <t>Outside on School Property</t>
  </si>
  <si>
    <t>No</t>
  </si>
  <si>
    <t>Night</t>
  </si>
  <si>
    <t>Domestic, shot boyfriend in parking lot - claimed it was accidental</t>
  </si>
  <si>
    <t>Domestic w/ Targeted Victim</t>
  </si>
  <si>
    <t>Victims Targeted</t>
  </si>
  <si>
    <t>No</t>
  </si>
  <si>
    <t>Yes</t>
  </si>
  <si>
    <t>No</t>
  </si>
  <si>
    <t>20170929CASUL</t>
  </si>
  <si>
    <t>Sun Valley High School</t>
  </si>
  <si>
    <t>Fall</t>
  </si>
  <si>
    <t>Los Angeles</t>
  </si>
  <si>
    <t>CA</t>
  </si>
  <si>
    <t>High</t>
  </si>
  <si>
    <t>Off School Property</t>
  </si>
  <si>
    <t>Yes</t>
  </si>
  <si>
    <t>Dismissal</t>
  </si>
  <si>
    <t>5 shot outside of school by BB fired from apartment building across the street</t>
  </si>
  <si>
    <t>Unknown</t>
  </si>
  <si>
    <t>No</t>
  </si>
  <si>
    <t>20170929MOLEL</t>
  </si>
  <si>
    <t>Lees Summit North High School</t>
  </si>
  <si>
    <t>Fall</t>
  </si>
  <si>
    <t>Lees Summit</t>
  </si>
  <si>
    <t>MO</t>
  </si>
  <si>
    <t>High</t>
  </si>
  <si>
    <t>Inside School Building</t>
  </si>
  <si>
    <t>Yes</t>
  </si>
  <si>
    <t>Morning Classes</t>
  </si>
  <si>
    <t>Female student shot herself inside the school</t>
  </si>
  <si>
    <t>Suicide/Attempted</t>
  </si>
  <si>
    <t>Victims Targeted</t>
  </si>
  <si>
    <t>No</t>
  </si>
  <si>
    <t>20170928KYSOL</t>
  </si>
  <si>
    <t>Southern Middle School</t>
  </si>
  <si>
    <t>Fall</t>
  </si>
  <si>
    <t>Lexington</t>
  </si>
  <si>
    <t>KY</t>
  </si>
  <si>
    <t>Middle</t>
  </si>
  <si>
    <t>Football Field/Track</t>
  </si>
  <si>
    <t>Outside on School Property</t>
  </si>
  <si>
    <t>No</t>
  </si>
  <si>
    <t>Sport Event</t>
  </si>
  <si>
    <t>Escalation of ongoing feud</t>
  </si>
  <si>
    <t>Escalation of Dispute</t>
  </si>
  <si>
    <t>No</t>
  </si>
  <si>
    <t>20170920ILMAM</t>
  </si>
  <si>
    <t>Mattoon High School</t>
  </si>
  <si>
    <t>Regional</t>
  </si>
  <si>
    <t>Fall</t>
  </si>
  <si>
    <t>Mattoon</t>
  </si>
  <si>
    <t>IL</t>
  </si>
  <si>
    <t>High</t>
  </si>
  <si>
    <t>Cafeteria</t>
  </si>
  <si>
    <t>Inside School Building</t>
  </si>
  <si>
    <t>Yes</t>
  </si>
  <si>
    <t>Lunch</t>
  </si>
  <si>
    <t>Shooting in school cafeteria</t>
  </si>
  <si>
    <t>Bullying</t>
  </si>
  <si>
    <t>Both</t>
  </si>
  <si>
    <t>No</t>
  </si>
  <si>
    <t>Yes</t>
  </si>
  <si>
    <t>20170913WAFRR</t>
  </si>
  <si>
    <t>Freeman High School</t>
  </si>
  <si>
    <t>National</t>
  </si>
  <si>
    <t>Fall</t>
  </si>
  <si>
    <t>Rockford</t>
  </si>
  <si>
    <t>WA</t>
  </si>
  <si>
    <t>High</t>
  </si>
  <si>
    <t>Hallway</t>
  </si>
  <si>
    <t>Inside School Building</t>
  </si>
  <si>
    <t>Yes</t>
  </si>
  <si>
    <t>Morning Classes</t>
  </si>
  <si>
    <t>Bullied at school</t>
  </si>
  <si>
    <t>Indiscriminate Shooting</t>
  </si>
  <si>
    <t>Both</t>
  </si>
  <si>
    <t>No</t>
  </si>
  <si>
    <t>Yes</t>
  </si>
  <si>
    <t>No</t>
  </si>
  <si>
    <t>Yes</t>
  </si>
  <si>
    <t>20170908OHCOC</t>
  </si>
  <si>
    <t>Columbus Scioto 6-12</t>
  </si>
  <si>
    <t>National</t>
  </si>
  <si>
    <t>Fall</t>
  </si>
  <si>
    <t>Columbus</t>
  </si>
  <si>
    <t>OH</t>
  </si>
  <si>
    <t>6-12</t>
  </si>
  <si>
    <t>Hallway</t>
  </si>
  <si>
    <t>Inside School Building</t>
  </si>
  <si>
    <t>Yes</t>
  </si>
  <si>
    <t>Morning Classes</t>
  </si>
  <si>
    <t>Shooting by emotionally disturbed student</t>
  </si>
  <si>
    <t>Psychosis</t>
  </si>
  <si>
    <t>Neither</t>
  </si>
  <si>
    <t>No</t>
  </si>
  <si>
    <t>Yes</t>
  </si>
  <si>
    <t>20170908ARNON</t>
  </si>
  <si>
    <t>North Little Rock High School</t>
  </si>
  <si>
    <t>Fall</t>
  </si>
  <si>
    <t>North Little Rock</t>
  </si>
  <si>
    <t>AR</t>
  </si>
  <si>
    <t>High</t>
  </si>
  <si>
    <t>Parking Lot</t>
  </si>
  <si>
    <t>Outside on School Property</t>
  </si>
  <si>
    <t>No</t>
  </si>
  <si>
    <t>Sport Event</t>
  </si>
  <si>
    <t>Teen shot in parking lot during football game</t>
  </si>
  <si>
    <t>Escalation of Dispute</t>
  </si>
  <si>
    <t>Victims Targeted</t>
  </si>
  <si>
    <t>Unknown</t>
  </si>
  <si>
    <t>No</t>
  </si>
  <si>
    <t>20170831CAARS</t>
  </si>
  <si>
    <t>Arroyo Valley High School</t>
  </si>
  <si>
    <t>Summer</t>
  </si>
  <si>
    <t>San Bernardino</t>
  </si>
  <si>
    <t>CA</t>
  </si>
  <si>
    <t>High</t>
  </si>
  <si>
    <t>Football Field/Track</t>
  </si>
  <si>
    <t>Outside on School Property</t>
  </si>
  <si>
    <t>No</t>
  </si>
  <si>
    <t>Sport Event</t>
  </si>
  <si>
    <t>Shooting at football stadium following a fight inside</t>
  </si>
  <si>
    <t>Escalation of Dispute</t>
  </si>
  <si>
    <t>Victims Targeted</t>
  </si>
  <si>
    <t>Yes</t>
  </si>
  <si>
    <t>No</t>
  </si>
  <si>
    <t>20170817GALIL</t>
  </si>
  <si>
    <t>Lithia Spring High</t>
  </si>
  <si>
    <t>Summer</t>
  </si>
  <si>
    <t>Lithia Springs</t>
  </si>
  <si>
    <t>GA</t>
  </si>
  <si>
    <t>High</t>
  </si>
  <si>
    <t>Classroom</t>
  </si>
  <si>
    <t>Inside School Building</t>
  </si>
  <si>
    <t>Yes</t>
  </si>
  <si>
    <t>School Start</t>
  </si>
  <si>
    <t>Teacher attempted suicide inside school during school day</t>
  </si>
  <si>
    <t>Suicide/Attempted</t>
  </si>
  <si>
    <t>Victims Targeted</t>
  </si>
  <si>
    <t>No</t>
  </si>
  <si>
    <t>20170813NYHUH</t>
  </si>
  <si>
    <t>Hudson County School Bus</t>
  </si>
  <si>
    <t>Local</t>
  </si>
  <si>
    <t>Summer</t>
  </si>
  <si>
    <t>Hudson</t>
  </si>
  <si>
    <t>NY</t>
  </si>
  <si>
    <t>School Bus</t>
  </si>
  <si>
    <t>2 children shot on school bus</t>
  </si>
  <si>
    <t>Both</t>
  </si>
  <si>
    <t>No</t>
  </si>
  <si>
    <t>20170801GABAV</t>
  </si>
  <si>
    <t>Bazemore-Hyder Stadium (Valdosta High School)</t>
  </si>
  <si>
    <t>Summer</t>
  </si>
  <si>
    <t>Valdosta</t>
  </si>
  <si>
    <t>GA</t>
  </si>
  <si>
    <t>High</t>
  </si>
  <si>
    <t>Football Field/Track</t>
  </si>
  <si>
    <t>Outside on School Property</t>
  </si>
  <si>
    <t>No</t>
  </si>
  <si>
    <t>Sport Event</t>
  </si>
  <si>
    <t>Female students shot during high school football practice</t>
  </si>
  <si>
    <t>Escalation of Dispute</t>
  </si>
  <si>
    <t>Both</t>
  </si>
  <si>
    <t>No</t>
  </si>
  <si>
    <t>20170721UTSPS</t>
  </si>
  <si>
    <t>Spanish Fork High School</t>
  </si>
  <si>
    <t>Summer</t>
  </si>
  <si>
    <t>Spanish Fork</t>
  </si>
  <si>
    <t>UT</t>
  </si>
  <si>
    <t>High</t>
  </si>
  <si>
    <t>Parking Lot</t>
  </si>
  <si>
    <t>Outside on School Property</t>
  </si>
  <si>
    <t>No</t>
  </si>
  <si>
    <t>Night</t>
  </si>
  <si>
    <t>Shots fired during shooting in school parking lot, killed himself when confronted by police</t>
  </si>
  <si>
    <t>Escalation of Dispute</t>
  </si>
  <si>
    <t>Victims Targeted</t>
  </si>
  <si>
    <t>Yes</t>
  </si>
  <si>
    <t>No</t>
  </si>
  <si>
    <t>20170719WIHIM</t>
  </si>
  <si>
    <t>Hickman Academy Preparatory School</t>
  </si>
  <si>
    <t>Summer</t>
  </si>
  <si>
    <t>Milwaukee</t>
  </si>
  <si>
    <t>WI</t>
  </si>
  <si>
    <t>High</t>
  </si>
  <si>
    <t>Gym</t>
  </si>
  <si>
    <t>Inside School Building</t>
  </si>
  <si>
    <t>No</t>
  </si>
  <si>
    <t>Sport Event</t>
  </si>
  <si>
    <t>Shot multiple times inside the school gym during basketball game</t>
  </si>
  <si>
    <t>Escalation of Dispute</t>
  </si>
  <si>
    <t>Victims Targeted</t>
  </si>
  <si>
    <t>No</t>
  </si>
  <si>
    <t>20170622SCWIF</t>
  </si>
  <si>
    <t>Wilson High School</t>
  </si>
  <si>
    <t>Summer</t>
  </si>
  <si>
    <t>Florence</t>
  </si>
  <si>
    <t>SC</t>
  </si>
  <si>
    <t>High</t>
  </si>
  <si>
    <t>Parking Lot</t>
  </si>
  <si>
    <t>Outside on School Property</t>
  </si>
  <si>
    <t>Yes</t>
  </si>
  <si>
    <t>School Start</t>
  </si>
  <si>
    <t>Shot self in foot in car in parking lot</t>
  </si>
  <si>
    <t>Accidental</t>
  </si>
  <si>
    <t>Neither</t>
  </si>
  <si>
    <t>Yes</t>
  </si>
  <si>
    <t>No</t>
  </si>
  <si>
    <t>20170616ILWAC</t>
  </si>
  <si>
    <t>Warren Elementary School</t>
  </si>
  <si>
    <t>National</t>
  </si>
  <si>
    <t>Summer</t>
  </si>
  <si>
    <t>Chicago</t>
  </si>
  <si>
    <t>IL</t>
  </si>
  <si>
    <t>Elementary</t>
  </si>
  <si>
    <t>Field (General)</t>
  </si>
  <si>
    <t>Outside on School Property</t>
  </si>
  <si>
    <t>Yes</t>
  </si>
  <si>
    <t>After School</t>
  </si>
  <si>
    <t>Suspected gang attack on 2 former students; Victims were not the targets</t>
  </si>
  <si>
    <t>Drive-by Shooting</t>
  </si>
  <si>
    <t>Both</t>
  </si>
  <si>
    <t>No</t>
  </si>
  <si>
    <t>20170526OKMCT</t>
  </si>
  <si>
    <t>McLain High School</t>
  </si>
  <si>
    <t>Spring</t>
  </si>
  <si>
    <t>Tulsa</t>
  </si>
  <si>
    <t>OK</t>
  </si>
  <si>
    <t>High</t>
  </si>
  <si>
    <t>Football Field/Track</t>
  </si>
  <si>
    <t>Outside on School Property</t>
  </si>
  <si>
    <t>No</t>
  </si>
  <si>
    <t>Sport Event</t>
  </si>
  <si>
    <t>Student shot another student during a football game inside the stadium</t>
  </si>
  <si>
    <t>Escalation of Dispute</t>
  </si>
  <si>
    <t>Victims Targeted</t>
  </si>
  <si>
    <t>No</t>
  </si>
  <si>
    <t>20170524NEMCO</t>
  </si>
  <si>
    <t>McMillan Middle School</t>
  </si>
  <si>
    <t>Spring</t>
  </si>
  <si>
    <t>Omaha</t>
  </si>
  <si>
    <t>NE</t>
  </si>
  <si>
    <t>Middle</t>
  </si>
  <si>
    <t>Parking Lot</t>
  </si>
  <si>
    <t>Outside on School Property</t>
  </si>
  <si>
    <t>No</t>
  </si>
  <si>
    <t>Evening</t>
  </si>
  <si>
    <t>Shot in chest in school parking lot during robbery</t>
  </si>
  <si>
    <t>Illegal Activity</t>
  </si>
  <si>
    <t>Victims Targeted</t>
  </si>
  <si>
    <t>No</t>
  </si>
  <si>
    <t>20170524ALGRG</t>
  </si>
  <si>
    <t>Greensboro High School</t>
  </si>
  <si>
    <t>Local</t>
  </si>
  <si>
    <t>Spring</t>
  </si>
  <si>
    <t>Greensboro</t>
  </si>
  <si>
    <t>AL</t>
  </si>
  <si>
    <t>High</t>
  </si>
  <si>
    <t>Front of School</t>
  </si>
  <si>
    <t>Outside on School Property</t>
  </si>
  <si>
    <t>Yes</t>
  </si>
  <si>
    <t>Morning Classes</t>
  </si>
  <si>
    <t>Shot fired during argument outside of school</t>
  </si>
  <si>
    <t>Escalation of Dispute</t>
  </si>
  <si>
    <t>Victims Targeted</t>
  </si>
  <si>
    <t>No</t>
  </si>
  <si>
    <t>20170523TXKEK</t>
  </si>
  <si>
    <t>Kirbyville High School</t>
  </si>
  <si>
    <t>Spring</t>
  </si>
  <si>
    <t>Kirbyville</t>
  </si>
  <si>
    <t>TX</t>
  </si>
  <si>
    <t>High</t>
  </si>
  <si>
    <t>Parking Lot</t>
  </si>
  <si>
    <t>Outside on School Property</t>
  </si>
  <si>
    <t>No</t>
  </si>
  <si>
    <t>After School</t>
  </si>
  <si>
    <t>Principal resigned and shot self in parking lot</t>
  </si>
  <si>
    <t>Suicide/Attempted</t>
  </si>
  <si>
    <t>Victims Targeted</t>
  </si>
  <si>
    <t>No</t>
  </si>
  <si>
    <t>20170515LAMOL</t>
  </si>
  <si>
    <t>Moss Bluff Elementary School</t>
  </si>
  <si>
    <t>Local</t>
  </si>
  <si>
    <t>Spring</t>
  </si>
  <si>
    <t>Lake Charles</t>
  </si>
  <si>
    <t>LA</t>
  </si>
  <si>
    <t>Elementary</t>
  </si>
  <si>
    <t>Inside School Building</t>
  </si>
  <si>
    <t>Yes</t>
  </si>
  <si>
    <t>Morning Classes</t>
  </si>
  <si>
    <t>Accidental discharge when gun fell out of backpack</t>
  </si>
  <si>
    <t>Accidental</t>
  </si>
  <si>
    <t>Neither</t>
  </si>
  <si>
    <t>No</t>
  </si>
  <si>
    <t>20170415ORMEP</t>
  </si>
  <si>
    <t>Menlo Park Elementary School</t>
  </si>
  <si>
    <t>Local</t>
  </si>
  <si>
    <t>Spring</t>
  </si>
  <si>
    <t>Portland</t>
  </si>
  <si>
    <t>OR</t>
  </si>
  <si>
    <t>Elementary</t>
  </si>
  <si>
    <t>Field (General)</t>
  </si>
  <si>
    <t>Outside on School Property</t>
  </si>
  <si>
    <t>No</t>
  </si>
  <si>
    <t>Not a School Day</t>
  </si>
  <si>
    <t>Man shot and killed on the recreation field of the school</t>
  </si>
  <si>
    <t>Victims Targeted</t>
  </si>
  <si>
    <t>Yes</t>
  </si>
  <si>
    <t>No</t>
  </si>
  <si>
    <t>20170415OKBOT</t>
  </si>
  <si>
    <t>Booker T. Washington High School</t>
  </si>
  <si>
    <t>Spring</t>
  </si>
  <si>
    <t>Tulsa</t>
  </si>
  <si>
    <t>OK</t>
  </si>
  <si>
    <t>High</t>
  </si>
  <si>
    <t>Parking Lot</t>
  </si>
  <si>
    <t>Outside on School Property</t>
  </si>
  <si>
    <t>No</t>
  </si>
  <si>
    <t>Not a School Day</t>
  </si>
  <si>
    <t>Man shot in parking lot following basketball game for unknown reason</t>
  </si>
  <si>
    <t>Escalation of Dispute</t>
  </si>
  <si>
    <t>Unknown</t>
  </si>
  <si>
    <t>No</t>
  </si>
  <si>
    <t>20170410CANOS</t>
  </si>
  <si>
    <t>North Park Elementary School</t>
  </si>
  <si>
    <t>National</t>
  </si>
  <si>
    <t>Spring</t>
  </si>
  <si>
    <t>San Bernardino</t>
  </si>
  <si>
    <t>CA</t>
  </si>
  <si>
    <t>Elementary</t>
  </si>
  <si>
    <t>Classroom</t>
  </si>
  <si>
    <t>Inside School Building</t>
  </si>
  <si>
    <t>Yes</t>
  </si>
  <si>
    <t>Morning Classes</t>
  </si>
  <si>
    <t>Killed teacher (estranged wife) and then shot self in school classroom, two student struck</t>
  </si>
  <si>
    <t>Murder/Suicide</t>
  </si>
  <si>
    <t>Both</t>
  </si>
  <si>
    <t>No</t>
  </si>
  <si>
    <t>Yes</t>
  </si>
  <si>
    <t>No</t>
  </si>
  <si>
    <t>20170328PALIP</t>
  </si>
  <si>
    <t>Linton Middle School</t>
  </si>
  <si>
    <t>Spring</t>
  </si>
  <si>
    <t>Penn Hills</t>
  </si>
  <si>
    <t>PA</t>
  </si>
  <si>
    <t>Middle</t>
  </si>
  <si>
    <t>Parking Lot</t>
  </si>
  <si>
    <t>Outside on School Property</t>
  </si>
  <si>
    <t>No</t>
  </si>
  <si>
    <t>After School</t>
  </si>
  <si>
    <t>Attempted robbery gone wrong</t>
  </si>
  <si>
    <t>Self-defense</t>
  </si>
  <si>
    <t>Victims Targeted</t>
  </si>
  <si>
    <t>Yes</t>
  </si>
  <si>
    <t>No</t>
  </si>
  <si>
    <t>20170321CAKIK</t>
  </si>
  <si>
    <t>King City High School</t>
  </si>
  <si>
    <t>Regional</t>
  </si>
  <si>
    <t>Spring</t>
  </si>
  <si>
    <t>King City</t>
  </si>
  <si>
    <t>CA</t>
  </si>
  <si>
    <t>High</t>
  </si>
  <si>
    <t>Parking Lot</t>
  </si>
  <si>
    <t>Outside on School Property</t>
  </si>
  <si>
    <t>Yes</t>
  </si>
  <si>
    <t>Morning Classes</t>
  </si>
  <si>
    <t>Drive-by outside of school</t>
  </si>
  <si>
    <t>Drive-by Shooting</t>
  </si>
  <si>
    <t>Victims Targeted</t>
  </si>
  <si>
    <t>Yes</t>
  </si>
  <si>
    <t>No</t>
  </si>
  <si>
    <t>20170316ALROM</t>
  </si>
  <si>
    <t>Robert E. Lee High School</t>
  </si>
  <si>
    <t>Local</t>
  </si>
  <si>
    <t>Spring</t>
  </si>
  <si>
    <t>Montgomery</t>
  </si>
  <si>
    <t>AL</t>
  </si>
  <si>
    <t>High</t>
  </si>
  <si>
    <t>Parking Lot</t>
  </si>
  <si>
    <t>Outside on School Property</t>
  </si>
  <si>
    <t>Yes</t>
  </si>
  <si>
    <t>Dismissal</t>
  </si>
  <si>
    <t>Student fired shot at targeted student leaving school, missed and struck female student</t>
  </si>
  <si>
    <t>Escalation of Dispute</t>
  </si>
  <si>
    <t>Both</t>
  </si>
  <si>
    <t>No</t>
  </si>
  <si>
    <t>20170218MNMAM</t>
  </si>
  <si>
    <t>Maplewood Middle School</t>
  </si>
  <si>
    <t>Local</t>
  </si>
  <si>
    <t>Winter</t>
  </si>
  <si>
    <t>Maplewood</t>
  </si>
  <si>
    <t>MN</t>
  </si>
  <si>
    <t>Middle</t>
  </si>
  <si>
    <t>Parking Lot</t>
  </si>
  <si>
    <t>Outside on School Property</t>
  </si>
  <si>
    <t>No</t>
  </si>
  <si>
    <t>Not a School Day</t>
  </si>
  <si>
    <t>Estranged fiance kidnaps the mother of his child (victim), kills himself at the school's parking lot, no relation to school</t>
  </si>
  <si>
    <t>Suicide/Attempted</t>
  </si>
  <si>
    <t>Victims Targeted</t>
  </si>
  <si>
    <t>No</t>
  </si>
  <si>
    <t>Yes</t>
  </si>
  <si>
    <t>No</t>
  </si>
  <si>
    <t>N/A</t>
  </si>
  <si>
    <t>No</t>
  </si>
  <si>
    <t>20170206LASCB</t>
  </si>
  <si>
    <t>Scotlandville Magnet High School</t>
  </si>
  <si>
    <t>Winter</t>
  </si>
  <si>
    <t>Baton Rouge</t>
  </si>
  <si>
    <t>LA</t>
  </si>
  <si>
    <t>High</t>
  </si>
  <si>
    <t>Outside on School Property</t>
  </si>
  <si>
    <t>Yes</t>
  </si>
  <si>
    <t>Lunch</t>
  </si>
  <si>
    <t>Shots fired (all missed) during argument</t>
  </si>
  <si>
    <t>Escalation of Dispute</t>
  </si>
  <si>
    <t>Neither</t>
  </si>
  <si>
    <t>No</t>
  </si>
  <si>
    <t>20170127ILSCN</t>
  </si>
  <si>
    <t>Thomas G Scullen Middle School</t>
  </si>
  <si>
    <t>Regional</t>
  </si>
  <si>
    <t>Winter</t>
  </si>
  <si>
    <t>Naperville</t>
  </si>
  <si>
    <t>IL</t>
  </si>
  <si>
    <t>Middle</t>
  </si>
  <si>
    <t>Parking Lot</t>
  </si>
  <si>
    <t>Outside on School Property</t>
  </si>
  <si>
    <t>No</t>
  </si>
  <si>
    <t>Evening</t>
  </si>
  <si>
    <t>Adult male fatally shot in the parking lot while picking up child</t>
  </si>
  <si>
    <t>Unknown</t>
  </si>
  <si>
    <t>Victims Targeted</t>
  </si>
  <si>
    <t>No</t>
  </si>
  <si>
    <t>20170127SCSOA</t>
  </si>
  <si>
    <t>South Aiken High School</t>
  </si>
  <si>
    <t>Local</t>
  </si>
  <si>
    <t>Winter</t>
  </si>
  <si>
    <t>Aiken</t>
  </si>
  <si>
    <t>SC</t>
  </si>
  <si>
    <t>High</t>
  </si>
  <si>
    <t>Beside Building</t>
  </si>
  <si>
    <t>Outside on School Property</t>
  </si>
  <si>
    <t>No</t>
  </si>
  <si>
    <t>Sport Event</t>
  </si>
  <si>
    <t>Fight outside basketball game (rival schools)</t>
  </si>
  <si>
    <t>Escalation of Dispute</t>
  </si>
  <si>
    <t>Both</t>
  </si>
  <si>
    <t>Yes</t>
  </si>
  <si>
    <t>No</t>
  </si>
  <si>
    <t>20170120OHWEW</t>
  </si>
  <si>
    <t>West Liberty-Salem High School</t>
  </si>
  <si>
    <t>National</t>
  </si>
  <si>
    <t>Winter</t>
  </si>
  <si>
    <t>West Liberty</t>
  </si>
  <si>
    <t>OH</t>
  </si>
  <si>
    <t>High</t>
  </si>
  <si>
    <t>Bathroom</t>
  </si>
  <si>
    <t>Inside School Building</t>
  </si>
  <si>
    <t>Yes</t>
  </si>
  <si>
    <t>Morning Classes</t>
  </si>
  <si>
    <t>Student snuck shotgun into school, prepared in bathroom, shot student who surprised him, then fired into two classrooms</t>
  </si>
  <si>
    <t>Indiscriminate Shooting</t>
  </si>
  <si>
    <t>Random Shooting</t>
  </si>
  <si>
    <t>No</t>
  </si>
  <si>
    <t>Yes</t>
  </si>
  <si>
    <t>20170117FLFRE</t>
  </si>
  <si>
    <t>Franklin County Elementary School</t>
  </si>
  <si>
    <t>Winter</t>
  </si>
  <si>
    <t>Eastpoint</t>
  </si>
  <si>
    <t>FL</t>
  </si>
  <si>
    <t>Elementary</t>
  </si>
  <si>
    <t>Parking Lot</t>
  </si>
  <si>
    <t>Outside on School Property</t>
  </si>
  <si>
    <t>Yes</t>
  </si>
  <si>
    <t>Dismissal</t>
  </si>
  <si>
    <t>Gun discharged in car while parent was picking child up</t>
  </si>
  <si>
    <t>Accidental</t>
  </si>
  <si>
    <t>Neither</t>
  </si>
  <si>
    <t>No</t>
  </si>
  <si>
    <t>20170110ALALA</t>
  </si>
  <si>
    <t>Alexander City Middle School</t>
  </si>
  <si>
    <t>Winter</t>
  </si>
  <si>
    <t>Alexander City</t>
  </si>
  <si>
    <t>AL</t>
  </si>
  <si>
    <t>Middle</t>
  </si>
  <si>
    <t>Inside School Building</t>
  </si>
  <si>
    <t>Yes</t>
  </si>
  <si>
    <t>Afternoon Classes</t>
  </si>
  <si>
    <t>Student showing off gun, accidentally discharged</t>
  </si>
  <si>
    <t>Accidental</t>
  </si>
  <si>
    <t>Neither</t>
  </si>
  <si>
    <t>No</t>
  </si>
  <si>
    <t>20170101DELAH</t>
  </si>
  <si>
    <t>Lake Forest South Elementary School</t>
  </si>
  <si>
    <t>Winter</t>
  </si>
  <si>
    <t>Harrington</t>
  </si>
  <si>
    <t>DE</t>
  </si>
  <si>
    <t>Elementary</t>
  </si>
  <si>
    <t>Field (General)</t>
  </si>
  <si>
    <t>Outside on School Property</t>
  </si>
  <si>
    <t>No</t>
  </si>
  <si>
    <t>Not a School Day</t>
  </si>
  <si>
    <t>Fight broke out among teens playing football on school grounds</t>
  </si>
  <si>
    <t>Escalation of Dispute</t>
  </si>
  <si>
    <t>Yes</t>
  </si>
  <si>
    <t>No</t>
  </si>
  <si>
    <t>20161216FLSAJ</t>
  </si>
  <si>
    <t>Samuel W. Wolfson High School</t>
  </si>
  <si>
    <t>Local</t>
  </si>
  <si>
    <t>Winter</t>
  </si>
  <si>
    <t>Jacksonville</t>
  </si>
  <si>
    <t>FL</t>
  </si>
  <si>
    <t>High</t>
  </si>
  <si>
    <t>School Bus</t>
  </si>
  <si>
    <t>Yes</t>
  </si>
  <si>
    <t>Dismissal</t>
  </si>
  <si>
    <t>Teen shot BB gun at bus breaking window and injuring student inside</t>
  </si>
  <si>
    <t>Intentional Property Damage</t>
  </si>
  <si>
    <t>Random Shooting</t>
  </si>
  <si>
    <t>No</t>
  </si>
  <si>
    <t>20161209NVHUR</t>
  </si>
  <si>
    <t>Hug High School</t>
  </si>
  <si>
    <t>Winter</t>
  </si>
  <si>
    <t>Reno</t>
  </si>
  <si>
    <t>NV</t>
  </si>
  <si>
    <t>High</t>
  </si>
  <si>
    <t>Outside on School Property</t>
  </si>
  <si>
    <t>Yes</t>
  </si>
  <si>
    <t>Morning Classes</t>
  </si>
  <si>
    <t>Officer shot student holding knife</t>
  </si>
  <si>
    <t>Self-defense</t>
  </si>
  <si>
    <t>Victims Targeted</t>
  </si>
  <si>
    <t>No</t>
  </si>
  <si>
    <t>20161209MOBAS</t>
  </si>
  <si>
    <t>Bayless High School</t>
  </si>
  <si>
    <t>Winter</t>
  </si>
  <si>
    <t>St. Louis</t>
  </si>
  <si>
    <t>MO</t>
  </si>
  <si>
    <t>High</t>
  </si>
  <si>
    <t>Gym</t>
  </si>
  <si>
    <t>Inside School Building</t>
  </si>
  <si>
    <t>No</t>
  </si>
  <si>
    <t>Sport Event</t>
  </si>
  <si>
    <t>Fight ensued over a $5 debt</t>
  </si>
  <si>
    <t>Escalation of Dispute</t>
  </si>
  <si>
    <t>Victims Targeted</t>
  </si>
  <si>
    <t>Yes</t>
  </si>
  <si>
    <t>No</t>
  </si>
  <si>
    <t>20161201UTMUB</t>
  </si>
  <si>
    <t>Mueller Park Junior High School</t>
  </si>
  <si>
    <t>National</t>
  </si>
  <si>
    <t>Winter</t>
  </si>
  <si>
    <t>Bountiful</t>
  </si>
  <si>
    <t>UT</t>
  </si>
  <si>
    <t>Junior High</t>
  </si>
  <si>
    <t>Classroom</t>
  </si>
  <si>
    <t>Inside School Building</t>
  </si>
  <si>
    <t>No</t>
  </si>
  <si>
    <t>Morning Classes</t>
  </si>
  <si>
    <t>Fired shotgun into classroom ceiling and threatened to kill self, surrendered to parents</t>
  </si>
  <si>
    <t>Indiscriminate Shooting</t>
  </si>
  <si>
    <t>Random Shooting</t>
  </si>
  <si>
    <t>No</t>
  </si>
  <si>
    <t>Yes</t>
  </si>
  <si>
    <t>No</t>
  </si>
  <si>
    <t>Yes</t>
  </si>
  <si>
    <t>20161117MNCRS</t>
  </si>
  <si>
    <t>Crossroads Elementary School</t>
  </si>
  <si>
    <t>Fall</t>
  </si>
  <si>
    <t>St. Paul</t>
  </si>
  <si>
    <t>MN</t>
  </si>
  <si>
    <t>Elementary</t>
  </si>
  <si>
    <t>Inside School Building</t>
  </si>
  <si>
    <t>Yes</t>
  </si>
  <si>
    <t>Morning Classes</t>
  </si>
  <si>
    <t>Accidental discharge while showing off gun</t>
  </si>
  <si>
    <t>Accidental</t>
  </si>
  <si>
    <t>Neither</t>
  </si>
  <si>
    <t>No</t>
  </si>
  <si>
    <t>20161111MIBAA</t>
  </si>
  <si>
    <t>Bay City Western High School</t>
  </si>
  <si>
    <t>Local</t>
  </si>
  <si>
    <t>Fall</t>
  </si>
  <si>
    <t>Auburn</t>
  </si>
  <si>
    <t>MI</t>
  </si>
  <si>
    <t>High</t>
  </si>
  <si>
    <t>Office</t>
  </si>
  <si>
    <t>Inside School Building</t>
  </si>
  <si>
    <t>Yes</t>
  </si>
  <si>
    <t>Lunch</t>
  </si>
  <si>
    <t>Accidental discharge by SRO. Attempted to cover-up discharge and was arrested.</t>
  </si>
  <si>
    <t>Accidental</t>
  </si>
  <si>
    <t>Neither</t>
  </si>
  <si>
    <t>No</t>
  </si>
  <si>
    <t>20161103COBEB</t>
  </si>
  <si>
    <t>Berthoud High School</t>
  </si>
  <si>
    <t>Fall</t>
  </si>
  <si>
    <t>Berthoud</t>
  </si>
  <si>
    <t>CO</t>
  </si>
  <si>
    <t>High</t>
  </si>
  <si>
    <t>Inside School Building</t>
  </si>
  <si>
    <t>No</t>
  </si>
  <si>
    <t>Before School</t>
  </si>
  <si>
    <t>Shot self inside the school</t>
  </si>
  <si>
    <t>Suicide/Attempted</t>
  </si>
  <si>
    <t>Victims Targeted</t>
  </si>
  <si>
    <t>No</t>
  </si>
  <si>
    <t>20161102COGRG</t>
  </si>
  <si>
    <t>Grand Junction High School</t>
  </si>
  <si>
    <t>Fall</t>
  </si>
  <si>
    <t>Grand Junction</t>
  </si>
  <si>
    <t>CO</t>
  </si>
  <si>
    <t>High</t>
  </si>
  <si>
    <t>Parking Lot</t>
  </si>
  <si>
    <t>Outside on School Property</t>
  </si>
  <si>
    <t>Yes</t>
  </si>
  <si>
    <t>After School</t>
  </si>
  <si>
    <t>Shot self in parking lot</t>
  </si>
  <si>
    <t>Suicide/Attempted</t>
  </si>
  <si>
    <t>Victims Targeted</t>
  </si>
  <si>
    <t>No</t>
  </si>
  <si>
    <t>20161025UTUNS</t>
  </si>
  <si>
    <t>Union Middle School</t>
  </si>
  <si>
    <t>Regional</t>
  </si>
  <si>
    <t>Fall</t>
  </si>
  <si>
    <t>Sandy</t>
  </si>
  <si>
    <t>UT</t>
  </si>
  <si>
    <t>Middle</t>
  </si>
  <si>
    <t>Beside Building</t>
  </si>
  <si>
    <t>Outside on School Property</t>
  </si>
  <si>
    <t>Yes</t>
  </si>
  <si>
    <t>Dismissal</t>
  </si>
  <si>
    <t>Planned fight after school</t>
  </si>
  <si>
    <t>Escalation of Dispute</t>
  </si>
  <si>
    <t>Victims Targeted</t>
  </si>
  <si>
    <t>No</t>
  </si>
  <si>
    <t>20161018CAJUS</t>
  </si>
  <si>
    <t>June Jordan High School for Equity</t>
  </si>
  <si>
    <t>Regional</t>
  </si>
  <si>
    <t>Fall</t>
  </si>
  <si>
    <t>San Francisco</t>
  </si>
  <si>
    <t>CA</t>
  </si>
  <si>
    <t>High</t>
  </si>
  <si>
    <t>Parking Lot</t>
  </si>
  <si>
    <t>Outside on School Property</t>
  </si>
  <si>
    <t>No</t>
  </si>
  <si>
    <t>After School</t>
  </si>
  <si>
    <t>Shooting in parking lot</t>
  </si>
  <si>
    <t>Escalation of Dispute</t>
  </si>
  <si>
    <t>Both</t>
  </si>
  <si>
    <t>Yes</t>
  </si>
  <si>
    <t>No</t>
  </si>
  <si>
    <t>20161015GABEA</t>
  </si>
  <si>
    <t>Benjamin E. Mays High School</t>
  </si>
  <si>
    <t>Local</t>
  </si>
  <si>
    <t>Fall</t>
  </si>
  <si>
    <t>Atlanta</t>
  </si>
  <si>
    <t>GA</t>
  </si>
  <si>
    <t>High</t>
  </si>
  <si>
    <t>Parking Lot</t>
  </si>
  <si>
    <t>Outside on School Property</t>
  </si>
  <si>
    <t>No</t>
  </si>
  <si>
    <t>Sport Event</t>
  </si>
  <si>
    <t>Shots fired from a car in the parking lot after an evening football game</t>
  </si>
  <si>
    <t>Drive-by Shooting</t>
  </si>
  <si>
    <t>No</t>
  </si>
  <si>
    <t>20161013OHLIC</t>
  </si>
  <si>
    <t>Linden McKinley STEM Academy</t>
  </si>
  <si>
    <t>Local</t>
  </si>
  <si>
    <t>Fall</t>
  </si>
  <si>
    <t>Columbus</t>
  </si>
  <si>
    <t>OH</t>
  </si>
  <si>
    <t>High</t>
  </si>
  <si>
    <t>Front of School</t>
  </si>
  <si>
    <t>Outside on School Property</t>
  </si>
  <si>
    <t>No</t>
  </si>
  <si>
    <t>Dismissal</t>
  </si>
  <si>
    <t>Drive-by involving gang members outside of school</t>
  </si>
  <si>
    <t>Drive-by Shooting</t>
  </si>
  <si>
    <t>Victims Targeted</t>
  </si>
  <si>
    <t>No</t>
  </si>
  <si>
    <t>20161011ALVIM</t>
  </si>
  <si>
    <t>Vigor High School</t>
  </si>
  <si>
    <t>Local</t>
  </si>
  <si>
    <t>Fall</t>
  </si>
  <si>
    <t>Mobile</t>
  </si>
  <si>
    <t>AL</t>
  </si>
  <si>
    <t>High</t>
  </si>
  <si>
    <t>Outside on School Property</t>
  </si>
  <si>
    <t>No</t>
  </si>
  <si>
    <t>After School</t>
  </si>
  <si>
    <t>Escalated argument, allegedly about money</t>
  </si>
  <si>
    <t>Escalation of Dispute</t>
  </si>
  <si>
    <t>Victims Targeted</t>
  </si>
  <si>
    <t>No</t>
  </si>
  <si>
    <t>20161006TXDUF</t>
  </si>
  <si>
    <t>Dunbar HIgh School</t>
  </si>
  <si>
    <t>Fall</t>
  </si>
  <si>
    <t>Fort Worth</t>
  </si>
  <si>
    <t>TX</t>
  </si>
  <si>
    <t>High</t>
  </si>
  <si>
    <t>Football Field/Track</t>
  </si>
  <si>
    <t>Outside on School Property</t>
  </si>
  <si>
    <t>No</t>
  </si>
  <si>
    <t>Sport Event</t>
  </si>
  <si>
    <t>Shooting by gang members at football game</t>
  </si>
  <si>
    <t>Drive-by Shooting</t>
  </si>
  <si>
    <t>No</t>
  </si>
  <si>
    <t>20160930ILCHC</t>
  </si>
  <si>
    <t>Christ of King Jesuit College Prep (bus)</t>
  </si>
  <si>
    <t>Local</t>
  </si>
  <si>
    <t>Fall</t>
  </si>
  <si>
    <t>Chicago</t>
  </si>
  <si>
    <t>IL</t>
  </si>
  <si>
    <t>High</t>
  </si>
  <si>
    <t>School Bus</t>
  </si>
  <si>
    <t>Yes</t>
  </si>
  <si>
    <t>After School</t>
  </si>
  <si>
    <t>Shots fired at bus</t>
  </si>
  <si>
    <t>Unknown</t>
  </si>
  <si>
    <t>No</t>
  </si>
  <si>
    <t>20160928SCTOT</t>
  </si>
  <si>
    <t>Townville Elementary School</t>
  </si>
  <si>
    <t>National</t>
  </si>
  <si>
    <t>Fall</t>
  </si>
  <si>
    <t>Townville</t>
  </si>
  <si>
    <t>SC</t>
  </si>
  <si>
    <t>Elementary</t>
  </si>
  <si>
    <t>Playground</t>
  </si>
  <si>
    <t>Outside on School Property</t>
  </si>
  <si>
    <t>Yes</t>
  </si>
  <si>
    <t>Afternoon Classes</t>
  </si>
  <si>
    <t>Planned attack, wanted to be the youngest mass shooter and to outdo previous shootings</t>
  </si>
  <si>
    <t>Indiscriminate Shooting</t>
  </si>
  <si>
    <t>Random Shooting</t>
  </si>
  <si>
    <t>No</t>
  </si>
  <si>
    <t>Yes</t>
  </si>
  <si>
    <t>No</t>
  </si>
  <si>
    <t>Yes</t>
  </si>
  <si>
    <t>20160928TNSYP</t>
  </si>
  <si>
    <t>Sycamore Middle School</t>
  </si>
  <si>
    <t>National</t>
  </si>
  <si>
    <t>Fall</t>
  </si>
  <si>
    <t>Pleasant View</t>
  </si>
  <si>
    <t>TN</t>
  </si>
  <si>
    <t>Middle</t>
  </si>
  <si>
    <t>Office</t>
  </si>
  <si>
    <t>Inside School Building</t>
  </si>
  <si>
    <t>Yes</t>
  </si>
  <si>
    <t>Morning Classes</t>
  </si>
  <si>
    <t>Student told school counselor he planned to kill students and teachers, showed her gun, she talked him down</t>
  </si>
  <si>
    <t>Hostage/Standoff</t>
  </si>
  <si>
    <t>Victims Targeted</t>
  </si>
  <si>
    <t>No</t>
  </si>
  <si>
    <t>20160927OHELC</t>
  </si>
  <si>
    <t>Elder High School</t>
  </si>
  <si>
    <t>Fall</t>
  </si>
  <si>
    <t>Cincinnati</t>
  </si>
  <si>
    <t>OH</t>
  </si>
  <si>
    <t>High</t>
  </si>
  <si>
    <t>Football Field/Track</t>
  </si>
  <si>
    <t>Outside on School Property</t>
  </si>
  <si>
    <t>No</t>
  </si>
  <si>
    <t>Sport Event</t>
  </si>
  <si>
    <t>3 shot after soccer game concluded</t>
  </si>
  <si>
    <t>Indiscriminate Shooting</t>
  </si>
  <si>
    <t>No</t>
  </si>
  <si>
    <t>20160926MSTAJ</t>
  </si>
  <si>
    <t>T A Wilson Academy (bus)</t>
  </si>
  <si>
    <t>Local</t>
  </si>
  <si>
    <t>Fall</t>
  </si>
  <si>
    <t>Jackson</t>
  </si>
  <si>
    <t>MS</t>
  </si>
  <si>
    <t>High</t>
  </si>
  <si>
    <t>Front of School (Bus)</t>
  </si>
  <si>
    <t>Outside on School Property</t>
  </si>
  <si>
    <t>Yes</t>
  </si>
  <si>
    <t>Dismissal</t>
  </si>
  <si>
    <t>Shots fired during fight while getting onto school bus</t>
  </si>
  <si>
    <t>Escalation of Dispute</t>
  </si>
  <si>
    <t>Victims Targeted</t>
  </si>
  <si>
    <t>No</t>
  </si>
  <si>
    <t>20160909IACEC</t>
  </si>
  <si>
    <t>Cedar Rapids Jefferson High School</t>
  </si>
  <si>
    <t>Fall</t>
  </si>
  <si>
    <t>Cedar Rapids</t>
  </si>
  <si>
    <t>IA</t>
  </si>
  <si>
    <t>High</t>
  </si>
  <si>
    <t>Beside Building</t>
  </si>
  <si>
    <t>Outside on School Property</t>
  </si>
  <si>
    <t>Yes</t>
  </si>
  <si>
    <t>Morning Classes</t>
  </si>
  <si>
    <t>Suicide in school auditorium</t>
  </si>
  <si>
    <t>Suicide/Attempted</t>
  </si>
  <si>
    <t>Victims Targeted</t>
  </si>
  <si>
    <t>No</t>
  </si>
  <si>
    <t>20160909PASMY</t>
  </si>
  <si>
    <t>Small Athletic Field (William Penn Senior High School game)</t>
  </si>
  <si>
    <t>Fall</t>
  </si>
  <si>
    <t>York</t>
  </si>
  <si>
    <t>PA</t>
  </si>
  <si>
    <t>High</t>
  </si>
  <si>
    <t>Parking Lot</t>
  </si>
  <si>
    <t>Outside on School Property</t>
  </si>
  <si>
    <t>No</t>
  </si>
  <si>
    <t>Sport Event</t>
  </si>
  <si>
    <t>Shooting in parking lot after argument during the game</t>
  </si>
  <si>
    <t>Escalation of Dispute</t>
  </si>
  <si>
    <t>Victims Targeted</t>
  </si>
  <si>
    <t>No</t>
  </si>
  <si>
    <t>20160908TXALA</t>
  </si>
  <si>
    <t>Alpine High School</t>
  </si>
  <si>
    <t>Regional</t>
  </si>
  <si>
    <t>Fall</t>
  </si>
  <si>
    <t>Alpine</t>
  </si>
  <si>
    <t>TX</t>
  </si>
  <si>
    <t>High</t>
  </si>
  <si>
    <t>Bathroom</t>
  </si>
  <si>
    <t>Inside School Building</t>
  </si>
  <si>
    <t>Yes</t>
  </si>
  <si>
    <t>Morning Classes</t>
  </si>
  <si>
    <t>Attempted murder-suicide in school bathroom</t>
  </si>
  <si>
    <t>Domestic w/ Targeted Victim</t>
  </si>
  <si>
    <t>Both</t>
  </si>
  <si>
    <t>No</t>
  </si>
  <si>
    <t>Yes</t>
  </si>
  <si>
    <t>No</t>
  </si>
  <si>
    <t>20160907MIDED</t>
  </si>
  <si>
    <t>Detroit Collegiate Preparatory High School</t>
  </si>
  <si>
    <t>Fall</t>
  </si>
  <si>
    <t>Detroit</t>
  </si>
  <si>
    <t>MI</t>
  </si>
  <si>
    <t>High</t>
  </si>
  <si>
    <t>Parking Lot</t>
  </si>
  <si>
    <t>Outside on School Property</t>
  </si>
  <si>
    <t>Yes</t>
  </si>
  <si>
    <t>Before School</t>
  </si>
  <si>
    <t>Shots fired at principal's car</t>
  </si>
  <si>
    <t>Unknown</t>
  </si>
  <si>
    <t>Victims Targeted</t>
  </si>
  <si>
    <t>No</t>
  </si>
  <si>
    <t>20160902OKMCT</t>
  </si>
  <si>
    <t>McClain High School</t>
  </si>
  <si>
    <t>Local</t>
  </si>
  <si>
    <t>Fall</t>
  </si>
  <si>
    <t>Tulsa</t>
  </si>
  <si>
    <t>OK</t>
  </si>
  <si>
    <t>High</t>
  </si>
  <si>
    <t>Football Field/Track</t>
  </si>
  <si>
    <t>Outside on School Property</t>
  </si>
  <si>
    <t>No</t>
  </si>
  <si>
    <t>Sport Event</t>
  </si>
  <si>
    <t>Gang-related altercation just before the shots were fired</t>
  </si>
  <si>
    <t>Escalation of Dispute</t>
  </si>
  <si>
    <t>Victims Targeted</t>
  </si>
  <si>
    <t>No</t>
  </si>
  <si>
    <t>20160819FLSOM</t>
  </si>
  <si>
    <t>Southridge High School</t>
  </si>
  <si>
    <t>Summer</t>
  </si>
  <si>
    <t>Miami</t>
  </si>
  <si>
    <t>FL</t>
  </si>
  <si>
    <t>High</t>
  </si>
  <si>
    <t>Parking Lot</t>
  </si>
  <si>
    <t>Outside on School Property</t>
  </si>
  <si>
    <t>No</t>
  </si>
  <si>
    <t>Sport Event</t>
  </si>
  <si>
    <t>Shots fired in parking lot during football game</t>
  </si>
  <si>
    <t>Escalation of Dispute</t>
  </si>
  <si>
    <t>No</t>
  </si>
  <si>
    <t>20160817OHWEC</t>
  </si>
  <si>
    <t>Wedgewood Middle School</t>
  </si>
  <si>
    <t>Local</t>
  </si>
  <si>
    <t>Summer</t>
  </si>
  <si>
    <t>Columbus</t>
  </si>
  <si>
    <t>OH</t>
  </si>
  <si>
    <t>Middle</t>
  </si>
  <si>
    <t>Parking Lot</t>
  </si>
  <si>
    <t>Outside on School Property</t>
  </si>
  <si>
    <t>No</t>
  </si>
  <si>
    <t>Evening</t>
  </si>
  <si>
    <t>2 people shot in a car; shooter was in another car</t>
  </si>
  <si>
    <t>Unknown</t>
  </si>
  <si>
    <t>No</t>
  </si>
  <si>
    <t>20160725MOAVA</t>
  </si>
  <si>
    <t>Ava High School</t>
  </si>
  <si>
    <t>Summer</t>
  </si>
  <si>
    <t>Ava</t>
  </si>
  <si>
    <t>MO</t>
  </si>
  <si>
    <t>High</t>
  </si>
  <si>
    <t>Parking Lot</t>
  </si>
  <si>
    <t>Outside on School Property</t>
  </si>
  <si>
    <t>No</t>
  </si>
  <si>
    <t>Night</t>
  </si>
  <si>
    <t>Planned fight in school parking lot</t>
  </si>
  <si>
    <t>Escalation of Dispute</t>
  </si>
  <si>
    <t>Victims Targeted</t>
  </si>
  <si>
    <t>No</t>
  </si>
  <si>
    <t>20160630CAWOH</t>
  </si>
  <si>
    <t>Woodrow Wilson Junior High School</t>
  </si>
  <si>
    <t>Local</t>
  </si>
  <si>
    <t>Summer</t>
  </si>
  <si>
    <t>Hanford</t>
  </si>
  <si>
    <t>CA</t>
  </si>
  <si>
    <t>Junior High</t>
  </si>
  <si>
    <t>Outside on School Property</t>
  </si>
  <si>
    <t>No</t>
  </si>
  <si>
    <t>Evening</t>
  </si>
  <si>
    <t>Motive unknown, gang task force investigated, no evident gang affiliation of the victim</t>
  </si>
  <si>
    <t>Unknown</t>
  </si>
  <si>
    <t>No</t>
  </si>
  <si>
    <t>20160616ILMCC</t>
  </si>
  <si>
    <t>Mcnair Elementary School</t>
  </si>
  <si>
    <t>Local</t>
  </si>
  <si>
    <t>Summer</t>
  </si>
  <si>
    <t>Chicago</t>
  </si>
  <si>
    <t>IL</t>
  </si>
  <si>
    <t>Elementary</t>
  </si>
  <si>
    <t>Parking Lot</t>
  </si>
  <si>
    <t>Outside on School Property</t>
  </si>
  <si>
    <t>Yes</t>
  </si>
  <si>
    <t>Lunch</t>
  </si>
  <si>
    <t>School employee shot in the head outside of the school</t>
  </si>
  <si>
    <t>Unknown</t>
  </si>
  <si>
    <t>Victims Targeted</t>
  </si>
  <si>
    <t>No</t>
  </si>
  <si>
    <t>20160608MAJED</t>
  </si>
  <si>
    <t>Jeremiah Burke High School</t>
  </si>
  <si>
    <t>Regional</t>
  </si>
  <si>
    <t>Summer</t>
  </si>
  <si>
    <t>Dorchester</t>
  </si>
  <si>
    <t>MA</t>
  </si>
  <si>
    <t>High</t>
  </si>
  <si>
    <t>Front of School</t>
  </si>
  <si>
    <t>Outside on School Property</t>
  </si>
  <si>
    <t>Yes</t>
  </si>
  <si>
    <t>Afternoon Classes</t>
  </si>
  <si>
    <t>Drive-by, victim targeted, shooters have extended criminal history</t>
  </si>
  <si>
    <t>Drive-by Shooting</t>
  </si>
  <si>
    <t>Both</t>
  </si>
  <si>
    <t>No</t>
  </si>
  <si>
    <t>20160515KSAUA</t>
  </si>
  <si>
    <t>Augusta High School</t>
  </si>
  <si>
    <t>Local</t>
  </si>
  <si>
    <t>Spring</t>
  </si>
  <si>
    <t>Augusta</t>
  </si>
  <si>
    <t>KS</t>
  </si>
  <si>
    <t>High</t>
  </si>
  <si>
    <t>Football Field/Track</t>
  </si>
  <si>
    <t>Outside on School Property</t>
  </si>
  <si>
    <t>No</t>
  </si>
  <si>
    <t>School Event</t>
  </si>
  <si>
    <t>Accidental discharge adjusting gun during graduation</t>
  </si>
  <si>
    <t>Accidental</t>
  </si>
  <si>
    <t>Random Shooting</t>
  </si>
  <si>
    <t>No</t>
  </si>
  <si>
    <t>20160513SCSOG</t>
  </si>
  <si>
    <t>Southside High School</t>
  </si>
  <si>
    <t>Local</t>
  </si>
  <si>
    <t>Spring</t>
  </si>
  <si>
    <t>Greenville</t>
  </si>
  <si>
    <t>SC</t>
  </si>
  <si>
    <t>High</t>
  </si>
  <si>
    <t>Cafeteria</t>
  </si>
  <si>
    <t>Inside School Building</t>
  </si>
  <si>
    <t>Yes</t>
  </si>
  <si>
    <t>School Start</t>
  </si>
  <si>
    <t>Accidental discharge of gun in backpack</t>
  </si>
  <si>
    <t>Accidental</t>
  </si>
  <si>
    <t>Neither</t>
  </si>
  <si>
    <t>No</t>
  </si>
  <si>
    <t>20160506IDROT</t>
  </si>
  <si>
    <t>Robert Stuart Middle School</t>
  </si>
  <si>
    <t>Spring</t>
  </si>
  <si>
    <t>Twin Falls</t>
  </si>
  <si>
    <t>ID</t>
  </si>
  <si>
    <t>Middle</t>
  </si>
  <si>
    <t>Classroom</t>
  </si>
  <si>
    <t>Inside School Building</t>
  </si>
  <si>
    <t>Yes</t>
  </si>
  <si>
    <t>Afternoon Classes</t>
  </si>
  <si>
    <t>Accidental discharge of gun in backpack</t>
  </si>
  <si>
    <t>Accidental</t>
  </si>
  <si>
    <t>Neither</t>
  </si>
  <si>
    <t>Yes</t>
  </si>
  <si>
    <t>No</t>
  </si>
  <si>
    <t>N/A</t>
  </si>
  <si>
    <t>No</t>
  </si>
  <si>
    <t>20160506FLOSP</t>
  </si>
  <si>
    <t>Oscar Patterson Elementary School</t>
  </si>
  <si>
    <t>Spring</t>
  </si>
  <si>
    <t>Panama City</t>
  </si>
  <si>
    <t>FL</t>
  </si>
  <si>
    <t>Elementary</t>
  </si>
  <si>
    <t>Office</t>
  </si>
  <si>
    <t>Inside School Building</t>
  </si>
  <si>
    <t>Yes</t>
  </si>
  <si>
    <t>Accidental discharge during interview of school employee</t>
  </si>
  <si>
    <t>Accidental</t>
  </si>
  <si>
    <t>Random Shooting</t>
  </si>
  <si>
    <t>No</t>
  </si>
  <si>
    <t>20160505MDHIB</t>
  </si>
  <si>
    <t>High Point High School</t>
  </si>
  <si>
    <t>Regional</t>
  </si>
  <si>
    <t>Spring</t>
  </si>
  <si>
    <t>Beltsville</t>
  </si>
  <si>
    <t>MD</t>
  </si>
  <si>
    <t>High</t>
  </si>
  <si>
    <t>Parking Lot</t>
  </si>
  <si>
    <t>Outside on School Property</t>
  </si>
  <si>
    <t>No</t>
  </si>
  <si>
    <t>After School</t>
  </si>
  <si>
    <t>Domestic, killed ex-wife in parking lot</t>
  </si>
  <si>
    <t>Domestic w/ Targeted Victim</t>
  </si>
  <si>
    <t>Both</t>
  </si>
  <si>
    <t>No</t>
  </si>
  <si>
    <t>Yes</t>
  </si>
  <si>
    <t>No</t>
  </si>
  <si>
    <t>20160504COEAP</t>
  </si>
  <si>
    <t>East High School</t>
  </si>
  <si>
    <t>Local</t>
  </si>
  <si>
    <t>Spring</t>
  </si>
  <si>
    <t>Pueblo</t>
  </si>
  <si>
    <t>CO</t>
  </si>
  <si>
    <t>High</t>
  </si>
  <si>
    <t>Parking Lot</t>
  </si>
  <si>
    <t>Outside on School Property</t>
  </si>
  <si>
    <t>No</t>
  </si>
  <si>
    <t>After School</t>
  </si>
  <si>
    <t>Drive-by, teacher injured, most likely targeted, murder-suicide</t>
  </si>
  <si>
    <t>Drive-by Shooting</t>
  </si>
  <si>
    <t>Victims Targeted</t>
  </si>
  <si>
    <t>No</t>
  </si>
  <si>
    <t>20160502TXKID</t>
  </si>
  <si>
    <t>Kimball High School</t>
  </si>
  <si>
    <t>Spring</t>
  </si>
  <si>
    <t>Dallas</t>
  </si>
  <si>
    <t>TX</t>
  </si>
  <si>
    <t>High</t>
  </si>
  <si>
    <t>Classroom</t>
  </si>
  <si>
    <t>Inside School Building</t>
  </si>
  <si>
    <t>Yes</t>
  </si>
  <si>
    <t>Morning Classes</t>
  </si>
  <si>
    <t>Accidental discharge showing off gun</t>
  </si>
  <si>
    <t>Accidental</t>
  </si>
  <si>
    <t>Random Shooting</t>
  </si>
  <si>
    <t>No</t>
  </si>
  <si>
    <t>Yes</t>
  </si>
  <si>
    <t>No</t>
  </si>
  <si>
    <t>20160423WIANA</t>
  </si>
  <si>
    <t>Antigo High School</t>
  </si>
  <si>
    <t>International</t>
  </si>
  <si>
    <t>Spring</t>
  </si>
  <si>
    <t>Antigo</t>
  </si>
  <si>
    <t>WI</t>
  </si>
  <si>
    <t>High</t>
  </si>
  <si>
    <t>Parking Lot</t>
  </si>
  <si>
    <t>Outside on School Property</t>
  </si>
  <si>
    <t>No</t>
  </si>
  <si>
    <t>School Event</t>
  </si>
  <si>
    <t>Shot ex-girlfriend after break-up</t>
  </si>
  <si>
    <t>Domestic w/ Targeted Victim</t>
  </si>
  <si>
    <t>Victims Targeted</t>
  </si>
  <si>
    <t>No</t>
  </si>
  <si>
    <t>Yes</t>
  </si>
  <si>
    <t>20160315ALHUB</t>
  </si>
  <si>
    <t>Huffman High School</t>
  </si>
  <si>
    <t>Local</t>
  </si>
  <si>
    <t>Spring</t>
  </si>
  <si>
    <t>Birmingham</t>
  </si>
  <si>
    <t>AL</t>
  </si>
  <si>
    <t>High</t>
  </si>
  <si>
    <t>Parking Lot</t>
  </si>
  <si>
    <t>Outside on School Property</t>
  </si>
  <si>
    <t>Yes</t>
  </si>
  <si>
    <t>Dismissal</t>
  </si>
  <si>
    <t>Shots fired during fight</t>
  </si>
  <si>
    <t>Escalation of Dispute</t>
  </si>
  <si>
    <t>Victims Targeted</t>
  </si>
  <si>
    <t>No</t>
  </si>
  <si>
    <t>20160229OHMAM</t>
  </si>
  <si>
    <t>Madison High School</t>
  </si>
  <si>
    <t>National</t>
  </si>
  <si>
    <t>Winter</t>
  </si>
  <si>
    <t>Middletown</t>
  </si>
  <si>
    <t>OH</t>
  </si>
  <si>
    <t>High</t>
  </si>
  <si>
    <t>Cafeteria</t>
  </si>
  <si>
    <t>Inside School Building</t>
  </si>
  <si>
    <t>Yes</t>
  </si>
  <si>
    <t>Lunch</t>
  </si>
  <si>
    <t>Fired multiple shots in school cafeteria</t>
  </si>
  <si>
    <t>Indiscriminate Shooting</t>
  </si>
  <si>
    <t>Random Shooting</t>
  </si>
  <si>
    <t>No</t>
  </si>
  <si>
    <t>Yes</t>
  </si>
  <si>
    <t>20160226TXPAP</t>
  </si>
  <si>
    <t>Palestine High School</t>
  </si>
  <si>
    <t>Winter</t>
  </si>
  <si>
    <t>Palestine</t>
  </si>
  <si>
    <t>TX</t>
  </si>
  <si>
    <t>High</t>
  </si>
  <si>
    <t>Parking Lot</t>
  </si>
  <si>
    <t>Outside on School Property</t>
  </si>
  <si>
    <t>No</t>
  </si>
  <si>
    <t>Sport Event</t>
  </si>
  <si>
    <t>Ex-husband shoots ex-wife and her boyfriend</t>
  </si>
  <si>
    <t>Domestic w/ Targeted Victim</t>
  </si>
  <si>
    <t>Victims Targeted</t>
  </si>
  <si>
    <t>No</t>
  </si>
  <si>
    <t>Yes</t>
  </si>
  <si>
    <t>No</t>
  </si>
  <si>
    <t>20160217PACHC</t>
  </si>
  <si>
    <t>Chester High School (bus)</t>
  </si>
  <si>
    <t>Local</t>
  </si>
  <si>
    <t>Winter</t>
  </si>
  <si>
    <t>Chester</t>
  </si>
  <si>
    <t>PA</t>
  </si>
  <si>
    <t>High</t>
  </si>
  <si>
    <t>School Bus</t>
  </si>
  <si>
    <t>Yes</t>
  </si>
  <si>
    <t>Lunch</t>
  </si>
  <si>
    <t>Gang related; Shot another student while exiting school bus</t>
  </si>
  <si>
    <t>Escalation of Dispute</t>
  </si>
  <si>
    <t>Victims Targeted</t>
  </si>
  <si>
    <t>No</t>
  </si>
  <si>
    <t>20160217FLROH</t>
  </si>
  <si>
    <t>Rock Crusher Elementary School</t>
  </si>
  <si>
    <t>Winter</t>
  </si>
  <si>
    <t>Homosassa</t>
  </si>
  <si>
    <t>FL</t>
  </si>
  <si>
    <t>Elementary</t>
  </si>
  <si>
    <t>Beside Building</t>
  </si>
  <si>
    <t>Outside on School Property</t>
  </si>
  <si>
    <t>Yes</t>
  </si>
  <si>
    <t>School Start</t>
  </si>
  <si>
    <t>Parent dropped gun, parent told janitor who picked it up and accidentally fired</t>
  </si>
  <si>
    <t>Accidental</t>
  </si>
  <si>
    <t>NA</t>
  </si>
  <si>
    <t>No</t>
  </si>
  <si>
    <t>N/A</t>
  </si>
  <si>
    <t>No</t>
  </si>
  <si>
    <t>20160212AZING</t>
  </si>
  <si>
    <t>Independence High School</t>
  </si>
  <si>
    <t>National</t>
  </si>
  <si>
    <t>Winter</t>
  </si>
  <si>
    <t>Glendale</t>
  </si>
  <si>
    <t>AZ</t>
  </si>
  <si>
    <t>High</t>
  </si>
  <si>
    <t>Courtyard</t>
  </si>
  <si>
    <t>Outside on School Property</t>
  </si>
  <si>
    <t>Yes</t>
  </si>
  <si>
    <t>Before School</t>
  </si>
  <si>
    <t>Murder-suicide between 2 female students</t>
  </si>
  <si>
    <t>Domestic w/ Targeted Victim</t>
  </si>
  <si>
    <t>Victims Targeted</t>
  </si>
  <si>
    <t>No</t>
  </si>
  <si>
    <t>Yes</t>
  </si>
  <si>
    <t>No</t>
  </si>
  <si>
    <t>20160209MIMUM</t>
  </si>
  <si>
    <t>Muskegon Heights High School</t>
  </si>
  <si>
    <t>Local</t>
  </si>
  <si>
    <t>Winter</t>
  </si>
  <si>
    <t>Muskegon Heights</t>
  </si>
  <si>
    <t>MI</t>
  </si>
  <si>
    <t>High</t>
  </si>
  <si>
    <t>Parking Lot</t>
  </si>
  <si>
    <t>Outside on School Property</t>
  </si>
  <si>
    <t>No</t>
  </si>
  <si>
    <t>Sport Event</t>
  </si>
  <si>
    <t>Gang related shooting after basketball game</t>
  </si>
  <si>
    <t>Escalation of Dispute</t>
  </si>
  <si>
    <t>Both</t>
  </si>
  <si>
    <t>No</t>
  </si>
  <si>
    <t>20160129PABEP</t>
  </si>
  <si>
    <t>Benjamin Franklin High School</t>
  </si>
  <si>
    <t>Local</t>
  </si>
  <si>
    <t>Winter</t>
  </si>
  <si>
    <t>Philadelphia</t>
  </si>
  <si>
    <t>PA</t>
  </si>
  <si>
    <t>High</t>
  </si>
  <si>
    <t>Hallway</t>
  </si>
  <si>
    <t>Inside School Building</t>
  </si>
  <si>
    <t>Yes</t>
  </si>
  <si>
    <t>Lunch</t>
  </si>
  <si>
    <t>Shots fired during fight in school hallway</t>
  </si>
  <si>
    <t>Escalation of Dispute</t>
  </si>
  <si>
    <t>Victims Targeted</t>
  </si>
  <si>
    <t>No</t>
  </si>
  <si>
    <t>20160122INLAI</t>
  </si>
  <si>
    <t>Lawrence Central High School</t>
  </si>
  <si>
    <t>Local</t>
  </si>
  <si>
    <t>Winter</t>
  </si>
  <si>
    <t>Indianapolis</t>
  </si>
  <si>
    <t>IN</t>
  </si>
  <si>
    <t>High</t>
  </si>
  <si>
    <t>Beside Building</t>
  </si>
  <si>
    <t>Outside on School Property</t>
  </si>
  <si>
    <t>No</t>
  </si>
  <si>
    <t>Sport Event</t>
  </si>
  <si>
    <t>Shots during fight at basketball game</t>
  </si>
  <si>
    <t>Escalation of Dispute</t>
  </si>
  <si>
    <t>Victims Targeted</t>
  </si>
  <si>
    <t>No</t>
  </si>
  <si>
    <t>20160120INNOI</t>
  </si>
  <si>
    <t>Northwestern Community High School</t>
  </si>
  <si>
    <t>Winter</t>
  </si>
  <si>
    <t>Indianapolis</t>
  </si>
  <si>
    <t>IN</t>
  </si>
  <si>
    <t>High</t>
  </si>
  <si>
    <t>Parking Lot</t>
  </si>
  <si>
    <t>Outside on School Property</t>
  </si>
  <si>
    <t>Yes</t>
  </si>
  <si>
    <t>Before School</t>
  </si>
  <si>
    <t>Accidental discharge of gun in car</t>
  </si>
  <si>
    <t>Accidental</t>
  </si>
  <si>
    <t>NA</t>
  </si>
  <si>
    <t>No</t>
  </si>
  <si>
    <t>N/A</t>
  </si>
  <si>
    <t>No</t>
  </si>
  <si>
    <t>20160113ARHAB</t>
  </si>
  <si>
    <t>Harmony Grove High School</t>
  </si>
  <si>
    <t>Local</t>
  </si>
  <si>
    <t>Winter</t>
  </si>
  <si>
    <t>Benton</t>
  </si>
  <si>
    <t>AR</t>
  </si>
  <si>
    <t>High</t>
  </si>
  <si>
    <t>Parking Lot</t>
  </si>
  <si>
    <t>Outside on School Property</t>
  </si>
  <si>
    <t>No</t>
  </si>
  <si>
    <t>After School</t>
  </si>
  <si>
    <t>Accidental discharge in parking lot</t>
  </si>
  <si>
    <t>Accidental</t>
  </si>
  <si>
    <t>Random Shooting</t>
  </si>
  <si>
    <t>No</t>
  </si>
  <si>
    <t>20160112DECED</t>
  </si>
  <si>
    <t>Central Middle School</t>
  </si>
  <si>
    <t>Local</t>
  </si>
  <si>
    <t>Winter</t>
  </si>
  <si>
    <t>Dover</t>
  </si>
  <si>
    <t>DE</t>
  </si>
  <si>
    <t>Middle</t>
  </si>
  <si>
    <t>Bathroom</t>
  </si>
  <si>
    <t>Inside School Building</t>
  </si>
  <si>
    <t>Yes</t>
  </si>
  <si>
    <t>Lunch</t>
  </si>
  <si>
    <t>Accidental discharge in bathroom</t>
  </si>
  <si>
    <t>Accidental</t>
  </si>
  <si>
    <t>Neither</t>
  </si>
  <si>
    <t>No</t>
  </si>
  <si>
    <t>20151204KSWEW</t>
  </si>
  <si>
    <t>West High School</t>
  </si>
  <si>
    <t>Winter</t>
  </si>
  <si>
    <t>Wichita</t>
  </si>
  <si>
    <t>KS</t>
  </si>
  <si>
    <t>High</t>
  </si>
  <si>
    <t>Beside Building</t>
  </si>
  <si>
    <t>Outside on School Property</t>
  </si>
  <si>
    <t>No</t>
  </si>
  <si>
    <t>Sport Event</t>
  </si>
  <si>
    <t>17YOM student with gun attempted to flee into school was shot by police</t>
  </si>
  <si>
    <t>Illegal Activity</t>
  </si>
  <si>
    <t>No</t>
  </si>
  <si>
    <t>20151120FLNAM</t>
  </si>
  <si>
    <t>Nathaniel “Traz” Powell Stadium (high school game)</t>
  </si>
  <si>
    <t>Fall</t>
  </si>
  <si>
    <t>Miami</t>
  </si>
  <si>
    <t>FL</t>
  </si>
  <si>
    <t>High</t>
  </si>
  <si>
    <t>Football Field/Track</t>
  </si>
  <si>
    <t>Outside on School Property</t>
  </si>
  <si>
    <t>No</t>
  </si>
  <si>
    <t>Sport Event</t>
  </si>
  <si>
    <t>Shots fired in stands at end of football game</t>
  </si>
  <si>
    <t>Escalation of Dispute</t>
  </si>
  <si>
    <t>Yes</t>
  </si>
  <si>
    <t>No</t>
  </si>
  <si>
    <t>20151111ARSUS</t>
  </si>
  <si>
    <t>Sulphur Rock Magnet School</t>
  </si>
  <si>
    <t>Fall</t>
  </si>
  <si>
    <t>Sulphur Rock</t>
  </si>
  <si>
    <t>AR</t>
  </si>
  <si>
    <t>Unknown</t>
  </si>
  <si>
    <t>Parking Lot</t>
  </si>
  <si>
    <t>Outside on School Property</t>
  </si>
  <si>
    <t>Yes</t>
  </si>
  <si>
    <t>Dismissal</t>
  </si>
  <si>
    <t>Accidental discharge showing gun to other student in the parking lot</t>
  </si>
  <si>
    <t>Accidental</t>
  </si>
  <si>
    <t>Random Shooting</t>
  </si>
  <si>
    <t>Yes</t>
  </si>
  <si>
    <t>No</t>
  </si>
  <si>
    <t>20151105GAVEM</t>
  </si>
  <si>
    <t>Vereen School</t>
  </si>
  <si>
    <t>Local</t>
  </si>
  <si>
    <t>Fall</t>
  </si>
  <si>
    <t>Moultrie</t>
  </si>
  <si>
    <t>GA</t>
  </si>
  <si>
    <t>Other</t>
  </si>
  <si>
    <t>Classroom</t>
  </si>
  <si>
    <t>Inside School Building</t>
  </si>
  <si>
    <t>Yes</t>
  </si>
  <si>
    <t>Student fired gun in SRO holster during physical confrontation</t>
  </si>
  <si>
    <t>Psychosis</t>
  </si>
  <si>
    <t>Neither</t>
  </si>
  <si>
    <t>No</t>
  </si>
  <si>
    <t>20151024TXEDS</t>
  </si>
  <si>
    <t>Ed White Middle School</t>
  </si>
  <si>
    <t>Fall</t>
  </si>
  <si>
    <t>San Antonio</t>
  </si>
  <si>
    <t>TX</t>
  </si>
  <si>
    <t>Middle</t>
  </si>
  <si>
    <t>Parking Lot</t>
  </si>
  <si>
    <t>Outside on School Property</t>
  </si>
  <si>
    <t>No</t>
  </si>
  <si>
    <t>Night</t>
  </si>
  <si>
    <t>Adult male killed in school parking lot late at night</t>
  </si>
  <si>
    <t>Escalation of Dispute</t>
  </si>
  <si>
    <t>Victims Targeted</t>
  </si>
  <si>
    <t>No</t>
  </si>
  <si>
    <t>20151015TXKAS</t>
  </si>
  <si>
    <t>Karen Wagner High School</t>
  </si>
  <si>
    <t>Local</t>
  </si>
  <si>
    <t>Fall</t>
  </si>
  <si>
    <t>San Antonio</t>
  </si>
  <si>
    <t>TX</t>
  </si>
  <si>
    <t>High</t>
  </si>
  <si>
    <t>Parking Lot</t>
  </si>
  <si>
    <t>Outside on School Property</t>
  </si>
  <si>
    <t>Yes</t>
  </si>
  <si>
    <t>Morning Classes</t>
  </si>
  <si>
    <t>Fired shots at principals car after friend reprimanded</t>
  </si>
  <si>
    <t>Anger Over Grade/Suspension/Discipline</t>
  </si>
  <si>
    <t>Victims Targeted</t>
  </si>
  <si>
    <t>No</t>
  </si>
  <si>
    <t>20150930SDHAH</t>
  </si>
  <si>
    <t>Harrisburg High School</t>
  </si>
  <si>
    <t>Local</t>
  </si>
  <si>
    <t>Fall</t>
  </si>
  <si>
    <t>Harrisburg</t>
  </si>
  <si>
    <t>SD</t>
  </si>
  <si>
    <t>High</t>
  </si>
  <si>
    <t>Office</t>
  </si>
  <si>
    <t>Inside School Building</t>
  </si>
  <si>
    <t>Yes</t>
  </si>
  <si>
    <t>Morning Classes</t>
  </si>
  <si>
    <t>Suspected mental illness and inability to adjust to the new school</t>
  </si>
  <si>
    <t>Psychosis</t>
  </si>
  <si>
    <t>Victims Targeted</t>
  </si>
  <si>
    <t>No</t>
  </si>
  <si>
    <t>Yes</t>
  </si>
  <si>
    <t>20150922NCCES</t>
  </si>
  <si>
    <t>Central Elementary School</t>
  </si>
  <si>
    <t>Fall</t>
  </si>
  <si>
    <t>Statesville</t>
  </si>
  <si>
    <t>NC</t>
  </si>
  <si>
    <t>Elementary</t>
  </si>
  <si>
    <t>Parking Lot</t>
  </si>
  <si>
    <t>Outside on School Property</t>
  </si>
  <si>
    <t>Yes</t>
  </si>
  <si>
    <t>Dismissal</t>
  </si>
  <si>
    <t>Wife shot estranged husband in school parking lot</t>
  </si>
  <si>
    <t>Domestic w/ Targeted Victim</t>
  </si>
  <si>
    <t>Victims Targeted</t>
  </si>
  <si>
    <t>No</t>
  </si>
  <si>
    <t>Yes</t>
  </si>
  <si>
    <t>No</t>
  </si>
  <si>
    <t>20150911LANOL</t>
  </si>
  <si>
    <t>Northside High School</t>
  </si>
  <si>
    <t>Fall</t>
  </si>
  <si>
    <t>Lafayette</t>
  </si>
  <si>
    <t>LA</t>
  </si>
  <si>
    <t>High</t>
  </si>
  <si>
    <t>Front of School</t>
  </si>
  <si>
    <t>Outside on School Property</t>
  </si>
  <si>
    <t>No</t>
  </si>
  <si>
    <t>Sport Event</t>
  </si>
  <si>
    <t>Bystander shot during drive-by</t>
  </si>
  <si>
    <t>Drive-by Shooting</t>
  </si>
  <si>
    <t>Random Shooting</t>
  </si>
  <si>
    <t>No</t>
  </si>
  <si>
    <t>20150903ORNEN</t>
  </si>
  <si>
    <t>Newberg High School</t>
  </si>
  <si>
    <t>Fall</t>
  </si>
  <si>
    <t>Newberg</t>
  </si>
  <si>
    <t>OR</t>
  </si>
  <si>
    <t>High</t>
  </si>
  <si>
    <t>Football Field/Track</t>
  </si>
  <si>
    <t>Outside on School Property</t>
  </si>
  <si>
    <t>No</t>
  </si>
  <si>
    <t>Sport Event</t>
  </si>
  <si>
    <t>Shots fired off the school campus struck the beachers during a sporting event</t>
  </si>
  <si>
    <t>Escalation of Dispute</t>
  </si>
  <si>
    <t>No</t>
  </si>
  <si>
    <t>20150825GAWSA</t>
  </si>
  <si>
    <t>W S Hornsby Elementary School</t>
  </si>
  <si>
    <t>Local</t>
  </si>
  <si>
    <t>Summer</t>
  </si>
  <si>
    <t>Augusta</t>
  </si>
  <si>
    <t>GA</t>
  </si>
  <si>
    <t>Elementary</t>
  </si>
  <si>
    <t>Classroom</t>
  </si>
  <si>
    <t>Inside School Building</t>
  </si>
  <si>
    <t>Yes</t>
  </si>
  <si>
    <t>Morning Classes</t>
  </si>
  <si>
    <t>Accidental discharge playing with gun in classroom</t>
  </si>
  <si>
    <t>Accidental</t>
  </si>
  <si>
    <t>Neither</t>
  </si>
  <si>
    <t>No</t>
  </si>
  <si>
    <t>20150823TXWIR</t>
  </si>
  <si>
    <t>William Velasquez Elementary School</t>
  </si>
  <si>
    <t>Summer</t>
  </si>
  <si>
    <t>Richmond</t>
  </si>
  <si>
    <t>TX</t>
  </si>
  <si>
    <t>Elementary</t>
  </si>
  <si>
    <t>Other</t>
  </si>
  <si>
    <t>Outside on School Property</t>
  </si>
  <si>
    <t>No</t>
  </si>
  <si>
    <t>Not a School Day</t>
  </si>
  <si>
    <t>Fired at random victims from the roof of the school</t>
  </si>
  <si>
    <t>Indiscriminate Shooting</t>
  </si>
  <si>
    <t>Neither</t>
  </si>
  <si>
    <t>No</t>
  </si>
  <si>
    <t>Yes</t>
  </si>
  <si>
    <t>20150808TXPAP</t>
  </si>
  <si>
    <t>Paradise High School</t>
  </si>
  <si>
    <t>Summer</t>
  </si>
  <si>
    <t>Paradise</t>
  </si>
  <si>
    <t>TX</t>
  </si>
  <si>
    <t>High</t>
  </si>
  <si>
    <t>Parking Lot</t>
  </si>
  <si>
    <t>Outside on School Property</t>
  </si>
  <si>
    <t>No</t>
  </si>
  <si>
    <t>Not a School Day</t>
  </si>
  <si>
    <t>Random shooting on school property - not directed at anyone</t>
  </si>
  <si>
    <t>Intentional Property Damage</t>
  </si>
  <si>
    <t>Neither</t>
  </si>
  <si>
    <t>No</t>
  </si>
  <si>
    <t>20150724TXELC</t>
  </si>
  <si>
    <t>Elolf Elementary School</t>
  </si>
  <si>
    <t>Summer</t>
  </si>
  <si>
    <t>Converse</t>
  </si>
  <si>
    <t>TX</t>
  </si>
  <si>
    <t>Elementary</t>
  </si>
  <si>
    <t>Parking Lot</t>
  </si>
  <si>
    <t>Outside on School Property</t>
  </si>
  <si>
    <t>No</t>
  </si>
  <si>
    <t>Not a School Day</t>
  </si>
  <si>
    <t>Drug deal/robbery gone bad</t>
  </si>
  <si>
    <t>Illegal Activity</t>
  </si>
  <si>
    <t>Victims Targeted</t>
  </si>
  <si>
    <t>Yes</t>
  </si>
  <si>
    <t>No</t>
  </si>
  <si>
    <t>20150705TXCOD</t>
  </si>
  <si>
    <t>Coppell Middle School East</t>
  </si>
  <si>
    <t>Summer</t>
  </si>
  <si>
    <t>Dallas</t>
  </si>
  <si>
    <t>TX</t>
  </si>
  <si>
    <t>High</t>
  </si>
  <si>
    <t>Parking Lot</t>
  </si>
  <si>
    <t>Outside on School Property</t>
  </si>
  <si>
    <t>No</t>
  </si>
  <si>
    <t>Not a School Day</t>
  </si>
  <si>
    <t>Shots fired during dispute over money at basketball game</t>
  </si>
  <si>
    <t>Escalation of Dispute</t>
  </si>
  <si>
    <t>Victims Targeted</t>
  </si>
  <si>
    <t>No</t>
  </si>
  <si>
    <t>20150629TXJOS</t>
  </si>
  <si>
    <t>John Jay High School</t>
  </si>
  <si>
    <t>Summer</t>
  </si>
  <si>
    <t>San Antonio</t>
  </si>
  <si>
    <t>TX</t>
  </si>
  <si>
    <t>High</t>
  </si>
  <si>
    <t>Field (General)</t>
  </si>
  <si>
    <t>Outside on School Property</t>
  </si>
  <si>
    <t>Yes</t>
  </si>
  <si>
    <t>Afternoon Classes</t>
  </si>
  <si>
    <t>Police officer shot suspect after vehicle pursuit</t>
  </si>
  <si>
    <t>Illegal Activity</t>
  </si>
  <si>
    <t>Victims Targeted</t>
  </si>
  <si>
    <t>No</t>
  </si>
  <si>
    <t>N/A</t>
  </si>
  <si>
    <t>No</t>
  </si>
  <si>
    <t>20150627CTSAH</t>
  </si>
  <si>
    <t>Sarah J. Rawson Elementary School</t>
  </si>
  <si>
    <t>Summer</t>
  </si>
  <si>
    <t>Hartford</t>
  </si>
  <si>
    <t>CT</t>
  </si>
  <si>
    <t>Elementary</t>
  </si>
  <si>
    <t>Gym</t>
  </si>
  <si>
    <t>Inside School Building</t>
  </si>
  <si>
    <t>No</t>
  </si>
  <si>
    <t>Sport Event</t>
  </si>
  <si>
    <t>Four shot in school gym during basketball game</t>
  </si>
  <si>
    <t>Escalation of Dispute</t>
  </si>
  <si>
    <t>Unknown</t>
  </si>
  <si>
    <t>No</t>
  </si>
  <si>
    <t>20150623NEFOF</t>
  </si>
  <si>
    <t>Fort Calhoun Elementary School</t>
  </si>
  <si>
    <t>Summer</t>
  </si>
  <si>
    <t>Fort Calhoun</t>
  </si>
  <si>
    <t>NE</t>
  </si>
  <si>
    <t>Elementary</t>
  </si>
  <si>
    <t>Parking Lot</t>
  </si>
  <si>
    <t>Outside on School Property</t>
  </si>
  <si>
    <t>No</t>
  </si>
  <si>
    <t>Evening</t>
  </si>
  <si>
    <t>Meeting in parking lot between non-students turned violent</t>
  </si>
  <si>
    <t>Escalation of Dispute</t>
  </si>
  <si>
    <t>Victims Targeted</t>
  </si>
  <si>
    <t>Yes</t>
  </si>
  <si>
    <t>No</t>
  </si>
  <si>
    <t>20150604NCSOF</t>
  </si>
  <si>
    <t>South Macon Elementary School</t>
  </si>
  <si>
    <t>Local</t>
  </si>
  <si>
    <t>Summer</t>
  </si>
  <si>
    <t>Franklin</t>
  </si>
  <si>
    <t>NC</t>
  </si>
  <si>
    <t>Elementary</t>
  </si>
  <si>
    <t>Parking Lot</t>
  </si>
  <si>
    <t>Outside on School Property</t>
  </si>
  <si>
    <t>Yes</t>
  </si>
  <si>
    <t>Before School</t>
  </si>
  <si>
    <t>Male and female came to school with several guns, shot/killed a cat, had plan to kill children</t>
  </si>
  <si>
    <t>Indiscriminate Shooting</t>
  </si>
  <si>
    <t>Random Shooting</t>
  </si>
  <si>
    <t>Yes</t>
  </si>
  <si>
    <t>No</t>
  </si>
  <si>
    <t>Yes</t>
  </si>
  <si>
    <t>20150527FLEVE</t>
  </si>
  <si>
    <t>Everglades City School</t>
  </si>
  <si>
    <t>Spring</t>
  </si>
  <si>
    <t>Everglades City</t>
  </si>
  <si>
    <t>FL</t>
  </si>
  <si>
    <t>K-12</t>
  </si>
  <si>
    <t>Beside Building</t>
  </si>
  <si>
    <t>Outside on School Property</t>
  </si>
  <si>
    <t>No</t>
  </si>
  <si>
    <t>Evening</t>
  </si>
  <si>
    <t>Fight between men behind school, one fired shots at the other</t>
  </si>
  <si>
    <t>Escalation of Dispute</t>
  </si>
  <si>
    <t>Victims Targeted</t>
  </si>
  <si>
    <t>No</t>
  </si>
  <si>
    <t>20150524MISOF</t>
  </si>
  <si>
    <t>Southwestern Classical Academy</t>
  </si>
  <si>
    <t>Spring</t>
  </si>
  <si>
    <t>Flint</t>
  </si>
  <si>
    <t>MI</t>
  </si>
  <si>
    <t>Elementary</t>
  </si>
  <si>
    <t>Parking Lot</t>
  </si>
  <si>
    <t>Outside on School Property</t>
  </si>
  <si>
    <t>No</t>
  </si>
  <si>
    <t>Not a School Day</t>
  </si>
  <si>
    <t>Shots fired during fight outside of school</t>
  </si>
  <si>
    <t>Escalation of Dispute</t>
  </si>
  <si>
    <t>No</t>
  </si>
  <si>
    <t>20150521FLDUJ</t>
  </si>
  <si>
    <t>Duval County School Bus</t>
  </si>
  <si>
    <t>Local</t>
  </si>
  <si>
    <t>Spring</t>
  </si>
  <si>
    <t>Jacksonville</t>
  </si>
  <si>
    <t>FL</t>
  </si>
  <si>
    <t>High</t>
  </si>
  <si>
    <t>School Bus</t>
  </si>
  <si>
    <t>Yes</t>
  </si>
  <si>
    <t>Dismissal</t>
  </si>
  <si>
    <t>Teen fired 5 shots into school bus injuring 2 teen girls</t>
  </si>
  <si>
    <t>Escalation of Dispute</t>
  </si>
  <si>
    <t>Both</t>
  </si>
  <si>
    <t>No</t>
  </si>
  <si>
    <t>20150520TXROR</t>
  </si>
  <si>
    <t>Robinson High School</t>
  </si>
  <si>
    <t>Spring</t>
  </si>
  <si>
    <t>Robinson</t>
  </si>
  <si>
    <t>TX</t>
  </si>
  <si>
    <t>High</t>
  </si>
  <si>
    <t>Parking Lot</t>
  </si>
  <si>
    <t>Outside on School Property</t>
  </si>
  <si>
    <t>Yes</t>
  </si>
  <si>
    <t>Morning Classes</t>
  </si>
  <si>
    <t>Suicide in school</t>
  </si>
  <si>
    <t>Suicide/Attempted</t>
  </si>
  <si>
    <t>Both</t>
  </si>
  <si>
    <t>No</t>
  </si>
  <si>
    <t>20150512FLUNJ</t>
  </si>
  <si>
    <t>Unknown School (bus)</t>
  </si>
  <si>
    <t>Local</t>
  </si>
  <si>
    <t>Spring</t>
  </si>
  <si>
    <t>Jacksonville</t>
  </si>
  <si>
    <t>FL</t>
  </si>
  <si>
    <t>School Bus</t>
  </si>
  <si>
    <t>No</t>
  </si>
  <si>
    <t>After School</t>
  </si>
  <si>
    <t>Shots struck school bus during gang related shooting</t>
  </si>
  <si>
    <t>Escalation of Dispute</t>
  </si>
  <si>
    <t>Both</t>
  </si>
  <si>
    <t>Yes</t>
  </si>
  <si>
    <t>No</t>
  </si>
  <si>
    <t>20150512AZCOT</t>
  </si>
  <si>
    <t>Corona del Sol High School</t>
  </si>
  <si>
    <t>Spring</t>
  </si>
  <si>
    <t>Tempe</t>
  </si>
  <si>
    <t>AZ</t>
  </si>
  <si>
    <t>High</t>
  </si>
  <si>
    <t>Hallway</t>
  </si>
  <si>
    <t>Outside on School Property</t>
  </si>
  <si>
    <t>Yes</t>
  </si>
  <si>
    <t>Morning Classes</t>
  </si>
  <si>
    <t>Suicide is school breezeway at start of school day</t>
  </si>
  <si>
    <t>Suicide/Attempted</t>
  </si>
  <si>
    <t>Victims Targeted</t>
  </si>
  <si>
    <t>No</t>
  </si>
  <si>
    <t>20150505GACOC</t>
  </si>
  <si>
    <t>Conyers Middle School</t>
  </si>
  <si>
    <t>Spring</t>
  </si>
  <si>
    <t>Conyers</t>
  </si>
  <si>
    <t>GA</t>
  </si>
  <si>
    <t>Middle</t>
  </si>
  <si>
    <t>Bathroom</t>
  </si>
  <si>
    <t>Inside School Building</t>
  </si>
  <si>
    <t>Yes</t>
  </si>
  <si>
    <t>Afternoon Classes</t>
  </si>
  <si>
    <t>Accidental shooting in school bathroom</t>
  </si>
  <si>
    <t>Accidental</t>
  </si>
  <si>
    <t>Neither</t>
  </si>
  <si>
    <t>No</t>
  </si>
  <si>
    <t>20150504OHWIC</t>
  </si>
  <si>
    <t>Willow Elementary School</t>
  </si>
  <si>
    <t>Spring</t>
  </si>
  <si>
    <t>Cleveland</t>
  </si>
  <si>
    <t>OH</t>
  </si>
  <si>
    <t>Elementary</t>
  </si>
  <si>
    <t>Playground</t>
  </si>
  <si>
    <t>Outside on School Property</t>
  </si>
  <si>
    <t>No</t>
  </si>
  <si>
    <t>Night</t>
  </si>
  <si>
    <t>Adult victims shot outside of school</t>
  </si>
  <si>
    <t>Drive-by Shooting</t>
  </si>
  <si>
    <t>No</t>
  </si>
  <si>
    <t>20150428MDDRW</t>
  </si>
  <si>
    <t>Dr. Gustavus Brown Elementary School</t>
  </si>
  <si>
    <t>Spring</t>
  </si>
  <si>
    <t>Waldorf</t>
  </si>
  <si>
    <t>MD</t>
  </si>
  <si>
    <t>Elementary</t>
  </si>
  <si>
    <t>Basketball Court</t>
  </si>
  <si>
    <t>Outside on School Property</t>
  </si>
  <si>
    <t>No</t>
  </si>
  <si>
    <t>Evening</t>
  </si>
  <si>
    <t>22YOM shot on school basketball court</t>
  </si>
  <si>
    <t>Escalation of Dispute</t>
  </si>
  <si>
    <t>Victims Targeted</t>
  </si>
  <si>
    <t>Yes</t>
  </si>
  <si>
    <t>No</t>
  </si>
  <si>
    <t>20150427WANOL</t>
  </si>
  <si>
    <t>North Thurston High School</t>
  </si>
  <si>
    <t>Local</t>
  </si>
  <si>
    <t>Spring</t>
  </si>
  <si>
    <t>Lacey</t>
  </si>
  <si>
    <t>WA</t>
  </si>
  <si>
    <t>High</t>
  </si>
  <si>
    <t>Hallway</t>
  </si>
  <si>
    <t>Inside School Building</t>
  </si>
  <si>
    <t>Yes</t>
  </si>
  <si>
    <t>Morning Classes</t>
  </si>
  <si>
    <t>Fired two shots before being tackled by teacher</t>
  </si>
  <si>
    <t>Indiscriminate Shooting</t>
  </si>
  <si>
    <t>Neither</t>
  </si>
  <si>
    <t>No</t>
  </si>
  <si>
    <t>Yes</t>
  </si>
  <si>
    <t>No</t>
  </si>
  <si>
    <t>Yes</t>
  </si>
  <si>
    <t>20150422NVRUL</t>
  </si>
  <si>
    <t>Ruth Deskin Elementary School</t>
  </si>
  <si>
    <t>Spring</t>
  </si>
  <si>
    <t>Las Vegas</t>
  </si>
  <si>
    <t>NV</t>
  </si>
  <si>
    <t>Elementary</t>
  </si>
  <si>
    <t>Classroom</t>
  </si>
  <si>
    <t>Inside School Building</t>
  </si>
  <si>
    <t>Yes</t>
  </si>
  <si>
    <t>Afternoon Classes</t>
  </si>
  <si>
    <t>Accidental discharge of gun in backpack</t>
  </si>
  <si>
    <t>Accidental</t>
  </si>
  <si>
    <t>Neither</t>
  </si>
  <si>
    <t>No</t>
  </si>
  <si>
    <t>20150417TXSES</t>
  </si>
  <si>
    <t>Seguin High School</t>
  </si>
  <si>
    <t>Spring</t>
  </si>
  <si>
    <t>Seguin</t>
  </si>
  <si>
    <t>TX</t>
  </si>
  <si>
    <t>High</t>
  </si>
  <si>
    <t>Beside Building</t>
  </si>
  <si>
    <t>Outside on School Property</t>
  </si>
  <si>
    <t>Yes</t>
  </si>
  <si>
    <t>Morning Classes</t>
  </si>
  <si>
    <t>Suicide outside of school building</t>
  </si>
  <si>
    <t>Suicide/Attempted</t>
  </si>
  <si>
    <t>Victims Targeted</t>
  </si>
  <si>
    <t>No</t>
  </si>
  <si>
    <t>20150330MOPEU</t>
  </si>
  <si>
    <t>Pershing Elementary School</t>
  </si>
  <si>
    <t>Spring</t>
  </si>
  <si>
    <t>University City</t>
  </si>
  <si>
    <t>MO</t>
  </si>
  <si>
    <t>Elementary</t>
  </si>
  <si>
    <t>Outside on School Property</t>
  </si>
  <si>
    <t>No</t>
  </si>
  <si>
    <t>Evening</t>
  </si>
  <si>
    <t>Dispute between victim and two other men</t>
  </si>
  <si>
    <t>Escalation of Dispute</t>
  </si>
  <si>
    <t>No</t>
  </si>
  <si>
    <t>20150215CATEM</t>
  </si>
  <si>
    <t>Tenaya Middle School</t>
  </si>
  <si>
    <t>Local</t>
  </si>
  <si>
    <t>Winter</t>
  </si>
  <si>
    <t>Merced</t>
  </si>
  <si>
    <t>CA</t>
  </si>
  <si>
    <t>Middle</t>
  </si>
  <si>
    <t>Parking Lot</t>
  </si>
  <si>
    <t>Outside on School Property</t>
  </si>
  <si>
    <t>No</t>
  </si>
  <si>
    <t>Not a School Day</t>
  </si>
  <si>
    <t>Jealousy -victim dating ex girlfriend</t>
  </si>
  <si>
    <t>Domestic w/ Targeted Victim</t>
  </si>
  <si>
    <t>Victims Targeted</t>
  </si>
  <si>
    <t>Yes</t>
  </si>
  <si>
    <t>No</t>
  </si>
  <si>
    <t>20150215ARLAL</t>
  </si>
  <si>
    <t>Lawson Elementary School</t>
  </si>
  <si>
    <t>Winter</t>
  </si>
  <si>
    <t>Little Rock</t>
  </si>
  <si>
    <t>AR</t>
  </si>
  <si>
    <t>Elementary</t>
  </si>
  <si>
    <t>Parking Lot</t>
  </si>
  <si>
    <t>Outside on School Property</t>
  </si>
  <si>
    <t>No</t>
  </si>
  <si>
    <t>Not a School Day</t>
  </si>
  <si>
    <t>Domestic dispute at the school</t>
  </si>
  <si>
    <t>Domestic w/ Targeted Victim</t>
  </si>
  <si>
    <t>Victims Targeted</t>
  </si>
  <si>
    <t>No</t>
  </si>
  <si>
    <t>Yes</t>
  </si>
  <si>
    <t>No</t>
  </si>
  <si>
    <t>20150204MDFRF</t>
  </si>
  <si>
    <t>Frederick High School</t>
  </si>
  <si>
    <t>Local</t>
  </si>
  <si>
    <t>Winter</t>
  </si>
  <si>
    <t>Frederick</t>
  </si>
  <si>
    <t>MD</t>
  </si>
  <si>
    <t>High</t>
  </si>
  <si>
    <t>Parking Lot</t>
  </si>
  <si>
    <t>Outside on School Property</t>
  </si>
  <si>
    <t>No</t>
  </si>
  <si>
    <t>Sport Event</t>
  </si>
  <si>
    <t>Gang related shooting in front of school</t>
  </si>
  <si>
    <t>Escalation of Dispute</t>
  </si>
  <si>
    <t>Victims Targeted</t>
  </si>
  <si>
    <t>Yes</t>
  </si>
  <si>
    <t>No</t>
  </si>
  <si>
    <t>20150126MNHAR</t>
  </si>
  <si>
    <t>Hand in Hand Montessori</t>
  </si>
  <si>
    <t>Local</t>
  </si>
  <si>
    <t>Winter</t>
  </si>
  <si>
    <t>Roseville</t>
  </si>
  <si>
    <t>MN</t>
  </si>
  <si>
    <t>Other</t>
  </si>
  <si>
    <t>Cafeteria; Parking Lot</t>
  </si>
  <si>
    <t>Both Inside/Outside</t>
  </si>
  <si>
    <t>Yes</t>
  </si>
  <si>
    <t>Dismissal</t>
  </si>
  <si>
    <t>Shot at school windows then shot self in car</t>
  </si>
  <si>
    <t>Suicide/Attempted</t>
  </si>
  <si>
    <t>Neither</t>
  </si>
  <si>
    <t>No</t>
  </si>
  <si>
    <t>N/A</t>
  </si>
  <si>
    <t>No</t>
  </si>
  <si>
    <t>20150122SCROH</t>
  </si>
  <si>
    <t>Royal Live Oaks Academy</t>
  </si>
  <si>
    <t>Winter</t>
  </si>
  <si>
    <t>Hardeeville</t>
  </si>
  <si>
    <t>SC</t>
  </si>
  <si>
    <t>K-12</t>
  </si>
  <si>
    <t>Field (General)</t>
  </si>
  <si>
    <t>Outside on School Property</t>
  </si>
  <si>
    <t>Yes</t>
  </si>
  <si>
    <t>School Event</t>
  </si>
  <si>
    <t>Possible escalation from fight the day prior</t>
  </si>
  <si>
    <t>Escalation of Dispute</t>
  </si>
  <si>
    <t>Yes</t>
  </si>
  <si>
    <t>No</t>
  </si>
  <si>
    <t>20150120ALWIM</t>
  </si>
  <si>
    <t>Williamson High School</t>
  </si>
  <si>
    <t>Winter</t>
  </si>
  <si>
    <t>Mobile</t>
  </si>
  <si>
    <t>AL</t>
  </si>
  <si>
    <t>High</t>
  </si>
  <si>
    <t>Beside Building</t>
  </si>
  <si>
    <t>Outside on School Property</t>
  </si>
  <si>
    <t>No</t>
  </si>
  <si>
    <t>Evening</t>
  </si>
  <si>
    <t>Shooting outside school after basketball game, bystander hit</t>
  </si>
  <si>
    <t>Escalation of Dispute</t>
  </si>
  <si>
    <t>Random Shooting</t>
  </si>
  <si>
    <t>Yes</t>
  </si>
  <si>
    <t>No</t>
  </si>
  <si>
    <t>20150116FLVAO</t>
  </si>
  <si>
    <t>Vanguard High School</t>
  </si>
  <si>
    <t>Local</t>
  </si>
  <si>
    <t>Winter</t>
  </si>
  <si>
    <t>Ocala</t>
  </si>
  <si>
    <t>FL</t>
  </si>
  <si>
    <t>High</t>
  </si>
  <si>
    <t>Parking Lot</t>
  </si>
  <si>
    <t>Outside on School Property</t>
  </si>
  <si>
    <t>No</t>
  </si>
  <si>
    <t>Sport Event</t>
  </si>
  <si>
    <t>Gang related shooting in parking lot</t>
  </si>
  <si>
    <t>Drive-by Shooting</t>
  </si>
  <si>
    <t>Both</t>
  </si>
  <si>
    <t>No</t>
  </si>
  <si>
    <t>20150115WIWIM</t>
  </si>
  <si>
    <t>Wisconsin Lutheran High School</t>
  </si>
  <si>
    <t>Local</t>
  </si>
  <si>
    <t>Winter</t>
  </si>
  <si>
    <t>Milwaukee</t>
  </si>
  <si>
    <t>WI</t>
  </si>
  <si>
    <t>High</t>
  </si>
  <si>
    <t>Parking Lot</t>
  </si>
  <si>
    <t>Outside on School Property</t>
  </si>
  <si>
    <t>No</t>
  </si>
  <si>
    <t>Sport Event</t>
  </si>
  <si>
    <t>Shots fired by family members of rival teams during fight at basketball game</t>
  </si>
  <si>
    <t>Escalation of Dispute</t>
  </si>
  <si>
    <t>Both</t>
  </si>
  <si>
    <t>No</t>
  </si>
  <si>
    <t>N/A</t>
  </si>
  <si>
    <t>No</t>
  </si>
  <si>
    <t>20141217MEBEW</t>
  </si>
  <si>
    <t>Benton Elementary School</t>
  </si>
  <si>
    <t>Local</t>
  </si>
  <si>
    <t>Winter</t>
  </si>
  <si>
    <t>Waterville</t>
  </si>
  <si>
    <t>ME</t>
  </si>
  <si>
    <t>Elementary</t>
  </si>
  <si>
    <t>Beside Building</t>
  </si>
  <si>
    <t>Outside on School Property</t>
  </si>
  <si>
    <t>Yes</t>
  </si>
  <si>
    <t>Afternoon Classes</t>
  </si>
  <si>
    <t>Suicide when police approached rapist in parking lot</t>
  </si>
  <si>
    <t>Suicide/Attempted</t>
  </si>
  <si>
    <t>Victims Targeted</t>
  </si>
  <si>
    <t>No</t>
  </si>
  <si>
    <t>20141217MIGOW</t>
  </si>
  <si>
    <t>Godfrey Lee High School</t>
  </si>
  <si>
    <t>Winter</t>
  </si>
  <si>
    <t>Wyoming</t>
  </si>
  <si>
    <t>MI</t>
  </si>
  <si>
    <t>High</t>
  </si>
  <si>
    <t>Parking Lot</t>
  </si>
  <si>
    <t>Outside on School Property</t>
  </si>
  <si>
    <t>No</t>
  </si>
  <si>
    <t>Sport Event</t>
  </si>
  <si>
    <t>Student shot leaving basketball practice, ran back to school</t>
  </si>
  <si>
    <t>Unknown</t>
  </si>
  <si>
    <t>Victims Targeted</t>
  </si>
  <si>
    <t>No</t>
  </si>
  <si>
    <t>20141216PASUP</t>
  </si>
  <si>
    <t>Sunnyside Elementary School</t>
  </si>
  <si>
    <t>Winter</t>
  </si>
  <si>
    <t>Pittsburgh</t>
  </si>
  <si>
    <t>PA</t>
  </si>
  <si>
    <t>Elementary</t>
  </si>
  <si>
    <t>Parking Lot</t>
  </si>
  <si>
    <t>Outside on School Property</t>
  </si>
  <si>
    <t>No</t>
  </si>
  <si>
    <t>Night</t>
  </si>
  <si>
    <t>Victim was found shot to death in his car parked on school lot</t>
  </si>
  <si>
    <t>Unknown</t>
  </si>
  <si>
    <t>No</t>
  </si>
  <si>
    <t>20141212ORROP</t>
  </si>
  <si>
    <t>Rosemary Anderson High School</t>
  </si>
  <si>
    <t>Local</t>
  </si>
  <si>
    <t>Winter</t>
  </si>
  <si>
    <t>Portland</t>
  </si>
  <si>
    <t>OR</t>
  </si>
  <si>
    <t>High</t>
  </si>
  <si>
    <t>Beside Building</t>
  </si>
  <si>
    <t>Outside on School Property</t>
  </si>
  <si>
    <t>Yes</t>
  </si>
  <si>
    <t>Lunch</t>
  </si>
  <si>
    <t>Gang related shooting outside of school during lunch</t>
  </si>
  <si>
    <t>Escalation of Dispute</t>
  </si>
  <si>
    <t>Victims Targeted</t>
  </si>
  <si>
    <t>Yes</t>
  </si>
  <si>
    <t>No</t>
  </si>
  <si>
    <t>20141120FLMIM</t>
  </si>
  <si>
    <t>Miami Carol City High School</t>
  </si>
  <si>
    <t>Local</t>
  </si>
  <si>
    <t>Fall</t>
  </si>
  <si>
    <t>Miami</t>
  </si>
  <si>
    <t>FL</t>
  </si>
  <si>
    <t>High</t>
  </si>
  <si>
    <t>Basketball Court</t>
  </si>
  <si>
    <t>Outside on School Property</t>
  </si>
  <si>
    <t>Yes</t>
  </si>
  <si>
    <t>After School</t>
  </si>
  <si>
    <t>Shots fired during fight between rival groups</t>
  </si>
  <si>
    <t>Escalation of Dispute</t>
  </si>
  <si>
    <t>Victims Targeted</t>
  </si>
  <si>
    <t>Yes</t>
  </si>
  <si>
    <t>No</t>
  </si>
  <si>
    <t>20141024WAMAM</t>
  </si>
  <si>
    <t>Marysville Pilchuck High School</t>
  </si>
  <si>
    <t>National</t>
  </si>
  <si>
    <t>Fall</t>
  </si>
  <si>
    <t>Marysville</t>
  </si>
  <si>
    <t>WA</t>
  </si>
  <si>
    <t>High</t>
  </si>
  <si>
    <t>Cafeteria</t>
  </si>
  <si>
    <t>Inside School Building</t>
  </si>
  <si>
    <t>Yes</t>
  </si>
  <si>
    <t>Lunch</t>
  </si>
  <si>
    <t>Shooting in cafeteria after break-up with girlfriend</t>
  </si>
  <si>
    <t>Indiscriminate Shooting</t>
  </si>
  <si>
    <t>Victims Targeted</t>
  </si>
  <si>
    <t>No</t>
  </si>
  <si>
    <t>Yes</t>
  </si>
  <si>
    <t>20141024GALAA</t>
  </si>
  <si>
    <t>Lakewood Stadium (Mays High School Game)</t>
  </si>
  <si>
    <t>Fall</t>
  </si>
  <si>
    <t>Atlanta</t>
  </si>
  <si>
    <t>GA</t>
  </si>
  <si>
    <t>High</t>
  </si>
  <si>
    <t>Parking Lot</t>
  </si>
  <si>
    <t>Outside on School Property</t>
  </si>
  <si>
    <t>No</t>
  </si>
  <si>
    <t>Sport Event</t>
  </si>
  <si>
    <t>Shots fired in parking lot during football game</t>
  </si>
  <si>
    <t>Escalation of Dispute</t>
  </si>
  <si>
    <t>Victims Targeted</t>
  </si>
  <si>
    <t>Yes</t>
  </si>
  <si>
    <t>No</t>
  </si>
  <si>
    <t>20141021TNAMM</t>
  </si>
  <si>
    <t>A Maceo Walker Middle School</t>
  </si>
  <si>
    <t>Local</t>
  </si>
  <si>
    <t>Fall</t>
  </si>
  <si>
    <t>Memphis</t>
  </si>
  <si>
    <t>TN</t>
  </si>
  <si>
    <t>Middle</t>
  </si>
  <si>
    <t>Hallway</t>
  </si>
  <si>
    <t>Inside School Building</t>
  </si>
  <si>
    <t>Yes</t>
  </si>
  <si>
    <t>Morning Classes</t>
  </si>
  <si>
    <t>Accidental discharge of gun in bag in classroom</t>
  </si>
  <si>
    <t>Accidental</t>
  </si>
  <si>
    <t>Random Shooting</t>
  </si>
  <si>
    <t>No</t>
  </si>
  <si>
    <t>20141003GALAF</t>
  </si>
  <si>
    <t>Langston Hughes High School</t>
  </si>
  <si>
    <t>Local</t>
  </si>
  <si>
    <t>Fall</t>
  </si>
  <si>
    <t>Fairburn</t>
  </si>
  <si>
    <t>GA</t>
  </si>
  <si>
    <t>High</t>
  </si>
  <si>
    <t>Football Field/Track</t>
  </si>
  <si>
    <t>Outside on School Property</t>
  </si>
  <si>
    <t>No</t>
  </si>
  <si>
    <t>Sport Event</t>
  </si>
  <si>
    <t>Altercation following football game; gang affiliation suspected but not confirmed</t>
  </si>
  <si>
    <t>Escalation of Dispute</t>
  </si>
  <si>
    <t>Victims Targeted</t>
  </si>
  <si>
    <t>Yes</t>
  </si>
  <si>
    <t>No</t>
  </si>
  <si>
    <t>20140930KYFEL</t>
  </si>
  <si>
    <t>Fern Creek Traditional High School</t>
  </si>
  <si>
    <t>Local</t>
  </si>
  <si>
    <t>Fall</t>
  </si>
  <si>
    <t>Louisville</t>
  </si>
  <si>
    <t>KY</t>
  </si>
  <si>
    <t>High</t>
  </si>
  <si>
    <t>Hallway</t>
  </si>
  <si>
    <t>Inside School Building</t>
  </si>
  <si>
    <t>Yes</t>
  </si>
  <si>
    <t>Afternoon Classes</t>
  </si>
  <si>
    <t>Shots during dispute over iPad/money</t>
  </si>
  <si>
    <t>Escalation of Dispute</t>
  </si>
  <si>
    <t>Victims Targeted</t>
  </si>
  <si>
    <t>No</t>
  </si>
  <si>
    <t>20140930NCALA</t>
  </si>
  <si>
    <t>Albemarle High School</t>
  </si>
  <si>
    <t>Local</t>
  </si>
  <si>
    <t>Fall</t>
  </si>
  <si>
    <t>Albemarle</t>
  </si>
  <si>
    <t>NC</t>
  </si>
  <si>
    <t>High</t>
  </si>
  <si>
    <t>Courtyard</t>
  </si>
  <si>
    <t>Outside on School Property</t>
  </si>
  <si>
    <t>Yes</t>
  </si>
  <si>
    <t>Before School</t>
  </si>
  <si>
    <t>Shooting during fight in school parking lot</t>
  </si>
  <si>
    <t>Escalation of Dispute</t>
  </si>
  <si>
    <t>Victims Targeted</t>
  </si>
  <si>
    <t>No</t>
  </si>
  <si>
    <t>20140925NHWEM</t>
  </si>
  <si>
    <t>West High School</t>
  </si>
  <si>
    <t>Fall</t>
  </si>
  <si>
    <t>Manchester</t>
  </si>
  <si>
    <t>NH</t>
  </si>
  <si>
    <t>High</t>
  </si>
  <si>
    <t>Cafeteria</t>
  </si>
  <si>
    <t>Inside School Building</t>
  </si>
  <si>
    <t>Yes</t>
  </si>
  <si>
    <t>School Start</t>
  </si>
  <si>
    <t>Former student walked into cafeteria with pellet gun and knife resulting in lockdown and active shooter response</t>
  </si>
  <si>
    <t>Hostage/Standoff</t>
  </si>
  <si>
    <t>Neither</t>
  </si>
  <si>
    <t>No</t>
  </si>
  <si>
    <t>Yes</t>
  </si>
  <si>
    <t>20140919IANOD</t>
  </si>
  <si>
    <t>North High School</t>
  </si>
  <si>
    <t>Local</t>
  </si>
  <si>
    <t>Fall</t>
  </si>
  <si>
    <t>Des Moines</t>
  </si>
  <si>
    <t>IA</t>
  </si>
  <si>
    <t>High</t>
  </si>
  <si>
    <t>Front of School</t>
  </si>
  <si>
    <t>Outside on School Property</t>
  </si>
  <si>
    <t>No</t>
  </si>
  <si>
    <t>Not a School Day</t>
  </si>
  <si>
    <t>Drive-by shooting outside of school</t>
  </si>
  <si>
    <t>Drive-by Shooting</t>
  </si>
  <si>
    <t>Victims Targeted</t>
  </si>
  <si>
    <t>No</t>
  </si>
  <si>
    <t>20140911UTWET</t>
  </si>
  <si>
    <t>Westbrook Elementary School</t>
  </si>
  <si>
    <t>Fall</t>
  </si>
  <si>
    <t>Taylorsville</t>
  </si>
  <si>
    <t>UT</t>
  </si>
  <si>
    <t>Elementary</t>
  </si>
  <si>
    <t>Bathroom</t>
  </si>
  <si>
    <t>Inside School Building</t>
  </si>
  <si>
    <t>Yes</t>
  </si>
  <si>
    <t>Before School</t>
  </si>
  <si>
    <t>Accidental discharge of teacher's gun</t>
  </si>
  <si>
    <t>Accidental</t>
  </si>
  <si>
    <t>Random Shooting</t>
  </si>
  <si>
    <t>No</t>
  </si>
  <si>
    <t>20140910FLGRL</t>
  </si>
  <si>
    <t>Greenwood Lakes Middle School</t>
  </si>
  <si>
    <t>Fall</t>
  </si>
  <si>
    <t>Lake Mary</t>
  </si>
  <si>
    <t>FL</t>
  </si>
  <si>
    <t>Middle</t>
  </si>
  <si>
    <t>Bathroom</t>
  </si>
  <si>
    <t>Inside School Building</t>
  </si>
  <si>
    <t>Yes</t>
  </si>
  <si>
    <t>After School</t>
  </si>
  <si>
    <t>Suicide in school bathroom</t>
  </si>
  <si>
    <t>Suicide/Attempted</t>
  </si>
  <si>
    <t>Victims Targeted</t>
  </si>
  <si>
    <t>No</t>
  </si>
  <si>
    <t>Yes</t>
  </si>
  <si>
    <t>No</t>
  </si>
  <si>
    <t>20140909FLSTM</t>
  </si>
  <si>
    <t>Stellar Leadership Academy</t>
  </si>
  <si>
    <t>Local</t>
  </si>
  <si>
    <t>Fall</t>
  </si>
  <si>
    <t>Miami</t>
  </si>
  <si>
    <t>FL</t>
  </si>
  <si>
    <t>High</t>
  </si>
  <si>
    <t>Beside Building</t>
  </si>
  <si>
    <t>Outside on School Property</t>
  </si>
  <si>
    <t>Yes</t>
  </si>
  <si>
    <t>Afternoon Classes</t>
  </si>
  <si>
    <t>Fight in parking lot</t>
  </si>
  <si>
    <t>Escalation of Dispute</t>
  </si>
  <si>
    <t>Victims Targeted</t>
  </si>
  <si>
    <t>Yes</t>
  </si>
  <si>
    <t>No</t>
  </si>
  <si>
    <t>20140814VASAN</t>
  </si>
  <si>
    <t>Saunders Elementary School</t>
  </si>
  <si>
    <t>Summer</t>
  </si>
  <si>
    <t>Newport News</t>
  </si>
  <si>
    <t>VA</t>
  </si>
  <si>
    <t>Elementary</t>
  </si>
  <si>
    <t>Parking Lot</t>
  </si>
  <si>
    <t>Outside on School Property</t>
  </si>
  <si>
    <t>No</t>
  </si>
  <si>
    <t>Not a School Day</t>
  </si>
  <si>
    <t>Dispute - ongoing feud - possible gang violence</t>
  </si>
  <si>
    <t>Escalation of Dispute</t>
  </si>
  <si>
    <t>Victims Targeted</t>
  </si>
  <si>
    <t>Yes</t>
  </si>
  <si>
    <t>No</t>
  </si>
  <si>
    <t>20140813MDHEF</t>
  </si>
  <si>
    <t>Heather Ridge High School</t>
  </si>
  <si>
    <t>Summer</t>
  </si>
  <si>
    <t>Frederick</t>
  </si>
  <si>
    <t>MD</t>
  </si>
  <si>
    <t>High</t>
  </si>
  <si>
    <t>Beside Building</t>
  </si>
  <si>
    <t>Outside on School Property</t>
  </si>
  <si>
    <t>No</t>
  </si>
  <si>
    <t>Evening</t>
  </si>
  <si>
    <t>Two men shot at each other - both missed</t>
  </si>
  <si>
    <t>Escalation of Dispute</t>
  </si>
  <si>
    <t>Neither</t>
  </si>
  <si>
    <t>No</t>
  </si>
  <si>
    <t>20140623MOKEB</t>
  </si>
  <si>
    <t>Kelly High School</t>
  </si>
  <si>
    <t>Summer</t>
  </si>
  <si>
    <t>Benton</t>
  </si>
  <si>
    <t>MO</t>
  </si>
  <si>
    <t>High</t>
  </si>
  <si>
    <t>Basketball Court</t>
  </si>
  <si>
    <t>Outside on School Property</t>
  </si>
  <si>
    <t>No</t>
  </si>
  <si>
    <t>After School</t>
  </si>
  <si>
    <t>Accidental discharge in parking lot</t>
  </si>
  <si>
    <t>Accidental</t>
  </si>
  <si>
    <t>Random Shooting</t>
  </si>
  <si>
    <t>No</t>
  </si>
  <si>
    <t>20140610ORRET</t>
  </si>
  <si>
    <t>Reynolds High School</t>
  </si>
  <si>
    <t>Local</t>
  </si>
  <si>
    <t>Summer</t>
  </si>
  <si>
    <t>Troutdale</t>
  </si>
  <si>
    <t>OR</t>
  </si>
  <si>
    <t>High</t>
  </si>
  <si>
    <t>Gym</t>
  </si>
  <si>
    <t>Inside School Building</t>
  </si>
  <si>
    <t>Yes</t>
  </si>
  <si>
    <t>Morning Classes</t>
  </si>
  <si>
    <t>Planned attack on the school</t>
  </si>
  <si>
    <t>Indiscriminate Shooting</t>
  </si>
  <si>
    <t>Both</t>
  </si>
  <si>
    <t>No</t>
  </si>
  <si>
    <t>Yes</t>
  </si>
  <si>
    <t>20140521WICLM</t>
  </si>
  <si>
    <t>Clarke Street Elementary School</t>
  </si>
  <si>
    <t>Spring</t>
  </si>
  <si>
    <t>Milwaukee</t>
  </si>
  <si>
    <t>WI</t>
  </si>
  <si>
    <t>Elementary</t>
  </si>
  <si>
    <t>Front of School</t>
  </si>
  <si>
    <t>Outside on School Property</t>
  </si>
  <si>
    <t>No</t>
  </si>
  <si>
    <t>Evening</t>
  </si>
  <si>
    <t>Dispute between men - bystander shot</t>
  </si>
  <si>
    <t>Illegal Activity</t>
  </si>
  <si>
    <t>Random Shooting</t>
  </si>
  <si>
    <t>No</t>
  </si>
  <si>
    <t>20140514CAJOR</t>
  </si>
  <si>
    <t>John F. Kennedy High School</t>
  </si>
  <si>
    <t>Local</t>
  </si>
  <si>
    <t>Spring</t>
  </si>
  <si>
    <t>Richmond</t>
  </si>
  <si>
    <t>CA</t>
  </si>
  <si>
    <t>High</t>
  </si>
  <si>
    <t>Off School Property</t>
  </si>
  <si>
    <t>Yes</t>
  </si>
  <si>
    <t>Before School</t>
  </si>
  <si>
    <t>Drive-by shooting after fight</t>
  </si>
  <si>
    <t>Drive-by Shooting</t>
  </si>
  <si>
    <t>No</t>
  </si>
  <si>
    <t>20140503WAHOE</t>
  </si>
  <si>
    <t>Horizon Elementary School</t>
  </si>
  <si>
    <t>Spring</t>
  </si>
  <si>
    <t>Everett</t>
  </si>
  <si>
    <t>WA</t>
  </si>
  <si>
    <t>Elementary</t>
  </si>
  <si>
    <t>Basketball Court</t>
  </si>
  <si>
    <t>Outside on School Property</t>
  </si>
  <si>
    <t>No</t>
  </si>
  <si>
    <t>Not a School Day</t>
  </si>
  <si>
    <t>Dispute on basketball court</t>
  </si>
  <si>
    <t>Escalation of Dispute</t>
  </si>
  <si>
    <t>No</t>
  </si>
  <si>
    <t>20140421INSTG</t>
  </si>
  <si>
    <t>St. Mary Catholic School</t>
  </si>
  <si>
    <t>Spring</t>
  </si>
  <si>
    <t>Griffith</t>
  </si>
  <si>
    <t>IN</t>
  </si>
  <si>
    <t>High</t>
  </si>
  <si>
    <t>Parking Lot</t>
  </si>
  <si>
    <t>Outside on School Property</t>
  </si>
  <si>
    <t>Yes</t>
  </si>
  <si>
    <t>After School</t>
  </si>
  <si>
    <t>Husband killed wife on school property while she was dropping of children</t>
  </si>
  <si>
    <t>Murder/Suicide</t>
  </si>
  <si>
    <t>Victims Targeted</t>
  </si>
  <si>
    <t>No</t>
  </si>
  <si>
    <t>Yes</t>
  </si>
  <si>
    <t>20140421UTPRP</t>
  </si>
  <si>
    <t>Provo High School</t>
  </si>
  <si>
    <t>Spring</t>
  </si>
  <si>
    <t>Provo</t>
  </si>
  <si>
    <t>UT</t>
  </si>
  <si>
    <t>High</t>
  </si>
  <si>
    <t>Beside Building</t>
  </si>
  <si>
    <t>Outside on School Property</t>
  </si>
  <si>
    <t>Yes</t>
  </si>
  <si>
    <t>Afternoon Classes</t>
  </si>
  <si>
    <t>Suicide attempt, student shot self in face</t>
  </si>
  <si>
    <t>Suicide/Attempted</t>
  </si>
  <si>
    <t>Victims Targeted</t>
  </si>
  <si>
    <t>No</t>
  </si>
  <si>
    <t>20140411MIEAD</t>
  </si>
  <si>
    <t>East English Village Preparatory Academy</t>
  </si>
  <si>
    <t>Local</t>
  </si>
  <si>
    <t>Spring</t>
  </si>
  <si>
    <t>Detroit</t>
  </si>
  <si>
    <t>MI</t>
  </si>
  <si>
    <t>Unknown</t>
  </si>
  <si>
    <t>Parking Lot</t>
  </si>
  <si>
    <t>Outside on School Property</t>
  </si>
  <si>
    <t>No</t>
  </si>
  <si>
    <t>School Event</t>
  </si>
  <si>
    <t>Drive-by shooting targeted crowd of students</t>
  </si>
  <si>
    <t>Drive-by Shooting</t>
  </si>
  <si>
    <t>Both</t>
  </si>
  <si>
    <t>Yes</t>
  </si>
  <si>
    <t>No</t>
  </si>
  <si>
    <t>20140410OHLIC</t>
  </si>
  <si>
    <t>Liberty Elementary School</t>
  </si>
  <si>
    <t>Spring</t>
  </si>
  <si>
    <t>Columbus</t>
  </si>
  <si>
    <t>OH</t>
  </si>
  <si>
    <t>Elementary</t>
  </si>
  <si>
    <t>Front of School</t>
  </si>
  <si>
    <t>Outside on School Property</t>
  </si>
  <si>
    <t>Yes</t>
  </si>
  <si>
    <t>Dismissal</t>
  </si>
  <si>
    <t>Two non-student teens shot in front of school during argument over cell phone</t>
  </si>
  <si>
    <t>Escalation of Dispute</t>
  </si>
  <si>
    <t>Victims Targeted</t>
  </si>
  <si>
    <t>No</t>
  </si>
  <si>
    <t>20140409NCDHG</t>
  </si>
  <si>
    <t>D H Conley High School</t>
  </si>
  <si>
    <t>Local</t>
  </si>
  <si>
    <t>Spring</t>
  </si>
  <si>
    <t>Greenville</t>
  </si>
  <si>
    <t>NC</t>
  </si>
  <si>
    <t>High</t>
  </si>
  <si>
    <t>Beside Building</t>
  </si>
  <si>
    <t>Outside on School Property</t>
  </si>
  <si>
    <t>Yes</t>
  </si>
  <si>
    <t>Afternoon Classes</t>
  </si>
  <si>
    <t>Shot at rival school building</t>
  </si>
  <si>
    <t>Intentional Property Damage</t>
  </si>
  <si>
    <t>Neither</t>
  </si>
  <si>
    <t>Yes</t>
  </si>
  <si>
    <t>No</t>
  </si>
  <si>
    <t>20140403NJUNN</t>
  </si>
  <si>
    <t>Unknown School (bus)</t>
  </si>
  <si>
    <t>Spring</t>
  </si>
  <si>
    <t>Newark</t>
  </si>
  <si>
    <t>NJ</t>
  </si>
  <si>
    <t>School Bus</t>
  </si>
  <si>
    <t>Yes</t>
  </si>
  <si>
    <t>Afternoon Classes</t>
  </si>
  <si>
    <t>Shots fired struck school bus occupied by 6 students (all taken to hospital w/o injuries)</t>
  </si>
  <si>
    <t>Escalation of Dispute</t>
  </si>
  <si>
    <t>Victims Targeted</t>
  </si>
  <si>
    <t>Yes</t>
  </si>
  <si>
    <t>No</t>
  </si>
  <si>
    <t>20140325GABEC</t>
  </si>
  <si>
    <t>Benjamin Banneker High School</t>
  </si>
  <si>
    <t>Local</t>
  </si>
  <si>
    <t>Spring</t>
  </si>
  <si>
    <t>College Park</t>
  </si>
  <si>
    <t>GA</t>
  </si>
  <si>
    <t>High</t>
  </si>
  <si>
    <t>Parking Lot</t>
  </si>
  <si>
    <t>Outside on School Property</t>
  </si>
  <si>
    <t>Yes</t>
  </si>
  <si>
    <t>Afternoon Classes</t>
  </si>
  <si>
    <t>Shots during fight between 5 student</t>
  </si>
  <si>
    <t>Escalation of Dispute</t>
  </si>
  <si>
    <t>Victims Targeted</t>
  </si>
  <si>
    <t>Yes</t>
  </si>
  <si>
    <t>No</t>
  </si>
  <si>
    <t>20140312FLACM</t>
  </si>
  <si>
    <t>Academy of Knowledge Preschool</t>
  </si>
  <si>
    <t>Local</t>
  </si>
  <si>
    <t>Spring</t>
  </si>
  <si>
    <t>Miami</t>
  </si>
  <si>
    <t>FL</t>
  </si>
  <si>
    <t>Other</t>
  </si>
  <si>
    <t>Parking Lot</t>
  </si>
  <si>
    <t>Outside on School Property</t>
  </si>
  <si>
    <t>Yes</t>
  </si>
  <si>
    <t>Afternoon Classes</t>
  </si>
  <si>
    <t>Husband killed wife (teacher)</t>
  </si>
  <si>
    <t>Domestic w/ Targeted Victim</t>
  </si>
  <si>
    <t>Victims Targeted</t>
  </si>
  <si>
    <t>No</t>
  </si>
  <si>
    <t>Yes</t>
  </si>
  <si>
    <t>20140307LAMAT</t>
  </si>
  <si>
    <t>Madison Parish High School</t>
  </si>
  <si>
    <t>Spring</t>
  </si>
  <si>
    <t>Tallulah</t>
  </si>
  <si>
    <t>LA</t>
  </si>
  <si>
    <t>High</t>
  </si>
  <si>
    <t>Front of School</t>
  </si>
  <si>
    <t>Outside on School Property</t>
  </si>
  <si>
    <t>No</t>
  </si>
  <si>
    <t>School Event</t>
  </si>
  <si>
    <t>Shooting after fundraiser at high school</t>
  </si>
  <si>
    <t>Unknown</t>
  </si>
  <si>
    <t>No</t>
  </si>
  <si>
    <t>20140220MIRAR</t>
  </si>
  <si>
    <t>Raytown Success Academy</t>
  </si>
  <si>
    <t>Local</t>
  </si>
  <si>
    <t>Winter</t>
  </si>
  <si>
    <t>Raytown</t>
  </si>
  <si>
    <t>MI</t>
  </si>
  <si>
    <t>High</t>
  </si>
  <si>
    <t>Parking Lot</t>
  </si>
  <si>
    <t>Outside on School Property</t>
  </si>
  <si>
    <t>Yes</t>
  </si>
  <si>
    <t>Morning Classes</t>
  </si>
  <si>
    <t>Jealousy over victim dating suspect's ex-girlfriend</t>
  </si>
  <si>
    <t>Domestic w/ Targeted Victim</t>
  </si>
  <si>
    <t>Victims Targeted</t>
  </si>
  <si>
    <t>No</t>
  </si>
  <si>
    <t>N/A</t>
  </si>
  <si>
    <t>No</t>
  </si>
  <si>
    <t>20140211OHCHL</t>
  </si>
  <si>
    <t>Charles F. Brush High School</t>
  </si>
  <si>
    <t>Winter</t>
  </si>
  <si>
    <t>Lyndhurst</t>
  </si>
  <si>
    <t>OH</t>
  </si>
  <si>
    <t>High</t>
  </si>
  <si>
    <t>Parking Lot</t>
  </si>
  <si>
    <t>Outside on School Property</t>
  </si>
  <si>
    <t>No</t>
  </si>
  <si>
    <t>Sport Event</t>
  </si>
  <si>
    <t>Shots fired during fight in parking lot during basketball game</t>
  </si>
  <si>
    <t>Escalation of Dispute</t>
  </si>
  <si>
    <t>Victims Targeted</t>
  </si>
  <si>
    <t>Yes</t>
  </si>
  <si>
    <t>No</t>
  </si>
  <si>
    <t>20140210NCSAS</t>
  </si>
  <si>
    <t>Salisbury High School</t>
  </si>
  <si>
    <t>Local</t>
  </si>
  <si>
    <t>Winter</t>
  </si>
  <si>
    <t>Salisbury</t>
  </si>
  <si>
    <t>NC</t>
  </si>
  <si>
    <t>High</t>
  </si>
  <si>
    <t>Beside Building</t>
  </si>
  <si>
    <t>Outside on School Property</t>
  </si>
  <si>
    <t>No</t>
  </si>
  <si>
    <t>Dismissal</t>
  </si>
  <si>
    <t>Shots during fight in gym</t>
  </si>
  <si>
    <t>Escalation of Dispute</t>
  </si>
  <si>
    <t>Both</t>
  </si>
  <si>
    <t>Yes</t>
  </si>
  <si>
    <t>No</t>
  </si>
  <si>
    <t>20140207ORBEB</t>
  </si>
  <si>
    <t>Bend High School</t>
  </si>
  <si>
    <t>Local</t>
  </si>
  <si>
    <t>Winter</t>
  </si>
  <si>
    <t>Bend</t>
  </si>
  <si>
    <t>OR</t>
  </si>
  <si>
    <t>High</t>
  </si>
  <si>
    <t>Classroom</t>
  </si>
  <si>
    <t>Inside School Building</t>
  </si>
  <si>
    <t>Yes</t>
  </si>
  <si>
    <t>Morning Classes</t>
  </si>
  <si>
    <t>Suicide in classroom</t>
  </si>
  <si>
    <t>Suicide/Attempted</t>
  </si>
  <si>
    <t>Neither</t>
  </si>
  <si>
    <t>No</t>
  </si>
  <si>
    <t>20140131IANOD</t>
  </si>
  <si>
    <t>North High School</t>
  </si>
  <si>
    <t>Local</t>
  </si>
  <si>
    <t>Winter</t>
  </si>
  <si>
    <t>Des Moines</t>
  </si>
  <si>
    <t>IA</t>
  </si>
  <si>
    <t>High</t>
  </si>
  <si>
    <t>Basketball Court</t>
  </si>
  <si>
    <t>Outside on School Property</t>
  </si>
  <si>
    <t>No</t>
  </si>
  <si>
    <t>Sport Event</t>
  </si>
  <si>
    <t>Fight after basketball game</t>
  </si>
  <si>
    <t>Drive-by Shooting</t>
  </si>
  <si>
    <t>Random Shooting</t>
  </si>
  <si>
    <t>Yes</t>
  </si>
  <si>
    <t>No</t>
  </si>
  <si>
    <t>20140131AZCEP</t>
  </si>
  <si>
    <t>Cesar Chavez High School</t>
  </si>
  <si>
    <t>Local</t>
  </si>
  <si>
    <t>Winter</t>
  </si>
  <si>
    <t>Phoenix</t>
  </si>
  <si>
    <t>AZ</t>
  </si>
  <si>
    <t>High</t>
  </si>
  <si>
    <t>Basketball Court</t>
  </si>
  <si>
    <t>Outside on School Property</t>
  </si>
  <si>
    <t>No</t>
  </si>
  <si>
    <t>Sport Event</t>
  </si>
  <si>
    <t>Gang related following basketball game</t>
  </si>
  <si>
    <t>Escalation of Dispute</t>
  </si>
  <si>
    <t>Neither</t>
  </si>
  <si>
    <t>Yes</t>
  </si>
  <si>
    <t>No</t>
  </si>
  <si>
    <t>20140128HIPRH</t>
  </si>
  <si>
    <t>President Theodore Roosevelt High</t>
  </si>
  <si>
    <t>Winter</t>
  </si>
  <si>
    <t>Honolulu</t>
  </si>
  <si>
    <t>HI</t>
  </si>
  <si>
    <t>High</t>
  </si>
  <si>
    <t>Office</t>
  </si>
  <si>
    <t>Inside School Building</t>
  </si>
  <si>
    <t>No</t>
  </si>
  <si>
    <t>Not a School Day</t>
  </si>
  <si>
    <t>Officers fired a disorderly student</t>
  </si>
  <si>
    <t>Illegal Activity</t>
  </si>
  <si>
    <t>Victims Targeted</t>
  </si>
  <si>
    <t>No</t>
  </si>
  <si>
    <t>N/A</t>
  </si>
  <si>
    <t>20140127ILREC</t>
  </si>
  <si>
    <t>Rebound High School</t>
  </si>
  <si>
    <t>Local</t>
  </si>
  <si>
    <t>Winter</t>
  </si>
  <si>
    <t>Carbondale</t>
  </si>
  <si>
    <t>IL</t>
  </si>
  <si>
    <t>High</t>
  </si>
  <si>
    <t>Parking Lot</t>
  </si>
  <si>
    <t>Outside on School Property</t>
  </si>
  <si>
    <t>Yes</t>
  </si>
  <si>
    <t>Lunch</t>
  </si>
  <si>
    <t>Argument at lunch in parking lot</t>
  </si>
  <si>
    <t>Escalation of Dispute</t>
  </si>
  <si>
    <t>Victims Targeted</t>
  </si>
  <si>
    <t>Yes</t>
  </si>
  <si>
    <t>No</t>
  </si>
  <si>
    <t>20140117PADEP</t>
  </si>
  <si>
    <t>Delaware Valley Charter School</t>
  </si>
  <si>
    <t>Winter</t>
  </si>
  <si>
    <t>Philadelphia</t>
  </si>
  <si>
    <t>PA</t>
  </si>
  <si>
    <t>High</t>
  </si>
  <si>
    <t>Gym</t>
  </si>
  <si>
    <t>Inside School Building</t>
  </si>
  <si>
    <t>No</t>
  </si>
  <si>
    <t>Sport Event</t>
  </si>
  <si>
    <t>Fight during afternoon basketball game</t>
  </si>
  <si>
    <t>Escalation of Dispute</t>
  </si>
  <si>
    <t>Both</t>
  </si>
  <si>
    <t>No</t>
  </si>
  <si>
    <t>20140114PAKIL</t>
  </si>
  <si>
    <t>King Elementary School</t>
  </si>
  <si>
    <t>Local</t>
  </si>
  <si>
    <t>Winter</t>
  </si>
  <si>
    <t>Lancaster</t>
  </si>
  <si>
    <t>PA</t>
  </si>
  <si>
    <t>Elementary</t>
  </si>
  <si>
    <t>Playground</t>
  </si>
  <si>
    <t>Outside on School Property</t>
  </si>
  <si>
    <t>Yes</t>
  </si>
  <si>
    <t>Afternoon Classes</t>
  </si>
  <si>
    <t>Shot fired on school playground</t>
  </si>
  <si>
    <t>Unknown</t>
  </si>
  <si>
    <t>No</t>
  </si>
  <si>
    <t>N/A</t>
  </si>
  <si>
    <t>No</t>
  </si>
  <si>
    <t>20140114NMBER</t>
  </si>
  <si>
    <t>Berrendo Middle School</t>
  </si>
  <si>
    <t>National</t>
  </si>
  <si>
    <t>Winter</t>
  </si>
  <si>
    <t>Roswell</t>
  </si>
  <si>
    <t>NM</t>
  </si>
  <si>
    <t>Middle</t>
  </si>
  <si>
    <t>Gym</t>
  </si>
  <si>
    <t>Inside School Building</t>
  </si>
  <si>
    <t>Yes</t>
  </si>
  <si>
    <t>Before School</t>
  </si>
  <si>
    <t>Planned attack at school due to bullying</t>
  </si>
  <si>
    <t>Bullying</t>
  </si>
  <si>
    <t>Random Shooting</t>
  </si>
  <si>
    <t>No</t>
  </si>
  <si>
    <t>Yes</t>
  </si>
  <si>
    <t>No</t>
  </si>
  <si>
    <t>Yes</t>
  </si>
  <si>
    <t>20140114LASTB</t>
  </si>
  <si>
    <t>St. James High School</t>
  </si>
  <si>
    <t>Winter</t>
  </si>
  <si>
    <t>Baton Rouge</t>
  </si>
  <si>
    <t>LA</t>
  </si>
  <si>
    <t>High</t>
  </si>
  <si>
    <t>Parking Lot</t>
  </si>
  <si>
    <t>Outside on School Property</t>
  </si>
  <si>
    <t>No</t>
  </si>
  <si>
    <t>Sport Event</t>
  </si>
  <si>
    <t>Drive by shooting after basketball game</t>
  </si>
  <si>
    <t>Drive-by Shooting</t>
  </si>
  <si>
    <t>Victims Targeted</t>
  </si>
  <si>
    <t>No</t>
  </si>
  <si>
    <t>20140113CTHIN</t>
  </si>
  <si>
    <t>Hillhouse High School</t>
  </si>
  <si>
    <t>Local</t>
  </si>
  <si>
    <t>Winter</t>
  </si>
  <si>
    <t>New Haven</t>
  </si>
  <si>
    <t>CT</t>
  </si>
  <si>
    <t>High</t>
  </si>
  <si>
    <t>Basketball Court</t>
  </si>
  <si>
    <t>Outside on School Property</t>
  </si>
  <si>
    <t>No</t>
  </si>
  <si>
    <t>Sport Event</t>
  </si>
  <si>
    <t>Fight between rival basketball teams</t>
  </si>
  <si>
    <t>Escalation of Dispute</t>
  </si>
  <si>
    <t>Victims Targeted</t>
  </si>
  <si>
    <t>No</t>
  </si>
  <si>
    <t>20140109TNLIJ</t>
  </si>
  <si>
    <t>Liberty Technology Magnet High School</t>
  </si>
  <si>
    <t>Local</t>
  </si>
  <si>
    <t>Winter</t>
  </si>
  <si>
    <t>Jackson</t>
  </si>
  <si>
    <t>TN</t>
  </si>
  <si>
    <t>High</t>
  </si>
  <si>
    <t>Parking Lot</t>
  </si>
  <si>
    <t>Outside on School Property</t>
  </si>
  <si>
    <t>No</t>
  </si>
  <si>
    <t>Dismissal</t>
  </si>
  <si>
    <t>Fight about a girl in parking lot</t>
  </si>
  <si>
    <t>Escalation of Dispute</t>
  </si>
  <si>
    <t>Victims Targeted</t>
  </si>
  <si>
    <t>No</t>
  </si>
  <si>
    <t>20131219CAEDF</t>
  </si>
  <si>
    <t>Edison High School</t>
  </si>
  <si>
    <t>Local</t>
  </si>
  <si>
    <t>Winter</t>
  </si>
  <si>
    <t>Fresno</t>
  </si>
  <si>
    <t>CA</t>
  </si>
  <si>
    <t>High</t>
  </si>
  <si>
    <t>Gym</t>
  </si>
  <si>
    <t>Inside School Building</t>
  </si>
  <si>
    <t>No</t>
  </si>
  <si>
    <t>Evening</t>
  </si>
  <si>
    <t>Attempted robbery, victims random, spontaneous act</t>
  </si>
  <si>
    <t>Illegal Activity</t>
  </si>
  <si>
    <t>Random Shooting</t>
  </si>
  <si>
    <t>Yes</t>
  </si>
  <si>
    <t>No</t>
  </si>
  <si>
    <t>20131213COARC</t>
  </si>
  <si>
    <t>Arapahoe High School</t>
  </si>
  <si>
    <t>National</t>
  </si>
  <si>
    <t>Winter</t>
  </si>
  <si>
    <t>Centennial</t>
  </si>
  <si>
    <t>CO</t>
  </si>
  <si>
    <t>High</t>
  </si>
  <si>
    <t>Other</t>
  </si>
  <si>
    <t>Inside School Building</t>
  </si>
  <si>
    <t>Yes</t>
  </si>
  <si>
    <t>Lunch</t>
  </si>
  <si>
    <t>Planned attack, confronted by SRO and commit suicide</t>
  </si>
  <si>
    <t>Indiscriminate Shooting</t>
  </si>
  <si>
    <t>Both</t>
  </si>
  <si>
    <t>No</t>
  </si>
  <si>
    <t>Yes</t>
  </si>
  <si>
    <t>No</t>
  </si>
  <si>
    <t>Yes</t>
  </si>
  <si>
    <t>20131204FLWEW</t>
  </si>
  <si>
    <t>West Orange High School</t>
  </si>
  <si>
    <t>Local</t>
  </si>
  <si>
    <t>Winter</t>
  </si>
  <si>
    <t>Winter Garden</t>
  </si>
  <si>
    <t>FL</t>
  </si>
  <si>
    <t>High</t>
  </si>
  <si>
    <t>Beside Building</t>
  </si>
  <si>
    <t>Outside on School Property</t>
  </si>
  <si>
    <t>No</t>
  </si>
  <si>
    <t>Dismissal</t>
  </si>
  <si>
    <t>Shots fired during fight over cell phone</t>
  </si>
  <si>
    <t>Escalation of Dispute</t>
  </si>
  <si>
    <t>Victims Targeted</t>
  </si>
  <si>
    <t>No</t>
  </si>
  <si>
    <t>20131113PABRP</t>
  </si>
  <si>
    <t>Brashear High School</t>
  </si>
  <si>
    <t>Local</t>
  </si>
  <si>
    <t>Fall</t>
  </si>
  <si>
    <t>Pittsburgh</t>
  </si>
  <si>
    <t>PA</t>
  </si>
  <si>
    <t>High</t>
  </si>
  <si>
    <t>Off School Property</t>
  </si>
  <si>
    <t>Yes</t>
  </si>
  <si>
    <t>After School</t>
  </si>
  <si>
    <t>Shooting was revenge for previous fight</t>
  </si>
  <si>
    <t>Escalation of Dispute</t>
  </si>
  <si>
    <t>Victims Targeted</t>
  </si>
  <si>
    <t>Yes</t>
  </si>
  <si>
    <t>No</t>
  </si>
  <si>
    <t>20131103GASTL</t>
  </si>
  <si>
    <t>Stephenson High School</t>
  </si>
  <si>
    <t>Local</t>
  </si>
  <si>
    <t>Fall</t>
  </si>
  <si>
    <t>Lithonia</t>
  </si>
  <si>
    <t>GA</t>
  </si>
  <si>
    <t>High</t>
  </si>
  <si>
    <t>Parking Lot</t>
  </si>
  <si>
    <t>Outside on School Property</t>
  </si>
  <si>
    <t>No</t>
  </si>
  <si>
    <t>Not a School Day</t>
  </si>
  <si>
    <t>Fight between rival football teams</t>
  </si>
  <si>
    <t>Escalation of Dispute</t>
  </si>
  <si>
    <t>Random Shooting</t>
  </si>
  <si>
    <t>Yes</t>
  </si>
  <si>
    <t>No</t>
  </si>
  <si>
    <t>20131101IAALA</t>
  </si>
  <si>
    <t>Algona High School</t>
  </si>
  <si>
    <t>Local</t>
  </si>
  <si>
    <t>Fall</t>
  </si>
  <si>
    <t>Algona</t>
  </si>
  <si>
    <t>IA</t>
  </si>
  <si>
    <t>High</t>
  </si>
  <si>
    <t>Field (General)</t>
  </si>
  <si>
    <t>Outside on School Property</t>
  </si>
  <si>
    <t>No</t>
  </si>
  <si>
    <t>Night</t>
  </si>
  <si>
    <t>Suicide on school property</t>
  </si>
  <si>
    <t>Suicide/Attempted</t>
  </si>
  <si>
    <t>Victims Targeted</t>
  </si>
  <si>
    <t>No</t>
  </si>
  <si>
    <t>20131023CANEC</t>
  </si>
  <si>
    <t>Newman Elementary School</t>
  </si>
  <si>
    <t>Local</t>
  </si>
  <si>
    <t>Fall</t>
  </si>
  <si>
    <t>Chino</t>
  </si>
  <si>
    <t>CA</t>
  </si>
  <si>
    <t>Elementary</t>
  </si>
  <si>
    <t>Front of School</t>
  </si>
  <si>
    <t>Outside on School Property</t>
  </si>
  <si>
    <t>Yes</t>
  </si>
  <si>
    <t>Morning Classes</t>
  </si>
  <si>
    <t>Accidental discharge during safety presentation</t>
  </si>
  <si>
    <t>Accidental</t>
  </si>
  <si>
    <t>Random Shooting</t>
  </si>
  <si>
    <t>No</t>
  </si>
  <si>
    <t>20131021NVSPS</t>
  </si>
  <si>
    <t>Sparks Middle School</t>
  </si>
  <si>
    <t>National</t>
  </si>
  <si>
    <t>Fall</t>
  </si>
  <si>
    <t>Sparks</t>
  </si>
  <si>
    <t>NV</t>
  </si>
  <si>
    <t>Middle</t>
  </si>
  <si>
    <t>Beside Building</t>
  </si>
  <si>
    <t>Outside on School Property</t>
  </si>
  <si>
    <t>Yes</t>
  </si>
  <si>
    <t>Before School</t>
  </si>
  <si>
    <t>Planned attack following bullying</t>
  </si>
  <si>
    <t>Indiscriminate Shooting</t>
  </si>
  <si>
    <t>Both</t>
  </si>
  <si>
    <t>No</t>
  </si>
  <si>
    <t>Yes</t>
  </si>
  <si>
    <t>No</t>
  </si>
  <si>
    <t>Yes</t>
  </si>
  <si>
    <t>20131015TXLAA</t>
  </si>
  <si>
    <t>Lanier High School</t>
  </si>
  <si>
    <t>National</t>
  </si>
  <si>
    <t>Fall</t>
  </si>
  <si>
    <t>Austin</t>
  </si>
  <si>
    <t>TX</t>
  </si>
  <si>
    <t>High</t>
  </si>
  <si>
    <t>Courtyard</t>
  </si>
  <si>
    <t>Outside on School Property</t>
  </si>
  <si>
    <t>Yes</t>
  </si>
  <si>
    <t>Lunch</t>
  </si>
  <si>
    <t>Suicide in school courtyard</t>
  </si>
  <si>
    <t>Suicide/Attempted</t>
  </si>
  <si>
    <t>Victims Targeted</t>
  </si>
  <si>
    <t>No</t>
  </si>
  <si>
    <t>20131004FLAGP</t>
  </si>
  <si>
    <t>Agape Christian Academy</t>
  </si>
  <si>
    <t>Local</t>
  </si>
  <si>
    <t>Fall</t>
  </si>
  <si>
    <t>Pine Hills</t>
  </si>
  <si>
    <t>FL</t>
  </si>
  <si>
    <t>K-12</t>
  </si>
  <si>
    <t>Football Field/Track</t>
  </si>
  <si>
    <t>Outside on School Property</t>
  </si>
  <si>
    <t>No</t>
  </si>
  <si>
    <t>Dismissal</t>
  </si>
  <si>
    <t>Fight prior to football game, escalated Ongoing dispute</t>
  </si>
  <si>
    <t>Escalation of Dispute</t>
  </si>
  <si>
    <t>Both</t>
  </si>
  <si>
    <t>Yes</t>
  </si>
  <si>
    <t>No</t>
  </si>
  <si>
    <t>20131002NHWIS</t>
  </si>
  <si>
    <t>Winnisquam Regional School District</t>
  </si>
  <si>
    <t>Fall</t>
  </si>
  <si>
    <t>Sanbornton</t>
  </si>
  <si>
    <t>NH</t>
  </si>
  <si>
    <t>School Bus</t>
  </si>
  <si>
    <t>Yes</t>
  </si>
  <si>
    <t>After School</t>
  </si>
  <si>
    <t>Adult male fired shots at school bus after students made obscene gestures at him</t>
  </si>
  <si>
    <t>Escalation of Dispute</t>
  </si>
  <si>
    <t>Random Shooting</t>
  </si>
  <si>
    <t>No</t>
  </si>
  <si>
    <t>20130928MENEG</t>
  </si>
  <si>
    <t>New Gloucester High School</t>
  </si>
  <si>
    <t>Local</t>
  </si>
  <si>
    <t>Fall</t>
  </si>
  <si>
    <t>Gray</t>
  </si>
  <si>
    <t>ME</t>
  </si>
  <si>
    <t>High</t>
  </si>
  <si>
    <t>Parking Lot</t>
  </si>
  <si>
    <t>Outside on School Property</t>
  </si>
  <si>
    <t>No</t>
  </si>
  <si>
    <t>Not a School Day</t>
  </si>
  <si>
    <t>Suicide in school parking lot</t>
  </si>
  <si>
    <t>Suicide/Attempted</t>
  </si>
  <si>
    <t>Victims Targeted</t>
  </si>
  <si>
    <t>No</t>
  </si>
  <si>
    <t>20130927ILROC</t>
  </si>
  <si>
    <t>Roosevelt High School</t>
  </si>
  <si>
    <t>Local</t>
  </si>
  <si>
    <t>Fall</t>
  </si>
  <si>
    <t>Chicago</t>
  </si>
  <si>
    <t>IL</t>
  </si>
  <si>
    <t>High</t>
  </si>
  <si>
    <t>Beside Building</t>
  </si>
  <si>
    <t>Outside on School Property</t>
  </si>
  <si>
    <t>Yes</t>
  </si>
  <si>
    <t>Dismissal</t>
  </si>
  <si>
    <t>Robbery outside of school</t>
  </si>
  <si>
    <t>Illegal Activity</t>
  </si>
  <si>
    <t>Victims Targeted</t>
  </si>
  <si>
    <t>Yes</t>
  </si>
  <si>
    <t>No</t>
  </si>
  <si>
    <t>20130830NCCAW</t>
  </si>
  <si>
    <t>Carver High School</t>
  </si>
  <si>
    <t>Local</t>
  </si>
  <si>
    <t>Summer</t>
  </si>
  <si>
    <t>Winston Salem</t>
  </si>
  <si>
    <t>NC</t>
  </si>
  <si>
    <t>High</t>
  </si>
  <si>
    <t>Beside Building</t>
  </si>
  <si>
    <t>Outside on School Property</t>
  </si>
  <si>
    <t>Yes</t>
  </si>
  <si>
    <t>Afternoon Classes</t>
  </si>
  <si>
    <t>Shots fired during fight</t>
  </si>
  <si>
    <t>Escalation of Dispute</t>
  </si>
  <si>
    <t>Victims Targeted</t>
  </si>
  <si>
    <t>No</t>
  </si>
  <si>
    <t>Yes</t>
  </si>
  <si>
    <t>No</t>
  </si>
  <si>
    <t>20130823MSNOS</t>
  </si>
  <si>
    <t>North Panola High School</t>
  </si>
  <si>
    <t>Local</t>
  </si>
  <si>
    <t>Summer</t>
  </si>
  <si>
    <t>Sardis</t>
  </si>
  <si>
    <t>MS</t>
  </si>
  <si>
    <t>High</t>
  </si>
  <si>
    <t>Football Field/Track</t>
  </si>
  <si>
    <t>Outside on School Property</t>
  </si>
  <si>
    <t>No</t>
  </si>
  <si>
    <t>Evening</t>
  </si>
  <si>
    <t>Gang related shooting at football game</t>
  </si>
  <si>
    <t>Escalation of Dispute</t>
  </si>
  <si>
    <t>Yes</t>
  </si>
  <si>
    <t>No</t>
  </si>
  <si>
    <t>20130822TNWEM</t>
  </si>
  <si>
    <t>Westside Elementary School</t>
  </si>
  <si>
    <t>Local</t>
  </si>
  <si>
    <t>Summer</t>
  </si>
  <si>
    <t>Memphis</t>
  </si>
  <si>
    <t>TN</t>
  </si>
  <si>
    <t>Elementary</t>
  </si>
  <si>
    <t>Cafeteria</t>
  </si>
  <si>
    <t>Inside School Building</t>
  </si>
  <si>
    <t>Yes</t>
  </si>
  <si>
    <t>School Start</t>
  </si>
  <si>
    <t>Accidental discharge in backpack</t>
  </si>
  <si>
    <t>Accidental</t>
  </si>
  <si>
    <t>Neither</t>
  </si>
  <si>
    <t>No</t>
  </si>
  <si>
    <t>20130820GAROD</t>
  </si>
  <si>
    <t>Ronald E. McNair Discovery Learning Academy</t>
  </si>
  <si>
    <t>International</t>
  </si>
  <si>
    <t>Summer</t>
  </si>
  <si>
    <t>Decatur</t>
  </si>
  <si>
    <t>GA</t>
  </si>
  <si>
    <t>Elementary</t>
  </si>
  <si>
    <t>Office</t>
  </si>
  <si>
    <t>Inside School Building</t>
  </si>
  <si>
    <t>Yes</t>
  </si>
  <si>
    <t>Morning Classes</t>
  </si>
  <si>
    <t>Bipolar, had assault rifle and multiple other weapons, exchanged fire with police outside of school</t>
  </si>
  <si>
    <t>Psychosis</t>
  </si>
  <si>
    <t>Victims Targeted</t>
  </si>
  <si>
    <t>No</t>
  </si>
  <si>
    <t>Yes</t>
  </si>
  <si>
    <t>No</t>
  </si>
  <si>
    <t>Yes</t>
  </si>
  <si>
    <t>20130815TNNOC</t>
  </si>
  <si>
    <t>Northwest High School</t>
  </si>
  <si>
    <t>Local</t>
  </si>
  <si>
    <t>Summer</t>
  </si>
  <si>
    <t>Clarksville</t>
  </si>
  <si>
    <t>TN</t>
  </si>
  <si>
    <t>Middle</t>
  </si>
  <si>
    <t>Parking Lot</t>
  </si>
  <si>
    <t>Outside on School Property</t>
  </si>
  <si>
    <t>No</t>
  </si>
  <si>
    <t>Night</t>
  </si>
  <si>
    <t>Fight between non-students in school parking lot</t>
  </si>
  <si>
    <t>Escalation of Dispute</t>
  </si>
  <si>
    <t>Victims Targeted</t>
  </si>
  <si>
    <t>Yes</t>
  </si>
  <si>
    <t>No</t>
  </si>
  <si>
    <t>20130619FLALW</t>
  </si>
  <si>
    <t>Alexander W. Dreyfoos School of the Arts</t>
  </si>
  <si>
    <t>International</t>
  </si>
  <si>
    <t>Summer</t>
  </si>
  <si>
    <t>West Palm Beach</t>
  </si>
  <si>
    <t>FL</t>
  </si>
  <si>
    <t>High</t>
  </si>
  <si>
    <t>Office</t>
  </si>
  <si>
    <t>Inside School Building</t>
  </si>
  <si>
    <t>No</t>
  </si>
  <si>
    <t>Not a School Day</t>
  </si>
  <si>
    <t>School maintenance worker killed co-workers</t>
  </si>
  <si>
    <t>Escalation of Dispute</t>
  </si>
  <si>
    <t>Victims Targeted</t>
  </si>
  <si>
    <t>No</t>
  </si>
  <si>
    <t>20130618NCHIC</t>
  </si>
  <si>
    <t>Hidden Valley Elementary School</t>
  </si>
  <si>
    <t>Local</t>
  </si>
  <si>
    <t>Summer</t>
  </si>
  <si>
    <t>Charlotte</t>
  </si>
  <si>
    <t>NC</t>
  </si>
  <si>
    <t>Elementary</t>
  </si>
  <si>
    <t>Parking Lot</t>
  </si>
  <si>
    <t>Outside on School Property</t>
  </si>
  <si>
    <t>No</t>
  </si>
  <si>
    <t>After School</t>
  </si>
  <si>
    <t>Undercover officers were shot at by suspects during drug deal</t>
  </si>
  <si>
    <t>Illegal Activity</t>
  </si>
  <si>
    <t>Victims Targeted</t>
  </si>
  <si>
    <t>Yes</t>
  </si>
  <si>
    <t>No</t>
  </si>
  <si>
    <t>20130523FLREH</t>
  </si>
  <si>
    <t>Redland Middle School</t>
  </si>
  <si>
    <t>Regional</t>
  </si>
  <si>
    <t>Spring</t>
  </si>
  <si>
    <t>Homestead</t>
  </si>
  <si>
    <t>FL</t>
  </si>
  <si>
    <t>Middle</t>
  </si>
  <si>
    <t>Classroom</t>
  </si>
  <si>
    <t>Inside School Building</t>
  </si>
  <si>
    <t>Yes</t>
  </si>
  <si>
    <t>Afternoon Classes</t>
  </si>
  <si>
    <t>Accidental; gun in backpack discharged in classroom</t>
  </si>
  <si>
    <t>Accidental</t>
  </si>
  <si>
    <t>Random Shooting</t>
  </si>
  <si>
    <t>No</t>
  </si>
  <si>
    <t>20130513ALOSB</t>
  </si>
  <si>
    <t>Ossie Ware Mitchell Middle School</t>
  </si>
  <si>
    <t>Local</t>
  </si>
  <si>
    <t>Spring</t>
  </si>
  <si>
    <t>Birmingham</t>
  </si>
  <si>
    <t>AL</t>
  </si>
  <si>
    <t>Middle</t>
  </si>
  <si>
    <t>Parking Lot</t>
  </si>
  <si>
    <t>Outside on School Property</t>
  </si>
  <si>
    <t>Yes</t>
  </si>
  <si>
    <t>After School</t>
  </si>
  <si>
    <t>Mother of student fired shot during large fight</t>
  </si>
  <si>
    <t>Escalation of Dispute</t>
  </si>
  <si>
    <t>NA</t>
  </si>
  <si>
    <t>No</t>
  </si>
  <si>
    <t>20130430NMTUT</t>
  </si>
  <si>
    <t>Tularosa Elementary School</t>
  </si>
  <si>
    <t>Local</t>
  </si>
  <si>
    <t>Spring</t>
  </si>
  <si>
    <t>Tularosa</t>
  </si>
  <si>
    <t>NM</t>
  </si>
  <si>
    <t>Elementary</t>
  </si>
  <si>
    <t>Outside on School Property</t>
  </si>
  <si>
    <t>No</t>
  </si>
  <si>
    <t>Night</t>
  </si>
  <si>
    <t>Suspect exchanged fire with officer and was shot dead on scene</t>
  </si>
  <si>
    <t>Illegal Activity</t>
  </si>
  <si>
    <t>Victims Targeted</t>
  </si>
  <si>
    <t>No</t>
  </si>
  <si>
    <t>20130429OHLAC</t>
  </si>
  <si>
    <t>La Salle High School</t>
  </si>
  <si>
    <t>Local</t>
  </si>
  <si>
    <t>Spring</t>
  </si>
  <si>
    <t>Cincinnati</t>
  </si>
  <si>
    <t>OH</t>
  </si>
  <si>
    <t>High</t>
  </si>
  <si>
    <t>Classroom</t>
  </si>
  <si>
    <t>Inside School Building</t>
  </si>
  <si>
    <t>Yes</t>
  </si>
  <si>
    <t>Morning Classes</t>
  </si>
  <si>
    <t>Suicide attempt during class in classroom</t>
  </si>
  <si>
    <t>Suicide/Attempted</t>
  </si>
  <si>
    <t>Victims Targeted</t>
  </si>
  <si>
    <t>No</t>
  </si>
  <si>
    <t>20130416TXTET</t>
  </si>
  <si>
    <t>Temple High School</t>
  </si>
  <si>
    <t>Spring</t>
  </si>
  <si>
    <t>Temple</t>
  </si>
  <si>
    <t>TX</t>
  </si>
  <si>
    <t>High</t>
  </si>
  <si>
    <t>Other</t>
  </si>
  <si>
    <t>Outside on School Property</t>
  </si>
  <si>
    <t>Yes</t>
  </si>
  <si>
    <t>Morning Classes</t>
  </si>
  <si>
    <t>Student shot self on school tennis court during the school day</t>
  </si>
  <si>
    <t>Suicide/Attempted</t>
  </si>
  <si>
    <t>Victims Targeted</t>
  </si>
  <si>
    <t>No</t>
  </si>
  <si>
    <t>20130321MIDAS</t>
  </si>
  <si>
    <t>Davidson Middle School</t>
  </si>
  <si>
    <t>Regional</t>
  </si>
  <si>
    <t>Spring</t>
  </si>
  <si>
    <t>Southgate</t>
  </si>
  <si>
    <t>MI</t>
  </si>
  <si>
    <t>Middle</t>
  </si>
  <si>
    <t>Bathroom</t>
  </si>
  <si>
    <t>Inside School Building</t>
  </si>
  <si>
    <t>Yes</t>
  </si>
  <si>
    <t>Before School</t>
  </si>
  <si>
    <t>Suicide in school bathroom</t>
  </si>
  <si>
    <t>Suicide/Attempted</t>
  </si>
  <si>
    <t>Victims Targeted</t>
  </si>
  <si>
    <t>No</t>
  </si>
  <si>
    <t>20130227GAGRA</t>
  </si>
  <si>
    <t>Grady High School</t>
  </si>
  <si>
    <t>Regional</t>
  </si>
  <si>
    <t>Winter</t>
  </si>
  <si>
    <t>Atlanta</t>
  </si>
  <si>
    <t>GA</t>
  </si>
  <si>
    <t>High</t>
  </si>
  <si>
    <t>Courtyard</t>
  </si>
  <si>
    <t>Outside on School Property</t>
  </si>
  <si>
    <t>Yes</t>
  </si>
  <si>
    <t>Morning Classes</t>
  </si>
  <si>
    <t>Accidental discharge in pocket while running to class</t>
  </si>
  <si>
    <t>Accidental</t>
  </si>
  <si>
    <t>Random Shooting</t>
  </si>
  <si>
    <t>No</t>
  </si>
  <si>
    <t>20130213CAHIS</t>
  </si>
  <si>
    <t>Hillside Elementary School</t>
  </si>
  <si>
    <t>Local</t>
  </si>
  <si>
    <t>Winter</t>
  </si>
  <si>
    <t>San Leandro</t>
  </si>
  <si>
    <t>CA</t>
  </si>
  <si>
    <t>Elementary</t>
  </si>
  <si>
    <t>Beside Building</t>
  </si>
  <si>
    <t>Outside on School Property</t>
  </si>
  <si>
    <t>No</t>
  </si>
  <si>
    <t>Evening</t>
  </si>
  <si>
    <t>Anger over victim refusing to pay $5 after losing dice game</t>
  </si>
  <si>
    <t>Escalation of Dispute</t>
  </si>
  <si>
    <t>Victims Targeted</t>
  </si>
  <si>
    <t>Yes</t>
  </si>
  <si>
    <t>No</t>
  </si>
  <si>
    <t>20130201MIMAD</t>
  </si>
  <si>
    <t>Martin Luther King High School</t>
  </si>
  <si>
    <t>Local</t>
  </si>
  <si>
    <t>Winter</t>
  </si>
  <si>
    <t>Detroit</t>
  </si>
  <si>
    <t>MI</t>
  </si>
  <si>
    <t>High</t>
  </si>
  <si>
    <t>Parking Lot</t>
  </si>
  <si>
    <t>Outside on School Property</t>
  </si>
  <si>
    <t>No</t>
  </si>
  <si>
    <t>Evening</t>
  </si>
  <si>
    <t>Teens attempted to rob basketball coach, shot both of them killing one (reserve police officer)</t>
  </si>
  <si>
    <t>Illegal Activity</t>
  </si>
  <si>
    <t>Neither</t>
  </si>
  <si>
    <t>Yes</t>
  </si>
  <si>
    <t>No</t>
  </si>
  <si>
    <t>20130131GAPRA</t>
  </si>
  <si>
    <t>Price Middle School</t>
  </si>
  <si>
    <t>Local</t>
  </si>
  <si>
    <t>Winter</t>
  </si>
  <si>
    <t>Atlanta</t>
  </si>
  <si>
    <t>GA</t>
  </si>
  <si>
    <t>Middle</t>
  </si>
  <si>
    <t>Hallway</t>
  </si>
  <si>
    <t>Inside School Building</t>
  </si>
  <si>
    <t>Yes</t>
  </si>
  <si>
    <t>Afternoon Classes</t>
  </si>
  <si>
    <t>Fight between classes; possibly gang-related</t>
  </si>
  <si>
    <t>Escalation of Dispute</t>
  </si>
  <si>
    <t>Victims Targeted</t>
  </si>
  <si>
    <t>No</t>
  </si>
  <si>
    <t>20130129ALDAM</t>
  </si>
  <si>
    <t>Dale County School Bus</t>
  </si>
  <si>
    <t>International</t>
  </si>
  <si>
    <t>Winter</t>
  </si>
  <si>
    <t>Midland City</t>
  </si>
  <si>
    <t>AL</t>
  </si>
  <si>
    <t>Elementary</t>
  </si>
  <si>
    <t>School Bus</t>
  </si>
  <si>
    <t>Yes</t>
  </si>
  <si>
    <t>Dismissal</t>
  </si>
  <si>
    <t>Man shot bus driver and abducted student from school bus</t>
  </si>
  <si>
    <t>Hostage/Standoff</t>
  </si>
  <si>
    <t>Random Shooting</t>
  </si>
  <si>
    <t>No</t>
  </si>
  <si>
    <t>Yes</t>
  </si>
  <si>
    <t>No</t>
  </si>
  <si>
    <t>20130111MIOSD</t>
  </si>
  <si>
    <t>Osborn High School</t>
  </si>
  <si>
    <t>Local</t>
  </si>
  <si>
    <t>Winter</t>
  </si>
  <si>
    <t>Detroit</t>
  </si>
  <si>
    <t>MI</t>
  </si>
  <si>
    <t>High</t>
  </si>
  <si>
    <t>Basketball Court</t>
  </si>
  <si>
    <t>Off School Property</t>
  </si>
  <si>
    <t>No</t>
  </si>
  <si>
    <t>Sport Event</t>
  </si>
  <si>
    <t>Fight after basketball game</t>
  </si>
  <si>
    <t>Escalation of Dispute</t>
  </si>
  <si>
    <t>Victims Targeted</t>
  </si>
  <si>
    <t>No</t>
  </si>
  <si>
    <t>20130110CATAT</t>
  </si>
  <si>
    <t>Taft Union High School</t>
  </si>
  <si>
    <t>National</t>
  </si>
  <si>
    <t>Winter</t>
  </si>
  <si>
    <t>Taft</t>
  </si>
  <si>
    <t>CA</t>
  </si>
  <si>
    <t>High</t>
  </si>
  <si>
    <t>Hallway</t>
  </si>
  <si>
    <t>Inside School Building</t>
  </si>
  <si>
    <t>Yes</t>
  </si>
  <si>
    <t>Morning Classes</t>
  </si>
  <si>
    <t>Targeted shooting of bully</t>
  </si>
  <si>
    <t>Bullying</t>
  </si>
  <si>
    <t>Both</t>
  </si>
  <si>
    <t>No</t>
  </si>
  <si>
    <t>Yes</t>
  </si>
  <si>
    <t>No</t>
  </si>
  <si>
    <t>Yes</t>
  </si>
  <si>
    <t>20130107FLAPF</t>
  </si>
  <si>
    <t>Apostolic Revival Center Christian School</t>
  </si>
  <si>
    <t>Local</t>
  </si>
  <si>
    <t>Winter</t>
  </si>
  <si>
    <t>Fort Myers</t>
  </si>
  <si>
    <t>FL</t>
  </si>
  <si>
    <t>K-8</t>
  </si>
  <si>
    <t>Parking Lot</t>
  </si>
  <si>
    <t>Outside on School Property</t>
  </si>
  <si>
    <t>Yes</t>
  </si>
  <si>
    <t>Morning Classes</t>
  </si>
  <si>
    <t>Gang shooting outside of school</t>
  </si>
  <si>
    <t>Escalation of Dispute</t>
  </si>
  <si>
    <t>Victims Targeted</t>
  </si>
  <si>
    <t>No</t>
  </si>
  <si>
    <t>N/A</t>
  </si>
  <si>
    <t>No</t>
  </si>
  <si>
    <t>20121214CTSAN</t>
  </si>
  <si>
    <t>Sandy Hook Elementary School</t>
  </si>
  <si>
    <t>International</t>
  </si>
  <si>
    <t>Winter</t>
  </si>
  <si>
    <t>Newtown</t>
  </si>
  <si>
    <t>CT</t>
  </si>
  <si>
    <t>Elementary</t>
  </si>
  <si>
    <t>Classroom</t>
  </si>
  <si>
    <t>Inside School Building</t>
  </si>
  <si>
    <t>Yes</t>
  </si>
  <si>
    <t>Morning Classes</t>
  </si>
  <si>
    <t>Shooter though society was broken and mass shooting helps save children from negative influence</t>
  </si>
  <si>
    <t>Indiscriminate Shooting</t>
  </si>
  <si>
    <t>Random Shooting</t>
  </si>
  <si>
    <t>No</t>
  </si>
  <si>
    <t>Yes</t>
  </si>
  <si>
    <t>20121210TXSPH</t>
  </si>
  <si>
    <t>Spring Woods High School</t>
  </si>
  <si>
    <t>Local</t>
  </si>
  <si>
    <t>Winter</t>
  </si>
  <si>
    <t>Houston</t>
  </si>
  <si>
    <t>TX</t>
  </si>
  <si>
    <t>High</t>
  </si>
  <si>
    <t>Classroom</t>
  </si>
  <si>
    <t>Inside School Building</t>
  </si>
  <si>
    <t>Yes</t>
  </si>
  <si>
    <t>Morning Classes</t>
  </si>
  <si>
    <t>Showing off gun, accidentally fired, arrested by officer assigned to school</t>
  </si>
  <si>
    <t>Accidental</t>
  </si>
  <si>
    <t>Neither</t>
  </si>
  <si>
    <t>No</t>
  </si>
  <si>
    <t>20121019ILBAC</t>
  </si>
  <si>
    <t>Banner Academy South</t>
  </si>
  <si>
    <t>Local</t>
  </si>
  <si>
    <t>Fall</t>
  </si>
  <si>
    <t>Chicago</t>
  </si>
  <si>
    <t>IL</t>
  </si>
  <si>
    <t>Other</t>
  </si>
  <si>
    <t>Beside Building</t>
  </si>
  <si>
    <t>Outside on School Property</t>
  </si>
  <si>
    <t>No</t>
  </si>
  <si>
    <t>After School</t>
  </si>
  <si>
    <t>Victim shot during robbery</t>
  </si>
  <si>
    <t>Illegal Activity</t>
  </si>
  <si>
    <t>Victims Targeted</t>
  </si>
  <si>
    <t>Yes</t>
  </si>
  <si>
    <t>No</t>
  </si>
  <si>
    <t>20121012NDFAF</t>
  </si>
  <si>
    <t>Fairmount Public School</t>
  </si>
  <si>
    <t>Fall</t>
  </si>
  <si>
    <t>Fairmont</t>
  </si>
  <si>
    <t>ND</t>
  </si>
  <si>
    <t>High</t>
  </si>
  <si>
    <t>Classroom</t>
  </si>
  <si>
    <t>Inside School Building</t>
  </si>
  <si>
    <t>Yes</t>
  </si>
  <si>
    <t>Morning Classes</t>
  </si>
  <si>
    <t>Student shot self in the front of the classroom</t>
  </si>
  <si>
    <t>Suicide/Attempted</t>
  </si>
  <si>
    <t>Victims Targeted</t>
  </si>
  <si>
    <t>No</t>
  </si>
  <si>
    <t>20120926OKSTS</t>
  </si>
  <si>
    <t>Stillwater Junior High School</t>
  </si>
  <si>
    <t>National</t>
  </si>
  <si>
    <t>Fall</t>
  </si>
  <si>
    <t>Stillwater</t>
  </si>
  <si>
    <t>OK</t>
  </si>
  <si>
    <t>Junior High</t>
  </si>
  <si>
    <t>Hallway</t>
  </si>
  <si>
    <t>Inside School Building</t>
  </si>
  <si>
    <t>Yes</t>
  </si>
  <si>
    <t>Before School</t>
  </si>
  <si>
    <t>Suicide in school hallway following bullying</t>
  </si>
  <si>
    <t>Suicide/Attempted</t>
  </si>
  <si>
    <t>Victims Targeted</t>
  </si>
  <si>
    <t>No</t>
  </si>
  <si>
    <t>20120907ILNON</t>
  </si>
  <si>
    <t>Normal Community High School</t>
  </si>
  <si>
    <t>Regional</t>
  </si>
  <si>
    <t>Fall</t>
  </si>
  <si>
    <t>Normal</t>
  </si>
  <si>
    <t>IL</t>
  </si>
  <si>
    <t>High</t>
  </si>
  <si>
    <t>Classroom</t>
  </si>
  <si>
    <t>Inside School Building</t>
  </si>
  <si>
    <t>Yes</t>
  </si>
  <si>
    <t>Morning Classes</t>
  </si>
  <si>
    <t>Fired shots into ceiling and held class hostage</t>
  </si>
  <si>
    <t>Hostage/Standoff</t>
  </si>
  <si>
    <t>Neither</t>
  </si>
  <si>
    <t>No</t>
  </si>
  <si>
    <t>Yes</t>
  </si>
  <si>
    <t>No</t>
  </si>
  <si>
    <t>Yes</t>
  </si>
  <si>
    <t>No</t>
  </si>
  <si>
    <t>Yes</t>
  </si>
  <si>
    <t>20120827MDPEP</t>
  </si>
  <si>
    <t>Perry Hall High School</t>
  </si>
  <si>
    <t>International</t>
  </si>
  <si>
    <t>Summer</t>
  </si>
  <si>
    <t>Perry Hall</t>
  </si>
  <si>
    <t>MD</t>
  </si>
  <si>
    <t>High</t>
  </si>
  <si>
    <t>Cafeteria</t>
  </si>
  <si>
    <t>Inside School Building</t>
  </si>
  <si>
    <t>Yes</t>
  </si>
  <si>
    <t>Morning Classes</t>
  </si>
  <si>
    <t>Fired shotgun in cafeteria, tackled by school employee and other students</t>
  </si>
  <si>
    <t>Indiscriminate Shooting</t>
  </si>
  <si>
    <t>Random Shooting</t>
  </si>
  <si>
    <t>No</t>
  </si>
  <si>
    <t>Yes</t>
  </si>
  <si>
    <t>20120824GABAH</t>
  </si>
  <si>
    <t>Banks County High School</t>
  </si>
  <si>
    <t>Summer</t>
  </si>
  <si>
    <t>Homer</t>
  </si>
  <si>
    <t>GA</t>
  </si>
  <si>
    <t>High</t>
  </si>
  <si>
    <t>Bathroom</t>
  </si>
  <si>
    <t>Inside School Building</t>
  </si>
  <si>
    <t>Yes</t>
  </si>
  <si>
    <t>Morning Classes</t>
  </si>
  <si>
    <t>15 YOM student shot self in school bathroom</t>
  </si>
  <si>
    <t>Suicide/Attempted</t>
  </si>
  <si>
    <t>Victims Targeted</t>
  </si>
  <si>
    <t>No</t>
  </si>
  <si>
    <t>20120816TNHAM</t>
  </si>
  <si>
    <t>Hamilton High School</t>
  </si>
  <si>
    <t>Local</t>
  </si>
  <si>
    <t>Summer</t>
  </si>
  <si>
    <t>Memphis</t>
  </si>
  <si>
    <t>TN</t>
  </si>
  <si>
    <t>High</t>
  </si>
  <si>
    <t>Front of School</t>
  </si>
  <si>
    <t>Outside on School Property</t>
  </si>
  <si>
    <t>No</t>
  </si>
  <si>
    <t>Evening</t>
  </si>
  <si>
    <t>Gang retaliation for prior incident</t>
  </si>
  <si>
    <t>Escalation of Dispute</t>
  </si>
  <si>
    <t>Victims Targeted</t>
  </si>
  <si>
    <t>No</t>
  </si>
  <si>
    <t>20120706RINAP</t>
  </si>
  <si>
    <t>Nathaniel Greene Elementary School</t>
  </si>
  <si>
    <t>Summer</t>
  </si>
  <si>
    <t>Pawtucket</t>
  </si>
  <si>
    <t>RI</t>
  </si>
  <si>
    <t>Elementary</t>
  </si>
  <si>
    <t>Beside Building</t>
  </si>
  <si>
    <t>Outside on School Property</t>
  </si>
  <si>
    <t>No</t>
  </si>
  <si>
    <t>Night</t>
  </si>
  <si>
    <t>20YOM shot and killed behind school</t>
  </si>
  <si>
    <t>Escalation of Dispute</t>
  </si>
  <si>
    <t>Victims Targeted</t>
  </si>
  <si>
    <t>No</t>
  </si>
  <si>
    <t>20120525NCMAC</t>
  </si>
  <si>
    <t>Mary Scroggs Elementary School</t>
  </si>
  <si>
    <t>Local</t>
  </si>
  <si>
    <t>Spring</t>
  </si>
  <si>
    <t>Chapel Hill</t>
  </si>
  <si>
    <t>NC</t>
  </si>
  <si>
    <t>Elementary</t>
  </si>
  <si>
    <t>Parking Lot</t>
  </si>
  <si>
    <t>Outside on School Property</t>
  </si>
  <si>
    <t>Yes</t>
  </si>
  <si>
    <t>Dismissal</t>
  </si>
  <si>
    <t>Killed estranged wife at school</t>
  </si>
  <si>
    <t>Domestic w/ Targeted Victim</t>
  </si>
  <si>
    <t>Victims Targeted</t>
  </si>
  <si>
    <t>No</t>
  </si>
  <si>
    <t>Yes</t>
  </si>
  <si>
    <t>20120525AZWEA</t>
  </si>
  <si>
    <t>West View High School</t>
  </si>
  <si>
    <t>Spring</t>
  </si>
  <si>
    <t>Avondale</t>
  </si>
  <si>
    <t>AZ</t>
  </si>
  <si>
    <t>High</t>
  </si>
  <si>
    <t>Parking Lot</t>
  </si>
  <si>
    <t>Outside on School Property</t>
  </si>
  <si>
    <t>Yes</t>
  </si>
  <si>
    <t>School Event</t>
  </si>
  <si>
    <t>Domestic violence</t>
  </si>
  <si>
    <t>Domestic w/ Targeted Victim</t>
  </si>
  <si>
    <t>Victims Targeted</t>
  </si>
  <si>
    <t>No</t>
  </si>
  <si>
    <t>Yes</t>
  </si>
  <si>
    <t>No</t>
  </si>
  <si>
    <t>20120401ARKIR</t>
  </si>
  <si>
    <t>Kirksey Middle School</t>
  </si>
  <si>
    <t>Local</t>
  </si>
  <si>
    <t>Spring</t>
  </si>
  <si>
    <t>Rogers</t>
  </si>
  <si>
    <t>AR</t>
  </si>
  <si>
    <t>Middle</t>
  </si>
  <si>
    <t>Parking Lot</t>
  </si>
  <si>
    <t>Outside on School Property</t>
  </si>
  <si>
    <t>No</t>
  </si>
  <si>
    <t>Evening</t>
  </si>
  <si>
    <t>Fight in school parking lot</t>
  </si>
  <si>
    <t>Escalation of Dispute</t>
  </si>
  <si>
    <t>Both</t>
  </si>
  <si>
    <t>No</t>
  </si>
  <si>
    <t>20120315ALLEM</t>
  </si>
  <si>
    <t>LeFlore High School</t>
  </si>
  <si>
    <t>Local</t>
  </si>
  <si>
    <t>Spring</t>
  </si>
  <si>
    <t>Mobile</t>
  </si>
  <si>
    <t>AL</t>
  </si>
  <si>
    <t>High</t>
  </si>
  <si>
    <t>Parking Lot</t>
  </si>
  <si>
    <t>Outside on School Property</t>
  </si>
  <si>
    <t>Yes</t>
  </si>
  <si>
    <t>Morning Classes</t>
  </si>
  <si>
    <t>Targeted gang shooting in school</t>
  </si>
  <si>
    <t>Escalation of Dispute</t>
  </si>
  <si>
    <t>Victims Targeted</t>
  </si>
  <si>
    <t>Yes</t>
  </si>
  <si>
    <t>No</t>
  </si>
  <si>
    <t>20120306FLEPJ</t>
  </si>
  <si>
    <t>Episcopal School of Jacksonville</t>
  </si>
  <si>
    <t>International</t>
  </si>
  <si>
    <t>Spring</t>
  </si>
  <si>
    <t>Jacksonville</t>
  </si>
  <si>
    <t>FL</t>
  </si>
  <si>
    <t>Unknown</t>
  </si>
  <si>
    <t>Office</t>
  </si>
  <si>
    <t>Inside School Building</t>
  </si>
  <si>
    <t>Yes</t>
  </si>
  <si>
    <t>Afternoon Classes</t>
  </si>
  <si>
    <t>Fired teacher killed principal and self</t>
  </si>
  <si>
    <t>Anger Over Grade/Suspension/Discipline</t>
  </si>
  <si>
    <t>Victims Targeted</t>
  </si>
  <si>
    <t>No</t>
  </si>
  <si>
    <t>Yes</t>
  </si>
  <si>
    <t>20120227OHCHC</t>
  </si>
  <si>
    <t>Chardon High School</t>
  </si>
  <si>
    <t>National</t>
  </si>
  <si>
    <t>Winter</t>
  </si>
  <si>
    <t>Chardon</t>
  </si>
  <si>
    <t>OH</t>
  </si>
  <si>
    <t>High</t>
  </si>
  <si>
    <t>Cafeteria</t>
  </si>
  <si>
    <t>Inside School Building</t>
  </si>
  <si>
    <t>Yes</t>
  </si>
  <si>
    <t>School Start</t>
  </si>
  <si>
    <t>Planned attack, fired at random victims then walked out of school to surrender to police</t>
  </si>
  <si>
    <t>Indiscriminate Shooting</t>
  </si>
  <si>
    <t>Random Shooting</t>
  </si>
  <si>
    <t>No</t>
  </si>
  <si>
    <t>Yes</t>
  </si>
  <si>
    <t>20120222WAARB</t>
  </si>
  <si>
    <t>Armin Jahr Elementary School</t>
  </si>
  <si>
    <t>National</t>
  </si>
  <si>
    <t>Winter</t>
  </si>
  <si>
    <t>Bremerton</t>
  </si>
  <si>
    <t>WA</t>
  </si>
  <si>
    <t>Elementary</t>
  </si>
  <si>
    <t>Hallway</t>
  </si>
  <si>
    <t>Inside School Building</t>
  </si>
  <si>
    <t>Yes</t>
  </si>
  <si>
    <t>Dismissal</t>
  </si>
  <si>
    <t>Accidental discharge in backpack</t>
  </si>
  <si>
    <t>Accidental</t>
  </si>
  <si>
    <t>Random Shooting</t>
  </si>
  <si>
    <t>Yes</t>
  </si>
  <si>
    <t>No</t>
  </si>
  <si>
    <t>Yes</t>
  </si>
  <si>
    <t>No</t>
  </si>
  <si>
    <t>20120210NHWAW</t>
  </si>
  <si>
    <t>Walpole Elementary School</t>
  </si>
  <si>
    <t>National</t>
  </si>
  <si>
    <t>Winter</t>
  </si>
  <si>
    <t>Walpole</t>
  </si>
  <si>
    <t>NH</t>
  </si>
  <si>
    <t>Elementary</t>
  </si>
  <si>
    <t>Cafeteria</t>
  </si>
  <si>
    <t>Inside School Building</t>
  </si>
  <si>
    <t>Yes</t>
  </si>
  <si>
    <t>Lunch</t>
  </si>
  <si>
    <t>Attempted suicide in cafeteria</t>
  </si>
  <si>
    <t>Suicide/Attempted</t>
  </si>
  <si>
    <t>Victims Targeted</t>
  </si>
  <si>
    <t>No</t>
  </si>
  <si>
    <t>20120110TXNOH</t>
  </si>
  <si>
    <t>North Forest High School</t>
  </si>
  <si>
    <t>Local</t>
  </si>
  <si>
    <t>Winter</t>
  </si>
  <si>
    <t>Houston</t>
  </si>
  <si>
    <t>TX</t>
  </si>
  <si>
    <t>High</t>
  </si>
  <si>
    <t>Hallway</t>
  </si>
  <si>
    <t>Inside School Building</t>
  </si>
  <si>
    <t>Yes</t>
  </si>
  <si>
    <t>Afternoon Classes</t>
  </si>
  <si>
    <t>Shot bully during dispute</t>
  </si>
  <si>
    <t>Bullying</t>
  </si>
  <si>
    <t>Both</t>
  </si>
  <si>
    <t>No</t>
  </si>
  <si>
    <t>20120104TXCUB</t>
  </si>
  <si>
    <t>Cummings Middle School</t>
  </si>
  <si>
    <t>Regional</t>
  </si>
  <si>
    <t>Winter</t>
  </si>
  <si>
    <t>Brownsville</t>
  </si>
  <si>
    <t>TX</t>
  </si>
  <si>
    <t>Middle</t>
  </si>
  <si>
    <t>Hallway</t>
  </si>
  <si>
    <t>Inside School Building</t>
  </si>
  <si>
    <t>Yes</t>
  </si>
  <si>
    <t>School Start</t>
  </si>
  <si>
    <t>Police officer killed student holding airsoft pistol</t>
  </si>
  <si>
    <t>Self-defense</t>
  </si>
  <si>
    <t>Neither</t>
  </si>
  <si>
    <t>No</t>
  </si>
  <si>
    <t>N/A</t>
  </si>
  <si>
    <t>20111228MINOF</t>
  </si>
  <si>
    <t>Northern High School</t>
  </si>
  <si>
    <t>Winter</t>
  </si>
  <si>
    <t>Flint</t>
  </si>
  <si>
    <t>MI</t>
  </si>
  <si>
    <t>High</t>
  </si>
  <si>
    <t>Beside Building</t>
  </si>
  <si>
    <t>Outside on School Property</t>
  </si>
  <si>
    <t>No</t>
  </si>
  <si>
    <t>Sport Event</t>
  </si>
  <si>
    <t>Shots fired during fight outside of school during basketball game</t>
  </si>
  <si>
    <t>Escalation of Dispute</t>
  </si>
  <si>
    <t>Yes</t>
  </si>
  <si>
    <t>No</t>
  </si>
  <si>
    <t>20111212TXHAE</t>
  </si>
  <si>
    <t>Harwell Middle School</t>
  </si>
  <si>
    <t>Winter</t>
  </si>
  <si>
    <t>Edinburg</t>
  </si>
  <si>
    <t>TX</t>
  </si>
  <si>
    <t>Middle</t>
  </si>
  <si>
    <t>Basketball Court</t>
  </si>
  <si>
    <t>Outside on School Property</t>
  </si>
  <si>
    <t>Yes</t>
  </si>
  <si>
    <t>After School</t>
  </si>
  <si>
    <t>Shooter was target practicing 1 mile away</t>
  </si>
  <si>
    <t>Accidental</t>
  </si>
  <si>
    <t>No</t>
  </si>
  <si>
    <t>20111024NCCAF</t>
  </si>
  <si>
    <t>Cape Fear High School</t>
  </si>
  <si>
    <t>National</t>
  </si>
  <si>
    <t>Fall</t>
  </si>
  <si>
    <t>Fayetteville</t>
  </si>
  <si>
    <t>NC</t>
  </si>
  <si>
    <t>High</t>
  </si>
  <si>
    <t>Beside Building</t>
  </si>
  <si>
    <t>Outside on School Property</t>
  </si>
  <si>
    <t>Yes</t>
  </si>
  <si>
    <t>Afternoon Classes</t>
  </si>
  <si>
    <t>Revenge for prior fight, missed intended target</t>
  </si>
  <si>
    <t>Escalation of Dispute</t>
  </si>
  <si>
    <t>Random Shooting</t>
  </si>
  <si>
    <t>Yes</t>
  </si>
  <si>
    <t>No</t>
  </si>
  <si>
    <t>20110930ORWIP</t>
  </si>
  <si>
    <t>Wilson High School</t>
  </si>
  <si>
    <t>Fall</t>
  </si>
  <si>
    <t>Portland</t>
  </si>
  <si>
    <t>OR</t>
  </si>
  <si>
    <t>High</t>
  </si>
  <si>
    <t>Parking Lot</t>
  </si>
  <si>
    <t>Outside on School Property</t>
  </si>
  <si>
    <t>No</t>
  </si>
  <si>
    <t>Sport Event</t>
  </si>
  <si>
    <t>Shots fired at crowd school parking lot following fight earlier in the day</t>
  </si>
  <si>
    <t>Drive-by Shooting</t>
  </si>
  <si>
    <t>Victims Targeted</t>
  </si>
  <si>
    <t>Yes</t>
  </si>
  <si>
    <t>No</t>
  </si>
  <si>
    <t>20110930NCGAC</t>
  </si>
  <si>
    <t>Garinger High School</t>
  </si>
  <si>
    <t>Fall</t>
  </si>
  <si>
    <t>Charlotte</t>
  </si>
  <si>
    <t>NC</t>
  </si>
  <si>
    <t>High</t>
  </si>
  <si>
    <t>Parking Lot</t>
  </si>
  <si>
    <t>Outside on School Property</t>
  </si>
  <si>
    <t>No</t>
  </si>
  <si>
    <t>Sport Event</t>
  </si>
  <si>
    <t>Teen shot in parking lot during football game</t>
  </si>
  <si>
    <t>Escalation of Dispute</t>
  </si>
  <si>
    <t>Victims Targeted</t>
  </si>
  <si>
    <t>No</t>
  </si>
  <si>
    <t>20110923WAISS</t>
  </si>
  <si>
    <t>Issaquah High School</t>
  </si>
  <si>
    <t>Fall</t>
  </si>
  <si>
    <t>Seattle</t>
  </si>
  <si>
    <t>WA</t>
  </si>
  <si>
    <t>High</t>
  </si>
  <si>
    <t>Football Field/Track</t>
  </si>
  <si>
    <t>Off School Property</t>
  </si>
  <si>
    <t>No</t>
  </si>
  <si>
    <t>Sport Event</t>
  </si>
  <si>
    <t>51 year-old male in camo with rifle fired multiple shots outside high school football game, shot and killed by police</t>
  </si>
  <si>
    <t>Indiscriminate Shooting</t>
  </si>
  <si>
    <t>No</t>
  </si>
  <si>
    <t>Yes</t>
  </si>
  <si>
    <t>20110523HIHIP</t>
  </si>
  <si>
    <t>Highlands Intermediate School</t>
  </si>
  <si>
    <t>Local</t>
  </si>
  <si>
    <t>Spring</t>
  </si>
  <si>
    <t>Pearl City</t>
  </si>
  <si>
    <t>HI</t>
  </si>
  <si>
    <t>Middle</t>
  </si>
  <si>
    <t>Beside Building</t>
  </si>
  <si>
    <t>Outside on School Property</t>
  </si>
  <si>
    <t>Yes</t>
  </si>
  <si>
    <t>Before School</t>
  </si>
  <si>
    <t>Accidental discharge when handling gun found behind school</t>
  </si>
  <si>
    <t>Accidental</t>
  </si>
  <si>
    <t>Random Shooting</t>
  </si>
  <si>
    <t>No</t>
  </si>
  <si>
    <t>20110517WAHOE</t>
  </si>
  <si>
    <t>Horizon Elementary School</t>
  </si>
  <si>
    <t>Local</t>
  </si>
  <si>
    <t>Spring</t>
  </si>
  <si>
    <t>Everett</t>
  </si>
  <si>
    <t>WA</t>
  </si>
  <si>
    <t>Elementary</t>
  </si>
  <si>
    <t>Basketball Court</t>
  </si>
  <si>
    <t>Outside on School Property</t>
  </si>
  <si>
    <t>No</t>
  </si>
  <si>
    <t>Evening</t>
  </si>
  <si>
    <t>Argument on the outdoor basketball court, result of an ongoing gang feud</t>
  </si>
  <si>
    <t>Escalation of Dispute</t>
  </si>
  <si>
    <t>Victims Targeted</t>
  </si>
  <si>
    <t>No</t>
  </si>
  <si>
    <t>20110419TXBEH</t>
  </si>
  <si>
    <t>Betsy Ross Elementary School</t>
  </si>
  <si>
    <t>National</t>
  </si>
  <si>
    <t>Spring</t>
  </si>
  <si>
    <t>Houston</t>
  </si>
  <si>
    <t>TX</t>
  </si>
  <si>
    <t>Elementary</t>
  </si>
  <si>
    <t>Cafeteria</t>
  </si>
  <si>
    <t>Inside School Building</t>
  </si>
  <si>
    <t>Yes</t>
  </si>
  <si>
    <t>Lunch</t>
  </si>
  <si>
    <t>Gun fell out of pocket of 6 YOM student in cafeteria, injured 3</t>
  </si>
  <si>
    <t>Accidental</t>
  </si>
  <si>
    <t>Random Shooting</t>
  </si>
  <si>
    <t>No</t>
  </si>
  <si>
    <t>20110413FLSHA</t>
  </si>
  <si>
    <t>Sheeler Charter High School</t>
  </si>
  <si>
    <t>Local</t>
  </si>
  <si>
    <t>Spring</t>
  </si>
  <si>
    <t>Apopka</t>
  </si>
  <si>
    <t>FL</t>
  </si>
  <si>
    <t>High</t>
  </si>
  <si>
    <t>Parking Lot</t>
  </si>
  <si>
    <t>Outside on School Property</t>
  </si>
  <si>
    <t>Yes</t>
  </si>
  <si>
    <t>Lunch</t>
  </si>
  <si>
    <t>Fight in school parking lot</t>
  </si>
  <si>
    <t>Escalation of Dispute</t>
  </si>
  <si>
    <t>Both</t>
  </si>
  <si>
    <t>Yes</t>
  </si>
  <si>
    <t>No</t>
  </si>
  <si>
    <t>20110330TXWOH</t>
  </si>
  <si>
    <t>Worthing High School</t>
  </si>
  <si>
    <t>Local</t>
  </si>
  <si>
    <t>Spring</t>
  </si>
  <si>
    <t>Houston</t>
  </si>
  <si>
    <t>TX</t>
  </si>
  <si>
    <t>High</t>
  </si>
  <si>
    <t>Football Field/Track</t>
  </si>
  <si>
    <t>Outside on School Property</t>
  </si>
  <si>
    <t>No</t>
  </si>
  <si>
    <t>Sport Event</t>
  </si>
  <si>
    <t>Gang related shooting at football game</t>
  </si>
  <si>
    <t>Escalation of Dispute</t>
  </si>
  <si>
    <t>Both</t>
  </si>
  <si>
    <t>No</t>
  </si>
  <si>
    <t>20110325INMAM</t>
  </si>
  <si>
    <t>Martinsville West Middle School</t>
  </si>
  <si>
    <t>National</t>
  </si>
  <si>
    <t>Spring</t>
  </si>
  <si>
    <t>Martinsville</t>
  </si>
  <si>
    <t>IN</t>
  </si>
  <si>
    <t>Middle</t>
  </si>
  <si>
    <t>Hallway</t>
  </si>
  <si>
    <t>Inside School Building</t>
  </si>
  <si>
    <t>Yes</t>
  </si>
  <si>
    <t>Before School</t>
  </si>
  <si>
    <t>Shooter and victim had multiple prior fights</t>
  </si>
  <si>
    <t>Escalation of Dispute</t>
  </si>
  <si>
    <t>Victims Targeted</t>
  </si>
  <si>
    <t>No</t>
  </si>
  <si>
    <t>Yes</t>
  </si>
  <si>
    <t>20110202CALOP</t>
  </si>
  <si>
    <t>Louisiana Schnell Elementary School</t>
  </si>
  <si>
    <t>National</t>
  </si>
  <si>
    <t>Winter</t>
  </si>
  <si>
    <t>Placerville</t>
  </si>
  <si>
    <t>CA</t>
  </si>
  <si>
    <t>Elementary</t>
  </si>
  <si>
    <t>Office</t>
  </si>
  <si>
    <t>Inside School Building</t>
  </si>
  <si>
    <t>Yes</t>
  </si>
  <si>
    <t>Morning Classes</t>
  </si>
  <si>
    <t>Dispute over hiring of new employee</t>
  </si>
  <si>
    <t>Escalation of Dispute</t>
  </si>
  <si>
    <t>Victims Targeted</t>
  </si>
  <si>
    <t>No</t>
  </si>
  <si>
    <t>20110118CAGAL</t>
  </si>
  <si>
    <t>Gardena High School</t>
  </si>
  <si>
    <t>National</t>
  </si>
  <si>
    <t>Winter</t>
  </si>
  <si>
    <t>Los Angeles</t>
  </si>
  <si>
    <t>CA</t>
  </si>
  <si>
    <t>High</t>
  </si>
  <si>
    <t>Classroom</t>
  </si>
  <si>
    <t>Inside School Building</t>
  </si>
  <si>
    <t>Yes</t>
  </si>
  <si>
    <t>Morning Classes</t>
  </si>
  <si>
    <t>Gun was in backpack, accidentally went off striking two students</t>
  </si>
  <si>
    <t>Accidental</t>
  </si>
  <si>
    <t>Random Shooting</t>
  </si>
  <si>
    <t>Yes</t>
  </si>
  <si>
    <t>No</t>
  </si>
  <si>
    <t>20110105NEMIO</t>
  </si>
  <si>
    <t>Millard South High School</t>
  </si>
  <si>
    <t>National</t>
  </si>
  <si>
    <t>Winter</t>
  </si>
  <si>
    <t>Omaha</t>
  </si>
  <si>
    <t>NE</t>
  </si>
  <si>
    <t>High</t>
  </si>
  <si>
    <t>Office</t>
  </si>
  <si>
    <t>Inside School Building</t>
  </si>
  <si>
    <t>Yes</t>
  </si>
  <si>
    <t>Lunch</t>
  </si>
  <si>
    <t>Shot principal and vice principal, fired at other staff, fled in vehicle and killed self</t>
  </si>
  <si>
    <t>Anger Over Grade/Suspension/Discipline</t>
  </si>
  <si>
    <t>Both</t>
  </si>
  <si>
    <t>No</t>
  </si>
  <si>
    <t>Yes</t>
  </si>
  <si>
    <t>20110104INCRC</t>
  </si>
  <si>
    <t>Crown Point School bus</t>
  </si>
  <si>
    <t>Winter</t>
  </si>
  <si>
    <t>Crown Point</t>
  </si>
  <si>
    <t>IN</t>
  </si>
  <si>
    <t>K-12</t>
  </si>
  <si>
    <t>School Bus</t>
  </si>
  <si>
    <t>No</t>
  </si>
  <si>
    <t>Before School</t>
  </si>
  <si>
    <t>Back window of school bus shot with BB gun - no injuries</t>
  </si>
  <si>
    <t>Intentional Property Damage</t>
  </si>
  <si>
    <t>NA</t>
  </si>
  <si>
    <t>No</t>
  </si>
  <si>
    <t>N/A</t>
  </si>
  <si>
    <t>20101206COAUA</t>
  </si>
  <si>
    <t>Aurora Central High School</t>
  </si>
  <si>
    <t>Local</t>
  </si>
  <si>
    <t>Winter</t>
  </si>
  <si>
    <t>Aurora</t>
  </si>
  <si>
    <t>CO</t>
  </si>
  <si>
    <t>High</t>
  </si>
  <si>
    <t>Front of School</t>
  </si>
  <si>
    <t>Outside on School Property</t>
  </si>
  <si>
    <t>No</t>
  </si>
  <si>
    <t>Dismissal</t>
  </si>
  <si>
    <t>Bystander student shot during drive-by, gang related</t>
  </si>
  <si>
    <t>Drive-by Shooting</t>
  </si>
  <si>
    <t>Both</t>
  </si>
  <si>
    <t>Yes</t>
  </si>
  <si>
    <t>No</t>
  </si>
  <si>
    <t>20101129WIMAM</t>
  </si>
  <si>
    <t>Marinette High School</t>
  </si>
  <si>
    <t>International</t>
  </si>
  <si>
    <t>Fall</t>
  </si>
  <si>
    <t>Marinette</t>
  </si>
  <si>
    <t>WI</t>
  </si>
  <si>
    <t>High</t>
  </si>
  <si>
    <t>Classroom</t>
  </si>
  <si>
    <t>Inside School Building</t>
  </si>
  <si>
    <t>No</t>
  </si>
  <si>
    <t>Evening</t>
  </si>
  <si>
    <t>Took class hostage before commiting suicide when police entered</t>
  </si>
  <si>
    <t>Hostage/Standoff</t>
  </si>
  <si>
    <t>Victims Targeted</t>
  </si>
  <si>
    <t>No</t>
  </si>
  <si>
    <t>Yes</t>
  </si>
  <si>
    <t>No</t>
  </si>
  <si>
    <t>Yes</t>
  </si>
  <si>
    <t>20101023KSTOT</t>
  </si>
  <si>
    <t>Topeka West High School</t>
  </si>
  <si>
    <t>Local</t>
  </si>
  <si>
    <t>Fall</t>
  </si>
  <si>
    <t>Topeka</t>
  </si>
  <si>
    <t>KS</t>
  </si>
  <si>
    <t>High</t>
  </si>
  <si>
    <t>Field (General)</t>
  </si>
  <si>
    <t>Outside on School Property</t>
  </si>
  <si>
    <t>No</t>
  </si>
  <si>
    <t>Evening</t>
  </si>
  <si>
    <t>Drug deal gone bad</t>
  </si>
  <si>
    <t>Illegal Activity</t>
  </si>
  <si>
    <t>Victims Targeted</t>
  </si>
  <si>
    <t>Yes</t>
  </si>
  <si>
    <t>No</t>
  </si>
  <si>
    <t>20101008CAKEC</t>
  </si>
  <si>
    <t>Kelly Elementary School</t>
  </si>
  <si>
    <t>Fall</t>
  </si>
  <si>
    <t>Carlsbad</t>
  </si>
  <si>
    <t>CA</t>
  </si>
  <si>
    <t>Elementary</t>
  </si>
  <si>
    <t>Playground</t>
  </si>
  <si>
    <t>Outside on School Property</t>
  </si>
  <si>
    <t>Yes</t>
  </si>
  <si>
    <t>Lunch</t>
  </si>
  <si>
    <t>Fired shot at school playground, struck by driver who saw shooting occuring</t>
  </si>
  <si>
    <t>Indiscriminate Shooting</t>
  </si>
  <si>
    <t>Random Shooting</t>
  </si>
  <si>
    <t>No</t>
  </si>
  <si>
    <t>Yes</t>
  </si>
  <si>
    <t>20101001CAALS</t>
  </si>
  <si>
    <t>Alisal High School</t>
  </si>
  <si>
    <t>Fall</t>
  </si>
  <si>
    <t>Salinas</t>
  </si>
  <si>
    <t>CA</t>
  </si>
  <si>
    <t>High</t>
  </si>
  <si>
    <t>Beside Building</t>
  </si>
  <si>
    <t>Outside on School Property</t>
  </si>
  <si>
    <t>Yes</t>
  </si>
  <si>
    <t>School Start</t>
  </si>
  <si>
    <t>Gang-related shooting outside of school.</t>
  </si>
  <si>
    <t>Escalation of Dispute</t>
  </si>
  <si>
    <t>Victims Targeted</t>
  </si>
  <si>
    <t>No</t>
  </si>
  <si>
    <t>20100921SCSOC</t>
  </si>
  <si>
    <t>Socastee High School</t>
  </si>
  <si>
    <t>Fall</t>
  </si>
  <si>
    <t>Conway</t>
  </si>
  <si>
    <t>SC</t>
  </si>
  <si>
    <t>High</t>
  </si>
  <si>
    <t>Office</t>
  </si>
  <si>
    <t>Inside School Building</t>
  </si>
  <si>
    <t>Yes</t>
  </si>
  <si>
    <t>Afternoon Classes</t>
  </si>
  <si>
    <t>Fired shot at SRO when officer searched his bag</t>
  </si>
  <si>
    <t>Bullying</t>
  </si>
  <si>
    <t>Victims Targeted</t>
  </si>
  <si>
    <t>No</t>
  </si>
  <si>
    <t>Yes</t>
  </si>
  <si>
    <t>No</t>
  </si>
  <si>
    <t>Yes</t>
  </si>
  <si>
    <t>20100908MIMUD</t>
  </si>
  <si>
    <t>Mumford High School</t>
  </si>
  <si>
    <t>Fall</t>
  </si>
  <si>
    <t>Detroit</t>
  </si>
  <si>
    <t>MI</t>
  </si>
  <si>
    <t>High</t>
  </si>
  <si>
    <t>Beside Building</t>
  </si>
  <si>
    <t>Outside on School Property</t>
  </si>
  <si>
    <t>Yes</t>
  </si>
  <si>
    <t>Fight outside of school</t>
  </si>
  <si>
    <t>Escalation of Dispute</t>
  </si>
  <si>
    <t>Random Shooting</t>
  </si>
  <si>
    <t>No</t>
  </si>
  <si>
    <t>20100830TNSUB</t>
  </si>
  <si>
    <t>Sullivan Central High School</t>
  </si>
  <si>
    <t>Summer</t>
  </si>
  <si>
    <t>Blountville</t>
  </si>
  <si>
    <t>TN</t>
  </si>
  <si>
    <t>High</t>
  </si>
  <si>
    <t>Hallway</t>
  </si>
  <si>
    <t>Inside School Building</t>
  </si>
  <si>
    <t>Yes</t>
  </si>
  <si>
    <t>Morning Classes</t>
  </si>
  <si>
    <t>Officer shot adult male who had gun at school after standoff</t>
  </si>
  <si>
    <t>Hostage/Standoff</t>
  </si>
  <si>
    <t>Victims Targeted</t>
  </si>
  <si>
    <t>No</t>
  </si>
  <si>
    <t>Yes</t>
  </si>
  <si>
    <t>No</t>
  </si>
  <si>
    <t>Yes</t>
  </si>
  <si>
    <t>20100518CASOS</t>
  </si>
  <si>
    <t>South Gate High School</t>
  </si>
  <si>
    <t>Spring</t>
  </si>
  <si>
    <t>South Gate</t>
  </si>
  <si>
    <t>CA</t>
  </si>
  <si>
    <t>High</t>
  </si>
  <si>
    <t>Beside Building</t>
  </si>
  <si>
    <t>Outside on School Property</t>
  </si>
  <si>
    <t>Yes</t>
  </si>
  <si>
    <t>Before School</t>
  </si>
  <si>
    <t>Targeted shooting outside of school</t>
  </si>
  <si>
    <t>Escalation of Dispute</t>
  </si>
  <si>
    <t>Both</t>
  </si>
  <si>
    <t>No</t>
  </si>
  <si>
    <t>20100428VAWOP</t>
  </si>
  <si>
    <t>Woodrow Wilson High School</t>
  </si>
  <si>
    <t>Spring</t>
  </si>
  <si>
    <t>Portsmouth</t>
  </si>
  <si>
    <t>VA</t>
  </si>
  <si>
    <t>High</t>
  </si>
  <si>
    <t>Cafeteria</t>
  </si>
  <si>
    <t>Inside School Building</t>
  </si>
  <si>
    <t>Yes</t>
  </si>
  <si>
    <t>Lunch</t>
  </si>
  <si>
    <t>Fired shots into ceiling of cafeteria</t>
  </si>
  <si>
    <t>Bullying</t>
  </si>
  <si>
    <t>Neither</t>
  </si>
  <si>
    <t>No</t>
  </si>
  <si>
    <t>Yes</t>
  </si>
  <si>
    <t>No</t>
  </si>
  <si>
    <t>Yes</t>
  </si>
  <si>
    <t>20100226WABIT</t>
  </si>
  <si>
    <t>Birney Elementary School</t>
  </si>
  <si>
    <t>Winter</t>
  </si>
  <si>
    <t>Tacoma</t>
  </si>
  <si>
    <t>WA</t>
  </si>
  <si>
    <t>Elementary</t>
  </si>
  <si>
    <t>Beside Building</t>
  </si>
  <si>
    <t>Outside on School Property</t>
  </si>
  <si>
    <t>Yes</t>
  </si>
  <si>
    <t>Before School</t>
  </si>
  <si>
    <t>Stalker killed teacher</t>
  </si>
  <si>
    <t>Domestic w/ Targeted Victim</t>
  </si>
  <si>
    <t>Victims Targeted</t>
  </si>
  <si>
    <t>No</t>
  </si>
  <si>
    <t>20100223CODEL</t>
  </si>
  <si>
    <t>Deer Creek Middle School</t>
  </si>
  <si>
    <t>Regional</t>
  </si>
  <si>
    <t>Winter</t>
  </si>
  <si>
    <t>Littleton</t>
  </si>
  <si>
    <t>CO</t>
  </si>
  <si>
    <t>Middle</t>
  </si>
  <si>
    <t>Front of School</t>
  </si>
  <si>
    <t>Outside on School Property</t>
  </si>
  <si>
    <t>Yes</t>
  </si>
  <si>
    <t>Dismissal</t>
  </si>
  <si>
    <t>Shot two students outside of school, tackled by teacher, severe mental illness</t>
  </si>
  <si>
    <t>Psychosis</t>
  </si>
  <si>
    <t>Random Shooting</t>
  </si>
  <si>
    <t>No</t>
  </si>
  <si>
    <t>Yes</t>
  </si>
  <si>
    <t>20100210TNINK</t>
  </si>
  <si>
    <t>Inskip Elementary School</t>
  </si>
  <si>
    <t>Local</t>
  </si>
  <si>
    <t>Winter</t>
  </si>
  <si>
    <t>Knoxville</t>
  </si>
  <si>
    <t>TN</t>
  </si>
  <si>
    <t>High</t>
  </si>
  <si>
    <t>Office</t>
  </si>
  <si>
    <t>Inside School Building</t>
  </si>
  <si>
    <t>No</t>
  </si>
  <si>
    <t>After School</t>
  </si>
  <si>
    <t>Teacher told he wasn't being rehired next year, shot principal and asst principal</t>
  </si>
  <si>
    <t>Anger Over Grade/Suspension/Discipline</t>
  </si>
  <si>
    <t>Victims Targeted</t>
  </si>
  <si>
    <t>No</t>
  </si>
  <si>
    <t>20100205ALDIM</t>
  </si>
  <si>
    <t>Discovery Middle School</t>
  </si>
  <si>
    <t>Winter</t>
  </si>
  <si>
    <t>Madison</t>
  </si>
  <si>
    <t>AL</t>
  </si>
  <si>
    <t>Middle</t>
  </si>
  <si>
    <t>Hallway</t>
  </si>
  <si>
    <t>Inside School Building</t>
  </si>
  <si>
    <t>Yes</t>
  </si>
  <si>
    <t>Afternoon Classes</t>
  </si>
  <si>
    <t>Student in head by another student in hallway, details remain unclear</t>
  </si>
  <si>
    <t>Psychosis</t>
  </si>
  <si>
    <t>Victims Targeted</t>
  </si>
  <si>
    <t>No</t>
  </si>
  <si>
    <t>Yes</t>
  </si>
  <si>
    <t>20100120ALLIL</t>
  </si>
  <si>
    <t>Livingston High School</t>
  </si>
  <si>
    <t>Winter</t>
  </si>
  <si>
    <t>Livingston</t>
  </si>
  <si>
    <t>AL</t>
  </si>
  <si>
    <t>High</t>
  </si>
  <si>
    <t>Beside Building</t>
  </si>
  <si>
    <t>Outside on School Property</t>
  </si>
  <si>
    <t>Yes</t>
  </si>
  <si>
    <t>Afternoon Classes</t>
  </si>
  <si>
    <t>Husband killed wife outside of school</t>
  </si>
  <si>
    <t>Domestic w/ Targeted Victim</t>
  </si>
  <si>
    <t>Victims Targeted</t>
  </si>
  <si>
    <t>No</t>
  </si>
  <si>
    <t>Yes</t>
  </si>
  <si>
    <t>No</t>
  </si>
  <si>
    <t>20091211LABOS</t>
  </si>
  <si>
    <t>Booker T. Washington High School</t>
  </si>
  <si>
    <t>Winter</t>
  </si>
  <si>
    <t>Shreveport</t>
  </si>
  <si>
    <t>LA</t>
  </si>
  <si>
    <t>High</t>
  </si>
  <si>
    <t>Parking Lot</t>
  </si>
  <si>
    <t>Outside on School Property</t>
  </si>
  <si>
    <t>Yes</t>
  </si>
  <si>
    <t>School Start</t>
  </si>
  <si>
    <t>Waited for ex-girlfriend and shot her outside of school</t>
  </si>
  <si>
    <t>Domestic w/ Targeted Victim</t>
  </si>
  <si>
    <t>Victims Targeted</t>
  </si>
  <si>
    <t>No</t>
  </si>
  <si>
    <t>Yes</t>
  </si>
  <si>
    <t>20091106PAHAW</t>
  </si>
  <si>
    <t>Hamilton High School (bus)</t>
  </si>
  <si>
    <t>Fall</t>
  </si>
  <si>
    <t>Philadelphia</t>
  </si>
  <si>
    <t>PA</t>
  </si>
  <si>
    <t>High</t>
  </si>
  <si>
    <t>School Bus</t>
  </si>
  <si>
    <t>Yes</t>
  </si>
  <si>
    <t>Before School</t>
  </si>
  <si>
    <t>Targeted shooting on school bus</t>
  </si>
  <si>
    <t>Bullying</t>
  </si>
  <si>
    <t>Victims Targeted</t>
  </si>
  <si>
    <t>No</t>
  </si>
  <si>
    <t>Yes</t>
  </si>
  <si>
    <t>No</t>
  </si>
  <si>
    <t>20091030CAWIL</t>
  </si>
  <si>
    <t>Wilson High School</t>
  </si>
  <si>
    <t>Fall</t>
  </si>
  <si>
    <t>Long Beach</t>
  </si>
  <si>
    <t>CA</t>
  </si>
  <si>
    <t>High</t>
  </si>
  <si>
    <t>Football Field/Track</t>
  </si>
  <si>
    <t>Outside on School Property</t>
  </si>
  <si>
    <t>No</t>
  </si>
  <si>
    <t>Sport Event</t>
  </si>
  <si>
    <t>Gang related shooting - bystander killed</t>
  </si>
  <si>
    <t>Escalation of Dispute</t>
  </si>
  <si>
    <t>Both</t>
  </si>
  <si>
    <t>No</t>
  </si>
  <si>
    <t>20091016SCCAC</t>
  </si>
  <si>
    <t>Carolina Forest High School</t>
  </si>
  <si>
    <t>Fall</t>
  </si>
  <si>
    <t>Conway</t>
  </si>
  <si>
    <t>SC</t>
  </si>
  <si>
    <t>High</t>
  </si>
  <si>
    <t>Inside School Building</t>
  </si>
  <si>
    <t>Yes</t>
  </si>
  <si>
    <t>Morning Classes</t>
  </si>
  <si>
    <t>SRO shot autistic student in self defense, student had knife</t>
  </si>
  <si>
    <t>Self-defense</t>
  </si>
  <si>
    <t>Victims Targeted</t>
  </si>
  <si>
    <t>No</t>
  </si>
  <si>
    <t>N/A</t>
  </si>
  <si>
    <t>20091008NYMAM</t>
  </si>
  <si>
    <t>Mattituck Junior-Senior High School</t>
  </si>
  <si>
    <t>Fall</t>
  </si>
  <si>
    <t>Mattituck</t>
  </si>
  <si>
    <t>NY</t>
  </si>
  <si>
    <t>6-12</t>
  </si>
  <si>
    <t>Classroom</t>
  </si>
  <si>
    <t>Inside School Building</t>
  </si>
  <si>
    <t>Yes</t>
  </si>
  <si>
    <t>Afternoon Classes</t>
  </si>
  <si>
    <t>Cleaning weapon off school property, round hit student</t>
  </si>
  <si>
    <t>Accidental</t>
  </si>
  <si>
    <t>Random Shooting</t>
  </si>
  <si>
    <t>No</t>
  </si>
  <si>
    <t>20090916VAVIG</t>
  </si>
  <si>
    <t>Virginia Randolph Community High School</t>
  </si>
  <si>
    <t>Fall</t>
  </si>
  <si>
    <t>Glen Allen</t>
  </si>
  <si>
    <t>VA</t>
  </si>
  <si>
    <t>High</t>
  </si>
  <si>
    <t>Playground</t>
  </si>
  <si>
    <t>Outside on School Property</t>
  </si>
  <si>
    <t>Yes</t>
  </si>
  <si>
    <t>Afternoon Classes</t>
  </si>
  <si>
    <t>Shot at specific targets following bullying, shots missed</t>
  </si>
  <si>
    <t>Bullying</t>
  </si>
  <si>
    <t>Victims Targeted</t>
  </si>
  <si>
    <t>No</t>
  </si>
  <si>
    <t>20090908CTSTS</t>
  </si>
  <si>
    <t>Stamford Academy</t>
  </si>
  <si>
    <t>Fall</t>
  </si>
  <si>
    <t>Stamford</t>
  </si>
  <si>
    <t>CT</t>
  </si>
  <si>
    <t>High</t>
  </si>
  <si>
    <t>Parking Lot</t>
  </si>
  <si>
    <t>Outside on School Property</t>
  </si>
  <si>
    <t>Yes</t>
  </si>
  <si>
    <t>School Start</t>
  </si>
  <si>
    <t>Shots fired at a large crowd during a fight</t>
  </si>
  <si>
    <t>Escalation of Dispute</t>
  </si>
  <si>
    <t>Victims Targeted</t>
  </si>
  <si>
    <t>No</t>
  </si>
  <si>
    <t>20090827NCWEF</t>
  </si>
  <si>
    <t>Westover High School</t>
  </si>
  <si>
    <t>Summer</t>
  </si>
  <si>
    <t>Fayetteville</t>
  </si>
  <si>
    <t>NC</t>
  </si>
  <si>
    <t>High</t>
  </si>
  <si>
    <t>Beside Building</t>
  </si>
  <si>
    <t>Outside on School Property</t>
  </si>
  <si>
    <t>No</t>
  </si>
  <si>
    <t>After School</t>
  </si>
  <si>
    <t>Fight between student and 22YOM, student fired pistol, missed, and fled</t>
  </si>
  <si>
    <t>Escalation of Dispute</t>
  </si>
  <si>
    <t>Victims Targeted</t>
  </si>
  <si>
    <t>No</t>
  </si>
  <si>
    <t>20090624IAAPP</t>
  </si>
  <si>
    <t>Aplington-Parkersburg High School</t>
  </si>
  <si>
    <t>Summer</t>
  </si>
  <si>
    <t>Parkersburg</t>
  </si>
  <si>
    <t>IA</t>
  </si>
  <si>
    <t>High</t>
  </si>
  <si>
    <t>Gym</t>
  </si>
  <si>
    <t>Inside School Building</t>
  </si>
  <si>
    <t>Yes</t>
  </si>
  <si>
    <t>Morning Classes</t>
  </si>
  <si>
    <t>Delusional former student thought coach was the devil</t>
  </si>
  <si>
    <t>Psychosis</t>
  </si>
  <si>
    <t>Victims Targeted</t>
  </si>
  <si>
    <t>No</t>
  </si>
  <si>
    <t>20090615CAINS</t>
  </si>
  <si>
    <t>International Studies Academy</t>
  </si>
  <si>
    <t>Summer</t>
  </si>
  <si>
    <t>San Francisco</t>
  </si>
  <si>
    <t>CA</t>
  </si>
  <si>
    <t>Other</t>
  </si>
  <si>
    <t>Beside Building</t>
  </si>
  <si>
    <t>Outside on School Property</t>
  </si>
  <si>
    <t>Yes</t>
  </si>
  <si>
    <t>Morning Classes</t>
  </si>
  <si>
    <t>Gang-related shooting outside of school.</t>
  </si>
  <si>
    <t>Escalation of Dispute</t>
  </si>
  <si>
    <t>No</t>
  </si>
  <si>
    <t>20090518LALAL</t>
  </si>
  <si>
    <t>Larose-Cut Off Middle School</t>
  </si>
  <si>
    <t>National</t>
  </si>
  <si>
    <t>Spring</t>
  </si>
  <si>
    <t>Larose</t>
  </si>
  <si>
    <t>LA</t>
  </si>
  <si>
    <t>Middle</t>
  </si>
  <si>
    <t>Classroom</t>
  </si>
  <si>
    <t>Inside School Building</t>
  </si>
  <si>
    <t>Yes</t>
  </si>
  <si>
    <t>Morning Classes</t>
  </si>
  <si>
    <t>Planned attack, gun misfired, shooter fled and commit suicide</t>
  </si>
  <si>
    <t>Indiscriminate Shooting</t>
  </si>
  <si>
    <t>No</t>
  </si>
  <si>
    <t>Yes</t>
  </si>
  <si>
    <t>20090505NYCAC</t>
  </si>
  <si>
    <t>Canandaigua Academy</t>
  </si>
  <si>
    <t>Spring</t>
  </si>
  <si>
    <t>Canandaigua</t>
  </si>
  <si>
    <t>NY</t>
  </si>
  <si>
    <t>High</t>
  </si>
  <si>
    <t>Bathroom</t>
  </si>
  <si>
    <t>Inside School Building</t>
  </si>
  <si>
    <t>Yes</t>
  </si>
  <si>
    <t>Morning Classes</t>
  </si>
  <si>
    <t>Suicide in bathroom, had plan to attack school</t>
  </si>
  <si>
    <t>Indiscriminate Shooting</t>
  </si>
  <si>
    <t>Victims Targeted</t>
  </si>
  <si>
    <t>No</t>
  </si>
  <si>
    <t>Yes</t>
  </si>
  <si>
    <t>20090501WISHS</t>
  </si>
  <si>
    <t>Sheboygan High School</t>
  </si>
  <si>
    <t>Spring</t>
  </si>
  <si>
    <t>Sheboygan</t>
  </si>
  <si>
    <t>WI</t>
  </si>
  <si>
    <t>High</t>
  </si>
  <si>
    <t>Parking Lot</t>
  </si>
  <si>
    <t>Outside on School Property</t>
  </si>
  <si>
    <t>Yes</t>
  </si>
  <si>
    <t>After School</t>
  </si>
  <si>
    <t>Suicide in school parking lot</t>
  </si>
  <si>
    <t>Suicide/Attempted</t>
  </si>
  <si>
    <t>Victims Targeted</t>
  </si>
  <si>
    <t>No</t>
  </si>
  <si>
    <t>20090413CALOL</t>
  </si>
  <si>
    <t>Locke High School</t>
  </si>
  <si>
    <t>Spring</t>
  </si>
  <si>
    <t>Los Angeles</t>
  </si>
  <si>
    <t>CA</t>
  </si>
  <si>
    <t>High</t>
  </si>
  <si>
    <t>Front of School</t>
  </si>
  <si>
    <t>Outside on School Property</t>
  </si>
  <si>
    <t>Yes</t>
  </si>
  <si>
    <t>Before School</t>
  </si>
  <si>
    <t>Gang related shooting in front of school</t>
  </si>
  <si>
    <t>Escalation of Dispute</t>
  </si>
  <si>
    <t>Victims Targeted</t>
  </si>
  <si>
    <t>No</t>
  </si>
  <si>
    <t>20090311TXCYH</t>
  </si>
  <si>
    <t>Cypress Ridge High School</t>
  </si>
  <si>
    <t>Spring</t>
  </si>
  <si>
    <t>Houston</t>
  </si>
  <si>
    <t>TX</t>
  </si>
  <si>
    <t>High</t>
  </si>
  <si>
    <t>Bathroom</t>
  </si>
  <si>
    <t>Inside School Building</t>
  </si>
  <si>
    <t>Yes</t>
  </si>
  <si>
    <t>Before School</t>
  </si>
  <si>
    <t>Accidental shooting in school bathroom</t>
  </si>
  <si>
    <t>Accidental</t>
  </si>
  <si>
    <t>NA</t>
  </si>
  <si>
    <t>Yes</t>
  </si>
  <si>
    <t>No</t>
  </si>
  <si>
    <t>N/A</t>
  </si>
  <si>
    <t>20090310FLRIJ</t>
  </si>
  <si>
    <t>Ribault High School</t>
  </si>
  <si>
    <t>Spring</t>
  </si>
  <si>
    <t>Jacksonville</t>
  </si>
  <si>
    <t>FL</t>
  </si>
  <si>
    <t>High</t>
  </si>
  <si>
    <t>Hallway</t>
  </si>
  <si>
    <t>Inside School Building</t>
  </si>
  <si>
    <t>Yes</t>
  </si>
  <si>
    <t>School Start</t>
  </si>
  <si>
    <t>Fight between two groups of students ongoing for weeks</t>
  </si>
  <si>
    <t>Escalation of Dispute</t>
  </si>
  <si>
    <t>No</t>
  </si>
  <si>
    <t>20090306NCWEF</t>
  </si>
  <si>
    <t>Westover High School</t>
  </si>
  <si>
    <t>Spring</t>
  </si>
  <si>
    <t>Fayetteville</t>
  </si>
  <si>
    <t>NC</t>
  </si>
  <si>
    <t>High</t>
  </si>
  <si>
    <t>Parking Lot</t>
  </si>
  <si>
    <t>Outside on School Property</t>
  </si>
  <si>
    <t>No</t>
  </si>
  <si>
    <t>School Event</t>
  </si>
  <si>
    <t>Fight erupted into shots fired outside school - victim shot in foot</t>
  </si>
  <si>
    <t>Escalation of Dispute</t>
  </si>
  <si>
    <t>Random Shooting</t>
  </si>
  <si>
    <t>No</t>
  </si>
  <si>
    <t>20090302SDROS</t>
  </si>
  <si>
    <t>Robert Frost Elementary School</t>
  </si>
  <si>
    <t>Spring</t>
  </si>
  <si>
    <t>Sioux Falls</t>
  </si>
  <si>
    <t>SD</t>
  </si>
  <si>
    <t>Elementary</t>
  </si>
  <si>
    <t>Beside Building</t>
  </si>
  <si>
    <t>Outside on School Property</t>
  </si>
  <si>
    <t>Yes</t>
  </si>
  <si>
    <t>Dismissal</t>
  </si>
  <si>
    <t>Shots fired during fight.</t>
  </si>
  <si>
    <t>Escalation of Dispute</t>
  </si>
  <si>
    <t>Victims Targeted</t>
  </si>
  <si>
    <t>No</t>
  </si>
  <si>
    <t>20090223CTBRN</t>
  </si>
  <si>
    <t>Brien McMahon High School</t>
  </si>
  <si>
    <t>Winter</t>
  </si>
  <si>
    <t>Norwalk</t>
  </si>
  <si>
    <t>CT</t>
  </si>
  <si>
    <t>High</t>
  </si>
  <si>
    <t>Parking Lot</t>
  </si>
  <si>
    <t>Outside on School Property</t>
  </si>
  <si>
    <t>No</t>
  </si>
  <si>
    <t>Sport Event</t>
  </si>
  <si>
    <t>Gang-related shooting after basketball game</t>
  </si>
  <si>
    <t>Accidental</t>
  </si>
  <si>
    <t>No</t>
  </si>
  <si>
    <t>20090220CAJOH</t>
  </si>
  <si>
    <t>John Muir Elementary School</t>
  </si>
  <si>
    <t>Winter</t>
  </si>
  <si>
    <t>Hayward</t>
  </si>
  <si>
    <t>CA</t>
  </si>
  <si>
    <t>Elementary</t>
  </si>
  <si>
    <t>Beside Building</t>
  </si>
  <si>
    <t>Outside on School Property</t>
  </si>
  <si>
    <t>Yes</t>
  </si>
  <si>
    <t>Lunch</t>
  </si>
  <si>
    <t>Shooter fired at adult male walking with child then fled</t>
  </si>
  <si>
    <t>Drive-by Shooting</t>
  </si>
  <si>
    <t>Victims Targeted</t>
  </si>
  <si>
    <t>No</t>
  </si>
  <si>
    <t>20090217MICED</t>
  </si>
  <si>
    <t>Central High School</t>
  </si>
  <si>
    <t>Winter</t>
  </si>
  <si>
    <t>Detroit</t>
  </si>
  <si>
    <t>MI</t>
  </si>
  <si>
    <t>High</t>
  </si>
  <si>
    <t>Hallway</t>
  </si>
  <si>
    <t>Inside School Building</t>
  </si>
  <si>
    <t>Yes</t>
  </si>
  <si>
    <t>Afternoon Classes</t>
  </si>
  <si>
    <t>Shots fired during argument in school hallway</t>
  </si>
  <si>
    <t>Escalation of Dispute</t>
  </si>
  <si>
    <t>Both</t>
  </si>
  <si>
    <t>No</t>
  </si>
  <si>
    <t>20090211NCSCZ</t>
  </si>
  <si>
    <t>School bus</t>
  </si>
  <si>
    <t>Winter</t>
  </si>
  <si>
    <t>Zebulon</t>
  </si>
  <si>
    <t>NC</t>
  </si>
  <si>
    <t>Other</t>
  </si>
  <si>
    <t>School Bus</t>
  </si>
  <si>
    <t>Yes</t>
  </si>
  <si>
    <t>Before School</t>
  </si>
  <si>
    <t>Showing gun to friend on school bus</t>
  </si>
  <si>
    <t>Accidental</t>
  </si>
  <si>
    <t>Random Shooting</t>
  </si>
  <si>
    <t>No</t>
  </si>
  <si>
    <t>20090210CABAE</t>
  </si>
  <si>
    <t>Baker Elementary School</t>
  </si>
  <si>
    <t>Winter</t>
  </si>
  <si>
    <t>El Monte</t>
  </si>
  <si>
    <t>CA</t>
  </si>
  <si>
    <t>Elementary</t>
  </si>
  <si>
    <t>Beside Building</t>
  </si>
  <si>
    <t>Outside on School Property</t>
  </si>
  <si>
    <t>Yes</t>
  </si>
  <si>
    <t>Dismissal</t>
  </si>
  <si>
    <t>Student fired gun into ground outside of school</t>
  </si>
  <si>
    <t>Accidental</t>
  </si>
  <si>
    <t>NA</t>
  </si>
  <si>
    <t>No</t>
  </si>
  <si>
    <t>20090127NCCLC</t>
  </si>
  <si>
    <t>Clayton High School</t>
  </si>
  <si>
    <t>Winter</t>
  </si>
  <si>
    <t>Clayton</t>
  </si>
  <si>
    <t>NC</t>
  </si>
  <si>
    <t>High</t>
  </si>
  <si>
    <t>Beside Building</t>
  </si>
  <si>
    <t>Outside on School Property</t>
  </si>
  <si>
    <t>No</t>
  </si>
  <si>
    <t>Sport Event</t>
  </si>
  <si>
    <t>Shooting at rival gang members during basketball game</t>
  </si>
  <si>
    <t>Escalation of Dispute</t>
  </si>
  <si>
    <t>NA</t>
  </si>
  <si>
    <t>Yes</t>
  </si>
  <si>
    <t>No</t>
  </si>
  <si>
    <t>20090123ILCAC</t>
  </si>
  <si>
    <t>Cahokia High School</t>
  </si>
  <si>
    <t>Winter</t>
  </si>
  <si>
    <t>Cahokia</t>
  </si>
  <si>
    <t>IL</t>
  </si>
  <si>
    <t>High</t>
  </si>
  <si>
    <t>Parking Lot</t>
  </si>
  <si>
    <t>Outside on School Property</t>
  </si>
  <si>
    <t>No</t>
  </si>
  <si>
    <t>Sport Event</t>
  </si>
  <si>
    <t>Gang related shooting outside of school</t>
  </si>
  <si>
    <t>Escalation of Dispute</t>
  </si>
  <si>
    <t>Victims Targeted</t>
  </si>
  <si>
    <t>No</t>
  </si>
  <si>
    <t>20090120PAEAE</t>
  </si>
  <si>
    <t>East High School</t>
  </si>
  <si>
    <t>Winter</t>
  </si>
  <si>
    <t>Erie</t>
  </si>
  <si>
    <t>PA</t>
  </si>
  <si>
    <t>High</t>
  </si>
  <si>
    <t>Gym</t>
  </si>
  <si>
    <t>Inside School Building</t>
  </si>
  <si>
    <t>No</t>
  </si>
  <si>
    <t>Sport Event</t>
  </si>
  <si>
    <t>Shot fired in gym during basketball game, bystander struck</t>
  </si>
  <si>
    <t>Escalation of Dispute</t>
  </si>
  <si>
    <t>Both</t>
  </si>
  <si>
    <t>Yes</t>
  </si>
  <si>
    <t>No</t>
  </si>
  <si>
    <t>20090120MIBEM</t>
  </si>
  <si>
    <t>Beecher High School</t>
  </si>
  <si>
    <t>Winter</t>
  </si>
  <si>
    <t>Mount Morris</t>
  </si>
  <si>
    <t>MI</t>
  </si>
  <si>
    <t>High</t>
  </si>
  <si>
    <t>Basketball Court</t>
  </si>
  <si>
    <t>Outside on School Property</t>
  </si>
  <si>
    <t>No</t>
  </si>
  <si>
    <t>Sport Event</t>
  </si>
  <si>
    <t>Fight during basketball game</t>
  </si>
  <si>
    <t>Escalation of Dispute</t>
  </si>
  <si>
    <t>Yes</t>
  </si>
  <si>
    <t>No</t>
  </si>
  <si>
    <t>20090120ILCOC</t>
  </si>
  <si>
    <t>Collins HIgh School</t>
  </si>
  <si>
    <t>Winter</t>
  </si>
  <si>
    <t>Chicago</t>
  </si>
  <si>
    <t>IL</t>
  </si>
  <si>
    <t>High</t>
  </si>
  <si>
    <t>Basketball Court</t>
  </si>
  <si>
    <t>Outside on School Property</t>
  </si>
  <si>
    <t>No</t>
  </si>
  <si>
    <t>Sport Event</t>
  </si>
  <si>
    <t>Fight during basketball game</t>
  </si>
  <si>
    <t>Escalation of Dispute</t>
  </si>
  <si>
    <t>No</t>
  </si>
  <si>
    <t>20090114ILPEC</t>
  </si>
  <si>
    <t>Perspectives Charter School</t>
  </si>
  <si>
    <t>Winter</t>
  </si>
  <si>
    <t>Chicago</t>
  </si>
  <si>
    <t>IL</t>
  </si>
  <si>
    <t>Middle</t>
  </si>
  <si>
    <t>School Bus</t>
  </si>
  <si>
    <t>Yes</t>
  </si>
  <si>
    <t>Morning Classes</t>
  </si>
  <si>
    <t>Shooter in ski mask fired shot that hit school bus, unclear if it was his target</t>
  </si>
  <si>
    <t>Unknown</t>
  </si>
  <si>
    <t>Random Shooting</t>
  </si>
  <si>
    <t>No</t>
  </si>
  <si>
    <t>20090109ILDUC</t>
  </si>
  <si>
    <t>Dunbar High School</t>
  </si>
  <si>
    <t>Winter</t>
  </si>
  <si>
    <t>Chicago</t>
  </si>
  <si>
    <t>IL</t>
  </si>
  <si>
    <t>High</t>
  </si>
  <si>
    <t>Basketball Court</t>
  </si>
  <si>
    <t>Outside on School Property</t>
  </si>
  <si>
    <t>No</t>
  </si>
  <si>
    <t>Sport Event</t>
  </si>
  <si>
    <t>Gang-related drive-by shooting after basketball game</t>
  </si>
  <si>
    <t>Drive-by Shooting</t>
  </si>
  <si>
    <t>Both</t>
  </si>
  <si>
    <t>No</t>
  </si>
  <si>
    <t>20090108DEWIN</t>
  </si>
  <si>
    <t>William Penn High School</t>
  </si>
  <si>
    <t>Winter</t>
  </si>
  <si>
    <t>New Castle</t>
  </si>
  <si>
    <t>DE</t>
  </si>
  <si>
    <t>High</t>
  </si>
  <si>
    <t>Gym</t>
  </si>
  <si>
    <t>Inside School Building</t>
  </si>
  <si>
    <t>No</t>
  </si>
  <si>
    <t>Sport Event</t>
  </si>
  <si>
    <t>Officer tried to break up fight between students, following fight, gun discharged striking uninvolved student</t>
  </si>
  <si>
    <t>Accidental</t>
  </si>
  <si>
    <t>Random Shooting</t>
  </si>
  <si>
    <t>No</t>
  </si>
  <si>
    <t>20081231GASHS</t>
  </si>
  <si>
    <t>Shuman Middle School</t>
  </si>
  <si>
    <t>Winter</t>
  </si>
  <si>
    <t>Savannah</t>
  </si>
  <si>
    <t>GA</t>
  </si>
  <si>
    <t>Middle</t>
  </si>
  <si>
    <t>Beside Building</t>
  </si>
  <si>
    <t>Outside on School Property</t>
  </si>
  <si>
    <t>No</t>
  </si>
  <si>
    <t>Evening</t>
  </si>
  <si>
    <t>Shotgun fired during fight between 4 women, employee struck</t>
  </si>
  <si>
    <t>Escalation of Dispute</t>
  </si>
  <si>
    <t>Random Shooting</t>
  </si>
  <si>
    <t>No</t>
  </si>
  <si>
    <t>20081231OKKEN</t>
  </si>
  <si>
    <t>Kennedy Elementary School</t>
  </si>
  <si>
    <t>Winter</t>
  </si>
  <si>
    <t>Norman</t>
  </si>
  <si>
    <t>OK</t>
  </si>
  <si>
    <t>Elementary</t>
  </si>
  <si>
    <t>Outside on School Property</t>
  </si>
  <si>
    <t>No</t>
  </si>
  <si>
    <t>Not a School Day</t>
  </si>
  <si>
    <t>Commit suicide outside of school</t>
  </si>
  <si>
    <t>Suicide/Attempted</t>
  </si>
  <si>
    <t>Victims Targeted</t>
  </si>
  <si>
    <t>No</t>
  </si>
  <si>
    <t>20081227PAWIP</t>
  </si>
  <si>
    <t>William H. Harrison Elementary School</t>
  </si>
  <si>
    <t>Winter</t>
  </si>
  <si>
    <t>Philadelphia</t>
  </si>
  <si>
    <t>PA</t>
  </si>
  <si>
    <t>Elementary</t>
  </si>
  <si>
    <t>Beside Building</t>
  </si>
  <si>
    <t>Outside on School Property</t>
  </si>
  <si>
    <t>No</t>
  </si>
  <si>
    <t>Not a School Day</t>
  </si>
  <si>
    <t>Two adults shot at elementary school</t>
  </si>
  <si>
    <t>Unknown</t>
  </si>
  <si>
    <t>No</t>
  </si>
  <si>
    <t>20081222FLLAL</t>
  </si>
  <si>
    <t>Largo Middle School</t>
  </si>
  <si>
    <t>Winter</t>
  </si>
  <si>
    <t>Largo</t>
  </si>
  <si>
    <t>FL</t>
  </si>
  <si>
    <t>Middle</t>
  </si>
  <si>
    <t>Outside on School Property</t>
  </si>
  <si>
    <t>No</t>
  </si>
  <si>
    <t>Not a School Day</t>
  </si>
  <si>
    <t>Teacher commit suicide in school</t>
  </si>
  <si>
    <t>Suicide/Attempted</t>
  </si>
  <si>
    <t>Victims Targeted</t>
  </si>
  <si>
    <t>No</t>
  </si>
  <si>
    <t>20081221SCSUS</t>
  </si>
  <si>
    <t>Summerville High School</t>
  </si>
  <si>
    <t>Winter</t>
  </si>
  <si>
    <t>Summerville</t>
  </si>
  <si>
    <t>SC</t>
  </si>
  <si>
    <t>High</t>
  </si>
  <si>
    <t>Parking Lot</t>
  </si>
  <si>
    <t>Outside on School Property</t>
  </si>
  <si>
    <t>No</t>
  </si>
  <si>
    <t>Evening</t>
  </si>
  <si>
    <t>Fight in the school parking lot, shots fired struck a bystander</t>
  </si>
  <si>
    <t>Escalation of Dispute</t>
  </si>
  <si>
    <t>Both</t>
  </si>
  <si>
    <t>No</t>
  </si>
  <si>
    <t>20081212NCGUA</t>
  </si>
  <si>
    <t>Guy B. Teachey Elementary School</t>
  </si>
  <si>
    <t>Winter</t>
  </si>
  <si>
    <t>Asheboro</t>
  </si>
  <si>
    <t>NC</t>
  </si>
  <si>
    <t>Elementary</t>
  </si>
  <si>
    <t>Playground</t>
  </si>
  <si>
    <t>Outside on School Property</t>
  </si>
  <si>
    <t>No</t>
  </si>
  <si>
    <t>Evening</t>
  </si>
  <si>
    <t>Two males were fighting at school playground, asked female watching to hold gun, accidentally fired striking one</t>
  </si>
  <si>
    <t>Accidental</t>
  </si>
  <si>
    <t>Random Shooting</t>
  </si>
  <si>
    <t>Yes</t>
  </si>
  <si>
    <t>No</t>
  </si>
  <si>
    <t>20081212NYWIM</t>
  </si>
  <si>
    <t>William Floyd High School</t>
  </si>
  <si>
    <t>Winter</t>
  </si>
  <si>
    <t>Mastic Beach</t>
  </si>
  <si>
    <t>NY</t>
  </si>
  <si>
    <t>High</t>
  </si>
  <si>
    <t>Parking Lot</t>
  </si>
  <si>
    <t>Outside on School Property</t>
  </si>
  <si>
    <t>No</t>
  </si>
  <si>
    <t>Sport Event</t>
  </si>
  <si>
    <t>Shooting in parking lot during argument after basketball game</t>
  </si>
  <si>
    <t>Escalation of Dispute</t>
  </si>
  <si>
    <t>Both</t>
  </si>
  <si>
    <t>No</t>
  </si>
  <si>
    <t>20081205MNSHF</t>
  </si>
  <si>
    <t>Shattuck St. Mary's Prep School</t>
  </si>
  <si>
    <t>Winter</t>
  </si>
  <si>
    <t>Faribault</t>
  </si>
  <si>
    <t>MN</t>
  </si>
  <si>
    <t>Other</t>
  </si>
  <si>
    <t>Inside School Building</t>
  </si>
  <si>
    <t>No</t>
  </si>
  <si>
    <t>Evening</t>
  </si>
  <si>
    <t>Teacher shot self in dorm, caught having affair with student</t>
  </si>
  <si>
    <t>Suicide/Attempted</t>
  </si>
  <si>
    <t>Victims Targeted</t>
  </si>
  <si>
    <t>No</t>
  </si>
  <si>
    <t>20081202CAKIK</t>
  </si>
  <si>
    <t>King City High School</t>
  </si>
  <si>
    <t>Winter</t>
  </si>
  <si>
    <t>King City</t>
  </si>
  <si>
    <t>CA</t>
  </si>
  <si>
    <t>High</t>
  </si>
  <si>
    <t>Field (General)</t>
  </si>
  <si>
    <t>Outside on School Property</t>
  </si>
  <si>
    <t>No</t>
  </si>
  <si>
    <t>Sport Event</t>
  </si>
  <si>
    <t>Shooting at rival gang members, hit two children in crowd</t>
  </si>
  <si>
    <t>Escalation of Dispute</t>
  </si>
  <si>
    <t>Both</t>
  </si>
  <si>
    <t>No</t>
  </si>
  <si>
    <t>20081130CAOAG</t>
  </si>
  <si>
    <t>O A Peters Elementary School</t>
  </si>
  <si>
    <t>Fall</t>
  </si>
  <si>
    <t>Garden Grove</t>
  </si>
  <si>
    <t>CA</t>
  </si>
  <si>
    <t>Elementary</t>
  </si>
  <si>
    <t>Basketball Court</t>
  </si>
  <si>
    <t>Outside on School Property</t>
  </si>
  <si>
    <t>No</t>
  </si>
  <si>
    <t>Not a School Day</t>
  </si>
  <si>
    <t>Three gang members shot at by other gang members outside of school</t>
  </si>
  <si>
    <t>Escalation of Dispute</t>
  </si>
  <si>
    <t>Victims Targeted</t>
  </si>
  <si>
    <t>Yes</t>
  </si>
  <si>
    <t>No</t>
  </si>
  <si>
    <t>20081125TXNOH</t>
  </si>
  <si>
    <t>North Forest High School</t>
  </si>
  <si>
    <t>Fall</t>
  </si>
  <si>
    <t>Houston</t>
  </si>
  <si>
    <t>TX</t>
  </si>
  <si>
    <t>High</t>
  </si>
  <si>
    <t>Beside Building</t>
  </si>
  <si>
    <t>Outside on School Property</t>
  </si>
  <si>
    <t>No</t>
  </si>
  <si>
    <t>School Event</t>
  </si>
  <si>
    <t>Shot at crowd after school function</t>
  </si>
  <si>
    <t>Escalation of Dispute</t>
  </si>
  <si>
    <t>No</t>
  </si>
  <si>
    <t>20081118CACEC</t>
  </si>
  <si>
    <t>Central Valley High School</t>
  </si>
  <si>
    <t>Fall</t>
  </si>
  <si>
    <t>Ceres</t>
  </si>
  <si>
    <t>CA</t>
  </si>
  <si>
    <t>High</t>
  </si>
  <si>
    <t>Front of School</t>
  </si>
  <si>
    <t>Outside on School Property</t>
  </si>
  <si>
    <t>Yes</t>
  </si>
  <si>
    <t>Evening</t>
  </si>
  <si>
    <t>Shot during fight outside of school</t>
  </si>
  <si>
    <t>Escalation of Dispute</t>
  </si>
  <si>
    <t>Victims Targeted</t>
  </si>
  <si>
    <t>No</t>
  </si>
  <si>
    <t>20081118CACOO</t>
  </si>
  <si>
    <t>Cole Middle School</t>
  </si>
  <si>
    <t>Fall</t>
  </si>
  <si>
    <t>Oakland</t>
  </si>
  <si>
    <t>CA</t>
  </si>
  <si>
    <t>Middle</t>
  </si>
  <si>
    <t>Classroom</t>
  </si>
  <si>
    <t>Inside School Building</t>
  </si>
  <si>
    <t>Yes</t>
  </si>
  <si>
    <t>Morning Classes</t>
  </si>
  <si>
    <t>Shot fired in classroom struck wall</t>
  </si>
  <si>
    <t>Accidental</t>
  </si>
  <si>
    <t>No</t>
  </si>
  <si>
    <t>20081115COTHL</t>
  </si>
  <si>
    <t>Thompson Valley High School</t>
  </si>
  <si>
    <t>Fall</t>
  </si>
  <si>
    <t>Loveland</t>
  </si>
  <si>
    <t>CO</t>
  </si>
  <si>
    <t>High</t>
  </si>
  <si>
    <t>Parking Lot</t>
  </si>
  <si>
    <t>Outside on School Property</t>
  </si>
  <si>
    <t>No</t>
  </si>
  <si>
    <t>Night</t>
  </si>
  <si>
    <t>Shots fired during late night fight in the parking lot</t>
  </si>
  <si>
    <t>Escalation of Dispute</t>
  </si>
  <si>
    <t>Victims Targeted</t>
  </si>
  <si>
    <t>No</t>
  </si>
  <si>
    <t>20081115UTDES</t>
  </si>
  <si>
    <t>Desert Hills High School</t>
  </si>
  <si>
    <t>Fall</t>
  </si>
  <si>
    <t>St. George</t>
  </si>
  <si>
    <t>UT</t>
  </si>
  <si>
    <t>High</t>
  </si>
  <si>
    <t>Auditorium</t>
  </si>
  <si>
    <t>Inside School Building</t>
  </si>
  <si>
    <t>No</t>
  </si>
  <si>
    <t>School Event</t>
  </si>
  <si>
    <t>Killed handling prop gun for school play that was actually a real .38 revolver</t>
  </si>
  <si>
    <t>Accidental</t>
  </si>
  <si>
    <t>Neither</t>
  </si>
  <si>
    <t>No</t>
  </si>
  <si>
    <t>20081112FLDIF</t>
  </si>
  <si>
    <t>Dillard High School</t>
  </si>
  <si>
    <t>Fall</t>
  </si>
  <si>
    <t>Fort Lauderdale</t>
  </si>
  <si>
    <t>FL</t>
  </si>
  <si>
    <t>High</t>
  </si>
  <si>
    <t>Classroom</t>
  </si>
  <si>
    <t>Inside School Building</t>
  </si>
  <si>
    <t>Yes</t>
  </si>
  <si>
    <t>Morning Classes</t>
  </si>
  <si>
    <t>Romantic Dispute, shot girl in hallway, fled and called police to surrender at a restaurant nearby</t>
  </si>
  <si>
    <t>Domestic w/ Targeted Victim</t>
  </si>
  <si>
    <t>Victims Targeted</t>
  </si>
  <si>
    <t>No</t>
  </si>
  <si>
    <t>Yes</t>
  </si>
  <si>
    <t>20081103CAELO</t>
  </si>
  <si>
    <t>El Rio Elementary School</t>
  </si>
  <si>
    <t>Fall</t>
  </si>
  <si>
    <t>Oxnard</t>
  </si>
  <si>
    <t>CA</t>
  </si>
  <si>
    <t>Elementary</t>
  </si>
  <si>
    <t>Classroom; Beside Building</t>
  </si>
  <si>
    <t>Both Inside/Outside</t>
  </si>
  <si>
    <t>Yes</t>
  </si>
  <si>
    <t>Afternoon Classes</t>
  </si>
  <si>
    <t>BB gun shattered classroom window, students were evacuated, police called for shots fired, no suspect</t>
  </si>
  <si>
    <t>Intentional Property Damage</t>
  </si>
  <si>
    <t>Unknown</t>
  </si>
  <si>
    <t>No</t>
  </si>
  <si>
    <t>20081103CABEB</t>
  </si>
  <si>
    <t>Bell High School</t>
  </si>
  <si>
    <t>Fall</t>
  </si>
  <si>
    <t>Bell</t>
  </si>
  <si>
    <t>CA</t>
  </si>
  <si>
    <t>High</t>
  </si>
  <si>
    <t>Gym</t>
  </si>
  <si>
    <t>Inside School Building</t>
  </si>
  <si>
    <t>No</t>
  </si>
  <si>
    <t>Sport Event</t>
  </si>
  <si>
    <t>Man shot during basketball game, died in front of 40 people at youth basketball game</t>
  </si>
  <si>
    <t>Escalation of Dispute</t>
  </si>
  <si>
    <t>Victims Targeted</t>
  </si>
  <si>
    <t>Unknown</t>
  </si>
  <si>
    <t>No</t>
  </si>
  <si>
    <t>20081031MESTS</t>
  </si>
  <si>
    <t>Stockton Springs Elementary School</t>
  </si>
  <si>
    <t>Fall</t>
  </si>
  <si>
    <t>Stockton Springs</t>
  </si>
  <si>
    <t>ME</t>
  </si>
  <si>
    <t>Elementary</t>
  </si>
  <si>
    <t>Classroom</t>
  </si>
  <si>
    <t>Inside School Building</t>
  </si>
  <si>
    <t>Yes</t>
  </si>
  <si>
    <t>Morning Classes</t>
  </si>
  <si>
    <t>Hostage standoff at school after traffic stop</t>
  </si>
  <si>
    <t>Hostage/Standoff</t>
  </si>
  <si>
    <t>No</t>
  </si>
  <si>
    <t>Yes</t>
  </si>
  <si>
    <t>No</t>
  </si>
  <si>
    <t>Yes</t>
  </si>
  <si>
    <t>20081029CAELG</t>
  </si>
  <si>
    <t>Eliot Elementary School</t>
  </si>
  <si>
    <t>Fall</t>
  </si>
  <si>
    <t>Gilroy</t>
  </si>
  <si>
    <t>CA</t>
  </si>
  <si>
    <t>Elementary</t>
  </si>
  <si>
    <t>Classroom</t>
  </si>
  <si>
    <t>Inside School Building</t>
  </si>
  <si>
    <t>Yes</t>
  </si>
  <si>
    <t>Morning Classes</t>
  </si>
  <si>
    <t>Shot teacher with pellet gun in classroom</t>
  </si>
  <si>
    <t>Anger Over Grade/Suspension/Discipline</t>
  </si>
  <si>
    <t>Victims Targeted</t>
  </si>
  <si>
    <t>No</t>
  </si>
  <si>
    <t>20081023ALPRP</t>
  </si>
  <si>
    <t>Prattville Christian Academy</t>
  </si>
  <si>
    <t>Fall</t>
  </si>
  <si>
    <t>Prattville</t>
  </si>
  <si>
    <t>AL</t>
  </si>
  <si>
    <t>Other</t>
  </si>
  <si>
    <t>Parking Lot</t>
  </si>
  <si>
    <t>Outside on School Property</t>
  </si>
  <si>
    <t>Yes</t>
  </si>
  <si>
    <t>Shot wife in school parking lot (custody dispute), waited for police to arrive</t>
  </si>
  <si>
    <t>Domestic w/ Targeted Victim</t>
  </si>
  <si>
    <t>Victims Targeted</t>
  </si>
  <si>
    <t>No</t>
  </si>
  <si>
    <t>Yes</t>
  </si>
  <si>
    <t>20081020CAVAA</t>
  </si>
  <si>
    <t>Vasquez High School</t>
  </si>
  <si>
    <t>Fall</t>
  </si>
  <si>
    <t>Acton</t>
  </si>
  <si>
    <t>CA</t>
  </si>
  <si>
    <t>High</t>
  </si>
  <si>
    <t>Bathroom</t>
  </si>
  <si>
    <t>Inside School Building</t>
  </si>
  <si>
    <t>Yes</t>
  </si>
  <si>
    <t>Afternoon Classes</t>
  </si>
  <si>
    <t>Suicide in bathroom following bullying</t>
  </si>
  <si>
    <t>Suicide/Attempted</t>
  </si>
  <si>
    <t>Victims Targeted</t>
  </si>
  <si>
    <t>No</t>
  </si>
  <si>
    <t>Yes</t>
  </si>
  <si>
    <t>No</t>
  </si>
  <si>
    <t>20081016MIHED</t>
  </si>
  <si>
    <t>Henry Ford High School</t>
  </si>
  <si>
    <t>Fall</t>
  </si>
  <si>
    <t>Detroit</t>
  </si>
  <si>
    <t>MI</t>
  </si>
  <si>
    <t>High</t>
  </si>
  <si>
    <t>Front of School</t>
  </si>
  <si>
    <t>Outside on School Property</t>
  </si>
  <si>
    <t>No</t>
  </si>
  <si>
    <t>Dismissal</t>
  </si>
  <si>
    <t>Gang-related drive-by outside of school</t>
  </si>
  <si>
    <t>Drive-by Shooting</t>
  </si>
  <si>
    <t>Both</t>
  </si>
  <si>
    <t>Yes</t>
  </si>
  <si>
    <t>No</t>
  </si>
  <si>
    <t>20080919CAGEA</t>
  </si>
  <si>
    <t>George Washington Preparatory High School</t>
  </si>
  <si>
    <t>Fall</t>
  </si>
  <si>
    <t>Athens</t>
  </si>
  <si>
    <t>CA</t>
  </si>
  <si>
    <t>High</t>
  </si>
  <si>
    <t>Football Field/Track</t>
  </si>
  <si>
    <t>Outside on School Property</t>
  </si>
  <si>
    <t>No</t>
  </si>
  <si>
    <t>Sport Event</t>
  </si>
  <si>
    <t>Gang related shooting after football game</t>
  </si>
  <si>
    <t>Escalation of Dispute</t>
  </si>
  <si>
    <t>Both</t>
  </si>
  <si>
    <t>Yes</t>
  </si>
  <si>
    <t>No</t>
  </si>
  <si>
    <t>20080915CAMIS</t>
  </si>
  <si>
    <t>Mira Loma High School</t>
  </si>
  <si>
    <t>Fall</t>
  </si>
  <si>
    <t>Sacramento</t>
  </si>
  <si>
    <t>CA</t>
  </si>
  <si>
    <t>High</t>
  </si>
  <si>
    <t>Bathroom</t>
  </si>
  <si>
    <t>Inside School Building</t>
  </si>
  <si>
    <t>Yes</t>
  </si>
  <si>
    <t>Morning Classes</t>
  </si>
  <si>
    <t>Shot self in school bathroom, bullied for being gay</t>
  </si>
  <si>
    <t>Suicide/Attempted</t>
  </si>
  <si>
    <t>Victims Targeted</t>
  </si>
  <si>
    <t>No</t>
  </si>
  <si>
    <t>Yes</t>
  </si>
  <si>
    <t>No</t>
  </si>
  <si>
    <t>20080902OHSOW</t>
  </si>
  <si>
    <t>South High School</t>
  </si>
  <si>
    <t>National</t>
  </si>
  <si>
    <t>Fall</t>
  </si>
  <si>
    <t>Willoughby</t>
  </si>
  <si>
    <t>OH</t>
  </si>
  <si>
    <t>High</t>
  </si>
  <si>
    <t>Classroom</t>
  </si>
  <si>
    <t>Inside School Building</t>
  </si>
  <si>
    <t>Yes</t>
  </si>
  <si>
    <t>Morning Classes</t>
  </si>
  <si>
    <t>Planned to kill students who had bullied him, studied other school shootings, fired 2 shots (one into ceiling and one at trophy case), and then surrendered to school officials.</t>
  </si>
  <si>
    <t>Indiscriminate Shooting</t>
  </si>
  <si>
    <t>Victims Targeted</t>
  </si>
  <si>
    <t>No</t>
  </si>
  <si>
    <t>Yes</t>
  </si>
  <si>
    <t>No</t>
  </si>
  <si>
    <t>Yes</t>
  </si>
  <si>
    <t>20080821TNCEK</t>
  </si>
  <si>
    <t>Central High School</t>
  </si>
  <si>
    <t>Local</t>
  </si>
  <si>
    <t>Fall</t>
  </si>
  <si>
    <t>Knoxville</t>
  </si>
  <si>
    <t>TN</t>
  </si>
  <si>
    <t>High</t>
  </si>
  <si>
    <t>Cafeteria</t>
  </si>
  <si>
    <t>Inside School Building</t>
  </si>
  <si>
    <t>Yes</t>
  </si>
  <si>
    <t>School Start</t>
  </si>
  <si>
    <t>Student shot inside cafeteria prior to classes</t>
  </si>
  <si>
    <t>Escalation of Dispute</t>
  </si>
  <si>
    <t>Victims Targeted</t>
  </si>
  <si>
    <t>No</t>
  </si>
  <si>
    <t>Yes</t>
  </si>
  <si>
    <t>No</t>
  </si>
  <si>
    <t>20080814WALAF</t>
  </si>
  <si>
    <t>Lakota Middle School</t>
  </si>
  <si>
    <t>Summer</t>
  </si>
  <si>
    <t>Federal Way</t>
  </si>
  <si>
    <t>WA</t>
  </si>
  <si>
    <t>Middle</t>
  </si>
  <si>
    <t>Parking Lot</t>
  </si>
  <si>
    <t>Outside on School Property</t>
  </si>
  <si>
    <t>Yes</t>
  </si>
  <si>
    <t>Evening</t>
  </si>
  <si>
    <t>Gang-related shooting outside of school.</t>
  </si>
  <si>
    <t>Escalation of Dispute</t>
  </si>
  <si>
    <t>Victims Targeted</t>
  </si>
  <si>
    <t>Yes</t>
  </si>
  <si>
    <t>No</t>
  </si>
  <si>
    <t>20080811WAWAK</t>
  </si>
  <si>
    <t>Wallace Elementary School</t>
  </si>
  <si>
    <t>Summer</t>
  </si>
  <si>
    <t>Kelso</t>
  </si>
  <si>
    <t>WA</t>
  </si>
  <si>
    <t>Elementary</t>
  </si>
  <si>
    <t>Playground</t>
  </si>
  <si>
    <t>Outside on School Property</t>
  </si>
  <si>
    <t>Yes</t>
  </si>
  <si>
    <t>Shot student who stole drugs from him</t>
  </si>
  <si>
    <t>Illegal Activity</t>
  </si>
  <si>
    <t>Victims Targeted</t>
  </si>
  <si>
    <t>No</t>
  </si>
  <si>
    <t>20080516LAMAT</t>
  </si>
  <si>
    <t>Madison Parish High School</t>
  </si>
  <si>
    <t>Spring</t>
  </si>
  <si>
    <t>Tallulah</t>
  </si>
  <si>
    <t>LA</t>
  </si>
  <si>
    <t>High</t>
  </si>
  <si>
    <t>Field (General)</t>
  </si>
  <si>
    <t>Outside on School Property</t>
  </si>
  <si>
    <t>Yes</t>
  </si>
  <si>
    <t>Shot self on athletic field</t>
  </si>
  <si>
    <t>Suicide/Attempted</t>
  </si>
  <si>
    <t>Victims Targeted</t>
  </si>
  <si>
    <t>No</t>
  </si>
  <si>
    <t>20080416CAROF</t>
  </si>
  <si>
    <t>Roosevelt High School</t>
  </si>
  <si>
    <t>Spring</t>
  </si>
  <si>
    <t>Fresno</t>
  </si>
  <si>
    <t>CA</t>
  </si>
  <si>
    <t>High</t>
  </si>
  <si>
    <t>Outside on School Property</t>
  </si>
  <si>
    <t>Yes</t>
  </si>
  <si>
    <t>Lunch</t>
  </si>
  <si>
    <t>SRO fired at student who attacked him</t>
  </si>
  <si>
    <t>Self-defense</t>
  </si>
  <si>
    <t>Victims Targeted</t>
  </si>
  <si>
    <t>No</t>
  </si>
  <si>
    <t>N/A</t>
  </si>
  <si>
    <t>20080306ALDAM</t>
  </si>
  <si>
    <t>Davidson High School</t>
  </si>
  <si>
    <t>Spring</t>
  </si>
  <si>
    <t>Mobile</t>
  </si>
  <si>
    <t>AL</t>
  </si>
  <si>
    <t>High</t>
  </si>
  <si>
    <t>Gym</t>
  </si>
  <si>
    <t>Inside School Building</t>
  </si>
  <si>
    <t>Yes</t>
  </si>
  <si>
    <t>Morning Classes</t>
  </si>
  <si>
    <t>Suicide in gym in front of 150 students following suspension</t>
  </si>
  <si>
    <t>Suicide/Attempted</t>
  </si>
  <si>
    <t>Victims Targeted</t>
  </si>
  <si>
    <t>No</t>
  </si>
  <si>
    <t>20080214CAEOO</t>
  </si>
  <si>
    <t>E O Green Junior High School</t>
  </si>
  <si>
    <t>National</t>
  </si>
  <si>
    <t>Winter</t>
  </si>
  <si>
    <t>Oxnard</t>
  </si>
  <si>
    <t>CA</t>
  </si>
  <si>
    <t>Junior High</t>
  </si>
  <si>
    <t>Classroom</t>
  </si>
  <si>
    <t>Inside School Building</t>
  </si>
  <si>
    <t>Yes</t>
  </si>
  <si>
    <t>Morning Classes</t>
  </si>
  <si>
    <t>Bullying, target made fun of victim for being gay</t>
  </si>
  <si>
    <t>Bullying</t>
  </si>
  <si>
    <t>Victims Targeted</t>
  </si>
  <si>
    <t>No</t>
  </si>
  <si>
    <t>Yes</t>
  </si>
  <si>
    <t>No</t>
  </si>
  <si>
    <t>20080211TNMIM</t>
  </si>
  <si>
    <t>Mitchell High School</t>
  </si>
  <si>
    <t>Winter</t>
  </si>
  <si>
    <t>Memphis</t>
  </si>
  <si>
    <t>TN</t>
  </si>
  <si>
    <t>High</t>
  </si>
  <si>
    <t>Classroom</t>
  </si>
  <si>
    <t>Inside School Building</t>
  </si>
  <si>
    <t>Yes</t>
  </si>
  <si>
    <t>Morning Classes</t>
  </si>
  <si>
    <t>Prior argument with victim, handed gun to teacher after shooting</t>
  </si>
  <si>
    <t>Escalation of Dispute</t>
  </si>
  <si>
    <t>Victims Targeted</t>
  </si>
  <si>
    <t>No</t>
  </si>
  <si>
    <t>20080204TNHAM</t>
  </si>
  <si>
    <t>Hamilton High School</t>
  </si>
  <si>
    <t>Winter</t>
  </si>
  <si>
    <t>Memphis</t>
  </si>
  <si>
    <t>TN</t>
  </si>
  <si>
    <t>High</t>
  </si>
  <si>
    <t>Classroom</t>
  </si>
  <si>
    <t>Inside School Building</t>
  </si>
  <si>
    <t>Yes</t>
  </si>
  <si>
    <t>Morning Classes</t>
  </si>
  <si>
    <t>Argument over rap song</t>
  </si>
  <si>
    <t>Escalation of Dispute</t>
  </si>
  <si>
    <t>Victims Targeted</t>
  </si>
  <si>
    <t>No</t>
  </si>
  <si>
    <t>20071221CABAU</t>
  </si>
  <si>
    <t>Barnard-White Middle School</t>
  </si>
  <si>
    <t>Winter</t>
  </si>
  <si>
    <t>Union City</t>
  </si>
  <si>
    <t>CA</t>
  </si>
  <si>
    <t>Middle</t>
  </si>
  <si>
    <t>Outside on School Property</t>
  </si>
  <si>
    <t>Yes</t>
  </si>
  <si>
    <t>After School</t>
  </si>
  <si>
    <t>Bystander student hit during gang related shooting</t>
  </si>
  <si>
    <t>Escalation of Dispute</t>
  </si>
  <si>
    <t>Random Shooting</t>
  </si>
  <si>
    <t>Yes</t>
  </si>
  <si>
    <t>No</t>
  </si>
  <si>
    <t>Yes</t>
  </si>
  <si>
    <t>No</t>
  </si>
  <si>
    <t>20071126NYHOH</t>
  </si>
  <si>
    <t>Holland Patent Central High School</t>
  </si>
  <si>
    <t>Fall</t>
  </si>
  <si>
    <t>Holland Patent</t>
  </si>
  <si>
    <t>NY</t>
  </si>
  <si>
    <t>High</t>
  </si>
  <si>
    <t>School Bus</t>
  </si>
  <si>
    <t>Yes</t>
  </si>
  <si>
    <t>Morning Classes</t>
  </si>
  <si>
    <t>Shooter and friend shot gun on bus at seat</t>
  </si>
  <si>
    <t>Intentional Property Damage</t>
  </si>
  <si>
    <t>Yes</t>
  </si>
  <si>
    <t>No</t>
  </si>
  <si>
    <t>20071105LAJOR</t>
  </si>
  <si>
    <t>John Curtis Christian School</t>
  </si>
  <si>
    <t>Fall</t>
  </si>
  <si>
    <t>New Orleans</t>
  </si>
  <si>
    <t>LA</t>
  </si>
  <si>
    <t>K-12</t>
  </si>
  <si>
    <t>Inside School Building</t>
  </si>
  <si>
    <t>Yes</t>
  </si>
  <si>
    <t>Before School</t>
  </si>
  <si>
    <t>Student shot self before class</t>
  </si>
  <si>
    <t>Suicide/Attempted</t>
  </si>
  <si>
    <t>Victims Targeted</t>
  </si>
  <si>
    <t>No</t>
  </si>
  <si>
    <t>20071024TNMAM</t>
  </si>
  <si>
    <t>Manassas High School</t>
  </si>
  <si>
    <t>Fall</t>
  </si>
  <si>
    <t>Memphis</t>
  </si>
  <si>
    <t>TN</t>
  </si>
  <si>
    <t>High</t>
  </si>
  <si>
    <t>Hallway</t>
  </si>
  <si>
    <t>Inside School Building</t>
  </si>
  <si>
    <t>Yes</t>
  </si>
  <si>
    <t>Morning Classes</t>
  </si>
  <si>
    <t>Accidental discharge while showing off gun</t>
  </si>
  <si>
    <t>Accidental</t>
  </si>
  <si>
    <t>Random Shooting</t>
  </si>
  <si>
    <t>No</t>
  </si>
  <si>
    <t>20071010OHSUC</t>
  </si>
  <si>
    <t>SuccessTech Academy</t>
  </si>
  <si>
    <t>Fall</t>
  </si>
  <si>
    <t>Cleveland</t>
  </si>
  <si>
    <t>OH</t>
  </si>
  <si>
    <t>Other</t>
  </si>
  <si>
    <t>Classroom</t>
  </si>
  <si>
    <t>Inside School Building</t>
  </si>
  <si>
    <t>Yes</t>
  </si>
  <si>
    <t>Afternoon Classes</t>
  </si>
  <si>
    <t>Planned attack, recently suspended, targeted teacher then killed self</t>
  </si>
  <si>
    <t>Anger Over Grade/Suspension/Discipline</t>
  </si>
  <si>
    <t>Victims Targeted</t>
  </si>
  <si>
    <t>No</t>
  </si>
  <si>
    <t>Yes</t>
  </si>
  <si>
    <t>No</t>
  </si>
  <si>
    <t>Yes</t>
  </si>
  <si>
    <t>20071001CTPLM</t>
  </si>
  <si>
    <t>Platt High School</t>
  </si>
  <si>
    <t>Fall</t>
  </si>
  <si>
    <t>Meriden</t>
  </si>
  <si>
    <t>CT</t>
  </si>
  <si>
    <t>High</t>
  </si>
  <si>
    <t>Outside on School Property</t>
  </si>
  <si>
    <t>Yes</t>
  </si>
  <si>
    <t>Dismissal</t>
  </si>
  <si>
    <t>Shot another student with BB gun</t>
  </si>
  <si>
    <t>Escalation of Dispute</t>
  </si>
  <si>
    <t>Victims Targeted</t>
  </si>
  <si>
    <t>No</t>
  </si>
  <si>
    <t>20070930AZSSP</t>
  </si>
  <si>
    <t>S Simon and Jude Catholic School</t>
  </si>
  <si>
    <t>Fall</t>
  </si>
  <si>
    <t>Phoenix</t>
  </si>
  <si>
    <t>AZ</t>
  </si>
  <si>
    <t>K-8</t>
  </si>
  <si>
    <t>Parking Lot</t>
  </si>
  <si>
    <t>Outside on School Property</t>
  </si>
  <si>
    <t>No</t>
  </si>
  <si>
    <t>Not a School Day</t>
  </si>
  <si>
    <t>Escalation between two groups</t>
  </si>
  <si>
    <t>Escalation of Dispute</t>
  </si>
  <si>
    <t>No</t>
  </si>
  <si>
    <t>20070928CALAO</t>
  </si>
  <si>
    <t>Las Plumas High School</t>
  </si>
  <si>
    <t>Fall</t>
  </si>
  <si>
    <t>Oroville</t>
  </si>
  <si>
    <t>CA</t>
  </si>
  <si>
    <t>High</t>
  </si>
  <si>
    <t>Classroom</t>
  </si>
  <si>
    <t>Inside School Building</t>
  </si>
  <si>
    <t>Yes</t>
  </si>
  <si>
    <t>Morning Classes</t>
  </si>
  <si>
    <t>Hostage situation - shooter held 3 students hostage - shot handgun twice - eventually surrendered.</t>
  </si>
  <si>
    <t>Hostage/Standoff</t>
  </si>
  <si>
    <t>NA</t>
  </si>
  <si>
    <t>No</t>
  </si>
  <si>
    <t>Yes</t>
  </si>
  <si>
    <t>20070804NJMON</t>
  </si>
  <si>
    <t>Mount Vernon Elementary School</t>
  </si>
  <si>
    <t>Summer</t>
  </si>
  <si>
    <t>Newark</t>
  </si>
  <si>
    <t>NJ</t>
  </si>
  <si>
    <t>High</t>
  </si>
  <si>
    <t>Front of School</t>
  </si>
  <si>
    <t>Outside on School Property</t>
  </si>
  <si>
    <t>No</t>
  </si>
  <si>
    <t>Not a School Day</t>
  </si>
  <si>
    <t>Shot 4 friends at school, MS-13 directed shooting</t>
  </si>
  <si>
    <t>Illegal Activity</t>
  </si>
  <si>
    <t>Victims Targeted</t>
  </si>
  <si>
    <t>No</t>
  </si>
  <si>
    <t>20070709ILCAC</t>
  </si>
  <si>
    <t>Carter G. Woodson Elementary School</t>
  </si>
  <si>
    <t>Summer</t>
  </si>
  <si>
    <t>Chicago</t>
  </si>
  <si>
    <t>IL</t>
  </si>
  <si>
    <t>Elementary</t>
  </si>
  <si>
    <t>Front of School</t>
  </si>
  <si>
    <t>Outside on School Property</t>
  </si>
  <si>
    <t>No</t>
  </si>
  <si>
    <t>Not a School Day</t>
  </si>
  <si>
    <t>Drive-by outside of school</t>
  </si>
  <si>
    <t>Drive-by Shooting</t>
  </si>
  <si>
    <t>Yes</t>
  </si>
  <si>
    <t>No</t>
  </si>
  <si>
    <t>20070628TXDAD</t>
  </si>
  <si>
    <t>David W. Carter High School</t>
  </si>
  <si>
    <t>Summer</t>
  </si>
  <si>
    <t>Dallas</t>
  </si>
  <si>
    <t>TX</t>
  </si>
  <si>
    <t>High</t>
  </si>
  <si>
    <t>Parking Lot</t>
  </si>
  <si>
    <t>Outside on School Property</t>
  </si>
  <si>
    <t>Yes</t>
  </si>
  <si>
    <t>Lunch</t>
  </si>
  <si>
    <t>Rival gang members fired a 3 students in parking lot</t>
  </si>
  <si>
    <t>Drive-by Shooting</t>
  </si>
  <si>
    <t>Victims Targeted</t>
  </si>
  <si>
    <t>Yes</t>
  </si>
  <si>
    <t>No</t>
  </si>
  <si>
    <t>20070617SCBRB</t>
  </si>
  <si>
    <t>Broad River Elementary School</t>
  </si>
  <si>
    <t>Summer</t>
  </si>
  <si>
    <t>Burton</t>
  </si>
  <si>
    <t>SC</t>
  </si>
  <si>
    <t>Elementary</t>
  </si>
  <si>
    <t>Outside on School Property</t>
  </si>
  <si>
    <t>No</t>
  </si>
  <si>
    <t>Sport Event</t>
  </si>
  <si>
    <t>Shooting during argument during basketball game</t>
  </si>
  <si>
    <t>Escalation of Dispute</t>
  </si>
  <si>
    <t>Victims Targeted</t>
  </si>
  <si>
    <t>No</t>
  </si>
  <si>
    <t>20070531NCNOG</t>
  </si>
  <si>
    <t>North Garner Middle School</t>
  </si>
  <si>
    <t>Spring</t>
  </si>
  <si>
    <t>Garner</t>
  </si>
  <si>
    <t>NC</t>
  </si>
  <si>
    <t>Middle</t>
  </si>
  <si>
    <t>Outside on School Property</t>
  </si>
  <si>
    <t>Yes</t>
  </si>
  <si>
    <t>3 students shot by pellet gun</t>
  </si>
  <si>
    <t>Indiscriminate Shooting</t>
  </si>
  <si>
    <t>No</t>
  </si>
  <si>
    <t>20070530NCVAG</t>
  </si>
  <si>
    <t>Vandora Springs Elementary School</t>
  </si>
  <si>
    <t>Spring</t>
  </si>
  <si>
    <t>Garner</t>
  </si>
  <si>
    <t>NC</t>
  </si>
  <si>
    <t>Elementary</t>
  </si>
  <si>
    <t>Outside on School Property</t>
  </si>
  <si>
    <t>Yes</t>
  </si>
  <si>
    <t>Parent shot by pellet gun</t>
  </si>
  <si>
    <t>Indiscriminate Shooting</t>
  </si>
  <si>
    <t>No</t>
  </si>
  <si>
    <t>20070523RIOAC</t>
  </si>
  <si>
    <t>Oak Haven Elementary School</t>
  </si>
  <si>
    <t>Spring</t>
  </si>
  <si>
    <t>Coventry</t>
  </si>
  <si>
    <t>RI</t>
  </si>
  <si>
    <t>Elementary</t>
  </si>
  <si>
    <t>Playground</t>
  </si>
  <si>
    <t>Outside on School Property</t>
  </si>
  <si>
    <t>Yes</t>
  </si>
  <si>
    <t>After School</t>
  </si>
  <si>
    <t>Shot bully with BB gun</t>
  </si>
  <si>
    <t>Bullying</t>
  </si>
  <si>
    <t>Victims Targeted</t>
  </si>
  <si>
    <t>No</t>
  </si>
  <si>
    <t>Yes</t>
  </si>
  <si>
    <t>No</t>
  </si>
  <si>
    <t>20070515TXLIL</t>
  </si>
  <si>
    <t>Liberty Memorial Middle School</t>
  </si>
  <si>
    <t>Spring</t>
  </si>
  <si>
    <t>Los Fresnos</t>
  </si>
  <si>
    <t>TX</t>
  </si>
  <si>
    <t>Middle</t>
  </si>
  <si>
    <t>Bathroom</t>
  </si>
  <si>
    <t>Inside School Building</t>
  </si>
  <si>
    <t>Yes</t>
  </si>
  <si>
    <t>Morning Classes</t>
  </si>
  <si>
    <t>Fired shot in bathroom, 4 hour standoff with police before surrendering</t>
  </si>
  <si>
    <t>Hostage/Standoff</t>
  </si>
  <si>
    <t>No</t>
  </si>
  <si>
    <t>Yes</t>
  </si>
  <si>
    <t>No</t>
  </si>
  <si>
    <t>20070512TXWEM</t>
  </si>
  <si>
    <t>West Mesquite High School</t>
  </si>
  <si>
    <t>Spring</t>
  </si>
  <si>
    <t>Mesquite</t>
  </si>
  <si>
    <t>TX</t>
  </si>
  <si>
    <t>High</t>
  </si>
  <si>
    <t>Parking Lot</t>
  </si>
  <si>
    <t>Outside on School Property</t>
  </si>
  <si>
    <t>No</t>
  </si>
  <si>
    <t>School Event</t>
  </si>
  <si>
    <t>Shots fired during argument in parking lot</t>
  </si>
  <si>
    <t>Escalation of Dispute</t>
  </si>
  <si>
    <t>Yes</t>
  </si>
  <si>
    <t>No</t>
  </si>
  <si>
    <t>20070510MIHED</t>
  </si>
  <si>
    <t>Henry Ford High School</t>
  </si>
  <si>
    <t>Spring</t>
  </si>
  <si>
    <t>Detroit</t>
  </si>
  <si>
    <t>MI</t>
  </si>
  <si>
    <t>High</t>
  </si>
  <si>
    <t>Beside Building</t>
  </si>
  <si>
    <t>Outside on School Property</t>
  </si>
  <si>
    <t>Yes</t>
  </si>
  <si>
    <t>2 students shot during gang fight</t>
  </si>
  <si>
    <t>Escalation of Dispute</t>
  </si>
  <si>
    <t>No</t>
  </si>
  <si>
    <t>20070504TXTIE</t>
  </si>
  <si>
    <t>Tidehaven High School</t>
  </si>
  <si>
    <t>Spring</t>
  </si>
  <si>
    <t>Elmaton</t>
  </si>
  <si>
    <t>TX</t>
  </si>
  <si>
    <t>High</t>
  </si>
  <si>
    <t>Bathroom</t>
  </si>
  <si>
    <t>Inside School Building</t>
  </si>
  <si>
    <t>Yes</t>
  </si>
  <si>
    <t>Morning Classes</t>
  </si>
  <si>
    <t>Female student shot herself in the bathroom</t>
  </si>
  <si>
    <t>Suicide/Attempted</t>
  </si>
  <si>
    <t>Victims Targeted</t>
  </si>
  <si>
    <t>No</t>
  </si>
  <si>
    <t>20070503OHGED</t>
  </si>
  <si>
    <t>Gettysburg Elementary School</t>
  </si>
  <si>
    <t>Spring</t>
  </si>
  <si>
    <t>Dayton</t>
  </si>
  <si>
    <t>OH</t>
  </si>
  <si>
    <t>Elementary</t>
  </si>
  <si>
    <t>School Bus</t>
  </si>
  <si>
    <t>Yes</t>
  </si>
  <si>
    <t>Before School</t>
  </si>
  <si>
    <t>16 year old boy shooting pellet gun at bus loaded with children</t>
  </si>
  <si>
    <t>Indiscriminate Shooting</t>
  </si>
  <si>
    <t>No</t>
  </si>
  <si>
    <t>20070418NCNOH</t>
  </si>
  <si>
    <t>North Mecklenburg High School</t>
  </si>
  <si>
    <t>Spring</t>
  </si>
  <si>
    <t>Huntersville</t>
  </si>
  <si>
    <t>NC</t>
  </si>
  <si>
    <t>High</t>
  </si>
  <si>
    <t>Parking Lot</t>
  </si>
  <si>
    <t>Outside on School Property</t>
  </si>
  <si>
    <t>Yes</t>
  </si>
  <si>
    <t>Pointed gun at two students in parking lot, shot self with approached by police</t>
  </si>
  <si>
    <t>Suicide/Attempted</t>
  </si>
  <si>
    <t>Neither</t>
  </si>
  <si>
    <t>No</t>
  </si>
  <si>
    <t>20070410ORSPG</t>
  </si>
  <si>
    <t>Springwater Trail High School</t>
  </si>
  <si>
    <t>Spring</t>
  </si>
  <si>
    <t>Gresham</t>
  </si>
  <si>
    <t>OR</t>
  </si>
  <si>
    <t>High</t>
  </si>
  <si>
    <t>Classroom; Field</t>
  </si>
  <si>
    <t>Both Inside/Outside</t>
  </si>
  <si>
    <t>Yes</t>
  </si>
  <si>
    <t>Afternoon Classes</t>
  </si>
  <si>
    <t>Planned attack after watching show about Columbine High School</t>
  </si>
  <si>
    <t>Indiscriminate Shooting</t>
  </si>
  <si>
    <t>Random Shooting</t>
  </si>
  <si>
    <t>No</t>
  </si>
  <si>
    <t>Yes</t>
  </si>
  <si>
    <t>20070410ILCHC</t>
  </si>
  <si>
    <t>Chicago Vocational Career Academy</t>
  </si>
  <si>
    <t>Spring</t>
  </si>
  <si>
    <t>Chicago</t>
  </si>
  <si>
    <t>IL</t>
  </si>
  <si>
    <t>Other</t>
  </si>
  <si>
    <t>Classroom</t>
  </si>
  <si>
    <t>Inside School Building</t>
  </si>
  <si>
    <t>Yes</t>
  </si>
  <si>
    <t>Afternoon Classes</t>
  </si>
  <si>
    <t>Student showing off gun, shot himself in leg, fled the area</t>
  </si>
  <si>
    <t>Accidental</t>
  </si>
  <si>
    <t>Random Shooting</t>
  </si>
  <si>
    <t>No</t>
  </si>
  <si>
    <t>20070329SCMYM</t>
  </si>
  <si>
    <t>Myrtle Beach High School</t>
  </si>
  <si>
    <t>Spring</t>
  </si>
  <si>
    <t>Myrtle Beach</t>
  </si>
  <si>
    <t>SC</t>
  </si>
  <si>
    <t>High</t>
  </si>
  <si>
    <t>Classroom</t>
  </si>
  <si>
    <t>Inside School Building</t>
  </si>
  <si>
    <t>Yes</t>
  </si>
  <si>
    <t>Shot self in leg (gun in pocket) in classroom</t>
  </si>
  <si>
    <t>Accidental</t>
  </si>
  <si>
    <t>Random Shooting</t>
  </si>
  <si>
    <t>No</t>
  </si>
  <si>
    <t>20070327CTSAH</t>
  </si>
  <si>
    <t>Sarah J. Rawson Elementary School</t>
  </si>
  <si>
    <t>Spring</t>
  </si>
  <si>
    <t>Hartford</t>
  </si>
  <si>
    <t>CT</t>
  </si>
  <si>
    <t>Elementary</t>
  </si>
  <si>
    <t>Basketball Court</t>
  </si>
  <si>
    <t>Outside on School Property</t>
  </si>
  <si>
    <t>No</t>
  </si>
  <si>
    <t>Sport Event</t>
  </si>
  <si>
    <t>Shot in leg during fight at basketball game</t>
  </si>
  <si>
    <t>Escalation of Dispute</t>
  </si>
  <si>
    <t>Victims Targeted</t>
  </si>
  <si>
    <t>No</t>
  </si>
  <si>
    <t>20070323FLUNO</t>
  </si>
  <si>
    <t>Union Park Elementary School</t>
  </si>
  <si>
    <t>Spring</t>
  </si>
  <si>
    <t>Orlando</t>
  </si>
  <si>
    <t>FL</t>
  </si>
  <si>
    <t>Elementary</t>
  </si>
  <si>
    <t>Bathroom</t>
  </si>
  <si>
    <t>Inside School Building</t>
  </si>
  <si>
    <t>Yes</t>
  </si>
  <si>
    <t>Afternoon Classes</t>
  </si>
  <si>
    <t>Two students held down 3rd student and shot him with pellet gun</t>
  </si>
  <si>
    <t>Bullying</t>
  </si>
  <si>
    <t>Random Shooting</t>
  </si>
  <si>
    <t>Yes</t>
  </si>
  <si>
    <t>No</t>
  </si>
  <si>
    <t>Yes</t>
  </si>
  <si>
    <t>No</t>
  </si>
  <si>
    <t>20070308TNEAC</t>
  </si>
  <si>
    <t>East Ridge High School</t>
  </si>
  <si>
    <t>Spring</t>
  </si>
  <si>
    <t>Chattanooga</t>
  </si>
  <si>
    <t>TN</t>
  </si>
  <si>
    <t>High</t>
  </si>
  <si>
    <t>Hallway</t>
  </si>
  <si>
    <t>Inside School Building</t>
  </si>
  <si>
    <t>Yes</t>
  </si>
  <si>
    <t>After School</t>
  </si>
  <si>
    <t>Former custodian confronts school custodian over his love interest of her</t>
  </si>
  <si>
    <t>Suicide/Attempted</t>
  </si>
  <si>
    <t>Victims Targeted</t>
  </si>
  <si>
    <t>No</t>
  </si>
  <si>
    <t>Yes</t>
  </si>
  <si>
    <t>20070307CACEC</t>
  </si>
  <si>
    <t>Centennial High School</t>
  </si>
  <si>
    <t>Spring</t>
  </si>
  <si>
    <t>Compton</t>
  </si>
  <si>
    <t>CA</t>
  </si>
  <si>
    <t>High</t>
  </si>
  <si>
    <t>Beside Building</t>
  </si>
  <si>
    <t>Outside on School Property</t>
  </si>
  <si>
    <t>No</t>
  </si>
  <si>
    <t>Afternoon Classes</t>
  </si>
  <si>
    <t>Gang-related fight between non-students outside of school</t>
  </si>
  <si>
    <t>Escalation of Dispute</t>
  </si>
  <si>
    <t>Victims Targeted</t>
  </si>
  <si>
    <t>Yes</t>
  </si>
  <si>
    <t>No</t>
  </si>
  <si>
    <t>20070307MIHEM</t>
  </si>
  <si>
    <t>Herbert Henry Dow High School</t>
  </si>
  <si>
    <t>Spring</t>
  </si>
  <si>
    <t>Midland</t>
  </si>
  <si>
    <t>MI</t>
  </si>
  <si>
    <t>High</t>
  </si>
  <si>
    <t>Parking Lot</t>
  </si>
  <si>
    <t>Outside on School Property</t>
  </si>
  <si>
    <t>Yes</t>
  </si>
  <si>
    <t>Morning Classes</t>
  </si>
  <si>
    <t>Shot ex-girlfriend and self in the parking lot</t>
  </si>
  <si>
    <t>Murder/Suicide</t>
  </si>
  <si>
    <t>Victims Targeted</t>
  </si>
  <si>
    <t>No</t>
  </si>
  <si>
    <t>Yes</t>
  </si>
  <si>
    <t>20070307TXGRG</t>
  </si>
  <si>
    <t>Greenville High School</t>
  </si>
  <si>
    <t>Spring</t>
  </si>
  <si>
    <t>Greenville</t>
  </si>
  <si>
    <t>TX</t>
  </si>
  <si>
    <t>High</t>
  </si>
  <si>
    <t>Classroom</t>
  </si>
  <si>
    <t>Inside School Building</t>
  </si>
  <si>
    <t>Yes</t>
  </si>
  <si>
    <t>School Start</t>
  </si>
  <si>
    <t>Shot self in band room</t>
  </si>
  <si>
    <t>Suicide/Attempted</t>
  </si>
  <si>
    <t>Victims Targeted</t>
  </si>
  <si>
    <t>No</t>
  </si>
  <si>
    <t>20070227GACLA</t>
  </si>
  <si>
    <t>Clifton Elementary School</t>
  </si>
  <si>
    <t>Winter</t>
  </si>
  <si>
    <t>Atlanta</t>
  </si>
  <si>
    <t>GA</t>
  </si>
  <si>
    <t>Elementary</t>
  </si>
  <si>
    <t>Bathroom</t>
  </si>
  <si>
    <t>Inside School Building</t>
  </si>
  <si>
    <t>Yes</t>
  </si>
  <si>
    <t>Morning Classes</t>
  </si>
  <si>
    <t>Shot student in arm with BB gun in bathroom</t>
  </si>
  <si>
    <t>Unknown</t>
  </si>
  <si>
    <t>No</t>
  </si>
  <si>
    <t>20070226CASLA</t>
  </si>
  <si>
    <t>Slauson Middle School</t>
  </si>
  <si>
    <t>Winter</t>
  </si>
  <si>
    <t>Azusa</t>
  </si>
  <si>
    <t>CA</t>
  </si>
  <si>
    <t>Middle</t>
  </si>
  <si>
    <t>Hallway</t>
  </si>
  <si>
    <t>Inside School Building</t>
  </si>
  <si>
    <t>Yes</t>
  </si>
  <si>
    <t>Morning Classes</t>
  </si>
  <si>
    <t>Shot two students with airsoft gun</t>
  </si>
  <si>
    <t>Indiscriminate Shooting</t>
  </si>
  <si>
    <t>No</t>
  </si>
  <si>
    <t>20070208ORCRP</t>
  </si>
  <si>
    <t>Crook County High School</t>
  </si>
  <si>
    <t>Winter</t>
  </si>
  <si>
    <t>Prineville</t>
  </si>
  <si>
    <t>OR</t>
  </si>
  <si>
    <t>High</t>
  </si>
  <si>
    <t>Parking Lot</t>
  </si>
  <si>
    <t>Outside on School Property</t>
  </si>
  <si>
    <t>Yes</t>
  </si>
  <si>
    <t>Afternoon Classes</t>
  </si>
  <si>
    <t>Student shot self in parking lot</t>
  </si>
  <si>
    <t>Suicide/Attempted</t>
  </si>
  <si>
    <t>Victims Targeted</t>
  </si>
  <si>
    <t>No</t>
  </si>
  <si>
    <t>20070208TXSTP</t>
  </si>
  <si>
    <t>Stephen F. Austin Middle School</t>
  </si>
  <si>
    <t>Winter</t>
  </si>
  <si>
    <t>Port Arthur</t>
  </si>
  <si>
    <t>TX</t>
  </si>
  <si>
    <t>Middle</t>
  </si>
  <si>
    <t>Gym</t>
  </si>
  <si>
    <t>Inside School Building</t>
  </si>
  <si>
    <t>Yes</t>
  </si>
  <si>
    <t>BB gun fired while showing it off</t>
  </si>
  <si>
    <t>Accidental</t>
  </si>
  <si>
    <t>Neither</t>
  </si>
  <si>
    <t>No</t>
  </si>
  <si>
    <t>20070207FLPAJ</t>
  </si>
  <si>
    <t>Paxon Middle School</t>
  </si>
  <si>
    <t>Winter</t>
  </si>
  <si>
    <t>Jacksonville</t>
  </si>
  <si>
    <t>FL</t>
  </si>
  <si>
    <t>Middle</t>
  </si>
  <si>
    <t>ND</t>
  </si>
  <si>
    <t>Yes</t>
  </si>
  <si>
    <t>Shot at SRO while fleeing</t>
  </si>
  <si>
    <t>Escalation of Dispute</t>
  </si>
  <si>
    <t>Victims Targeted</t>
  </si>
  <si>
    <t>Yes</t>
  </si>
  <si>
    <t>No</t>
  </si>
  <si>
    <t>20070131ILHIC</t>
  </si>
  <si>
    <t>Hillcrest High School</t>
  </si>
  <si>
    <t>Winter</t>
  </si>
  <si>
    <t>Country Club Hills</t>
  </si>
  <si>
    <t>IL</t>
  </si>
  <si>
    <t>High</t>
  </si>
  <si>
    <t>Parking Lot</t>
  </si>
  <si>
    <t>Outside on School Property</t>
  </si>
  <si>
    <t>No</t>
  </si>
  <si>
    <t>Sport Event</t>
  </si>
  <si>
    <t>Student (bystander) shot during fight after basketball game</t>
  </si>
  <si>
    <t>Escalation of Dispute</t>
  </si>
  <si>
    <t>Yes</t>
  </si>
  <si>
    <t>No</t>
  </si>
  <si>
    <t>20070124TNHAS</t>
  </si>
  <si>
    <t>Harbin County High School</t>
  </si>
  <si>
    <t>Winter</t>
  </si>
  <si>
    <t>Savannah</t>
  </si>
  <si>
    <t>TN</t>
  </si>
  <si>
    <t>High</t>
  </si>
  <si>
    <t>Bathroom</t>
  </si>
  <si>
    <t>Inside School Building</t>
  </si>
  <si>
    <t>Yes</t>
  </si>
  <si>
    <t>Morning Classes</t>
  </si>
  <si>
    <t>Student shot self in bathroom</t>
  </si>
  <si>
    <t>Suicide/Attempted</t>
  </si>
  <si>
    <t>Victims Targeted</t>
  </si>
  <si>
    <t>No</t>
  </si>
  <si>
    <t>20070118PAWIP</t>
  </si>
  <si>
    <t>William L.Sayre High School</t>
  </si>
  <si>
    <t>Winter</t>
  </si>
  <si>
    <t>Philadelphia</t>
  </si>
  <si>
    <t>PA</t>
  </si>
  <si>
    <t>High</t>
  </si>
  <si>
    <t>Beside Building</t>
  </si>
  <si>
    <t>Outside on School Property</t>
  </si>
  <si>
    <t>Yes</t>
  </si>
  <si>
    <t>School Start</t>
  </si>
  <si>
    <t>Student shot during confrontation with 3 other students</t>
  </si>
  <si>
    <t>Escalation of Dispute</t>
  </si>
  <si>
    <t>Victims Targeted</t>
  </si>
  <si>
    <t>Yes</t>
  </si>
  <si>
    <t>No</t>
  </si>
  <si>
    <t>20070109CAGRV</t>
  </si>
  <si>
    <t>Grant High School</t>
  </si>
  <si>
    <t>Winter</t>
  </si>
  <si>
    <t>Van Nuys</t>
  </si>
  <si>
    <t>CA</t>
  </si>
  <si>
    <t>High</t>
  </si>
  <si>
    <t>Front of School</t>
  </si>
  <si>
    <t>Outside on School Property</t>
  </si>
  <si>
    <t>Yes</t>
  </si>
  <si>
    <t>Dismissal</t>
  </si>
  <si>
    <t>2 students shot outside of school in gang related drive-by</t>
  </si>
  <si>
    <t>Drive-by Shooting</t>
  </si>
  <si>
    <t>Victims Targeted</t>
  </si>
  <si>
    <t>Yes</t>
  </si>
  <si>
    <t>No</t>
  </si>
  <si>
    <t>20070109NVWEL</t>
  </si>
  <si>
    <t>Western High School</t>
  </si>
  <si>
    <t>Winter</t>
  </si>
  <si>
    <t>Las Vegas</t>
  </si>
  <si>
    <t>NV</t>
  </si>
  <si>
    <t>High</t>
  </si>
  <si>
    <t>Parking Lot</t>
  </si>
  <si>
    <t>Outside on School Property</t>
  </si>
  <si>
    <t>Yes</t>
  </si>
  <si>
    <t>School Start</t>
  </si>
  <si>
    <t>Shooting in parking lot following a car accident</t>
  </si>
  <si>
    <t>Escalation of Dispute</t>
  </si>
  <si>
    <t>Both</t>
  </si>
  <si>
    <t>No</t>
  </si>
  <si>
    <t>20070108OHROC</t>
  </si>
  <si>
    <t>Robert A. Taft Information Technology High School</t>
  </si>
  <si>
    <t>Winter</t>
  </si>
  <si>
    <t>Cincinnati</t>
  </si>
  <si>
    <t>OH</t>
  </si>
  <si>
    <t>High</t>
  </si>
  <si>
    <t>Hallway</t>
  </si>
  <si>
    <t>Inside School Building</t>
  </si>
  <si>
    <t>Yes</t>
  </si>
  <si>
    <t>Lunch</t>
  </si>
  <si>
    <t>Student with 2 guns confronted by principal, fired, and fled</t>
  </si>
  <si>
    <t>Indiscriminate Shooting</t>
  </si>
  <si>
    <t>No</t>
  </si>
  <si>
    <t>Yes</t>
  </si>
  <si>
    <t>20070104MINOD</t>
  </si>
  <si>
    <t>Northwestern High School</t>
  </si>
  <si>
    <t>Winter</t>
  </si>
  <si>
    <t>Detroit</t>
  </si>
  <si>
    <t>MI</t>
  </si>
  <si>
    <t>High</t>
  </si>
  <si>
    <t>Front of School</t>
  </si>
  <si>
    <t>Outside on School Property</t>
  </si>
  <si>
    <t>Yes</t>
  </si>
  <si>
    <t>Drive-by shooting outside of school</t>
  </si>
  <si>
    <t>Drive-by Shooting</t>
  </si>
  <si>
    <t>Yes</t>
  </si>
  <si>
    <t>No</t>
  </si>
  <si>
    <t>20070103WAHET</t>
  </si>
  <si>
    <t>Henry Foss High School</t>
  </si>
  <si>
    <t>Winter</t>
  </si>
  <si>
    <t>Tacoma</t>
  </si>
  <si>
    <t>WA</t>
  </si>
  <si>
    <t>High</t>
  </si>
  <si>
    <t>Hallway</t>
  </si>
  <si>
    <t>Inside School Building</t>
  </si>
  <si>
    <t>Yes</t>
  </si>
  <si>
    <t>Morning Classes</t>
  </si>
  <si>
    <t>Shooter with paranoid schizophrenia though student was gang member plotting to kill him, surrendered after shooting</t>
  </si>
  <si>
    <t>Psychosis</t>
  </si>
  <si>
    <t>Victims Targeted</t>
  </si>
  <si>
    <t>No</t>
  </si>
  <si>
    <t>20070102NCWEF</t>
  </si>
  <si>
    <t>Westover High School</t>
  </si>
  <si>
    <t>Winter</t>
  </si>
  <si>
    <t>Fayetteville</t>
  </si>
  <si>
    <t>NC</t>
  </si>
  <si>
    <t>High</t>
  </si>
  <si>
    <t>Front of School</t>
  </si>
  <si>
    <t>Outside on School Property</t>
  </si>
  <si>
    <t>Yes</t>
  </si>
  <si>
    <t>Dismissal</t>
  </si>
  <si>
    <t>Shots fired by student at car with 3 students in parking lot</t>
  </si>
  <si>
    <t>Escalation of Dispute</t>
  </si>
  <si>
    <t>Victims Targeted</t>
  </si>
  <si>
    <t>No</t>
  </si>
  <si>
    <t>20061214PAMCC</t>
  </si>
  <si>
    <t>McGuffey High School</t>
  </si>
  <si>
    <t>Winter</t>
  </si>
  <si>
    <t>Claysville</t>
  </si>
  <si>
    <t>PA</t>
  </si>
  <si>
    <t>High</t>
  </si>
  <si>
    <t>Gym</t>
  </si>
  <si>
    <t>Inside School Building</t>
  </si>
  <si>
    <t>No</t>
  </si>
  <si>
    <t>After School</t>
  </si>
  <si>
    <t>Student shot self with rifle team .22 rifle</t>
  </si>
  <si>
    <t>Suicide/Attempted</t>
  </si>
  <si>
    <t>Victims Targeted</t>
  </si>
  <si>
    <t>No</t>
  </si>
  <si>
    <t>20061213PABAB</t>
  </si>
  <si>
    <t>Bangor Area High School</t>
  </si>
  <si>
    <t>Winter</t>
  </si>
  <si>
    <t>Bangor</t>
  </si>
  <si>
    <t>PA</t>
  </si>
  <si>
    <t>High</t>
  </si>
  <si>
    <t>Beside Building</t>
  </si>
  <si>
    <t>Outside on School Property</t>
  </si>
  <si>
    <t>Yes</t>
  </si>
  <si>
    <t>Dismissal</t>
  </si>
  <si>
    <t>Fired pellet gun at students leaving school</t>
  </si>
  <si>
    <t>Unknown</t>
  </si>
  <si>
    <t>No</t>
  </si>
  <si>
    <t>20061212PASPS</t>
  </si>
  <si>
    <t>Springfield Township High School</t>
  </si>
  <si>
    <t>Winter</t>
  </si>
  <si>
    <t>Springfield</t>
  </si>
  <si>
    <t>PA</t>
  </si>
  <si>
    <t>High</t>
  </si>
  <si>
    <t>Hallway</t>
  </si>
  <si>
    <t>Inside School Building</t>
  </si>
  <si>
    <t>Yes</t>
  </si>
  <si>
    <t>Morning Classes</t>
  </si>
  <si>
    <t>Poor grades, shot self when confronted by police</t>
  </si>
  <si>
    <t>Anger Over Grade/Suspension/Discipline</t>
  </si>
  <si>
    <t>Victims Targeted</t>
  </si>
  <si>
    <t>No</t>
  </si>
  <si>
    <t>20061211ILCLC</t>
  </si>
  <si>
    <t>Clemente High School</t>
  </si>
  <si>
    <t>Winter</t>
  </si>
  <si>
    <t>Chicago</t>
  </si>
  <si>
    <t>IL</t>
  </si>
  <si>
    <t>High</t>
  </si>
  <si>
    <t>Beside Building</t>
  </si>
  <si>
    <t>Outside on School Property</t>
  </si>
  <si>
    <t>Yes</t>
  </si>
  <si>
    <t>Dismissal</t>
  </si>
  <si>
    <t>Officer shot trying to break up fight between gang members</t>
  </si>
  <si>
    <t>Escalation of Dispute</t>
  </si>
  <si>
    <t>Neither</t>
  </si>
  <si>
    <t>Unknown</t>
  </si>
  <si>
    <t>No</t>
  </si>
  <si>
    <t>20061207NENOO</t>
  </si>
  <si>
    <t>Northwest High School</t>
  </si>
  <si>
    <t>Winter</t>
  </si>
  <si>
    <t>Omaha</t>
  </si>
  <si>
    <t>NE</t>
  </si>
  <si>
    <t>High</t>
  </si>
  <si>
    <t>Classroom</t>
  </si>
  <si>
    <t>Inside School Building</t>
  </si>
  <si>
    <t>Yes</t>
  </si>
  <si>
    <t>Playing with gun in pocket in classroom</t>
  </si>
  <si>
    <t>Accidental</t>
  </si>
  <si>
    <t>Random Shooting</t>
  </si>
  <si>
    <t>No</t>
  </si>
  <si>
    <t>20061201NCJOT</t>
  </si>
  <si>
    <t>Jones Senior High School</t>
  </si>
  <si>
    <t>Winter</t>
  </si>
  <si>
    <t>Trenton</t>
  </si>
  <si>
    <t>NC</t>
  </si>
  <si>
    <t>High</t>
  </si>
  <si>
    <t>Basketball Court</t>
  </si>
  <si>
    <t>Outside on School Property</t>
  </si>
  <si>
    <t>No</t>
  </si>
  <si>
    <t>Evening</t>
  </si>
  <si>
    <t>Shot rival gang member in parking lot after basketball game</t>
  </si>
  <si>
    <t>Escalation of Dispute</t>
  </si>
  <si>
    <t>Victims Targeted</t>
  </si>
  <si>
    <t>No</t>
  </si>
  <si>
    <t>20061122GASAA</t>
  </si>
  <si>
    <t>Sammye E. Coan Middle School</t>
  </si>
  <si>
    <t>Fall</t>
  </si>
  <si>
    <t>Atlanta</t>
  </si>
  <si>
    <t>GA</t>
  </si>
  <si>
    <t>Middle</t>
  </si>
  <si>
    <t>Front of School</t>
  </si>
  <si>
    <t>Outside on School Property</t>
  </si>
  <si>
    <t>No</t>
  </si>
  <si>
    <t>Evening</t>
  </si>
  <si>
    <t>Shooter got out of car, shot victim in chest, and fled scene</t>
  </si>
  <si>
    <t>Drive-by Shooting</t>
  </si>
  <si>
    <t>Victims Targeted</t>
  </si>
  <si>
    <t>Unknown</t>
  </si>
  <si>
    <t>No</t>
  </si>
  <si>
    <t>20061111CALIO</t>
  </si>
  <si>
    <t>Lionel Wilson College Prep School</t>
  </si>
  <si>
    <t>Fall</t>
  </si>
  <si>
    <t>Oakland</t>
  </si>
  <si>
    <t>CA</t>
  </si>
  <si>
    <t>High</t>
  </si>
  <si>
    <t>Gym</t>
  </si>
  <si>
    <t>Inside School Building</t>
  </si>
  <si>
    <t>No</t>
  </si>
  <si>
    <t>Night</t>
  </si>
  <si>
    <t>Targeted shooting during birthday party, shooter and victim had grudge</t>
  </si>
  <si>
    <t>Escalation of Dispute</t>
  </si>
  <si>
    <t>Both</t>
  </si>
  <si>
    <t>No</t>
  </si>
  <si>
    <t>20061031TNHAK</t>
  </si>
  <si>
    <t>Halls High School</t>
  </si>
  <si>
    <t>Fall</t>
  </si>
  <si>
    <t>Knoxville</t>
  </si>
  <si>
    <t>TN</t>
  </si>
  <si>
    <t>High</t>
  </si>
  <si>
    <t>Parking Lot</t>
  </si>
  <si>
    <t>Outside on School Property</t>
  </si>
  <si>
    <t>No</t>
  </si>
  <si>
    <t>Evening</t>
  </si>
  <si>
    <t>Security guard killed investigating car with flat tire, did not know occupant was murder suspect and it was stolen car</t>
  </si>
  <si>
    <t>Illegal Activity</t>
  </si>
  <si>
    <t>Victims Targeted</t>
  </si>
  <si>
    <t>No</t>
  </si>
  <si>
    <t>20061017TXSEK</t>
  </si>
  <si>
    <t>Seven Lakes High School</t>
  </si>
  <si>
    <t>Fall</t>
  </si>
  <si>
    <t>Katy</t>
  </si>
  <si>
    <t>TX</t>
  </si>
  <si>
    <t>High</t>
  </si>
  <si>
    <t>Beside Building</t>
  </si>
  <si>
    <t>Outside on School Property</t>
  </si>
  <si>
    <t>Yes</t>
  </si>
  <si>
    <t>Lunch</t>
  </si>
  <si>
    <t>Student shot herself outside of school, school officials report it was an accident</t>
  </si>
  <si>
    <t>Accidental</t>
  </si>
  <si>
    <t>Random Shooting</t>
  </si>
  <si>
    <t>No</t>
  </si>
  <si>
    <t>20061012MDGRB</t>
  </si>
  <si>
    <t>Grove Park Elementary School</t>
  </si>
  <si>
    <t>Fall</t>
  </si>
  <si>
    <t>Baltimore</t>
  </si>
  <si>
    <t>MD</t>
  </si>
  <si>
    <t>Elementary</t>
  </si>
  <si>
    <t>Classroom</t>
  </si>
  <si>
    <t>Inside School Building</t>
  </si>
  <si>
    <t>Yes</t>
  </si>
  <si>
    <t>Afternoon Classes</t>
  </si>
  <si>
    <t>Student accidentally fired gun inside of desk</t>
  </si>
  <si>
    <t>Accidental</t>
  </si>
  <si>
    <t>Neither</t>
  </si>
  <si>
    <t>Yes</t>
  </si>
  <si>
    <t>No</t>
  </si>
  <si>
    <t>20061010NYPOP</t>
  </si>
  <si>
    <t>Ponoma Middle School</t>
  </si>
  <si>
    <t>Fall</t>
  </si>
  <si>
    <t>Pomona</t>
  </si>
  <si>
    <t>NY</t>
  </si>
  <si>
    <t>Middle</t>
  </si>
  <si>
    <t>School Bus</t>
  </si>
  <si>
    <t>Yes</t>
  </si>
  <si>
    <t>After School</t>
  </si>
  <si>
    <t>Student shot multiple students with BB gun on bus</t>
  </si>
  <si>
    <t>Unknown</t>
  </si>
  <si>
    <t>No</t>
  </si>
  <si>
    <t>20061009MOMEJ</t>
  </si>
  <si>
    <t>Memorial Middle School</t>
  </si>
  <si>
    <t>Fall</t>
  </si>
  <si>
    <t>Joplin</t>
  </si>
  <si>
    <t>MO</t>
  </si>
  <si>
    <t>Middle</t>
  </si>
  <si>
    <t>Hallway</t>
  </si>
  <si>
    <t>Inside School Building</t>
  </si>
  <si>
    <t>Yes</t>
  </si>
  <si>
    <t>Morning Classes</t>
  </si>
  <si>
    <t>Poor grades, planned attack, surrendered when confronted.</t>
  </si>
  <si>
    <t>Anger Over Grade/Suspension/Discipline</t>
  </si>
  <si>
    <t>Neither</t>
  </si>
  <si>
    <t>No</t>
  </si>
  <si>
    <t>Yes</t>
  </si>
  <si>
    <t>20061002PAWEN</t>
  </si>
  <si>
    <t>West Nickel Mines School</t>
  </si>
  <si>
    <t>Fall</t>
  </si>
  <si>
    <t>Bart</t>
  </si>
  <si>
    <t>PA</t>
  </si>
  <si>
    <t>K-12</t>
  </si>
  <si>
    <t>Classroom</t>
  </si>
  <si>
    <t>Inside School Building</t>
  </si>
  <si>
    <t>Yes</t>
  </si>
  <si>
    <t>Morning Classes</t>
  </si>
  <si>
    <t>Shot girls in Amish school due to 20 year grudge</t>
  </si>
  <si>
    <t>Indiscriminate Shooting</t>
  </si>
  <si>
    <t>Random Shooting</t>
  </si>
  <si>
    <t>No</t>
  </si>
  <si>
    <t>Yes</t>
  </si>
  <si>
    <t>No</t>
  </si>
  <si>
    <t>Yes</t>
  </si>
  <si>
    <t>20060929WIWEC</t>
  </si>
  <si>
    <t>Weston High School</t>
  </si>
  <si>
    <t>Fall</t>
  </si>
  <si>
    <t>Cazenovia</t>
  </si>
  <si>
    <t>WI</t>
  </si>
  <si>
    <t>High</t>
  </si>
  <si>
    <t>Entryway</t>
  </si>
  <si>
    <t>Inside School Building</t>
  </si>
  <si>
    <t>Yes</t>
  </si>
  <si>
    <t>Morning Classes</t>
  </si>
  <si>
    <t>Planned attack, disarmed by janitor then fired pistol at principal before being subdued</t>
  </si>
  <si>
    <t>Indiscriminate Shooting</t>
  </si>
  <si>
    <t>Random Shooting</t>
  </si>
  <si>
    <t>No</t>
  </si>
  <si>
    <t>Yes</t>
  </si>
  <si>
    <t>No</t>
  </si>
  <si>
    <t>Yes</t>
  </si>
  <si>
    <t>20060927COPLB</t>
  </si>
  <si>
    <t>Platte Canyon High School</t>
  </si>
  <si>
    <t>National</t>
  </si>
  <si>
    <t>Fall</t>
  </si>
  <si>
    <t>Bailey</t>
  </si>
  <si>
    <t>CO</t>
  </si>
  <si>
    <t>High</t>
  </si>
  <si>
    <t>Classroom</t>
  </si>
  <si>
    <t>Inside School Building</t>
  </si>
  <si>
    <t>Yes</t>
  </si>
  <si>
    <t>Morning Classes</t>
  </si>
  <si>
    <t>Took 6 girls hostage in classroom and sexually assaulted them</t>
  </si>
  <si>
    <t>Hostage/Standoff</t>
  </si>
  <si>
    <t>Victims Targeted</t>
  </si>
  <si>
    <t>No</t>
  </si>
  <si>
    <t>Yes</t>
  </si>
  <si>
    <t>No</t>
  </si>
  <si>
    <t>Yes</t>
  </si>
  <si>
    <t>20060921DCCAW</t>
  </si>
  <si>
    <t>Cardozo High School</t>
  </si>
  <si>
    <t>Fall</t>
  </si>
  <si>
    <t>Washington</t>
  </si>
  <si>
    <t>DC</t>
  </si>
  <si>
    <t>High</t>
  </si>
  <si>
    <t>Beside Building</t>
  </si>
  <si>
    <t>Outside on School Property</t>
  </si>
  <si>
    <t>Yes</t>
  </si>
  <si>
    <t>Lunch</t>
  </si>
  <si>
    <t>Argument over girl resulted in targeted shooting</t>
  </si>
  <si>
    <t>Escalation of Dispute</t>
  </si>
  <si>
    <t>Victims Targeted</t>
  </si>
  <si>
    <t>No</t>
  </si>
  <si>
    <t>20060913MOWEC</t>
  </si>
  <si>
    <t>Westminster Christian Academy</t>
  </si>
  <si>
    <t>Fall</t>
  </si>
  <si>
    <t>Creve Coeur</t>
  </si>
  <si>
    <t>MO</t>
  </si>
  <si>
    <t>High</t>
  </si>
  <si>
    <t>Beside Building</t>
  </si>
  <si>
    <t>Outside on School Property</t>
  </si>
  <si>
    <t>No</t>
  </si>
  <si>
    <t>After School</t>
  </si>
  <si>
    <t>Police Officer fired at student who was suicidal</t>
  </si>
  <si>
    <t>Suicide/Attempted</t>
  </si>
  <si>
    <t>Victims Targeted</t>
  </si>
  <si>
    <t>No</t>
  </si>
  <si>
    <t>20060908TXSOF</t>
  </si>
  <si>
    <t>South Hills High School</t>
  </si>
  <si>
    <t>Fall</t>
  </si>
  <si>
    <t>Fort Worth</t>
  </si>
  <si>
    <t>TX</t>
  </si>
  <si>
    <t>High</t>
  </si>
  <si>
    <t>Field (General)</t>
  </si>
  <si>
    <t>Outside on School Property</t>
  </si>
  <si>
    <t>Yes</t>
  </si>
  <si>
    <t>Afternoon Classes</t>
  </si>
  <si>
    <t>SRO fired at student while breaking up fight between 10 students</t>
  </si>
  <si>
    <t>Illegal Activity</t>
  </si>
  <si>
    <t>Victims Targeted</t>
  </si>
  <si>
    <t>No</t>
  </si>
  <si>
    <t>N/A</t>
  </si>
  <si>
    <t>20060905TNKIM</t>
  </si>
  <si>
    <t>Kingsbury Middle School</t>
  </si>
  <si>
    <t>Fall</t>
  </si>
  <si>
    <t>Memphis</t>
  </si>
  <si>
    <t>TN</t>
  </si>
  <si>
    <t>Middle</t>
  </si>
  <si>
    <t>Football Field/Track</t>
  </si>
  <si>
    <t>Outside on School Property</t>
  </si>
  <si>
    <t>No</t>
  </si>
  <si>
    <t>Sport Event</t>
  </si>
  <si>
    <t>Shots fired into ground during a fight between parents at football game</t>
  </si>
  <si>
    <t>Escalation of Dispute</t>
  </si>
  <si>
    <t>Neither</t>
  </si>
  <si>
    <t>No</t>
  </si>
  <si>
    <t>20060831ALOXO</t>
  </si>
  <si>
    <t>Oxford High School</t>
  </si>
  <si>
    <t>Summer</t>
  </si>
  <si>
    <t>Oxford</t>
  </si>
  <si>
    <t>AL</t>
  </si>
  <si>
    <t>High</t>
  </si>
  <si>
    <t>Football Field/Track</t>
  </si>
  <si>
    <t>Outside on School Property</t>
  </si>
  <si>
    <t>No</t>
  </si>
  <si>
    <t>Sport Event</t>
  </si>
  <si>
    <t>Shooting during football game (outside gate to stadium)</t>
  </si>
  <si>
    <t>Escalation of Dispute</t>
  </si>
  <si>
    <t>Victims Targeted</t>
  </si>
  <si>
    <t>No</t>
  </si>
  <si>
    <t>20060830NCORH</t>
  </si>
  <si>
    <t>Orange High School</t>
  </si>
  <si>
    <t>Summer</t>
  </si>
  <si>
    <t>Hillsborough</t>
  </si>
  <si>
    <t>NC</t>
  </si>
  <si>
    <t>High</t>
  </si>
  <si>
    <t>Parking Lot</t>
  </si>
  <si>
    <t>Outside on School Property</t>
  </si>
  <si>
    <t>Yes</t>
  </si>
  <si>
    <t>Afternoon Classes</t>
  </si>
  <si>
    <t>Planned attack, surrendered immediately after first shots to sheriff's deputies in parking lot</t>
  </si>
  <si>
    <t>Indiscriminate Shooting</t>
  </si>
  <si>
    <t>Random Shooting</t>
  </si>
  <si>
    <t>No</t>
  </si>
  <si>
    <t>Yes</t>
  </si>
  <si>
    <t>20060829DCANW</t>
  </si>
  <si>
    <t>Anacostia Senior High School</t>
  </si>
  <si>
    <t>Summer</t>
  </si>
  <si>
    <t>Washington</t>
  </si>
  <si>
    <t>DC</t>
  </si>
  <si>
    <t>High</t>
  </si>
  <si>
    <t>Parking Lot</t>
  </si>
  <si>
    <t>Outside on School Property</t>
  </si>
  <si>
    <t>Yes</t>
  </si>
  <si>
    <t>Dismissal</t>
  </si>
  <si>
    <t>Fired one shot in parking lot, fled, ditched gun, but was caught by officer at school</t>
  </si>
  <si>
    <t>Escalation of Dispute</t>
  </si>
  <si>
    <t>Neither</t>
  </si>
  <si>
    <t>No</t>
  </si>
  <si>
    <t>20060824VTESE</t>
  </si>
  <si>
    <t>Essex Elementary School</t>
  </si>
  <si>
    <t>Summer</t>
  </si>
  <si>
    <t>Essex Junction</t>
  </si>
  <si>
    <t>VT</t>
  </si>
  <si>
    <t>Elementary</t>
  </si>
  <si>
    <t>Classroom</t>
  </si>
  <si>
    <t>Inside School Building</t>
  </si>
  <si>
    <t>Yes</t>
  </si>
  <si>
    <t>Killed ex-girlfriend (teacher) at the school</t>
  </si>
  <si>
    <t>Domestic w/ Targeted Victim</t>
  </si>
  <si>
    <t>Both</t>
  </si>
  <si>
    <t>No</t>
  </si>
  <si>
    <t>Yes</t>
  </si>
  <si>
    <t>20060821INCAN</t>
  </si>
  <si>
    <t>Castle High School</t>
  </si>
  <si>
    <t>Summer</t>
  </si>
  <si>
    <t>Newburgh</t>
  </si>
  <si>
    <t>IN</t>
  </si>
  <si>
    <t>High</t>
  </si>
  <si>
    <t>Parking Lot</t>
  </si>
  <si>
    <t>Outside on School Property</t>
  </si>
  <si>
    <t>Yes</t>
  </si>
  <si>
    <t>Morning Classes</t>
  </si>
  <si>
    <t>Shot himself in car in parking lot after giving suicide note to friend</t>
  </si>
  <si>
    <t>Suicide/Attempted</t>
  </si>
  <si>
    <t>Victims Targeted</t>
  </si>
  <si>
    <t>No</t>
  </si>
  <si>
    <t>20060820GALYH</t>
  </si>
  <si>
    <t>Lyman Hall Elementary School</t>
  </si>
  <si>
    <t>Summer</t>
  </si>
  <si>
    <t>Hinesville</t>
  </si>
  <si>
    <t>GA</t>
  </si>
  <si>
    <t>High</t>
  </si>
  <si>
    <t>Basketball Court</t>
  </si>
  <si>
    <t>Outside on School Property</t>
  </si>
  <si>
    <t>No</t>
  </si>
  <si>
    <t>Not a School Day</t>
  </si>
  <si>
    <t>Shot during fight on basketball court at school</t>
  </si>
  <si>
    <t>Escalation of Dispute</t>
  </si>
  <si>
    <t>Victims Targeted</t>
  </si>
  <si>
    <t>Yes</t>
  </si>
  <si>
    <t>No</t>
  </si>
  <si>
    <t>20060819OHSOY</t>
  </si>
  <si>
    <t>South High School</t>
  </si>
  <si>
    <t>Summer</t>
  </si>
  <si>
    <t>Youngstown</t>
  </si>
  <si>
    <t>OH</t>
  </si>
  <si>
    <t>High</t>
  </si>
  <si>
    <t>Football Field/Track</t>
  </si>
  <si>
    <t>Outside on School Property</t>
  </si>
  <si>
    <t>No</t>
  </si>
  <si>
    <t>Not a School Day</t>
  </si>
  <si>
    <t>Shots fired during fight between adults at football game, part of Ongoing conflict</t>
  </si>
  <si>
    <t>Escalation of Dispute</t>
  </si>
  <si>
    <t>Victims Targeted</t>
  </si>
  <si>
    <t>No</t>
  </si>
  <si>
    <t>20060817TXMEA</t>
  </si>
  <si>
    <t>Mendez Middle School</t>
  </si>
  <si>
    <t>Summer</t>
  </si>
  <si>
    <t>Austin</t>
  </si>
  <si>
    <t>TX</t>
  </si>
  <si>
    <t>Middle</t>
  </si>
  <si>
    <t>Outside on School Property</t>
  </si>
  <si>
    <t>No</t>
  </si>
  <si>
    <t>Not a School Day</t>
  </si>
  <si>
    <t>Shot at school by two rival gang members involved in ongoing dispute with victim</t>
  </si>
  <si>
    <t>Escalation of Dispute</t>
  </si>
  <si>
    <t>Victims Targeted</t>
  </si>
  <si>
    <t>Yes</t>
  </si>
  <si>
    <t>No</t>
  </si>
  <si>
    <t>20060815KYJTV</t>
  </si>
  <si>
    <t>J T Alton Middle School</t>
  </si>
  <si>
    <t>Summer</t>
  </si>
  <si>
    <t>Vine Grove</t>
  </si>
  <si>
    <t>KY</t>
  </si>
  <si>
    <t>Middle</t>
  </si>
  <si>
    <t>Classroom</t>
  </si>
  <si>
    <t>Inside School Building</t>
  </si>
  <si>
    <t>Yes</t>
  </si>
  <si>
    <t>Showing off gun, accidentally fired striking ceiling</t>
  </si>
  <si>
    <t>Accidental</t>
  </si>
  <si>
    <t>Neither</t>
  </si>
  <si>
    <t>No</t>
  </si>
  <si>
    <t>20060731FLYOT</t>
  </si>
  <si>
    <t>Young Middle Magnet School</t>
  </si>
  <si>
    <t>Summer</t>
  </si>
  <si>
    <t>Tampa</t>
  </si>
  <si>
    <t>FL</t>
  </si>
  <si>
    <t>Middle</t>
  </si>
  <si>
    <t>Parking Lot</t>
  </si>
  <si>
    <t>Outside on School Property</t>
  </si>
  <si>
    <t>No</t>
  </si>
  <si>
    <t>Before School</t>
  </si>
  <si>
    <t>Dropped off kids, husband and wife were found dead in car in parking lot, believed to be murder/suicide</t>
  </si>
  <si>
    <t>Murder/Suicide</t>
  </si>
  <si>
    <t>Victims Targeted</t>
  </si>
  <si>
    <t>No</t>
  </si>
  <si>
    <t>Yes</t>
  </si>
  <si>
    <t>20060615MIPED</t>
  </si>
  <si>
    <t>Pershing High School</t>
  </si>
  <si>
    <t>Summer</t>
  </si>
  <si>
    <t>Detroit</t>
  </si>
  <si>
    <t>MI</t>
  </si>
  <si>
    <t>High</t>
  </si>
  <si>
    <t>Front of School</t>
  </si>
  <si>
    <t>Outside on School Property</t>
  </si>
  <si>
    <t>No</t>
  </si>
  <si>
    <t>Evening</t>
  </si>
  <si>
    <t>Students throwing bottles at cars, car chased them down and shot student 3 times</t>
  </si>
  <si>
    <t>Escalation of Dispute</t>
  </si>
  <si>
    <t>Victims Targeted</t>
  </si>
  <si>
    <t>Yes</t>
  </si>
  <si>
    <t>No</t>
  </si>
  <si>
    <t>20060606INWIG</t>
  </si>
  <si>
    <t>Wirt High School</t>
  </si>
  <si>
    <t>Summer</t>
  </si>
  <si>
    <t>Gary</t>
  </si>
  <si>
    <t>IN</t>
  </si>
  <si>
    <t>High</t>
  </si>
  <si>
    <t>Auditorium</t>
  </si>
  <si>
    <t>Inside School Building</t>
  </si>
  <si>
    <t>No</t>
  </si>
  <si>
    <t>School Event</t>
  </si>
  <si>
    <t>Fight between relatives at graduation</t>
  </si>
  <si>
    <t>Escalation of Dispute</t>
  </si>
  <si>
    <t>Victims Targeted</t>
  </si>
  <si>
    <t>Yes</t>
  </si>
  <si>
    <t>No</t>
  </si>
  <si>
    <t>20060605CAVEL</t>
  </si>
  <si>
    <t>Venice High School</t>
  </si>
  <si>
    <t>Summer</t>
  </si>
  <si>
    <t>Los Angeles</t>
  </si>
  <si>
    <t>CA</t>
  </si>
  <si>
    <t>High</t>
  </si>
  <si>
    <t>Parking Lot</t>
  </si>
  <si>
    <t>Outside on School Property</t>
  </si>
  <si>
    <t>Yes</t>
  </si>
  <si>
    <t>Dismissal</t>
  </si>
  <si>
    <t>Gang member tried to steal silver cross of victim's brother</t>
  </si>
  <si>
    <t>Illegal Activity</t>
  </si>
  <si>
    <t>Victims Targeted</t>
  </si>
  <si>
    <t>Yes</t>
  </si>
  <si>
    <t>No</t>
  </si>
  <si>
    <t>20060525PANON</t>
  </si>
  <si>
    <t>Northampton Area Senior High School</t>
  </si>
  <si>
    <t>Spring</t>
  </si>
  <si>
    <t>Northampton</t>
  </si>
  <si>
    <t>PA</t>
  </si>
  <si>
    <t>High</t>
  </si>
  <si>
    <t>Hallway</t>
  </si>
  <si>
    <t>Inside School Building</t>
  </si>
  <si>
    <t>Yes</t>
  </si>
  <si>
    <t>Morning Classes</t>
  </si>
  <si>
    <t>Had rifle, knife, smoke bombs, and fireworks. Surrendered to school official in stairwell.</t>
  </si>
  <si>
    <t>Hostage/Standoff</t>
  </si>
  <si>
    <t>No</t>
  </si>
  <si>
    <t>Yes</t>
  </si>
  <si>
    <t>20060522SCBUI</t>
  </si>
  <si>
    <t>Butch Fork High School</t>
  </si>
  <si>
    <t>Spring</t>
  </si>
  <si>
    <t>Irmo</t>
  </si>
  <si>
    <t>SC</t>
  </si>
  <si>
    <t>High</t>
  </si>
  <si>
    <t>Parking Lot</t>
  </si>
  <si>
    <t>Outside on School Property</t>
  </si>
  <si>
    <t>Yes</t>
  </si>
  <si>
    <t>Morning Classes</t>
  </si>
  <si>
    <t>Told girl over phone he was going to kill her next day, SRO confronted him in morning, pulled gun and fired one shot, and was subdued</t>
  </si>
  <si>
    <t>Domestic w/ Targeted Victim</t>
  </si>
  <si>
    <t>Victims Targeted</t>
  </si>
  <si>
    <t>No</t>
  </si>
  <si>
    <t>Yes</t>
  </si>
  <si>
    <t>20060505FLPAM</t>
  </si>
  <si>
    <t>Parkway Academy</t>
  </si>
  <si>
    <t>Spring</t>
  </si>
  <si>
    <t>Miramar</t>
  </si>
  <si>
    <t>FL</t>
  </si>
  <si>
    <t>High</t>
  </si>
  <si>
    <t>Parking Lot</t>
  </si>
  <si>
    <t>Outside on School Property</t>
  </si>
  <si>
    <t>No</t>
  </si>
  <si>
    <t>School Event</t>
  </si>
  <si>
    <t>Fight in parking lot following dance</t>
  </si>
  <si>
    <t>Escalation of Dispute</t>
  </si>
  <si>
    <t>Victims Targeted</t>
  </si>
  <si>
    <t>Yes</t>
  </si>
  <si>
    <t>No</t>
  </si>
  <si>
    <t>20060424NCEAC</t>
  </si>
  <si>
    <t>East Chapel Hill High School</t>
  </si>
  <si>
    <t>Spring</t>
  </si>
  <si>
    <t>Chapel Hill</t>
  </si>
  <si>
    <t>NC</t>
  </si>
  <si>
    <t>High</t>
  </si>
  <si>
    <t>Classroom</t>
  </si>
  <si>
    <t>Inside School Building</t>
  </si>
  <si>
    <t>No</t>
  </si>
  <si>
    <t>Evening</t>
  </si>
  <si>
    <t>Fired 2 shots at ceiling and held teacher and student hostage in classroom for 2 hours then fled</t>
  </si>
  <si>
    <t>Hostage/Standoff</t>
  </si>
  <si>
    <t>Neither</t>
  </si>
  <si>
    <t>No</t>
  </si>
  <si>
    <t>Yes</t>
  </si>
  <si>
    <t>No</t>
  </si>
  <si>
    <t>Yes</t>
  </si>
  <si>
    <t>20060418TXWEH</t>
  </si>
  <si>
    <t>Westbury High School (bus)</t>
  </si>
  <si>
    <t>Spring</t>
  </si>
  <si>
    <t>Houston</t>
  </si>
  <si>
    <t>TX</t>
  </si>
  <si>
    <t>High</t>
  </si>
  <si>
    <t>School Bus</t>
  </si>
  <si>
    <t>Yes</t>
  </si>
  <si>
    <t>After School</t>
  </si>
  <si>
    <t>Man running across the street fired 2 shots that struck the bus</t>
  </si>
  <si>
    <t>Unknown</t>
  </si>
  <si>
    <t>Random Shooting</t>
  </si>
  <si>
    <t>No</t>
  </si>
  <si>
    <t>20060405DCROW</t>
  </si>
  <si>
    <t>Roosevelt Senior High School</t>
  </si>
  <si>
    <t>Spring</t>
  </si>
  <si>
    <t>Washington</t>
  </si>
  <si>
    <t>DC</t>
  </si>
  <si>
    <t>High</t>
  </si>
  <si>
    <t>Front of School</t>
  </si>
  <si>
    <t>Outside on School Property</t>
  </si>
  <si>
    <t>Yes</t>
  </si>
  <si>
    <t>Morning Classes</t>
  </si>
  <si>
    <t>Students shot during drive-by walking into school building</t>
  </si>
  <si>
    <t>Drive-by Shooting</t>
  </si>
  <si>
    <t>Both</t>
  </si>
  <si>
    <t>Unknown</t>
  </si>
  <si>
    <t>No</t>
  </si>
  <si>
    <t>20060314NVPIR</t>
  </si>
  <si>
    <t>Pine Middle School</t>
  </si>
  <si>
    <t>Spring</t>
  </si>
  <si>
    <t>Reno</t>
  </si>
  <si>
    <t>NV</t>
  </si>
  <si>
    <t>Middle</t>
  </si>
  <si>
    <t>Classroom</t>
  </si>
  <si>
    <t>Inside School Building</t>
  </si>
  <si>
    <t>Yes</t>
  </si>
  <si>
    <t>Morning Classes</t>
  </si>
  <si>
    <t>Planned attack, researched Columbine for weeks</t>
  </si>
  <si>
    <t>Bullying</t>
  </si>
  <si>
    <t>Both</t>
  </si>
  <si>
    <t>No</t>
  </si>
  <si>
    <t>Yes</t>
  </si>
  <si>
    <t>No</t>
  </si>
  <si>
    <t>Yes</t>
  </si>
  <si>
    <t>20060310NYISN</t>
  </si>
  <si>
    <t>I S 89 Middle School</t>
  </si>
  <si>
    <t>Spring</t>
  </si>
  <si>
    <t>New York</t>
  </si>
  <si>
    <t>NY</t>
  </si>
  <si>
    <t>Middle</t>
  </si>
  <si>
    <t>Hallway</t>
  </si>
  <si>
    <t>Inside School Building</t>
  </si>
  <si>
    <t>Yes</t>
  </si>
  <si>
    <t>School Start</t>
  </si>
  <si>
    <t>Two students with BB guns ambushed another student in stairwell</t>
  </si>
  <si>
    <t>Escalation of Dispute</t>
  </si>
  <si>
    <t>Both</t>
  </si>
  <si>
    <t>No</t>
  </si>
  <si>
    <t>20060223ORROR</t>
  </si>
  <si>
    <t>Roseburg High School</t>
  </si>
  <si>
    <t>Winter</t>
  </si>
  <si>
    <t>Roseburg</t>
  </si>
  <si>
    <t>OR</t>
  </si>
  <si>
    <t>High</t>
  </si>
  <si>
    <t>Hallway</t>
  </si>
  <si>
    <t>Inside School Building</t>
  </si>
  <si>
    <t>Yes</t>
  </si>
  <si>
    <t>Before School</t>
  </si>
  <si>
    <t>Jealousy over girl interested in victim</t>
  </si>
  <si>
    <t>Murder/Suicide</t>
  </si>
  <si>
    <t>Victims Targeted</t>
  </si>
  <si>
    <t>No</t>
  </si>
  <si>
    <t>Yes</t>
  </si>
  <si>
    <t>No</t>
  </si>
  <si>
    <t>Yes</t>
  </si>
  <si>
    <t>20060221PAWEP</t>
  </si>
  <si>
    <t>Westinghouse High School</t>
  </si>
  <si>
    <t>Winter</t>
  </si>
  <si>
    <t>Pittsburgh</t>
  </si>
  <si>
    <t>PA</t>
  </si>
  <si>
    <t>High</t>
  </si>
  <si>
    <t>Front of School</t>
  </si>
  <si>
    <t>Outside on School Property</t>
  </si>
  <si>
    <t>Yes</t>
  </si>
  <si>
    <t>School Start</t>
  </si>
  <si>
    <t>Student shot in targeted drive-by outside of school</t>
  </si>
  <si>
    <t>Drive-by Shooting</t>
  </si>
  <si>
    <t>Victims Targeted</t>
  </si>
  <si>
    <t>Yes</t>
  </si>
  <si>
    <t>No</t>
  </si>
  <si>
    <t>20060215PAWEY</t>
  </si>
  <si>
    <t>West York Area High School</t>
  </si>
  <si>
    <t>Winter</t>
  </si>
  <si>
    <t>York</t>
  </si>
  <si>
    <t>PA</t>
  </si>
  <si>
    <t>High</t>
  </si>
  <si>
    <t>Classroom</t>
  </si>
  <si>
    <t>Inside School Building</t>
  </si>
  <si>
    <t>No</t>
  </si>
  <si>
    <t>Evening</t>
  </si>
  <si>
    <t>Art teacher shot himself in the evening, found the next day in classroom</t>
  </si>
  <si>
    <t>Suicide/Attempted</t>
  </si>
  <si>
    <t>Victims Targeted</t>
  </si>
  <si>
    <t>No</t>
  </si>
  <si>
    <t>20060209DEWIN</t>
  </si>
  <si>
    <t>William Penn High School</t>
  </si>
  <si>
    <t>Winter</t>
  </si>
  <si>
    <t>New Castle</t>
  </si>
  <si>
    <t>DE</t>
  </si>
  <si>
    <t>High</t>
  </si>
  <si>
    <t>Parking Lot</t>
  </si>
  <si>
    <t>Outside on School Property</t>
  </si>
  <si>
    <t>No</t>
  </si>
  <si>
    <t>Sport Event</t>
  </si>
  <si>
    <t>Fight in parking lot following basketball game</t>
  </si>
  <si>
    <t>Escalation of Dispute</t>
  </si>
  <si>
    <t>Victims Targeted</t>
  </si>
  <si>
    <t>Yes</t>
  </si>
  <si>
    <t>No</t>
  </si>
  <si>
    <t>20060203CALOC</t>
  </si>
  <si>
    <t>Longfellow Elementary School (bus)</t>
  </si>
  <si>
    <t>Winter</t>
  </si>
  <si>
    <t>Compton</t>
  </si>
  <si>
    <t>CA</t>
  </si>
  <si>
    <t>Elementary</t>
  </si>
  <si>
    <t>School Bus</t>
  </si>
  <si>
    <t>Yes</t>
  </si>
  <si>
    <t>Before School</t>
  </si>
  <si>
    <t>Showing off gun on bus, fired striking other student in arm</t>
  </si>
  <si>
    <t>Accidental</t>
  </si>
  <si>
    <t>Random Shooting</t>
  </si>
  <si>
    <t>No</t>
  </si>
  <si>
    <t>20060130MTCMG</t>
  </si>
  <si>
    <t>C M Russell High School</t>
  </si>
  <si>
    <t>Winter</t>
  </si>
  <si>
    <t>Great Falls</t>
  </si>
  <si>
    <t>MT</t>
  </si>
  <si>
    <t>High</t>
  </si>
  <si>
    <t>Bathroom</t>
  </si>
  <si>
    <t>Inside School Building</t>
  </si>
  <si>
    <t>Yes</t>
  </si>
  <si>
    <t>School Start</t>
  </si>
  <si>
    <t>Shot self in bathroom</t>
  </si>
  <si>
    <t>Suicide/Attempted</t>
  </si>
  <si>
    <t>Victims Targeted</t>
  </si>
  <si>
    <t>No</t>
  </si>
  <si>
    <t>20060127TXLAG</t>
  </si>
  <si>
    <t>Lakeview Centennial High School</t>
  </si>
  <si>
    <t>Winter</t>
  </si>
  <si>
    <t>Garland</t>
  </si>
  <si>
    <t>TX</t>
  </si>
  <si>
    <t>High</t>
  </si>
  <si>
    <t>Classroom</t>
  </si>
  <si>
    <t>Inside School Building</t>
  </si>
  <si>
    <t>Yes</t>
  </si>
  <si>
    <t>Accidentally fired gun into floor, fragments injured two female students.</t>
  </si>
  <si>
    <t>Accidental</t>
  </si>
  <si>
    <t>Random Shooting</t>
  </si>
  <si>
    <t>No</t>
  </si>
  <si>
    <t>20060123CAWIV</t>
  </si>
  <si>
    <t>Will C. Wood High School</t>
  </si>
  <si>
    <t>Winter</t>
  </si>
  <si>
    <t>Vacaville</t>
  </si>
  <si>
    <t>CA</t>
  </si>
  <si>
    <t>High</t>
  </si>
  <si>
    <t>Gym</t>
  </si>
  <si>
    <t>Outside on School Property</t>
  </si>
  <si>
    <t>Yes</t>
  </si>
  <si>
    <t>Morning Classes</t>
  </si>
  <si>
    <t>Playing with gun outside of school</t>
  </si>
  <si>
    <t>Accidental</t>
  </si>
  <si>
    <t>Random Shooting</t>
  </si>
  <si>
    <t>No</t>
  </si>
  <si>
    <t>20060119OHWIC</t>
  </si>
  <si>
    <t>Withrow High School</t>
  </si>
  <si>
    <t>Winter</t>
  </si>
  <si>
    <t>Cincinnati</t>
  </si>
  <si>
    <t>OH</t>
  </si>
  <si>
    <t>High</t>
  </si>
  <si>
    <t>Parking Lot</t>
  </si>
  <si>
    <t>Outside on School Property</t>
  </si>
  <si>
    <t>No</t>
  </si>
  <si>
    <t>Evening</t>
  </si>
  <si>
    <t>Shooting in parking lot behind the school, two parties in different cars, fled the scene</t>
  </si>
  <si>
    <t>Drive-by Shooting</t>
  </si>
  <si>
    <t>Victims Targeted</t>
  </si>
  <si>
    <t>No</t>
  </si>
  <si>
    <t>20060118MTFRA</t>
  </si>
  <si>
    <t>Fred Moodry Middle School</t>
  </si>
  <si>
    <t>Winter</t>
  </si>
  <si>
    <t>Anaconda</t>
  </si>
  <si>
    <t>MT</t>
  </si>
  <si>
    <t>Middle</t>
  </si>
  <si>
    <t>Beside Building</t>
  </si>
  <si>
    <t>Outside on School Property</t>
  </si>
  <si>
    <t>Yes</t>
  </si>
  <si>
    <t>Dismissal</t>
  </si>
  <si>
    <t>Female student in car shot airsoft gun at boy standing outside of school, hit him in face</t>
  </si>
  <si>
    <t>Drive-by Shooting</t>
  </si>
  <si>
    <t>Victims Targeted</t>
  </si>
  <si>
    <t>No</t>
  </si>
  <si>
    <t>20060118VAINC</t>
  </si>
  <si>
    <t>Indian River High School</t>
  </si>
  <si>
    <t>Winter</t>
  </si>
  <si>
    <t>Chesapeake</t>
  </si>
  <si>
    <t>VA</t>
  </si>
  <si>
    <t>High</t>
  </si>
  <si>
    <t>Cafeteria</t>
  </si>
  <si>
    <t>Inside School Building</t>
  </si>
  <si>
    <t>Yes</t>
  </si>
  <si>
    <t>Lunch</t>
  </si>
  <si>
    <t>Fired a targeted victim during dispute</t>
  </si>
  <si>
    <t>Escalation of Dispute</t>
  </si>
  <si>
    <t>Victims Targeted</t>
  </si>
  <si>
    <t>No</t>
  </si>
  <si>
    <t>20060118TXPAA</t>
  </si>
  <si>
    <t>Passmore Elementary School</t>
  </si>
  <si>
    <t>Winter</t>
  </si>
  <si>
    <t>Alvin</t>
  </si>
  <si>
    <t>TX</t>
  </si>
  <si>
    <t>Elementary</t>
  </si>
  <si>
    <t>Classroom</t>
  </si>
  <si>
    <t>Inside School Building</t>
  </si>
  <si>
    <t>Yes</t>
  </si>
  <si>
    <t>Morning Classes</t>
  </si>
  <si>
    <t>Fired gun in pocket during class</t>
  </si>
  <si>
    <t>Accidental</t>
  </si>
  <si>
    <t>Random Shooting</t>
  </si>
  <si>
    <t>No</t>
  </si>
  <si>
    <t>20060113MIOSD</t>
  </si>
  <si>
    <t>Osborn High School</t>
  </si>
  <si>
    <t>Winter</t>
  </si>
  <si>
    <t>Detroit</t>
  </si>
  <si>
    <t>MI</t>
  </si>
  <si>
    <t>High</t>
  </si>
  <si>
    <t>Hallway</t>
  </si>
  <si>
    <t>Inside School Building</t>
  </si>
  <si>
    <t>Yes</t>
  </si>
  <si>
    <t>Lunch</t>
  </si>
  <si>
    <t>Single shot fired in hallway</t>
  </si>
  <si>
    <t>Anger Over Grade/Suspension/Discipline</t>
  </si>
  <si>
    <t>Neither</t>
  </si>
  <si>
    <t>No</t>
  </si>
  <si>
    <t>20060113FLMIL</t>
  </si>
  <si>
    <t>Milwee Middle School</t>
  </si>
  <si>
    <t>Winter</t>
  </si>
  <si>
    <t>Longwood</t>
  </si>
  <si>
    <t>FL</t>
  </si>
  <si>
    <t>Middle</t>
  </si>
  <si>
    <t>Classroom</t>
  </si>
  <si>
    <t>Inside School Building</t>
  </si>
  <si>
    <t>Yes</t>
  </si>
  <si>
    <t>Morning Classes</t>
  </si>
  <si>
    <t>Dispute over girl, student had pellet gun and was killed by police</t>
  </si>
  <si>
    <t>Escalation of Dispute</t>
  </si>
  <si>
    <t>Victims Targeted</t>
  </si>
  <si>
    <t>No</t>
  </si>
  <si>
    <t>20060113ALPIP</t>
  </si>
  <si>
    <t>Pinson Valley High School</t>
  </si>
  <si>
    <t>Winter</t>
  </si>
  <si>
    <t>Pinson</t>
  </si>
  <si>
    <t>AL</t>
  </si>
  <si>
    <t>High</t>
  </si>
  <si>
    <t>Parking Lot</t>
  </si>
  <si>
    <t>Outside on School Property</t>
  </si>
  <si>
    <t>No</t>
  </si>
  <si>
    <t>Sport Event</t>
  </si>
  <si>
    <t>Shot during fight in parking lot after basketball game</t>
  </si>
  <si>
    <t>Escalation of Dispute</t>
  </si>
  <si>
    <t>Victims Targeted</t>
  </si>
  <si>
    <t>No</t>
  </si>
  <si>
    <t>20060111WIMAM</t>
  </si>
  <si>
    <t>Mary McLeod Bethune Academy</t>
  </si>
  <si>
    <t>Winter</t>
  </si>
  <si>
    <t>Milwaukee</t>
  </si>
  <si>
    <t>WI</t>
  </si>
  <si>
    <t>K-8</t>
  </si>
  <si>
    <t>Playground</t>
  </si>
  <si>
    <t>Outside on School Property</t>
  </si>
  <si>
    <t>Yes</t>
  </si>
  <si>
    <t>Lunch</t>
  </si>
  <si>
    <t>Nearby gunfire struck student on school playground (not targeted)</t>
  </si>
  <si>
    <t>Accidental</t>
  </si>
  <si>
    <t>Random Shooting</t>
  </si>
  <si>
    <t>Unknown</t>
  </si>
  <si>
    <t>No</t>
  </si>
  <si>
    <t>20060110DEMOW</t>
  </si>
  <si>
    <t>Mount Pleasant High School</t>
  </si>
  <si>
    <t>Winter</t>
  </si>
  <si>
    <t>Wilmington</t>
  </si>
  <si>
    <t>DE</t>
  </si>
  <si>
    <t>High</t>
  </si>
  <si>
    <t>Basketball Court</t>
  </si>
  <si>
    <t>Outside on School Property</t>
  </si>
  <si>
    <t>No</t>
  </si>
  <si>
    <t>Sport Event</t>
  </si>
  <si>
    <t>16 year old victim shot in HS parking lot during fight with several students</t>
  </si>
  <si>
    <t>Escalation of Dispute</t>
  </si>
  <si>
    <t>Victims Targeted</t>
  </si>
  <si>
    <t>Unknown</t>
  </si>
  <si>
    <t>No</t>
  </si>
  <si>
    <t>20060103NJLIJ</t>
  </si>
  <si>
    <t>Lincoln High School</t>
  </si>
  <si>
    <t>Winter</t>
  </si>
  <si>
    <t>Jersey City</t>
  </si>
  <si>
    <t>NJ</t>
  </si>
  <si>
    <t>High</t>
  </si>
  <si>
    <t>Beside Building</t>
  </si>
  <si>
    <t>Outside on School Property</t>
  </si>
  <si>
    <t>Yes</t>
  </si>
  <si>
    <t>Dismissal</t>
  </si>
  <si>
    <t>Shooting resulted from a large fight involving 40 students after school</t>
  </si>
  <si>
    <t>Escalation of Dispute</t>
  </si>
  <si>
    <t>Unknown</t>
  </si>
  <si>
    <t>No</t>
  </si>
  <si>
    <t>20051206CASAG</t>
  </si>
  <si>
    <t>Santiago High School</t>
  </si>
  <si>
    <t>Winter</t>
  </si>
  <si>
    <t>Garden Grove</t>
  </si>
  <si>
    <t>CA</t>
  </si>
  <si>
    <t>High</t>
  </si>
  <si>
    <t>Football Field/Track</t>
  </si>
  <si>
    <t>Outside on School Property</t>
  </si>
  <si>
    <t>No</t>
  </si>
  <si>
    <t>After School</t>
  </si>
  <si>
    <t>Student killed by 5 members of rival gang</t>
  </si>
  <si>
    <t>Escalation of Dispute</t>
  </si>
  <si>
    <t>Victims Targeted</t>
  </si>
  <si>
    <t>Yes</t>
  </si>
  <si>
    <t>No</t>
  </si>
  <si>
    <t>20051206MICED</t>
  </si>
  <si>
    <t>Central High School</t>
  </si>
  <si>
    <t>Winter</t>
  </si>
  <si>
    <t>Detroit</t>
  </si>
  <si>
    <t>MI</t>
  </si>
  <si>
    <t>High</t>
  </si>
  <si>
    <t>Hallway</t>
  </si>
  <si>
    <t>Inside School Building</t>
  </si>
  <si>
    <t>Yes</t>
  </si>
  <si>
    <t>Afternoon Classes</t>
  </si>
  <si>
    <t>Two non-students shot after entering school</t>
  </si>
  <si>
    <t>Escalation of Dispute</t>
  </si>
  <si>
    <t>Victims Targeted</t>
  </si>
  <si>
    <t>No</t>
  </si>
  <si>
    <t>20051205MABOR</t>
  </si>
  <si>
    <t>Boston Day and Evening Academy (High School)</t>
  </si>
  <si>
    <t>Winter</t>
  </si>
  <si>
    <t>Roxbury</t>
  </si>
  <si>
    <t>MA</t>
  </si>
  <si>
    <t>High</t>
  </si>
  <si>
    <t>Bathroom</t>
  </si>
  <si>
    <t>Inside School Building</t>
  </si>
  <si>
    <t>Yes</t>
  </si>
  <si>
    <t>Afternoon Classes</t>
  </si>
  <si>
    <t>Fight in bathroom, fired shots and missed then fled</t>
  </si>
  <si>
    <t>Escalation of Dispute</t>
  </si>
  <si>
    <t>Neither</t>
  </si>
  <si>
    <t>No</t>
  </si>
  <si>
    <t>20051116TXIRS</t>
  </si>
  <si>
    <t>Irving Middle School</t>
  </si>
  <si>
    <t>Fall</t>
  </si>
  <si>
    <t>San Antonio</t>
  </si>
  <si>
    <t>TX</t>
  </si>
  <si>
    <t>Middle</t>
  </si>
  <si>
    <t>Parking Lot</t>
  </si>
  <si>
    <t>Outside on School Property</t>
  </si>
  <si>
    <t>Yes</t>
  </si>
  <si>
    <t>Officer killed burglary suspect in parking lot</t>
  </si>
  <si>
    <t>Illegal Activity</t>
  </si>
  <si>
    <t>Victims Targeted</t>
  </si>
  <si>
    <t>No</t>
  </si>
  <si>
    <t>20051115FLPAM</t>
  </si>
  <si>
    <t>Parkway Academy Charter High School (bus)</t>
  </si>
  <si>
    <t>Fall</t>
  </si>
  <si>
    <t>Miramar</t>
  </si>
  <si>
    <t>FL</t>
  </si>
  <si>
    <t>High</t>
  </si>
  <si>
    <t>School Bus</t>
  </si>
  <si>
    <t>Yes</t>
  </si>
  <si>
    <t>Before School</t>
  </si>
  <si>
    <t>Shooter shot victim on bus due to earlier confrontation</t>
  </si>
  <si>
    <t>Escalation of Dispute</t>
  </si>
  <si>
    <t>Victims Targeted</t>
  </si>
  <si>
    <t>No</t>
  </si>
  <si>
    <t>20051108TNCAJ</t>
  </si>
  <si>
    <t>Campbell County High School</t>
  </si>
  <si>
    <t>National</t>
  </si>
  <si>
    <t>Fall</t>
  </si>
  <si>
    <t>Jacksboro</t>
  </si>
  <si>
    <t>TN</t>
  </si>
  <si>
    <t>High</t>
  </si>
  <si>
    <t>Hallway</t>
  </si>
  <si>
    <t>Inside School Building</t>
  </si>
  <si>
    <t>Yes</t>
  </si>
  <si>
    <t>Afternoon Classes</t>
  </si>
  <si>
    <t>Trading gun for RX drugs</t>
  </si>
  <si>
    <t>Illegal Activity</t>
  </si>
  <si>
    <t>Random Shooting</t>
  </si>
  <si>
    <t>No</t>
  </si>
  <si>
    <t>Yes</t>
  </si>
  <si>
    <t>20051028NYFAF</t>
  </si>
  <si>
    <t>Farmingdale High School</t>
  </si>
  <si>
    <t>Fall</t>
  </si>
  <si>
    <t>Farmingdale</t>
  </si>
  <si>
    <t>NY</t>
  </si>
  <si>
    <t>High</t>
  </si>
  <si>
    <t>Front of School</t>
  </si>
  <si>
    <t>Outside on School Property</t>
  </si>
  <si>
    <t>No</t>
  </si>
  <si>
    <t>School Event</t>
  </si>
  <si>
    <t>Group of teens fired multiple shots at school security guard following fight in parking lot</t>
  </si>
  <si>
    <t>Escalation of Dispute</t>
  </si>
  <si>
    <t>Victims Targeted</t>
  </si>
  <si>
    <t>Yes</t>
  </si>
  <si>
    <t>No</t>
  </si>
  <si>
    <t>20051028MDANA</t>
  </si>
  <si>
    <t>Annapolis High School</t>
  </si>
  <si>
    <t>Fall</t>
  </si>
  <si>
    <t>Annapolis</t>
  </si>
  <si>
    <t>MD</t>
  </si>
  <si>
    <t>High</t>
  </si>
  <si>
    <t>Football Field/Track</t>
  </si>
  <si>
    <t>Outside on School Property</t>
  </si>
  <si>
    <t>No</t>
  </si>
  <si>
    <t>Sport Event</t>
  </si>
  <si>
    <t>Bystander shot in leg during HS football game, student had gun in pocket</t>
  </si>
  <si>
    <t>Accidental</t>
  </si>
  <si>
    <t>Random Shooting</t>
  </si>
  <si>
    <t>No</t>
  </si>
  <si>
    <t>20051027CABIF</t>
  </si>
  <si>
    <t>Birney Elementary School</t>
  </si>
  <si>
    <t>Fall</t>
  </si>
  <si>
    <t>Fresno</t>
  </si>
  <si>
    <t>CA</t>
  </si>
  <si>
    <t>Elementary</t>
  </si>
  <si>
    <t>Parking Lot</t>
  </si>
  <si>
    <t>Outside on School Property</t>
  </si>
  <si>
    <t>Yes</t>
  </si>
  <si>
    <t>Victim shot in parking lot of elementary school where son attended - gang related</t>
  </si>
  <si>
    <t>Escalation of Dispute</t>
  </si>
  <si>
    <t>Victims Targeted</t>
  </si>
  <si>
    <t>No</t>
  </si>
  <si>
    <t>20051020MISAS</t>
  </si>
  <si>
    <t>Saginaw High School</t>
  </si>
  <si>
    <t>Fall</t>
  </si>
  <si>
    <t>Saginaw</t>
  </si>
  <si>
    <t>MI</t>
  </si>
  <si>
    <t>High</t>
  </si>
  <si>
    <t>Office</t>
  </si>
  <si>
    <t>Inside School Building</t>
  </si>
  <si>
    <t>Yes</t>
  </si>
  <si>
    <t>Lunch</t>
  </si>
  <si>
    <t>15 year old shooter opened fire in cafeteria striking another student in chest</t>
  </si>
  <si>
    <t>Escalation of Dispute</t>
  </si>
  <si>
    <t>Victims Targeted</t>
  </si>
  <si>
    <t>No</t>
  </si>
  <si>
    <t>20051019CASAS</t>
  </si>
  <si>
    <t>San Gorgonio High School</t>
  </si>
  <si>
    <t>Fall</t>
  </si>
  <si>
    <t>San Bernardino</t>
  </si>
  <si>
    <t>CA</t>
  </si>
  <si>
    <t>High</t>
  </si>
  <si>
    <t>Parking Lot</t>
  </si>
  <si>
    <t>Outside on School Property</t>
  </si>
  <si>
    <t>Yes</t>
  </si>
  <si>
    <t>School Start</t>
  </si>
  <si>
    <t>Student shot in school parking lot as part of Ongoing conflict</t>
  </si>
  <si>
    <t>Escalation of Dispute</t>
  </si>
  <si>
    <t>Victims Targeted</t>
  </si>
  <si>
    <t>Yes</t>
  </si>
  <si>
    <t>No</t>
  </si>
  <si>
    <t>20051014NYSAN</t>
  </si>
  <si>
    <t>Samula Tilden High School</t>
  </si>
  <si>
    <t>Fall</t>
  </si>
  <si>
    <t>New York</t>
  </si>
  <si>
    <t>NY</t>
  </si>
  <si>
    <t>High</t>
  </si>
  <si>
    <t>Beside Building</t>
  </si>
  <si>
    <t>Outside on School Property</t>
  </si>
  <si>
    <t>Yes</t>
  </si>
  <si>
    <t>Morning Classes</t>
  </si>
  <si>
    <t>Student shot during fight with 6 other students</t>
  </si>
  <si>
    <t>Escalation of Dispute</t>
  </si>
  <si>
    <t>Victims Targeted</t>
  </si>
  <si>
    <t>Yes</t>
  </si>
  <si>
    <t>No</t>
  </si>
  <si>
    <t>20051011MIFAF</t>
  </si>
  <si>
    <t>Farmington High School</t>
  </si>
  <si>
    <t>Fall</t>
  </si>
  <si>
    <t>Farmington</t>
  </si>
  <si>
    <t>MI</t>
  </si>
  <si>
    <t>High</t>
  </si>
  <si>
    <t>Bathroom</t>
  </si>
  <si>
    <t>Inside School Building</t>
  </si>
  <si>
    <t>Yes</t>
  </si>
  <si>
    <t>School Start</t>
  </si>
  <si>
    <t>Fired shot into ceiling then surrendered to school administrator</t>
  </si>
  <si>
    <t>Psychosis</t>
  </si>
  <si>
    <t>Neither</t>
  </si>
  <si>
    <t>No</t>
  </si>
  <si>
    <t>Yes</t>
  </si>
  <si>
    <t>20050924MISAS</t>
  </si>
  <si>
    <t>Saginaw High School</t>
  </si>
  <si>
    <t>Fall</t>
  </si>
  <si>
    <t>Saginaw</t>
  </si>
  <si>
    <t>MI</t>
  </si>
  <si>
    <t>High</t>
  </si>
  <si>
    <t>Beside Building</t>
  </si>
  <si>
    <t>Outside on School Property</t>
  </si>
  <si>
    <t>No</t>
  </si>
  <si>
    <t>School Event</t>
  </si>
  <si>
    <t>Drive-by shooting. Possible feud or gang escalation</t>
  </si>
  <si>
    <t>Drive-by Shooting</t>
  </si>
  <si>
    <t>No</t>
  </si>
  <si>
    <t>20050913ILHAC</t>
  </si>
  <si>
    <t>Harlan Community Academy High School</t>
  </si>
  <si>
    <t>Fall</t>
  </si>
  <si>
    <t>Chicago</t>
  </si>
  <si>
    <t>IL</t>
  </si>
  <si>
    <t>High</t>
  </si>
  <si>
    <t>Hallway</t>
  </si>
  <si>
    <t>Inside School Building</t>
  </si>
  <si>
    <t>Yes</t>
  </si>
  <si>
    <t>Dismissal</t>
  </si>
  <si>
    <t>Fight involving multiple students at end of day</t>
  </si>
  <si>
    <t>Escalation of Dispute</t>
  </si>
  <si>
    <t>Victims Targeted</t>
  </si>
  <si>
    <t>No</t>
  </si>
  <si>
    <t>20050902FLSOJ</t>
  </si>
  <si>
    <t>Sojourner Truth High School</t>
  </si>
  <si>
    <t>Fall</t>
  </si>
  <si>
    <t>Jacksonville</t>
  </si>
  <si>
    <t>FL</t>
  </si>
  <si>
    <t>High</t>
  </si>
  <si>
    <t>Beside Building</t>
  </si>
  <si>
    <t>Outside on School Property</t>
  </si>
  <si>
    <t>Yes</t>
  </si>
  <si>
    <t>Dismissal</t>
  </si>
  <si>
    <t>Shooting stemmed from misunderstanding over a girl</t>
  </si>
  <si>
    <t>Escalation of Dispute</t>
  </si>
  <si>
    <t>Victims Targeted</t>
  </si>
  <si>
    <t>Yes</t>
  </si>
  <si>
    <t>No</t>
  </si>
  <si>
    <t>20050901AKDIA</t>
  </si>
  <si>
    <t>Dimond High School</t>
  </si>
  <si>
    <t>Fall</t>
  </si>
  <si>
    <t>Anchorage</t>
  </si>
  <si>
    <t>AK</t>
  </si>
  <si>
    <t>High</t>
  </si>
  <si>
    <t>Parking Lot</t>
  </si>
  <si>
    <t>Outside on School Property</t>
  </si>
  <si>
    <t>No</t>
  </si>
  <si>
    <t>Evening</t>
  </si>
  <si>
    <t>Shots during fight in parking lot</t>
  </si>
  <si>
    <t>Escalation of Dispute</t>
  </si>
  <si>
    <t>Victims Targeted</t>
  </si>
  <si>
    <t>No</t>
  </si>
  <si>
    <t>20050825TNMAD</t>
  </si>
  <si>
    <t>Maury Middle School</t>
  </si>
  <si>
    <t>Summer</t>
  </si>
  <si>
    <t>Dandridge</t>
  </si>
  <si>
    <t>TN</t>
  </si>
  <si>
    <t>Middle</t>
  </si>
  <si>
    <t>Bathroom</t>
  </si>
  <si>
    <t>Inside School Building</t>
  </si>
  <si>
    <t>Yes</t>
  </si>
  <si>
    <t>Morning Classes</t>
  </si>
  <si>
    <t>Three students were handling weapon when it accidentally fired striking victim; plotting to kill teacher</t>
  </si>
  <si>
    <t>Accidental</t>
  </si>
  <si>
    <t>Random Shooting</t>
  </si>
  <si>
    <t>No</t>
  </si>
  <si>
    <t>20050819GAMOM</t>
  </si>
  <si>
    <t>Morrow High School</t>
  </si>
  <si>
    <t>Summer</t>
  </si>
  <si>
    <t>Morrow</t>
  </si>
  <si>
    <t>GA</t>
  </si>
  <si>
    <t>High</t>
  </si>
  <si>
    <t>Parking Lot</t>
  </si>
  <si>
    <t>Outside on School Property</t>
  </si>
  <si>
    <t>Yes</t>
  </si>
  <si>
    <t>Morning Classes</t>
  </si>
  <si>
    <t>2 males shot in school parking lot by unknown shooter</t>
  </si>
  <si>
    <t>Escalation of Dispute</t>
  </si>
  <si>
    <t>Victims Targeted</t>
  </si>
  <si>
    <t>No</t>
  </si>
  <si>
    <t>20050817CAPLB</t>
  </si>
  <si>
    <t>Planatation Elementary School</t>
  </si>
  <si>
    <t>Summer</t>
  </si>
  <si>
    <t>Bakersfield</t>
  </si>
  <si>
    <t>CA</t>
  </si>
  <si>
    <t>Elementary</t>
  </si>
  <si>
    <t>Parking Lot</t>
  </si>
  <si>
    <t>Outside on School Property</t>
  </si>
  <si>
    <t>No</t>
  </si>
  <si>
    <t>Evening</t>
  </si>
  <si>
    <t>Shot during argument outside of school</t>
  </si>
  <si>
    <t>Escalation of Dispute</t>
  </si>
  <si>
    <t>Victims Targeted</t>
  </si>
  <si>
    <t>No</t>
  </si>
  <si>
    <t>20050816VICOE</t>
  </si>
  <si>
    <t>St Croix Country Day School</t>
  </si>
  <si>
    <t>Summer</t>
  </si>
  <si>
    <t>Saint Croix</t>
  </si>
  <si>
    <t>VI</t>
  </si>
  <si>
    <t>High</t>
  </si>
  <si>
    <t>Other</t>
  </si>
  <si>
    <t>Inside School Building</t>
  </si>
  <si>
    <t>Yes</t>
  </si>
  <si>
    <t>Before School</t>
  </si>
  <si>
    <t>School maintenance worker shot while in school maintenance shop by two masked men</t>
  </si>
  <si>
    <t>Illegal Activity</t>
  </si>
  <si>
    <t>Victims Targeted</t>
  </si>
  <si>
    <t>No</t>
  </si>
  <si>
    <t>20050718NJWEN</t>
  </si>
  <si>
    <t>Weequahic High School</t>
  </si>
  <si>
    <t>Summer</t>
  </si>
  <si>
    <t>Newark</t>
  </si>
  <si>
    <t>NJ</t>
  </si>
  <si>
    <t>High</t>
  </si>
  <si>
    <t>Parking Lot</t>
  </si>
  <si>
    <t>Outside on School Property</t>
  </si>
  <si>
    <t>Yes</t>
  </si>
  <si>
    <t>Afternoon Classes</t>
  </si>
  <si>
    <t>Police tried to break up fight between female students, brother fired at officers killing one</t>
  </si>
  <si>
    <t>Escalation of Dispute</t>
  </si>
  <si>
    <t>Random Shooting</t>
  </si>
  <si>
    <t>Yes</t>
  </si>
  <si>
    <t>No</t>
  </si>
  <si>
    <t>20050612NJBAA</t>
  </si>
  <si>
    <t>Bangs Avenue Elementary School</t>
  </si>
  <si>
    <t>Summer</t>
  </si>
  <si>
    <t>Asbury Park</t>
  </si>
  <si>
    <t>NJ</t>
  </si>
  <si>
    <t>Elementary</t>
  </si>
  <si>
    <t>Beside Building</t>
  </si>
  <si>
    <t>Outside on School Property</t>
  </si>
  <si>
    <t>No</t>
  </si>
  <si>
    <t>Evening</t>
  </si>
  <si>
    <t>3 shot during fight between 20 people at school</t>
  </si>
  <si>
    <t>Escalation of Dispute</t>
  </si>
  <si>
    <t>Yes</t>
  </si>
  <si>
    <t>No</t>
  </si>
  <si>
    <t>20050608NYARP</t>
  </si>
  <si>
    <t>Arlington High School</t>
  </si>
  <si>
    <t>Summer</t>
  </si>
  <si>
    <t>Poughkeepsie</t>
  </si>
  <si>
    <t>NY</t>
  </si>
  <si>
    <t>High</t>
  </si>
  <si>
    <t>Front of School</t>
  </si>
  <si>
    <t>Outside on School Property</t>
  </si>
  <si>
    <t>Yes</t>
  </si>
  <si>
    <t>Dismissal</t>
  </si>
  <si>
    <t>Fired BB gun at students during drive-by</t>
  </si>
  <si>
    <t>Drive-by Shooting</t>
  </si>
  <si>
    <t>Yes</t>
  </si>
  <si>
    <t>No</t>
  </si>
  <si>
    <t>20050524COACD</t>
  </si>
  <si>
    <t>Academia Ana Marie Sandoval Montessori School</t>
  </si>
  <si>
    <t>Spring</t>
  </si>
  <si>
    <t>Denver</t>
  </si>
  <si>
    <t>CO</t>
  </si>
  <si>
    <t>Other</t>
  </si>
  <si>
    <t>Playground</t>
  </si>
  <si>
    <t>Outside on School Property</t>
  </si>
  <si>
    <t>Yes</t>
  </si>
  <si>
    <t>Afternoon Classes</t>
  </si>
  <si>
    <t>Unknown shooter fired BB gun at playground striking teacher in the neck</t>
  </si>
  <si>
    <t>Indiscriminate Shooting</t>
  </si>
  <si>
    <t>Random Shooting</t>
  </si>
  <si>
    <t>No</t>
  </si>
  <si>
    <t>20050524LABOS</t>
  </si>
  <si>
    <t>Booker T. Washington High School</t>
  </si>
  <si>
    <t>Spring</t>
  </si>
  <si>
    <t>Shreveport</t>
  </si>
  <si>
    <t>LA</t>
  </si>
  <si>
    <t>High</t>
  </si>
  <si>
    <t>Beside Building</t>
  </si>
  <si>
    <t>Outside on School Property</t>
  </si>
  <si>
    <t>Yes</t>
  </si>
  <si>
    <t>Dismissal</t>
  </si>
  <si>
    <t>Student shot self in leg outside of school put pistol into pocket</t>
  </si>
  <si>
    <t>Accidental</t>
  </si>
  <si>
    <t>Neither</t>
  </si>
  <si>
    <t>No</t>
  </si>
  <si>
    <t>20050520ILLOM</t>
  </si>
  <si>
    <t>Locust Elementary School</t>
  </si>
  <si>
    <t>Spring</t>
  </si>
  <si>
    <t>Marengo</t>
  </si>
  <si>
    <t>IL</t>
  </si>
  <si>
    <t>Elementary</t>
  </si>
  <si>
    <t>Parking Lot</t>
  </si>
  <si>
    <t>Outside on School Property</t>
  </si>
  <si>
    <t>Yes</t>
  </si>
  <si>
    <t>Dismissal</t>
  </si>
  <si>
    <t>Showing off airsoft gun in parking lot, accidentally fired injuring 2 students</t>
  </si>
  <si>
    <t>Accidental</t>
  </si>
  <si>
    <t>Random Shooting</t>
  </si>
  <si>
    <t>No</t>
  </si>
  <si>
    <t>20050517PAHIL</t>
  </si>
  <si>
    <t>Highland Elementary School</t>
  </si>
  <si>
    <t>Spring</t>
  </si>
  <si>
    <t>Lower Allen</t>
  </si>
  <si>
    <t>PA</t>
  </si>
  <si>
    <t>Elementary</t>
  </si>
  <si>
    <t>Parking Lot</t>
  </si>
  <si>
    <t>Outside on School Property</t>
  </si>
  <si>
    <t>Yes</t>
  </si>
  <si>
    <t>Dismissal</t>
  </si>
  <si>
    <t>Student's mother was killed by ex-boyfriend in the parking lot then commit suicide</t>
  </si>
  <si>
    <t>Murder/Suicide</t>
  </si>
  <si>
    <t>Victims Targeted</t>
  </si>
  <si>
    <t>No</t>
  </si>
  <si>
    <t>Yes</t>
  </si>
  <si>
    <t>20050514TXBER</t>
  </si>
  <si>
    <t>Berkner High School</t>
  </si>
  <si>
    <t>Spring</t>
  </si>
  <si>
    <t>Richardson</t>
  </si>
  <si>
    <t>TX</t>
  </si>
  <si>
    <t>High</t>
  </si>
  <si>
    <t>Parking Lot</t>
  </si>
  <si>
    <t>Outside on School Property</t>
  </si>
  <si>
    <t>No</t>
  </si>
  <si>
    <t>Not a School Day</t>
  </si>
  <si>
    <t>Fight in high school parking lot following earlier fight broken up by police, shots fired</t>
  </si>
  <si>
    <t>Escalation of Dispute</t>
  </si>
  <si>
    <t>Victims Targeted</t>
  </si>
  <si>
    <t>Yes</t>
  </si>
  <si>
    <t>No</t>
  </si>
  <si>
    <t>20050429OHDAC</t>
  </si>
  <si>
    <t>Daniel E. Morgan Elementary School</t>
  </si>
  <si>
    <t>Spring</t>
  </si>
  <si>
    <t>Cleveland</t>
  </si>
  <si>
    <t>OH</t>
  </si>
  <si>
    <t>High</t>
  </si>
  <si>
    <t>Office</t>
  </si>
  <si>
    <t>Inside School Building</t>
  </si>
  <si>
    <t>Shot fired at window of the school office</t>
  </si>
  <si>
    <t>Intentional Property Damage</t>
  </si>
  <si>
    <t>No</t>
  </si>
  <si>
    <t>20050427LALER</t>
  </si>
  <si>
    <t>Leon Godchaux Junior High School</t>
  </si>
  <si>
    <t>Spring</t>
  </si>
  <si>
    <t>Reserve</t>
  </si>
  <si>
    <t>LA</t>
  </si>
  <si>
    <t>High</t>
  </si>
  <si>
    <t>Classroom</t>
  </si>
  <si>
    <t>Inside School Building</t>
  </si>
  <si>
    <t>Yes</t>
  </si>
  <si>
    <t>Morning Classes</t>
  </si>
  <si>
    <t>Student fired gun in pocket, students in the class fled the scene, threw gun in sewer drain</t>
  </si>
  <si>
    <t>Accidental</t>
  </si>
  <si>
    <t>Neither</t>
  </si>
  <si>
    <t>Yes</t>
  </si>
  <si>
    <t>No</t>
  </si>
  <si>
    <t>20050407TXCAC</t>
  </si>
  <si>
    <t>Canton High School</t>
  </si>
  <si>
    <t>Spring</t>
  </si>
  <si>
    <t>Canton</t>
  </si>
  <si>
    <t>TX</t>
  </si>
  <si>
    <t>High</t>
  </si>
  <si>
    <t>Office</t>
  </si>
  <si>
    <t>Inside School Building</t>
  </si>
  <si>
    <t>Yes</t>
  </si>
  <si>
    <t>Morning Classes</t>
  </si>
  <si>
    <t>Shot football coach for benching his son</t>
  </si>
  <si>
    <t>Escalation of Dispute</t>
  </si>
  <si>
    <t>Victims Targeted</t>
  </si>
  <si>
    <t>No</t>
  </si>
  <si>
    <t>20050330TNEAM</t>
  </si>
  <si>
    <t>East High School</t>
  </si>
  <si>
    <t>Spring</t>
  </si>
  <si>
    <t>Memphis</t>
  </si>
  <si>
    <t>TN</t>
  </si>
  <si>
    <t>High</t>
  </si>
  <si>
    <t>Classroom</t>
  </si>
  <si>
    <t>Inside School Building</t>
  </si>
  <si>
    <t>Yes</t>
  </si>
  <si>
    <t>Morning Classes</t>
  </si>
  <si>
    <t>Accidental discharge in classroom</t>
  </si>
  <si>
    <t>Accidental</t>
  </si>
  <si>
    <t>Random Shooting</t>
  </si>
  <si>
    <t>No</t>
  </si>
  <si>
    <t>20050324TNFAM</t>
  </si>
  <si>
    <t>Fairly High School</t>
  </si>
  <si>
    <t>Spring</t>
  </si>
  <si>
    <t>Memphis</t>
  </si>
  <si>
    <t>TN</t>
  </si>
  <si>
    <t>High</t>
  </si>
  <si>
    <t>Inside School Building</t>
  </si>
  <si>
    <t>Yes</t>
  </si>
  <si>
    <t>Accidental discharge of gun in student's purse</t>
  </si>
  <si>
    <t>Accidental</t>
  </si>
  <si>
    <t>Random Shooting</t>
  </si>
  <si>
    <t>No</t>
  </si>
  <si>
    <t>20050321MNRER</t>
  </si>
  <si>
    <t>Red Lake Senior High School</t>
  </si>
  <si>
    <t>Spring</t>
  </si>
  <si>
    <t>Red Lake</t>
  </si>
  <si>
    <t>MN</t>
  </si>
  <si>
    <t>High</t>
  </si>
  <si>
    <t>Hallway</t>
  </si>
  <si>
    <t>Inside School Building</t>
  </si>
  <si>
    <t>Yes</t>
  </si>
  <si>
    <t>Afternoon Classes</t>
  </si>
  <si>
    <t>Planned attack on school, studied Columbine, wore trench coat, had been bullied</t>
  </si>
  <si>
    <t>Indiscriminate Shooting</t>
  </si>
  <si>
    <t>Random Shooting</t>
  </si>
  <si>
    <t>No</t>
  </si>
  <si>
    <t>Yes</t>
  </si>
  <si>
    <t>No</t>
  </si>
  <si>
    <t>Yes</t>
  </si>
  <si>
    <t>20050321NYNEB</t>
  </si>
  <si>
    <t>New Utrecht High School</t>
  </si>
  <si>
    <t>Local</t>
  </si>
  <si>
    <t>Spring</t>
  </si>
  <si>
    <t>Brooklyn</t>
  </si>
  <si>
    <t>NY</t>
  </si>
  <si>
    <t>High</t>
  </si>
  <si>
    <t>Classroom</t>
  </si>
  <si>
    <t>Inside School Building</t>
  </si>
  <si>
    <t>Yes</t>
  </si>
  <si>
    <t>Morning Classes</t>
  </si>
  <si>
    <t>Accidental discharge in pocket during class</t>
  </si>
  <si>
    <t>Accidental</t>
  </si>
  <si>
    <t>Random Shooting</t>
  </si>
  <si>
    <t>No</t>
  </si>
  <si>
    <t>20050317LAOPA</t>
  </si>
  <si>
    <t>O Perry Walker High School</t>
  </si>
  <si>
    <t>Spring</t>
  </si>
  <si>
    <t>Algiers</t>
  </si>
  <si>
    <t>LA</t>
  </si>
  <si>
    <t>High</t>
  </si>
  <si>
    <t>Hallway</t>
  </si>
  <si>
    <t>Inside School Building</t>
  </si>
  <si>
    <t>Yes</t>
  </si>
  <si>
    <t>Afternoon Classes</t>
  </si>
  <si>
    <t>Bystand student struck when shots were fired during fight</t>
  </si>
  <si>
    <t>Escalation of Dispute</t>
  </si>
  <si>
    <t>Random Shooting</t>
  </si>
  <si>
    <t>Yes</t>
  </si>
  <si>
    <t>No</t>
  </si>
  <si>
    <t>20050317CALOL</t>
  </si>
  <si>
    <t>Locke High School</t>
  </si>
  <si>
    <t>Spring</t>
  </si>
  <si>
    <t>Los Angeles</t>
  </si>
  <si>
    <t>CA</t>
  </si>
  <si>
    <t>High</t>
  </si>
  <si>
    <t>Beside Building</t>
  </si>
  <si>
    <t>Outside on School Property</t>
  </si>
  <si>
    <t>Yes</t>
  </si>
  <si>
    <t>Dismissal</t>
  </si>
  <si>
    <t>Victim accidentally caught in cross fire of gang related shooting</t>
  </si>
  <si>
    <t>Escalation of Dispute</t>
  </si>
  <si>
    <t>No</t>
  </si>
  <si>
    <t>20050316PACAP</t>
  </si>
  <si>
    <t>Carrick High School</t>
  </si>
  <si>
    <t>Spring</t>
  </si>
  <si>
    <t>Pittsburgh</t>
  </si>
  <si>
    <t>PA</t>
  </si>
  <si>
    <t>High</t>
  </si>
  <si>
    <t>Parking Lot</t>
  </si>
  <si>
    <t>Outside on School Property</t>
  </si>
  <si>
    <t>Yes</t>
  </si>
  <si>
    <t>Dismissal</t>
  </si>
  <si>
    <t>Drive-by in retaliation for prior shooting</t>
  </si>
  <si>
    <t>Drive-by Shooting</t>
  </si>
  <si>
    <t>Victims Targeted</t>
  </si>
  <si>
    <t>Yes</t>
  </si>
  <si>
    <t>No</t>
  </si>
  <si>
    <t>20050314OHLEC</t>
  </si>
  <si>
    <t>Leawood Elementary School</t>
  </si>
  <si>
    <t>Spring</t>
  </si>
  <si>
    <t>Columbus</t>
  </si>
  <si>
    <t>OH</t>
  </si>
  <si>
    <t>Elementary</t>
  </si>
  <si>
    <t>Classroom</t>
  </si>
  <si>
    <t>Inside School Building</t>
  </si>
  <si>
    <t>Yes</t>
  </si>
  <si>
    <t>Morning Classes</t>
  </si>
  <si>
    <t>Student showing off gun in classroom shot himself in hand</t>
  </si>
  <si>
    <t>Accidental</t>
  </si>
  <si>
    <t>Random Shooting</t>
  </si>
  <si>
    <t>No</t>
  </si>
  <si>
    <t>20050310TXZAD</t>
  </si>
  <si>
    <t>Zaragoza Elementary School</t>
  </si>
  <si>
    <t>Spring</t>
  </si>
  <si>
    <t>Dallas</t>
  </si>
  <si>
    <t>TX</t>
  </si>
  <si>
    <t>Elementary</t>
  </si>
  <si>
    <t>Parking Lot</t>
  </si>
  <si>
    <t>Outside on School Property</t>
  </si>
  <si>
    <t>No</t>
  </si>
  <si>
    <t>Evening</t>
  </si>
  <si>
    <t>Drive-by when people were leaving meeting at school</t>
  </si>
  <si>
    <t>Drive-by Shooting</t>
  </si>
  <si>
    <t>No</t>
  </si>
  <si>
    <t>20050309TNMAN</t>
  </si>
  <si>
    <t>Maplewood Comprehensive High School</t>
  </si>
  <si>
    <t>Spring</t>
  </si>
  <si>
    <t>Nashville</t>
  </si>
  <si>
    <t>TN</t>
  </si>
  <si>
    <t>High</t>
  </si>
  <si>
    <t>Parking Lot</t>
  </si>
  <si>
    <t>Outside on School Property</t>
  </si>
  <si>
    <t>Yes</t>
  </si>
  <si>
    <t>Dismissal</t>
  </si>
  <si>
    <t>Shots fired during argument between expelled student (shooter) and other students</t>
  </si>
  <si>
    <t>Escalation of Dispute</t>
  </si>
  <si>
    <t>Victims Targeted</t>
  </si>
  <si>
    <t>No</t>
  </si>
  <si>
    <t>20050302TNSTD</t>
  </si>
  <si>
    <t>Stewart County High School (bus)</t>
  </si>
  <si>
    <t>Spring</t>
  </si>
  <si>
    <t>Dover</t>
  </si>
  <si>
    <t>TN</t>
  </si>
  <si>
    <t>High</t>
  </si>
  <si>
    <t>School Bus</t>
  </si>
  <si>
    <t>No</t>
  </si>
  <si>
    <t>Before School</t>
  </si>
  <si>
    <t>Killed bus driver because she had reported his tobacco use</t>
  </si>
  <si>
    <t>Anger Over Grade/Suspension/Discipline</t>
  </si>
  <si>
    <t>Victims Targeted</t>
  </si>
  <si>
    <t>No</t>
  </si>
  <si>
    <t>20050208ILBOC</t>
  </si>
  <si>
    <t>Bowen High School</t>
  </si>
  <si>
    <t>Winter</t>
  </si>
  <si>
    <t>Chicago</t>
  </si>
  <si>
    <t>IL</t>
  </si>
  <si>
    <t>High</t>
  </si>
  <si>
    <t>Beside Building</t>
  </si>
  <si>
    <t>Outside on School Property</t>
  </si>
  <si>
    <t>Yes</t>
  </si>
  <si>
    <t>Dismissal</t>
  </si>
  <si>
    <t>Fight as school dismissed</t>
  </si>
  <si>
    <t>Escalation of Dispute</t>
  </si>
  <si>
    <t>No</t>
  </si>
  <si>
    <t>20050204GAMCA</t>
  </si>
  <si>
    <t>McNair High School</t>
  </si>
  <si>
    <t>Winter</t>
  </si>
  <si>
    <t>Atlanta</t>
  </si>
  <si>
    <t>GA</t>
  </si>
  <si>
    <t>High</t>
  </si>
  <si>
    <t>Outside on School Property</t>
  </si>
  <si>
    <t>Gun was dropped and discharged</t>
  </si>
  <si>
    <t>Accidental</t>
  </si>
  <si>
    <t>Random Shooting</t>
  </si>
  <si>
    <t>No</t>
  </si>
  <si>
    <t>20050126ILWOP</t>
  </si>
  <si>
    <t>Woodruff High School</t>
  </si>
  <si>
    <t>Winter</t>
  </si>
  <si>
    <t>Peoria</t>
  </si>
  <si>
    <t>IL</t>
  </si>
  <si>
    <t>High</t>
  </si>
  <si>
    <t>Hallway</t>
  </si>
  <si>
    <t>Inside School Building</t>
  </si>
  <si>
    <t>Yes</t>
  </si>
  <si>
    <t>Morning Classes</t>
  </si>
  <si>
    <t>Fired shots at another student in hallway, prior fight with shot fired away from school</t>
  </si>
  <si>
    <t>Escalation of Dispute</t>
  </si>
  <si>
    <t>Victims Targeted</t>
  </si>
  <si>
    <t>No</t>
  </si>
  <si>
    <t>20050105PAMUN</t>
  </si>
  <si>
    <t>Murrell Dobbins Vocational-Technical High School</t>
  </si>
  <si>
    <t>Winter</t>
  </si>
  <si>
    <t>Philadelphia</t>
  </si>
  <si>
    <t>PA</t>
  </si>
  <si>
    <t>High</t>
  </si>
  <si>
    <t>Front of School</t>
  </si>
  <si>
    <t>Outside on School Property</t>
  </si>
  <si>
    <t>Yes</t>
  </si>
  <si>
    <t>Dismissal</t>
  </si>
  <si>
    <t>Killed by rival gang member outside of school</t>
  </si>
  <si>
    <t>Escalation of Dispute</t>
  </si>
  <si>
    <t>Victims Targeted</t>
  </si>
  <si>
    <t>Yes</t>
  </si>
  <si>
    <t>No</t>
  </si>
  <si>
    <t>20041231TXRIR</t>
  </si>
  <si>
    <t>Richmond State School</t>
  </si>
  <si>
    <t>Winter</t>
  </si>
  <si>
    <t>Richmond</t>
  </si>
  <si>
    <t>TX</t>
  </si>
  <si>
    <t>Other</t>
  </si>
  <si>
    <t>Cafeteria</t>
  </si>
  <si>
    <t>Inside School Building</t>
  </si>
  <si>
    <t>No</t>
  </si>
  <si>
    <t>Evening</t>
  </si>
  <si>
    <t>Cafeteria worker shot coworker and then killed himself</t>
  </si>
  <si>
    <t>Murder/Suicide</t>
  </si>
  <si>
    <t>Victims Targeted</t>
  </si>
  <si>
    <t>No</t>
  </si>
  <si>
    <t>20041213LALAL</t>
  </si>
  <si>
    <t>La Grange High School</t>
  </si>
  <si>
    <t>Winter</t>
  </si>
  <si>
    <t>Lake Charles</t>
  </si>
  <si>
    <t>LA</t>
  </si>
  <si>
    <t>High</t>
  </si>
  <si>
    <t>Parking Lot</t>
  </si>
  <si>
    <t>Outside on School Property</t>
  </si>
  <si>
    <t>Yes</t>
  </si>
  <si>
    <t>Lunch</t>
  </si>
  <si>
    <t>Shot in parking lot by masked gunman</t>
  </si>
  <si>
    <t>Unknown</t>
  </si>
  <si>
    <t>Victims Targeted</t>
  </si>
  <si>
    <t>No</t>
  </si>
  <si>
    <t>20041209WALAS</t>
  </si>
  <si>
    <t>Lakeside High School</t>
  </si>
  <si>
    <t>Winter</t>
  </si>
  <si>
    <t>Spokane</t>
  </si>
  <si>
    <t>WA</t>
  </si>
  <si>
    <t>High</t>
  </si>
  <si>
    <t>Front of School</t>
  </si>
  <si>
    <t>Outside on School Property</t>
  </si>
  <si>
    <t>Yes</t>
  </si>
  <si>
    <t>Afternoon Classes</t>
  </si>
  <si>
    <t>Shot himself in front of school, reported he had fireworks and multiple types of ammo</t>
  </si>
  <si>
    <t>Suicide/Attempted</t>
  </si>
  <si>
    <t>Victims Targeted</t>
  </si>
  <si>
    <t>No</t>
  </si>
  <si>
    <t>Yes</t>
  </si>
  <si>
    <t>No</t>
  </si>
  <si>
    <t>20041119FLTEJ</t>
  </si>
  <si>
    <t>Terry Parker High School</t>
  </si>
  <si>
    <t>Fall</t>
  </si>
  <si>
    <t>Jacksonville</t>
  </si>
  <si>
    <t>FL</t>
  </si>
  <si>
    <t>High</t>
  </si>
  <si>
    <t>Parking Lot</t>
  </si>
  <si>
    <t>Outside on School Property</t>
  </si>
  <si>
    <t>Yes</t>
  </si>
  <si>
    <t>School Start</t>
  </si>
  <si>
    <t>4 students playing with gun in car, one shot in leg, claimed a driveby</t>
  </si>
  <si>
    <t>Accidental</t>
  </si>
  <si>
    <t>Random Shooting</t>
  </si>
  <si>
    <t>Yes</t>
  </si>
  <si>
    <t>No</t>
  </si>
  <si>
    <t>20041117FLAPA</t>
  </si>
  <si>
    <t>Apopka Memorial Middle School</t>
  </si>
  <si>
    <t>Fall</t>
  </si>
  <si>
    <t>Apopka</t>
  </si>
  <si>
    <t>FL</t>
  </si>
  <si>
    <t>Middle</t>
  </si>
  <si>
    <t>Classroom</t>
  </si>
  <si>
    <t>Inside School Building</t>
  </si>
  <si>
    <t>Yes</t>
  </si>
  <si>
    <t>Fired gun in bathroom, ran into class with gun, arrested by police</t>
  </si>
  <si>
    <t>Unknown</t>
  </si>
  <si>
    <t>Neither</t>
  </si>
  <si>
    <t>No</t>
  </si>
  <si>
    <t>20041116SCBAB</t>
  </si>
  <si>
    <t>Battery Creek High School</t>
  </si>
  <si>
    <t>Fall</t>
  </si>
  <si>
    <t>Beaufort</t>
  </si>
  <si>
    <t>SC</t>
  </si>
  <si>
    <t>High</t>
  </si>
  <si>
    <t>Gym</t>
  </si>
  <si>
    <t>Inside School Building</t>
  </si>
  <si>
    <t>No</t>
  </si>
  <si>
    <t>Sport Event</t>
  </si>
  <si>
    <t>Argument during basketball game</t>
  </si>
  <si>
    <t>Escalation of Dispute</t>
  </si>
  <si>
    <t>Victims Targeted</t>
  </si>
  <si>
    <t>No</t>
  </si>
  <si>
    <t>20041115INBRG</t>
  </si>
  <si>
    <t>Brunswick Elementary School</t>
  </si>
  <si>
    <t>Fall</t>
  </si>
  <si>
    <t>Gary</t>
  </si>
  <si>
    <t>IN</t>
  </si>
  <si>
    <t>Elementary</t>
  </si>
  <si>
    <t>Parking Lot</t>
  </si>
  <si>
    <t>Outside on School Property</t>
  </si>
  <si>
    <t>Yes</t>
  </si>
  <si>
    <t>Dismissal</t>
  </si>
  <si>
    <t>Argument between two men, mother picking up child shot in crossfire</t>
  </si>
  <si>
    <t>Escalation of Dispute</t>
  </si>
  <si>
    <t>Both</t>
  </si>
  <si>
    <t>No</t>
  </si>
  <si>
    <t>20041115ALPAB</t>
  </si>
  <si>
    <t>Parker High School</t>
  </si>
  <si>
    <t>Fall</t>
  </si>
  <si>
    <t>Birmingham</t>
  </si>
  <si>
    <t>AL</t>
  </si>
  <si>
    <t>High</t>
  </si>
  <si>
    <t>Beside Building</t>
  </si>
  <si>
    <t>Outside on School Property</t>
  </si>
  <si>
    <t>No</t>
  </si>
  <si>
    <t>Sport Event</t>
  </si>
  <si>
    <t>Shot later after slapping woman</t>
  </si>
  <si>
    <t>Escalation of Dispute</t>
  </si>
  <si>
    <t>Victims Targeted</t>
  </si>
  <si>
    <t>Yes</t>
  </si>
  <si>
    <t>No</t>
  </si>
  <si>
    <t>20041022CATYH</t>
  </si>
  <si>
    <t>Tyrrell Elementary School</t>
  </si>
  <si>
    <t>Fall</t>
  </si>
  <si>
    <t>Hayward</t>
  </si>
  <si>
    <t>CA</t>
  </si>
  <si>
    <t>Elementary</t>
  </si>
  <si>
    <t>Parking Lot</t>
  </si>
  <si>
    <t>Outside on School Property</t>
  </si>
  <si>
    <t>No</t>
  </si>
  <si>
    <t>Evening</t>
  </si>
  <si>
    <t>Killed by unknown shooter in parking lot, believed to be gang related</t>
  </si>
  <si>
    <t>Escalation of Dispute</t>
  </si>
  <si>
    <t>Victims Targeted</t>
  </si>
  <si>
    <t>Unknown</t>
  </si>
  <si>
    <t>No</t>
  </si>
  <si>
    <t>20041021MDTHB</t>
  </si>
  <si>
    <t>Thurgood Marshall High School</t>
  </si>
  <si>
    <t>Fall</t>
  </si>
  <si>
    <t>Baltimore</t>
  </si>
  <si>
    <t>MD</t>
  </si>
  <si>
    <t>High</t>
  </si>
  <si>
    <t>Courtyard</t>
  </si>
  <si>
    <t>Outside on School Property</t>
  </si>
  <si>
    <t>No</t>
  </si>
  <si>
    <t>After School</t>
  </si>
  <si>
    <t>Fight over girl, two random students were shot</t>
  </si>
  <si>
    <t>Escalation of Dispute</t>
  </si>
  <si>
    <t>Both</t>
  </si>
  <si>
    <t>No</t>
  </si>
  <si>
    <t>20041015CABIB</t>
  </si>
  <si>
    <t>Biggs High School</t>
  </si>
  <si>
    <t>Fall</t>
  </si>
  <si>
    <t>Biggs</t>
  </si>
  <si>
    <t>CA</t>
  </si>
  <si>
    <t>High</t>
  </si>
  <si>
    <t>Football Field/Track</t>
  </si>
  <si>
    <t>Outside on School Property</t>
  </si>
  <si>
    <t>No</t>
  </si>
  <si>
    <t>Sport Event</t>
  </si>
  <si>
    <t>Gang related shooting at football game</t>
  </si>
  <si>
    <t>Escalation of Dispute</t>
  </si>
  <si>
    <t>Victims Targeted</t>
  </si>
  <si>
    <t>No</t>
  </si>
  <si>
    <t>20041012CALAS</t>
  </si>
  <si>
    <t>Lakewood Elementary School</t>
  </si>
  <si>
    <t>Fall</t>
  </si>
  <si>
    <t>Sunnyvale</t>
  </si>
  <si>
    <t>CA</t>
  </si>
  <si>
    <t>Elementary</t>
  </si>
  <si>
    <t>Parking Lot</t>
  </si>
  <si>
    <t>Outside on School Property</t>
  </si>
  <si>
    <t>Two men fatally shot each other in dispute over woman</t>
  </si>
  <si>
    <t>Domestic w/ Targeted Victim</t>
  </si>
  <si>
    <t>Victims Targeted</t>
  </si>
  <si>
    <t>No</t>
  </si>
  <si>
    <t>Yes</t>
  </si>
  <si>
    <t>20041007MANEN</t>
  </si>
  <si>
    <t>Newburyport High School</t>
  </si>
  <si>
    <t>Fall</t>
  </si>
  <si>
    <t>Newburyport</t>
  </si>
  <si>
    <t>MA</t>
  </si>
  <si>
    <t>High</t>
  </si>
  <si>
    <t>Front of School</t>
  </si>
  <si>
    <t>Outside on School Property</t>
  </si>
  <si>
    <t>No</t>
  </si>
  <si>
    <t>Night</t>
  </si>
  <si>
    <t>Attempted to get into ex-girlfriend's house, fired 2 shots into air, walked to high school and shot himself</t>
  </si>
  <si>
    <t>Suicide/Attempted</t>
  </si>
  <si>
    <t>Victims Targeted</t>
  </si>
  <si>
    <t>No</t>
  </si>
  <si>
    <t>Yes</t>
  </si>
  <si>
    <t>20041002NEJEG</t>
  </si>
  <si>
    <t>Jefferson Elementary School</t>
  </si>
  <si>
    <t>Fall</t>
  </si>
  <si>
    <t>Grand Island</t>
  </si>
  <si>
    <t>NE</t>
  </si>
  <si>
    <t>Elementary</t>
  </si>
  <si>
    <t>Parking Lot</t>
  </si>
  <si>
    <t>Outside on School Property</t>
  </si>
  <si>
    <t>No</t>
  </si>
  <si>
    <t>Not a School Day</t>
  </si>
  <si>
    <t>Shooter called ex-girlfriend, current boyfriend and friends came to school to confront him</t>
  </si>
  <si>
    <t>Domestic w/ Targeted Victim</t>
  </si>
  <si>
    <t>Victims Targeted</t>
  </si>
  <si>
    <t>No</t>
  </si>
  <si>
    <t>Yes</t>
  </si>
  <si>
    <t>20040915INWIG</t>
  </si>
  <si>
    <t>Wirt High School</t>
  </si>
  <si>
    <t>Fall</t>
  </si>
  <si>
    <t>Gary</t>
  </si>
  <si>
    <t>IN</t>
  </si>
  <si>
    <t>High</t>
  </si>
  <si>
    <t>Hallway</t>
  </si>
  <si>
    <t>Inside School Building</t>
  </si>
  <si>
    <t>Yes</t>
  </si>
  <si>
    <t>Afternoon Classes</t>
  </si>
  <si>
    <t>Fired shot into school ceiling during fight between 2 groups of students</t>
  </si>
  <si>
    <t>Escalation of Dispute</t>
  </si>
  <si>
    <t>Victims Targeted</t>
  </si>
  <si>
    <t>Yes</t>
  </si>
  <si>
    <t>No</t>
  </si>
  <si>
    <t>20040912LABON</t>
  </si>
  <si>
    <t>Booker T. Washington High School</t>
  </si>
  <si>
    <t>Fall</t>
  </si>
  <si>
    <t>New Orleans</t>
  </si>
  <si>
    <t>LA</t>
  </si>
  <si>
    <t>High</t>
  </si>
  <si>
    <t>Beside Building</t>
  </si>
  <si>
    <t>Outside on School Property</t>
  </si>
  <si>
    <t>No</t>
  </si>
  <si>
    <t>Not a School Day</t>
  </si>
  <si>
    <t>Adult female shot student when he became aggressive and reached for gun</t>
  </si>
  <si>
    <t>Self-defense</t>
  </si>
  <si>
    <t>Victims Targeted</t>
  </si>
  <si>
    <t>No</t>
  </si>
  <si>
    <t>20040830ILPRM</t>
  </si>
  <si>
    <t>Proviso East High School</t>
  </si>
  <si>
    <t>Summer</t>
  </si>
  <si>
    <t>Maywood</t>
  </si>
  <si>
    <t>IL</t>
  </si>
  <si>
    <t>High</t>
  </si>
  <si>
    <t>Parking Lot</t>
  </si>
  <si>
    <t>Outside on School Property</t>
  </si>
  <si>
    <t>Yes</t>
  </si>
  <si>
    <t>Dismissal</t>
  </si>
  <si>
    <t>Argument in parking lot while victim was waiting to pick up brother, shot in chest</t>
  </si>
  <si>
    <t>Escalation of Dispute</t>
  </si>
  <si>
    <t>Victims Targeted</t>
  </si>
  <si>
    <t>No</t>
  </si>
  <si>
    <t>20040824TNHAM</t>
  </si>
  <si>
    <t>Hamilton High School</t>
  </si>
  <si>
    <t>Summer</t>
  </si>
  <si>
    <t>Memphis</t>
  </si>
  <si>
    <t>TN</t>
  </si>
  <si>
    <t>High</t>
  </si>
  <si>
    <t>Hallway</t>
  </si>
  <si>
    <t>Inside School Building</t>
  </si>
  <si>
    <t>Yes</t>
  </si>
  <si>
    <t>Shot fired during fight in classroom</t>
  </si>
  <si>
    <t>Escalation of Dispute</t>
  </si>
  <si>
    <t>Victims Targeted</t>
  </si>
  <si>
    <t>No</t>
  </si>
  <si>
    <t>20040803ALHUB</t>
  </si>
  <si>
    <t>Huffman High School</t>
  </si>
  <si>
    <t>Summer</t>
  </si>
  <si>
    <t>Birmingham</t>
  </si>
  <si>
    <t>AL</t>
  </si>
  <si>
    <t>High</t>
  </si>
  <si>
    <t>Parking Lot</t>
  </si>
  <si>
    <t>Outside on School Property</t>
  </si>
  <si>
    <t>Yes</t>
  </si>
  <si>
    <t>Morning Classes</t>
  </si>
  <si>
    <t>Band member shot fellow band member during break</t>
  </si>
  <si>
    <t>Unknown</t>
  </si>
  <si>
    <t>Victims Targeted</t>
  </si>
  <si>
    <t>No</t>
  </si>
  <si>
    <t>20040609CACAO</t>
  </si>
  <si>
    <t>Castlemont High School</t>
  </si>
  <si>
    <t>Summer</t>
  </si>
  <si>
    <t>Oakland</t>
  </si>
  <si>
    <t>CA</t>
  </si>
  <si>
    <t>High</t>
  </si>
  <si>
    <t>Front of School</t>
  </si>
  <si>
    <t>Outside on School Property</t>
  </si>
  <si>
    <t>Yes</t>
  </si>
  <si>
    <t>Afternoon Classes</t>
  </si>
  <si>
    <t>Gang-related drive-by in retaliation for prior fight</t>
  </si>
  <si>
    <t>Drive-by Shooting</t>
  </si>
  <si>
    <t>Victims Targeted</t>
  </si>
  <si>
    <t>Yes</t>
  </si>
  <si>
    <t>No</t>
  </si>
  <si>
    <t>20040524UTWES</t>
  </si>
  <si>
    <t>West High School</t>
  </si>
  <si>
    <t>Spring</t>
  </si>
  <si>
    <t>Salt Lake City</t>
  </si>
  <si>
    <t>UT</t>
  </si>
  <si>
    <t>High</t>
  </si>
  <si>
    <t>Parking Lot</t>
  </si>
  <si>
    <t>Outside on School Property</t>
  </si>
  <si>
    <t>No</t>
  </si>
  <si>
    <t>Before School</t>
  </si>
  <si>
    <t>Murder suicide of husband killing wife (cafeteria worker)</t>
  </si>
  <si>
    <t>Murder/Suicide</t>
  </si>
  <si>
    <t>Victims Targeted</t>
  </si>
  <si>
    <t>No</t>
  </si>
  <si>
    <t>Yes</t>
  </si>
  <si>
    <t>20040512CAEAM</t>
  </si>
  <si>
    <t>East Campus Educational Center</t>
  </si>
  <si>
    <t>Spring</t>
  </si>
  <si>
    <t>Merced</t>
  </si>
  <si>
    <t>CA</t>
  </si>
  <si>
    <t>K-12</t>
  </si>
  <si>
    <t>Beside Building</t>
  </si>
  <si>
    <t>Outside on School Property</t>
  </si>
  <si>
    <t>No</t>
  </si>
  <si>
    <t>Evening</t>
  </si>
  <si>
    <t>Gang related shooting outside of school, bystander female student struck</t>
  </si>
  <si>
    <t>Escalation of Dispute</t>
  </si>
  <si>
    <t>Both</t>
  </si>
  <si>
    <t>Yes</t>
  </si>
  <si>
    <t>No</t>
  </si>
  <si>
    <t>20040507MDRAR</t>
  </si>
  <si>
    <t>Randallstown High School</t>
  </si>
  <si>
    <t>Spring</t>
  </si>
  <si>
    <t>Randallstown</t>
  </si>
  <si>
    <t>MD</t>
  </si>
  <si>
    <t>High</t>
  </si>
  <si>
    <t>Basketball Court</t>
  </si>
  <si>
    <t>Outside on School Property</t>
  </si>
  <si>
    <t>No</t>
  </si>
  <si>
    <t>After School</t>
  </si>
  <si>
    <t>Fight after basketball game</t>
  </si>
  <si>
    <t>Escalation of Dispute</t>
  </si>
  <si>
    <t>Both</t>
  </si>
  <si>
    <t>Yes</t>
  </si>
  <si>
    <t>No</t>
  </si>
  <si>
    <t>20040504TXKAH</t>
  </si>
  <si>
    <t>Kashmere High School</t>
  </si>
  <si>
    <t>Spring</t>
  </si>
  <si>
    <t>Houston</t>
  </si>
  <si>
    <t>TX</t>
  </si>
  <si>
    <t>High</t>
  </si>
  <si>
    <t>Beside Building</t>
  </si>
  <si>
    <t>Outside on School Property</t>
  </si>
  <si>
    <t>Yes</t>
  </si>
  <si>
    <t>Morning Classes</t>
  </si>
  <si>
    <t>Multiple shots fired outside of school, no injuries</t>
  </si>
  <si>
    <t>Unknown</t>
  </si>
  <si>
    <t>No</t>
  </si>
  <si>
    <t>20040317WACRJ</t>
  </si>
  <si>
    <t>Crescent Junior-Senior High School</t>
  </si>
  <si>
    <t>Spring</t>
  </si>
  <si>
    <t>Port Angeles</t>
  </si>
  <si>
    <t>WA</t>
  </si>
  <si>
    <t>Junior High</t>
  </si>
  <si>
    <t>Classroom</t>
  </si>
  <si>
    <t>Inside School Building</t>
  </si>
  <si>
    <t>Yes</t>
  </si>
  <si>
    <t>Morning Classes</t>
  </si>
  <si>
    <t>Shot self in class infront of teacher and 18 students</t>
  </si>
  <si>
    <t>Suicide/Attempted</t>
  </si>
  <si>
    <t>Victims Targeted</t>
  </si>
  <si>
    <t>No</t>
  </si>
  <si>
    <t>20040305CASAL</t>
  </si>
  <si>
    <t>Saledad Enrichment Action Charter High School</t>
  </si>
  <si>
    <t>Spring</t>
  </si>
  <si>
    <t>Los Angeles</t>
  </si>
  <si>
    <t>CA</t>
  </si>
  <si>
    <t>High</t>
  </si>
  <si>
    <t>Front of School</t>
  </si>
  <si>
    <t>Outside on School Property</t>
  </si>
  <si>
    <t>Yes</t>
  </si>
  <si>
    <t>School Start</t>
  </si>
  <si>
    <t>Gang related drive by shooting</t>
  </si>
  <si>
    <t>Drive-by Shooting</t>
  </si>
  <si>
    <t>Both</t>
  </si>
  <si>
    <t>Unknown</t>
  </si>
  <si>
    <t>No</t>
  </si>
  <si>
    <t>20040220LAGAS</t>
  </si>
  <si>
    <t>Gateway Christian Academy</t>
  </si>
  <si>
    <t>Winter</t>
  </si>
  <si>
    <t>Saint Martinville</t>
  </si>
  <si>
    <t>LA</t>
  </si>
  <si>
    <t>K-12</t>
  </si>
  <si>
    <t>Classroom</t>
  </si>
  <si>
    <t>Inside School Building</t>
  </si>
  <si>
    <t>Yes</t>
  </si>
  <si>
    <t>Morning Classes</t>
  </si>
  <si>
    <t>Teacher shot by fiance, he fled and shot himself 30 minutes later</t>
  </si>
  <si>
    <t>Domestic w/ Targeted Victim</t>
  </si>
  <si>
    <t>Victims Targeted</t>
  </si>
  <si>
    <t>No</t>
  </si>
  <si>
    <t>Yes</t>
  </si>
  <si>
    <t>20040213OHCOD</t>
  </si>
  <si>
    <t>Colonel White High School</t>
  </si>
  <si>
    <t>Winter</t>
  </si>
  <si>
    <t>Dayton</t>
  </si>
  <si>
    <t>OH</t>
  </si>
  <si>
    <t>High</t>
  </si>
  <si>
    <t>Parking Lot</t>
  </si>
  <si>
    <t>Outside on School Property</t>
  </si>
  <si>
    <t>Yes</t>
  </si>
  <si>
    <t>Lunch</t>
  </si>
  <si>
    <t>Student shot during carjacking in parking lot</t>
  </si>
  <si>
    <t>Illegal Activity</t>
  </si>
  <si>
    <t>Victims Targeted</t>
  </si>
  <si>
    <t>Yes</t>
  </si>
  <si>
    <t>No</t>
  </si>
  <si>
    <t>20040211PATMP</t>
  </si>
  <si>
    <t>T M Peirce Elementary School</t>
  </si>
  <si>
    <t>Winter</t>
  </si>
  <si>
    <t>Philadelphia</t>
  </si>
  <si>
    <t>PA</t>
  </si>
  <si>
    <t>Elementary</t>
  </si>
  <si>
    <t>Playground</t>
  </si>
  <si>
    <t>Outside on School Property</t>
  </si>
  <si>
    <t>Yes</t>
  </si>
  <si>
    <t>School Start</t>
  </si>
  <si>
    <t>Shootout between drug deals, student and teacher hit in cross fire</t>
  </si>
  <si>
    <t>Illegal Activity</t>
  </si>
  <si>
    <t>Both</t>
  </si>
  <si>
    <t>No</t>
  </si>
  <si>
    <t>20040209NYCOE</t>
  </si>
  <si>
    <t>Columbia High School</t>
  </si>
  <si>
    <t>Winter</t>
  </si>
  <si>
    <t>East Greenbush</t>
  </si>
  <si>
    <t>NY</t>
  </si>
  <si>
    <t>High</t>
  </si>
  <si>
    <t>Bathroom</t>
  </si>
  <si>
    <t>Inside School Building</t>
  </si>
  <si>
    <t>Yes</t>
  </si>
  <si>
    <t>Morning Classes</t>
  </si>
  <si>
    <t>Planned attack, sent texts warning others, tackled after first shot</t>
  </si>
  <si>
    <t>Indiscriminate Shooting</t>
  </si>
  <si>
    <t>No</t>
  </si>
  <si>
    <t>Yes</t>
  </si>
  <si>
    <t>20040206LAFAS</t>
  </si>
  <si>
    <t>Fair Park High School</t>
  </si>
  <si>
    <t>Winter</t>
  </si>
  <si>
    <t>Shreveport</t>
  </si>
  <si>
    <t>LA</t>
  </si>
  <si>
    <t>High</t>
  </si>
  <si>
    <t>Parking Lot</t>
  </si>
  <si>
    <t>Outside on School Property</t>
  </si>
  <si>
    <t>Yes</t>
  </si>
  <si>
    <t>Police officer fired at student in vehicle in parking lot</t>
  </si>
  <si>
    <t>Illegal Activity</t>
  </si>
  <si>
    <t>Victims Targeted</t>
  </si>
  <si>
    <t>No</t>
  </si>
  <si>
    <t>N/A</t>
  </si>
  <si>
    <t>20040203TXYOH</t>
  </si>
  <si>
    <t>Youens Elementary School</t>
  </si>
  <si>
    <t>Winter</t>
  </si>
  <si>
    <t>Houston</t>
  </si>
  <si>
    <t>TX</t>
  </si>
  <si>
    <t>Elementary</t>
  </si>
  <si>
    <t>Classroom</t>
  </si>
  <si>
    <t>Inside School Building</t>
  </si>
  <si>
    <t>Yes</t>
  </si>
  <si>
    <t>Afternoon Classes</t>
  </si>
  <si>
    <t>Showed off gun, fired when he put it into waistband of pants striking himself</t>
  </si>
  <si>
    <t>Accidental</t>
  </si>
  <si>
    <t>Neither</t>
  </si>
  <si>
    <t>No</t>
  </si>
  <si>
    <t>20040202DCBAW</t>
  </si>
  <si>
    <t>Ballou Senior High School</t>
  </si>
  <si>
    <t>Winter</t>
  </si>
  <si>
    <t>Washington</t>
  </si>
  <si>
    <t>DC</t>
  </si>
  <si>
    <t>High</t>
  </si>
  <si>
    <t>Beside Building</t>
  </si>
  <si>
    <t>Outside on School Property</t>
  </si>
  <si>
    <t>Yes</t>
  </si>
  <si>
    <t>Morning Classes</t>
  </si>
  <si>
    <t>Multiple fights between shooter and victim</t>
  </si>
  <si>
    <t>Escalation of Dispute</t>
  </si>
  <si>
    <t>Victims Targeted</t>
  </si>
  <si>
    <t>No</t>
  </si>
  <si>
    <t>20040121NVFAH</t>
  </si>
  <si>
    <t>Fay Galloway Elementary School</t>
  </si>
  <si>
    <t>Local</t>
  </si>
  <si>
    <t>Winter</t>
  </si>
  <si>
    <t>Henderson</t>
  </si>
  <si>
    <t>NV</t>
  </si>
  <si>
    <t>Elementary</t>
  </si>
  <si>
    <t>Classroom; Parking Lot</t>
  </si>
  <si>
    <t>Both Inside/Outside</t>
  </si>
  <si>
    <t>No</t>
  </si>
  <si>
    <t>After School</t>
  </si>
  <si>
    <t>Domestic, shooter killed man in parking lot and went into school looking for ex-girlfriend (teacher); took her hostage; confronted by police officer and killed</t>
  </si>
  <si>
    <t>Domestic w/ Targeted Victim</t>
  </si>
  <si>
    <t>Victims Targeted</t>
  </si>
  <si>
    <t>No</t>
  </si>
  <si>
    <t>Yes</t>
  </si>
  <si>
    <t>No</t>
  </si>
  <si>
    <t>Yes</t>
  </si>
  <si>
    <t>20040115CAPOP</t>
  </si>
  <si>
    <t>Pomona High School</t>
  </si>
  <si>
    <t>Winter</t>
  </si>
  <si>
    <t>Pomona</t>
  </si>
  <si>
    <t>CA</t>
  </si>
  <si>
    <t>High</t>
  </si>
  <si>
    <t>Classroom</t>
  </si>
  <si>
    <t>Inside School Building</t>
  </si>
  <si>
    <t>Yes</t>
  </si>
  <si>
    <t>Morning Classes</t>
  </si>
  <si>
    <t>Students passing .22 pistol, went off, female student shot but didn't notice pain until later, teacher thought it was firecracker</t>
  </si>
  <si>
    <t>Accidental</t>
  </si>
  <si>
    <t>Random Shooting</t>
  </si>
  <si>
    <t>Yes</t>
  </si>
  <si>
    <t>No</t>
  </si>
  <si>
    <t>20031229FLABE</t>
  </si>
  <si>
    <t>Abess Park Elementary School</t>
  </si>
  <si>
    <t>Winter</t>
  </si>
  <si>
    <t>East Arlington</t>
  </si>
  <si>
    <t>FL</t>
  </si>
  <si>
    <t>Elementary</t>
  </si>
  <si>
    <t>Parking Lot</t>
  </si>
  <si>
    <t>Outside on School Property</t>
  </si>
  <si>
    <t>No</t>
  </si>
  <si>
    <t>Night</t>
  </si>
  <si>
    <t>Shooting between rival gangs in school parking lot</t>
  </si>
  <si>
    <t>Escalation of Dispute</t>
  </si>
  <si>
    <t>Victims Targeted</t>
  </si>
  <si>
    <t>Yes</t>
  </si>
  <si>
    <t>No</t>
  </si>
  <si>
    <t>20031222NJCOW</t>
  </si>
  <si>
    <t>Colonia High School</t>
  </si>
  <si>
    <t>Winter</t>
  </si>
  <si>
    <t>Woodbridge</t>
  </si>
  <si>
    <t>NJ</t>
  </si>
  <si>
    <t>High</t>
  </si>
  <si>
    <t>Parking Lot</t>
  </si>
  <si>
    <t>Outside on School Property</t>
  </si>
  <si>
    <t>No</t>
  </si>
  <si>
    <t>Evening</t>
  </si>
  <si>
    <t>Drive-by in school parking lot, Ongoing dispute with target</t>
  </si>
  <si>
    <t>Drive-by Shooting</t>
  </si>
  <si>
    <t>Victims Targeted</t>
  </si>
  <si>
    <t>Yes</t>
  </si>
  <si>
    <t>No</t>
  </si>
  <si>
    <t>20031217MDOLM</t>
  </si>
  <si>
    <t>Old Mill High School</t>
  </si>
  <si>
    <t>Winter</t>
  </si>
  <si>
    <t>Millersville</t>
  </si>
  <si>
    <t>MD</t>
  </si>
  <si>
    <t>High</t>
  </si>
  <si>
    <t>Bathroom</t>
  </si>
  <si>
    <t>Inside School Building</t>
  </si>
  <si>
    <t>Yes</t>
  </si>
  <si>
    <t>Morning Classes</t>
  </si>
  <si>
    <t>Shot fired in bathroom by unknown shooter, gun found in stall, no suspect</t>
  </si>
  <si>
    <t>Accidental</t>
  </si>
  <si>
    <t>No</t>
  </si>
  <si>
    <t>20031205ILCAC</t>
  </si>
  <si>
    <t>Carbondale Community High School</t>
  </si>
  <si>
    <t>Winter</t>
  </si>
  <si>
    <t>Carbondale</t>
  </si>
  <si>
    <t>IL</t>
  </si>
  <si>
    <t>High</t>
  </si>
  <si>
    <t>Parking Lot</t>
  </si>
  <si>
    <t>Outside on School Property</t>
  </si>
  <si>
    <t>No</t>
  </si>
  <si>
    <t>Sport Event</t>
  </si>
  <si>
    <t>Shooting in parking lot after basketball game during argument that started in gym</t>
  </si>
  <si>
    <t>Escalation of Dispute</t>
  </si>
  <si>
    <t>Victims Targeted</t>
  </si>
  <si>
    <t>No</t>
  </si>
  <si>
    <t>20031204OKDOO</t>
  </si>
  <si>
    <t>Douglas High School</t>
  </si>
  <si>
    <t>Winter</t>
  </si>
  <si>
    <t>Oklahoma City</t>
  </si>
  <si>
    <t>OK</t>
  </si>
  <si>
    <t>High</t>
  </si>
  <si>
    <t>Beside Building</t>
  </si>
  <si>
    <t>Outside on School Property</t>
  </si>
  <si>
    <t>Yes</t>
  </si>
  <si>
    <t>Afternoon Classes</t>
  </si>
  <si>
    <t>Fight outside school gym, shot fired striking uninvolved female student</t>
  </si>
  <si>
    <t>Escalation of Dispute</t>
  </si>
  <si>
    <t>Random Shooting</t>
  </si>
  <si>
    <t>No</t>
  </si>
  <si>
    <t>20031202ILFEC</t>
  </si>
  <si>
    <t>Fermi Elementary School</t>
  </si>
  <si>
    <t>Winter</t>
  </si>
  <si>
    <t>Chicago</t>
  </si>
  <si>
    <t>IL</t>
  </si>
  <si>
    <t>Elementary</t>
  </si>
  <si>
    <t>Field (General)</t>
  </si>
  <si>
    <t>Outside on School Property</t>
  </si>
  <si>
    <t>No</t>
  </si>
  <si>
    <t>Evening</t>
  </si>
  <si>
    <t>Suspect stopped by police on school playground - refused to drop gun - was shot.</t>
  </si>
  <si>
    <t>Self-defense</t>
  </si>
  <si>
    <t>Victims Targeted</t>
  </si>
  <si>
    <t>No</t>
  </si>
  <si>
    <t>20031113NCEAC</t>
  </si>
  <si>
    <t>East Mecklenburg High School</t>
  </si>
  <si>
    <t>Fall</t>
  </si>
  <si>
    <t>Charlotte</t>
  </si>
  <si>
    <t>NC</t>
  </si>
  <si>
    <t>High</t>
  </si>
  <si>
    <t>Classroom</t>
  </si>
  <si>
    <t>Inside School Building</t>
  </si>
  <si>
    <t>Yes</t>
  </si>
  <si>
    <t>Morning Classes</t>
  </si>
  <si>
    <t>Accidental discharge in students pocket</t>
  </si>
  <si>
    <t>Accidental</t>
  </si>
  <si>
    <t>Neither</t>
  </si>
  <si>
    <t>No</t>
  </si>
  <si>
    <t>20031108TXHIS</t>
  </si>
  <si>
    <t>Hightower High School</t>
  </si>
  <si>
    <t>Fall</t>
  </si>
  <si>
    <t>Missouri City</t>
  </si>
  <si>
    <t>TX</t>
  </si>
  <si>
    <t>High</t>
  </si>
  <si>
    <t>Football Field/Track</t>
  </si>
  <si>
    <t>Outside on School Property</t>
  </si>
  <si>
    <t>No</t>
  </si>
  <si>
    <t>Sport Event</t>
  </si>
  <si>
    <t>Fight between large group of males following football game, uninvolved female student was shot and killed</t>
  </si>
  <si>
    <t>Escalation of Dispute</t>
  </si>
  <si>
    <t>Random Shooting</t>
  </si>
  <si>
    <t>No</t>
  </si>
  <si>
    <t>20031030DCANW</t>
  </si>
  <si>
    <t>Anacostia High School</t>
  </si>
  <si>
    <t>Fall</t>
  </si>
  <si>
    <t>Washington</t>
  </si>
  <si>
    <t>DC</t>
  </si>
  <si>
    <t>High</t>
  </si>
  <si>
    <t>Beside Building</t>
  </si>
  <si>
    <t>Outside on School Property</t>
  </si>
  <si>
    <t>No</t>
  </si>
  <si>
    <t>School Event</t>
  </si>
  <si>
    <t>Gang related shooting, two bystander students struck</t>
  </si>
  <si>
    <t>Escalation of Dispute</t>
  </si>
  <si>
    <t>Both</t>
  </si>
  <si>
    <t>No</t>
  </si>
  <si>
    <t>20031029LAMAM</t>
  </si>
  <si>
    <t>Marion High School</t>
  </si>
  <si>
    <t>Fall</t>
  </si>
  <si>
    <t>Marion</t>
  </si>
  <si>
    <t>LA</t>
  </si>
  <si>
    <t>High</t>
  </si>
  <si>
    <t>Classroom</t>
  </si>
  <si>
    <t>Inside School Building</t>
  </si>
  <si>
    <t>Yes</t>
  </si>
  <si>
    <t>Morning Classes</t>
  </si>
  <si>
    <t>Pulled gun, took teachers car keys, kidnapped other student, drove car in police chase</t>
  </si>
  <si>
    <t>Hostage/Standoff</t>
  </si>
  <si>
    <t>No</t>
  </si>
  <si>
    <t>Yes</t>
  </si>
  <si>
    <t>No</t>
  </si>
  <si>
    <t>Yes</t>
  </si>
  <si>
    <t>20031007OHKEA</t>
  </si>
  <si>
    <t>Kenmore High School</t>
  </si>
  <si>
    <t>Fall</t>
  </si>
  <si>
    <t>Akron</t>
  </si>
  <si>
    <t>OH</t>
  </si>
  <si>
    <t>High</t>
  </si>
  <si>
    <t>Parking Lot</t>
  </si>
  <si>
    <t>Outside on School Property</t>
  </si>
  <si>
    <t>Yes</t>
  </si>
  <si>
    <t>Afternoon Classes</t>
  </si>
  <si>
    <t>Argument over car being broken into, third student shot at two arguing</t>
  </si>
  <si>
    <t>Escalation of Dispute</t>
  </si>
  <si>
    <t>Victims Targeted</t>
  </si>
  <si>
    <t>No</t>
  </si>
  <si>
    <t>20031001CARIS</t>
  </si>
  <si>
    <t>Rio Cazadero High School</t>
  </si>
  <si>
    <t>Fall</t>
  </si>
  <si>
    <t>Sacramento</t>
  </si>
  <si>
    <t>CA</t>
  </si>
  <si>
    <t>High</t>
  </si>
  <si>
    <t>Classroom; Beside Building</t>
  </si>
  <si>
    <t>Both Inside/Outside</t>
  </si>
  <si>
    <t>Yes</t>
  </si>
  <si>
    <t>Morning Classes</t>
  </si>
  <si>
    <t>Suicide by cop, depressed over breakup</t>
  </si>
  <si>
    <t>Suicide/Attempted</t>
  </si>
  <si>
    <t>Victims Targeted</t>
  </si>
  <si>
    <t>No</t>
  </si>
  <si>
    <t>Yes</t>
  </si>
  <si>
    <t>20030925NCBUL</t>
  </si>
  <si>
    <t>Burns Middle School</t>
  </si>
  <si>
    <t>Fall</t>
  </si>
  <si>
    <t>Lawndale</t>
  </si>
  <si>
    <t>NC</t>
  </si>
  <si>
    <t>Middle</t>
  </si>
  <si>
    <t>Hallway</t>
  </si>
  <si>
    <t>Inside School Building</t>
  </si>
  <si>
    <t>Yes</t>
  </si>
  <si>
    <t>School Start</t>
  </si>
  <si>
    <t>Pulled gun in hallway, fired into classrooms, tackled by SRO</t>
  </si>
  <si>
    <t>Indiscriminate Shooting</t>
  </si>
  <si>
    <t>Victims Targeted</t>
  </si>
  <si>
    <t>No</t>
  </si>
  <si>
    <t>Yes</t>
  </si>
  <si>
    <t>20030924MNROC</t>
  </si>
  <si>
    <t>Rocori High School</t>
  </si>
  <si>
    <t>Fall</t>
  </si>
  <si>
    <t>Cold Spring</t>
  </si>
  <si>
    <t>MN</t>
  </si>
  <si>
    <t>High</t>
  </si>
  <si>
    <t>Gym</t>
  </si>
  <si>
    <t>Inside School Building</t>
  </si>
  <si>
    <t>Yes</t>
  </si>
  <si>
    <t>Morning Classes</t>
  </si>
  <si>
    <t>Targeted two bullies, other students in area were not shot at</t>
  </si>
  <si>
    <t>Bullying</t>
  </si>
  <si>
    <t>Victims Targeted</t>
  </si>
  <si>
    <t>No</t>
  </si>
  <si>
    <t>Yes</t>
  </si>
  <si>
    <t>No</t>
  </si>
  <si>
    <t>Yes</t>
  </si>
  <si>
    <t>20030922WALES</t>
  </si>
  <si>
    <t>Lewis and Clark High School</t>
  </si>
  <si>
    <t>Fall</t>
  </si>
  <si>
    <t>Spokane</t>
  </si>
  <si>
    <t>WA</t>
  </si>
  <si>
    <t>High</t>
  </si>
  <si>
    <t>Classroom</t>
  </si>
  <si>
    <t>Inside School Building</t>
  </si>
  <si>
    <t>Yes</t>
  </si>
  <si>
    <t>Lunch</t>
  </si>
  <si>
    <t>Took 3 students hostage in classroom for an hour, shot by police</t>
  </si>
  <si>
    <t>Hostage/Standoff</t>
  </si>
  <si>
    <t>No</t>
  </si>
  <si>
    <t>Yes</t>
  </si>
  <si>
    <t>No</t>
  </si>
  <si>
    <t>Yes</t>
  </si>
  <si>
    <t>20030917MACHB</t>
  </si>
  <si>
    <t>Charlestown High School</t>
  </si>
  <si>
    <t>Fall</t>
  </si>
  <si>
    <t>Boston</t>
  </si>
  <si>
    <t>MA</t>
  </si>
  <si>
    <t>K-12</t>
  </si>
  <si>
    <t>Beside Building</t>
  </si>
  <si>
    <t>Outside on School Property</t>
  </si>
  <si>
    <t>No</t>
  </si>
  <si>
    <t>Dismissal</t>
  </si>
  <si>
    <t>Shot a specific victim during dismissal, missed hitting other student and police officer</t>
  </si>
  <si>
    <t>Escalation of Dispute</t>
  </si>
  <si>
    <t>Both</t>
  </si>
  <si>
    <t>No</t>
  </si>
  <si>
    <t>20030917MDOKE</t>
  </si>
  <si>
    <t>Oklahoma Road Middle School</t>
  </si>
  <si>
    <t>Fall</t>
  </si>
  <si>
    <t>Eldersburg</t>
  </si>
  <si>
    <t>MD</t>
  </si>
  <si>
    <t>Middle</t>
  </si>
  <si>
    <t>Bathroom</t>
  </si>
  <si>
    <t>Inside School Building</t>
  </si>
  <si>
    <t>Yes</t>
  </si>
  <si>
    <t>Morning Classes</t>
  </si>
  <si>
    <t>Fired shot in bathroom, surrendered to teacher who investigated</t>
  </si>
  <si>
    <t>Suicide/Attempted</t>
  </si>
  <si>
    <t>No</t>
  </si>
  <si>
    <t>20030910MSVIV</t>
  </si>
  <si>
    <t>Vicksburg High School</t>
  </si>
  <si>
    <t>Fall</t>
  </si>
  <si>
    <t>Vicksburg</t>
  </si>
  <si>
    <t>MS</t>
  </si>
  <si>
    <t>High</t>
  </si>
  <si>
    <t>Football Field/Track</t>
  </si>
  <si>
    <t>Outside on School Property</t>
  </si>
  <si>
    <t>Yes</t>
  </si>
  <si>
    <t>Afternoon Classes</t>
  </si>
  <si>
    <t>Ongoing feud resulted in shooting at school stadium</t>
  </si>
  <si>
    <t>Escalation of Dispute</t>
  </si>
  <si>
    <t>Victims Targeted</t>
  </si>
  <si>
    <t>No</t>
  </si>
  <si>
    <t>20030604PAROW</t>
  </si>
  <si>
    <t>Rock L. Butler Middle School</t>
  </si>
  <si>
    <t>Summer</t>
  </si>
  <si>
    <t>Wellsboro</t>
  </si>
  <si>
    <t>PA</t>
  </si>
  <si>
    <t>Middle</t>
  </si>
  <si>
    <t>Bathroom</t>
  </si>
  <si>
    <t>Inside School Building</t>
  </si>
  <si>
    <t>Yes</t>
  </si>
  <si>
    <t>School Start</t>
  </si>
  <si>
    <t>Brought duffel bag with 7 weapons, shot self in bathroom</t>
  </si>
  <si>
    <t>Indiscriminate Shooting</t>
  </si>
  <si>
    <t>Yes</t>
  </si>
  <si>
    <t>No</t>
  </si>
  <si>
    <t>Yes</t>
  </si>
  <si>
    <t>20030513PAFOJ</t>
  </si>
  <si>
    <t>Forest Hills High School</t>
  </si>
  <si>
    <t>Spring</t>
  </si>
  <si>
    <t>Johnstown</t>
  </si>
  <si>
    <t>PA</t>
  </si>
  <si>
    <t>High</t>
  </si>
  <si>
    <t>Parking Lot</t>
  </si>
  <si>
    <t>Outside on School Property</t>
  </si>
  <si>
    <t>Yes</t>
  </si>
  <si>
    <t>Morning Classes</t>
  </si>
  <si>
    <t>Commit suicide in parking lot</t>
  </si>
  <si>
    <t>Suicide/Attempted</t>
  </si>
  <si>
    <t>Victims Targeted</t>
  </si>
  <si>
    <t>No</t>
  </si>
  <si>
    <t>20030424PARER</t>
  </si>
  <si>
    <t>Red Lion Area Junior High School</t>
  </si>
  <si>
    <t>Spring</t>
  </si>
  <si>
    <t>Red Lion</t>
  </si>
  <si>
    <t>PA</t>
  </si>
  <si>
    <t>Junior High</t>
  </si>
  <si>
    <t>Cafeteria</t>
  </si>
  <si>
    <t>Inside School Building</t>
  </si>
  <si>
    <t>Yes</t>
  </si>
  <si>
    <t>School Start</t>
  </si>
  <si>
    <t>Recently disciplined by principal</t>
  </si>
  <si>
    <t>Anger Over Grade/Suspension/Discipline</t>
  </si>
  <si>
    <t>Victims Targeted</t>
  </si>
  <si>
    <t>No</t>
  </si>
  <si>
    <t>Yes</t>
  </si>
  <si>
    <t>20030416TXGRA</t>
  </si>
  <si>
    <t>Greenhill Middle School</t>
  </si>
  <si>
    <t>Spring</t>
  </si>
  <si>
    <t>Addison</t>
  </si>
  <si>
    <t>TX</t>
  </si>
  <si>
    <t>Middle</t>
  </si>
  <si>
    <t>Bathroom</t>
  </si>
  <si>
    <t>Inside School Building</t>
  </si>
  <si>
    <t>Yes</t>
  </si>
  <si>
    <t>After School</t>
  </si>
  <si>
    <t>Student shot herself in bathroom</t>
  </si>
  <si>
    <t>Murder/Suicide</t>
  </si>
  <si>
    <t>Victims Targeted</t>
  </si>
  <si>
    <t>No</t>
  </si>
  <si>
    <t>20030414LAJON</t>
  </si>
  <si>
    <t>John McDonogh High School</t>
  </si>
  <si>
    <t>Spring</t>
  </si>
  <si>
    <t>New Orleans</t>
  </si>
  <si>
    <t>LA</t>
  </si>
  <si>
    <t>High</t>
  </si>
  <si>
    <t>Gym</t>
  </si>
  <si>
    <t>Inside School Building</t>
  </si>
  <si>
    <t>Yes</t>
  </si>
  <si>
    <t>Morning Classes</t>
  </si>
  <si>
    <t>Gang members targeted rival gang member in school gym</t>
  </si>
  <si>
    <t>Indiscriminate Shooting</t>
  </si>
  <si>
    <t>Both</t>
  </si>
  <si>
    <t>Yes</t>
  </si>
  <si>
    <t>No</t>
  </si>
  <si>
    <t>Yes</t>
  </si>
  <si>
    <t>20030414LAFAS</t>
  </si>
  <si>
    <t>Fair Park High School</t>
  </si>
  <si>
    <t>Spring</t>
  </si>
  <si>
    <t>Shreveport</t>
  </si>
  <si>
    <t>LA</t>
  </si>
  <si>
    <t>High</t>
  </si>
  <si>
    <t>Classroom</t>
  </si>
  <si>
    <t>Inside School Building</t>
  </si>
  <si>
    <t>Yes</t>
  </si>
  <si>
    <t>Morning Classes</t>
  </si>
  <si>
    <t>Showing off gun, struck friend in stomach</t>
  </si>
  <si>
    <t>Accidental</t>
  </si>
  <si>
    <t>Random Shooting</t>
  </si>
  <si>
    <t>No</t>
  </si>
  <si>
    <t>20030410CAWAW</t>
  </si>
  <si>
    <t>Walnut High School</t>
  </si>
  <si>
    <t>Local</t>
  </si>
  <si>
    <t>Spring</t>
  </si>
  <si>
    <t>Walnut</t>
  </si>
  <si>
    <t>CA</t>
  </si>
  <si>
    <t>High</t>
  </si>
  <si>
    <t>Cafeteria</t>
  </si>
  <si>
    <t>Inside School Building</t>
  </si>
  <si>
    <t>Yes</t>
  </si>
  <si>
    <t>Lunch</t>
  </si>
  <si>
    <t>Student fatally shot himself inside cafeteria during lunch</t>
  </si>
  <si>
    <t>Suicide/Attempted</t>
  </si>
  <si>
    <t>Victims Targeted</t>
  </si>
  <si>
    <t>No</t>
  </si>
  <si>
    <t>20030401DCCAW</t>
  </si>
  <si>
    <t>Cardozo High School</t>
  </si>
  <si>
    <t>Spring</t>
  </si>
  <si>
    <t>Washington</t>
  </si>
  <si>
    <t>DC</t>
  </si>
  <si>
    <t>High</t>
  </si>
  <si>
    <t>Hallway</t>
  </si>
  <si>
    <t>Inside School Building</t>
  </si>
  <si>
    <t>Yes</t>
  </si>
  <si>
    <t>Lunch</t>
  </si>
  <si>
    <t>Gang-related fight in hallway between students</t>
  </si>
  <si>
    <t>Escalation of Dispute</t>
  </si>
  <si>
    <t>Victims Targeted</t>
  </si>
  <si>
    <t>No</t>
  </si>
  <si>
    <t>20030330CAROW</t>
  </si>
  <si>
    <t>Rolling Hills Middle School</t>
  </si>
  <si>
    <t>Spring</t>
  </si>
  <si>
    <t>Watsonville</t>
  </si>
  <si>
    <t>CA</t>
  </si>
  <si>
    <t>High</t>
  </si>
  <si>
    <t>Beside Building</t>
  </si>
  <si>
    <t>Outside on School Property</t>
  </si>
  <si>
    <t>No</t>
  </si>
  <si>
    <t>Not a School Day</t>
  </si>
  <si>
    <t>Man shot during gang dispute because of belt color</t>
  </si>
  <si>
    <t>Escalation of Dispute</t>
  </si>
  <si>
    <t>Victims Targeted</t>
  </si>
  <si>
    <t>No</t>
  </si>
  <si>
    <t>20030321MSNOM</t>
  </si>
  <si>
    <t>Northeast High School</t>
  </si>
  <si>
    <t>Spring</t>
  </si>
  <si>
    <t>Meridian</t>
  </si>
  <si>
    <t>MS</t>
  </si>
  <si>
    <t>High</t>
  </si>
  <si>
    <t>Bathroom</t>
  </si>
  <si>
    <t>Inside School Building</t>
  </si>
  <si>
    <t>Yes</t>
  </si>
  <si>
    <t>Morning Classes</t>
  </si>
  <si>
    <t>Student shot self in bathroom</t>
  </si>
  <si>
    <t>Suicide/Attempted</t>
  </si>
  <si>
    <t>Victims Targeted</t>
  </si>
  <si>
    <t>No</t>
  </si>
  <si>
    <t>20030318IACLG</t>
  </si>
  <si>
    <t>Clayton Ridge High School</t>
  </si>
  <si>
    <t>Spring</t>
  </si>
  <si>
    <t>Guttenberg</t>
  </si>
  <si>
    <t>IA</t>
  </si>
  <si>
    <t>High</t>
  </si>
  <si>
    <t>Office</t>
  </si>
  <si>
    <t>Inside School Building</t>
  </si>
  <si>
    <t>Yes</t>
  </si>
  <si>
    <t>Afternoon Classes</t>
  </si>
  <si>
    <t>Talked with principal, pulled out gun, and shot himself in office</t>
  </si>
  <si>
    <t>Suicide/Attempted</t>
  </si>
  <si>
    <t>Victims Targeted</t>
  </si>
  <si>
    <t>No</t>
  </si>
  <si>
    <t>20030205CORAW</t>
  </si>
  <si>
    <t>Ranum High School</t>
  </si>
  <si>
    <t>Winter</t>
  </si>
  <si>
    <t>Westminster</t>
  </si>
  <si>
    <t>CO</t>
  </si>
  <si>
    <t>High</t>
  </si>
  <si>
    <t>Outside on School Property</t>
  </si>
  <si>
    <t>Yes</t>
  </si>
  <si>
    <t>Morning Classes</t>
  </si>
  <si>
    <t>Shots fired during fight, missed target, shooter fled</t>
  </si>
  <si>
    <t>Escalation of Dispute</t>
  </si>
  <si>
    <t>Victims Targeted</t>
  </si>
  <si>
    <t>No</t>
  </si>
  <si>
    <t>20030130OKJEJ</t>
  </si>
  <si>
    <t>Jenks High School</t>
  </si>
  <si>
    <t>Winter</t>
  </si>
  <si>
    <t>Jenks</t>
  </si>
  <si>
    <t>OK</t>
  </si>
  <si>
    <t>High</t>
  </si>
  <si>
    <t>Other</t>
  </si>
  <si>
    <t>Outside on School Property</t>
  </si>
  <si>
    <t>Yes</t>
  </si>
  <si>
    <t>Dismissal</t>
  </si>
  <si>
    <t>Student climbed on roof, threatened to shoot himself, surrendered to police after 2 hours</t>
  </si>
  <si>
    <t>Suicide/Attempted</t>
  </si>
  <si>
    <t>Victims Targeted</t>
  </si>
  <si>
    <t>No</t>
  </si>
  <si>
    <t>20030121KYWEO</t>
  </si>
  <si>
    <t>West Carter Middle School</t>
  </si>
  <si>
    <t>Winter</t>
  </si>
  <si>
    <t>Olive Hill</t>
  </si>
  <si>
    <t>KY</t>
  </si>
  <si>
    <t>Middle</t>
  </si>
  <si>
    <t>Classroom</t>
  </si>
  <si>
    <t>Inside School Building</t>
  </si>
  <si>
    <t>Yes</t>
  </si>
  <si>
    <t>Morning Classes</t>
  </si>
  <si>
    <t>Took student hostage, walked him down hallway, surrendered to SRO</t>
  </si>
  <si>
    <t>Hostage/Standoff</t>
  </si>
  <si>
    <t>Victims Targeted</t>
  </si>
  <si>
    <t>No</t>
  </si>
  <si>
    <t>Yes</t>
  </si>
  <si>
    <t>No</t>
  </si>
  <si>
    <t>Yes</t>
  </si>
  <si>
    <t>20021216ILENC</t>
  </si>
  <si>
    <t>Englewood High School</t>
  </si>
  <si>
    <t>Winter</t>
  </si>
  <si>
    <t>Chicago</t>
  </si>
  <si>
    <t>IL</t>
  </si>
  <si>
    <t>High</t>
  </si>
  <si>
    <t>Beside Building</t>
  </si>
  <si>
    <t>Outside on School Property</t>
  </si>
  <si>
    <t>No</t>
  </si>
  <si>
    <t>After School</t>
  </si>
  <si>
    <t>Shooting outside school following prior altercation</t>
  </si>
  <si>
    <t>Escalation of Dispute</t>
  </si>
  <si>
    <t>Both</t>
  </si>
  <si>
    <t>No</t>
  </si>
  <si>
    <t>Yes</t>
  </si>
  <si>
    <t>20021212WAWIC</t>
  </si>
  <si>
    <t>Wind River Middle School</t>
  </si>
  <si>
    <t>Winter</t>
  </si>
  <si>
    <t>Carson</t>
  </si>
  <si>
    <t>WA</t>
  </si>
  <si>
    <t>Middle</t>
  </si>
  <si>
    <t>Classroom</t>
  </si>
  <si>
    <t>Inside School Building</t>
  </si>
  <si>
    <t>No</t>
  </si>
  <si>
    <t>After School</t>
  </si>
  <si>
    <t>Shot at school window from across the street then shot self</t>
  </si>
  <si>
    <t>Suicide/Attempted</t>
  </si>
  <si>
    <t>No</t>
  </si>
  <si>
    <t>20021202MIOSD</t>
  </si>
  <si>
    <t>Osborn High School</t>
  </si>
  <si>
    <t>Winter</t>
  </si>
  <si>
    <t>Detroit</t>
  </si>
  <si>
    <t>MI</t>
  </si>
  <si>
    <t>High</t>
  </si>
  <si>
    <t>Classroom</t>
  </si>
  <si>
    <t>Inside School Building</t>
  </si>
  <si>
    <t>Yes</t>
  </si>
  <si>
    <t>Morning Classes</t>
  </si>
  <si>
    <t>Accidental discharge, shot self</t>
  </si>
  <si>
    <t>Accidental</t>
  </si>
  <si>
    <t>Neither</t>
  </si>
  <si>
    <t>No</t>
  </si>
  <si>
    <t>20021115CAAML</t>
  </si>
  <si>
    <t>Ambler Avenue Elementary School</t>
  </si>
  <si>
    <t>Fall</t>
  </si>
  <si>
    <t>Los Angeles</t>
  </si>
  <si>
    <t>CA</t>
  </si>
  <si>
    <t>Elementary</t>
  </si>
  <si>
    <t>Beside Building</t>
  </si>
  <si>
    <t>Outside on School Property</t>
  </si>
  <si>
    <t>No</t>
  </si>
  <si>
    <t>Evening</t>
  </si>
  <si>
    <t>Multiple shots fired by unknown person on the school grounds, 2 struck</t>
  </si>
  <si>
    <t>Unknown</t>
  </si>
  <si>
    <t>No</t>
  </si>
  <si>
    <t>Yes</t>
  </si>
  <si>
    <t>20021115TXSCS</t>
  </si>
  <si>
    <t>Scurry-Rosser High School</t>
  </si>
  <si>
    <t>Fall</t>
  </si>
  <si>
    <t>Scurry</t>
  </si>
  <si>
    <t>TX</t>
  </si>
  <si>
    <t>High</t>
  </si>
  <si>
    <t>Hallway</t>
  </si>
  <si>
    <t>Inside School Building</t>
  </si>
  <si>
    <t>Yes</t>
  </si>
  <si>
    <t>Morning Classes</t>
  </si>
  <si>
    <t>Former student with shotgun forced students into cafeteria, splashed gasoline, wanted to light school on fire</t>
  </si>
  <si>
    <t>Anger Over Grade/Suspension/Discipline</t>
  </si>
  <si>
    <t>Victims Targeted</t>
  </si>
  <si>
    <t>No</t>
  </si>
  <si>
    <t>Yes</t>
  </si>
  <si>
    <t>No</t>
  </si>
  <si>
    <t>Yes</t>
  </si>
  <si>
    <t>20021107MOSTL</t>
  </si>
  <si>
    <t>St. James Catholic School</t>
  </si>
  <si>
    <t>Fall</t>
  </si>
  <si>
    <t>Liberty</t>
  </si>
  <si>
    <t>MO</t>
  </si>
  <si>
    <t>K-8</t>
  </si>
  <si>
    <t>Parking Lot</t>
  </si>
  <si>
    <t>Outside on School Property</t>
  </si>
  <si>
    <t>Yes</t>
  </si>
  <si>
    <t>Lunch</t>
  </si>
  <si>
    <t>Shot wife and son in school parking lot</t>
  </si>
  <si>
    <t>Domestic w/ Targeted Victim</t>
  </si>
  <si>
    <t>Victims Targeted</t>
  </si>
  <si>
    <t>No</t>
  </si>
  <si>
    <t>Yes</t>
  </si>
  <si>
    <t>20021029NJLIJ</t>
  </si>
  <si>
    <t>Lincoln High School</t>
  </si>
  <si>
    <t>Fall</t>
  </si>
  <si>
    <t>Jersey City</t>
  </si>
  <si>
    <t>NJ</t>
  </si>
  <si>
    <t>High</t>
  </si>
  <si>
    <t>Hallway</t>
  </si>
  <si>
    <t>Inside School Building</t>
  </si>
  <si>
    <t>Yes</t>
  </si>
  <si>
    <t>Morning Classes</t>
  </si>
  <si>
    <t>Shots fired during fight in school hallway</t>
  </si>
  <si>
    <t>Escalation of Dispute</t>
  </si>
  <si>
    <t>Victims Targeted</t>
  </si>
  <si>
    <t>No</t>
  </si>
  <si>
    <t>20021007MDBEB</t>
  </si>
  <si>
    <t>Benjamin Tasker Middle School</t>
  </si>
  <si>
    <t>Fall</t>
  </si>
  <si>
    <t>Bowie</t>
  </si>
  <si>
    <t>MD</t>
  </si>
  <si>
    <t>Middle</t>
  </si>
  <si>
    <t>Front of School</t>
  </si>
  <si>
    <t>Outside on School Property</t>
  </si>
  <si>
    <t>Yes</t>
  </si>
  <si>
    <t>School Start</t>
  </si>
  <si>
    <t>Serial Sniper Victim</t>
  </si>
  <si>
    <t>Indiscriminate Shooting</t>
  </si>
  <si>
    <t>Random Shooting</t>
  </si>
  <si>
    <t>Yes</t>
  </si>
  <si>
    <t>No</t>
  </si>
  <si>
    <t>20021004MTCMG</t>
  </si>
  <si>
    <t>C M Russell HIgh School</t>
  </si>
  <si>
    <t>Fall</t>
  </si>
  <si>
    <t>Great Falls</t>
  </si>
  <si>
    <t>MT</t>
  </si>
  <si>
    <t>High</t>
  </si>
  <si>
    <t>Parking Lot</t>
  </si>
  <si>
    <t>Outside on School Property</t>
  </si>
  <si>
    <t>Yes</t>
  </si>
  <si>
    <t>After School</t>
  </si>
  <si>
    <t>Gang related shooting in parking lot</t>
  </si>
  <si>
    <t>Drive-by Shooting</t>
  </si>
  <si>
    <t>Victims Targeted</t>
  </si>
  <si>
    <t>No</t>
  </si>
  <si>
    <t>20021004TXPAS</t>
  </si>
  <si>
    <t>Page Middle School</t>
  </si>
  <si>
    <t>Fall</t>
  </si>
  <si>
    <t>San Antonio</t>
  </si>
  <si>
    <t>TX</t>
  </si>
  <si>
    <t>High</t>
  </si>
  <si>
    <t>Parking Lot</t>
  </si>
  <si>
    <t>Outside on School Property</t>
  </si>
  <si>
    <t>Yes</t>
  </si>
  <si>
    <t>School Start</t>
  </si>
  <si>
    <t>Shot herself in the school parking lot in front of other students</t>
  </si>
  <si>
    <t>Suicide/Attempted</t>
  </si>
  <si>
    <t>Victims Targeted</t>
  </si>
  <si>
    <t>No</t>
  </si>
  <si>
    <t>Yes</t>
  </si>
  <si>
    <t>No</t>
  </si>
  <si>
    <t>20020426LAABN</t>
  </si>
  <si>
    <t>Abramson High School</t>
  </si>
  <si>
    <t>Spring</t>
  </si>
  <si>
    <t>New Orleans</t>
  </si>
  <si>
    <t>LA</t>
  </si>
  <si>
    <t>High</t>
  </si>
  <si>
    <t>Beside Building</t>
  </si>
  <si>
    <t>Outside on School Property</t>
  </si>
  <si>
    <t>No</t>
  </si>
  <si>
    <t>Evening</t>
  </si>
  <si>
    <t>Armed security guards playing quick draw game, gun went off killing one</t>
  </si>
  <si>
    <t>Accidental</t>
  </si>
  <si>
    <t>Random Shooting</t>
  </si>
  <si>
    <t>No</t>
  </si>
  <si>
    <t>20020406MDLEB</t>
  </si>
  <si>
    <t>Leith Walk Elementary School</t>
  </si>
  <si>
    <t>Spring</t>
  </si>
  <si>
    <t>Baltimore</t>
  </si>
  <si>
    <t>MD</t>
  </si>
  <si>
    <t>Elementary</t>
  </si>
  <si>
    <t>Playground</t>
  </si>
  <si>
    <t>Outside on School Property</t>
  </si>
  <si>
    <t>No</t>
  </si>
  <si>
    <t>Night</t>
  </si>
  <si>
    <t>Officer shot teen behind the school</t>
  </si>
  <si>
    <t>Illegal Activity</t>
  </si>
  <si>
    <t>No</t>
  </si>
  <si>
    <t>N/A</t>
  </si>
  <si>
    <t>20020322CAJOC</t>
  </si>
  <si>
    <t>John Barrett Middle School</t>
  </si>
  <si>
    <t>Spring</t>
  </si>
  <si>
    <t>Carmichael</t>
  </si>
  <si>
    <t>CA</t>
  </si>
  <si>
    <t>Middle</t>
  </si>
  <si>
    <t>Classroom</t>
  </si>
  <si>
    <t>Inside School Building</t>
  </si>
  <si>
    <t>Yes</t>
  </si>
  <si>
    <t>Morning Classes</t>
  </si>
  <si>
    <t>Student had list of 8 teachers to kill and 50 rounds of ammo, surrendered to police officer</t>
  </si>
  <si>
    <t>Hostage/Standoff</t>
  </si>
  <si>
    <t>Victims Targeted</t>
  </si>
  <si>
    <t>No</t>
  </si>
  <si>
    <t>Yes</t>
  </si>
  <si>
    <t>No</t>
  </si>
  <si>
    <t>Yes</t>
  </si>
  <si>
    <t>20020207ILROC</t>
  </si>
  <si>
    <t>Roosevelt High School</t>
  </si>
  <si>
    <t>Winter</t>
  </si>
  <si>
    <t>Chicago</t>
  </si>
  <si>
    <t>IL</t>
  </si>
  <si>
    <t>High</t>
  </si>
  <si>
    <t>Beside Building</t>
  </si>
  <si>
    <t>Outside on School Property</t>
  </si>
  <si>
    <t>Yes</t>
  </si>
  <si>
    <t>Dismissal</t>
  </si>
  <si>
    <t>Fired during a fist fight striking 2 students who were not involved</t>
  </si>
  <si>
    <t>Escalation of Dispute</t>
  </si>
  <si>
    <t>Both</t>
  </si>
  <si>
    <t>Yes</t>
  </si>
  <si>
    <t>No</t>
  </si>
  <si>
    <t>20020206CAGAL</t>
  </si>
  <si>
    <t>Gardena High School</t>
  </si>
  <si>
    <t>Winter</t>
  </si>
  <si>
    <t>Los Angeles</t>
  </si>
  <si>
    <t>CA</t>
  </si>
  <si>
    <t>High</t>
  </si>
  <si>
    <t>Bathroom</t>
  </si>
  <si>
    <t>Inside School Building</t>
  </si>
  <si>
    <t>Yes</t>
  </si>
  <si>
    <t>Afternoon Classes</t>
  </si>
  <si>
    <t>Botched robbery in school hallway</t>
  </si>
  <si>
    <t>Illegal Activity</t>
  </si>
  <si>
    <t>Victims Targeted</t>
  </si>
  <si>
    <t>Yes</t>
  </si>
  <si>
    <t>No</t>
  </si>
  <si>
    <t>20020201TXBRB</t>
  </si>
  <si>
    <t>Brock High School</t>
  </si>
  <si>
    <t>Winter</t>
  </si>
  <si>
    <t>Brock</t>
  </si>
  <si>
    <t>TX</t>
  </si>
  <si>
    <t>High</t>
  </si>
  <si>
    <t>Parking Lot</t>
  </si>
  <si>
    <t>Outside on School Property</t>
  </si>
  <si>
    <t>No</t>
  </si>
  <si>
    <t>After School</t>
  </si>
  <si>
    <t>Man having affair with basketball coach's wife, attacked them in school parking lot</t>
  </si>
  <si>
    <t>Domestic w/ Targeted Victim</t>
  </si>
  <si>
    <t>Victims Targeted</t>
  </si>
  <si>
    <t>No</t>
  </si>
  <si>
    <t>Yes</t>
  </si>
  <si>
    <t>20020124PAOLO</t>
  </si>
  <si>
    <t>Oley High School (bus)</t>
  </si>
  <si>
    <t>Winter</t>
  </si>
  <si>
    <t>Oley</t>
  </si>
  <si>
    <t>PA</t>
  </si>
  <si>
    <t>High</t>
  </si>
  <si>
    <t>School Bus</t>
  </si>
  <si>
    <t>Yes</t>
  </si>
  <si>
    <t>Before School</t>
  </si>
  <si>
    <t>Bus driver with rifle kidnapped 13 students and drove them 150 miles to area near Washington, DC</t>
  </si>
  <si>
    <t>Hostage/Standoff</t>
  </si>
  <si>
    <t>Neither</t>
  </si>
  <si>
    <t>No</t>
  </si>
  <si>
    <t>Yes</t>
  </si>
  <si>
    <t>No</t>
  </si>
  <si>
    <t>20020115NYMAN</t>
  </si>
  <si>
    <t>Martin Luther King, Jr. High School</t>
  </si>
  <si>
    <t>Winter</t>
  </si>
  <si>
    <t>New York</t>
  </si>
  <si>
    <t>NY</t>
  </si>
  <si>
    <t>High</t>
  </si>
  <si>
    <t>Hallway</t>
  </si>
  <si>
    <t>Inside School Building</t>
  </si>
  <si>
    <t>Yes</t>
  </si>
  <si>
    <t>Afternoon Classes</t>
  </si>
  <si>
    <t>Two boys teased a girl and pulled a bandana (gang colors) off her head; shot by her boyfriend</t>
  </si>
  <si>
    <t>Escalation of Dispute</t>
  </si>
  <si>
    <t>Victims Targeted</t>
  </si>
  <si>
    <t>No</t>
  </si>
  <si>
    <t>Yes</t>
  </si>
  <si>
    <t>No</t>
  </si>
  <si>
    <t>20020111MSRAJ</t>
  </si>
  <si>
    <t>Raymond High School</t>
  </si>
  <si>
    <t>Local</t>
  </si>
  <si>
    <t>Winter</t>
  </si>
  <si>
    <t>Jackson</t>
  </si>
  <si>
    <t>MS</t>
  </si>
  <si>
    <t>High</t>
  </si>
  <si>
    <t>Office</t>
  </si>
  <si>
    <t>Inside School Building</t>
  </si>
  <si>
    <t>Yes</t>
  </si>
  <si>
    <t>Lunch</t>
  </si>
  <si>
    <t>Made threats about school shooting, suspended, took principal hostage next day</t>
  </si>
  <si>
    <t>Hostage/Standoff</t>
  </si>
  <si>
    <t>Victims Targeted</t>
  </si>
  <si>
    <t>No</t>
  </si>
  <si>
    <t>Yes</t>
  </si>
  <si>
    <t>No</t>
  </si>
  <si>
    <t>Yes</t>
  </si>
  <si>
    <t>20011130TXFRF</t>
  </si>
  <si>
    <t>Friendswood Junior High School</t>
  </si>
  <si>
    <t>Fall</t>
  </si>
  <si>
    <t>Friendswood</t>
  </si>
  <si>
    <t>TX</t>
  </si>
  <si>
    <t>High</t>
  </si>
  <si>
    <t>Classroom</t>
  </si>
  <si>
    <t>Inside School Building</t>
  </si>
  <si>
    <t>No</t>
  </si>
  <si>
    <t>Before School</t>
  </si>
  <si>
    <t>Teacher fired gun in classroom at 6:00, reported shots were fired at her class room at 9:12 AM</t>
  </si>
  <si>
    <t>Unknown</t>
  </si>
  <si>
    <t>No</t>
  </si>
  <si>
    <t>20011112MICAC</t>
  </si>
  <si>
    <t>Caro Learning Center</t>
  </si>
  <si>
    <t>Fall</t>
  </si>
  <si>
    <t>Caro</t>
  </si>
  <si>
    <t>MI</t>
  </si>
  <si>
    <t>High</t>
  </si>
  <si>
    <t>Classroom</t>
  </si>
  <si>
    <t>Inside School Building</t>
  </si>
  <si>
    <t>Yes</t>
  </si>
  <si>
    <t>Afternoon Classes</t>
  </si>
  <si>
    <t>Upset about break-up, looking for girlfriend, took other student and teacher hostage, commit suicide</t>
  </si>
  <si>
    <t>Hostage/Standoff</t>
  </si>
  <si>
    <t>Victims Targeted</t>
  </si>
  <si>
    <t>No</t>
  </si>
  <si>
    <t>Yes</t>
  </si>
  <si>
    <t>No</t>
  </si>
  <si>
    <t>Yes</t>
  </si>
  <si>
    <t>20011026MIBES</t>
  </si>
  <si>
    <t>Benito Juarez Academy</t>
  </si>
  <si>
    <t>Fall</t>
  </si>
  <si>
    <t>Saginaw</t>
  </si>
  <si>
    <t>MI</t>
  </si>
  <si>
    <t>High</t>
  </si>
  <si>
    <t>Beside Building</t>
  </si>
  <si>
    <t>Outside on School Property</t>
  </si>
  <si>
    <t>Yes</t>
  </si>
  <si>
    <t>Afternoon Classes</t>
  </si>
  <si>
    <t>Student tossing jacket back and forth, gun in pocket discharged</t>
  </si>
  <si>
    <t>Accidental</t>
  </si>
  <si>
    <t>Random Shooting</t>
  </si>
  <si>
    <t>No</t>
  </si>
  <si>
    <t>20011026CARER</t>
  </si>
  <si>
    <t>Redondo Union High School</t>
  </si>
  <si>
    <t>Fall</t>
  </si>
  <si>
    <t>Redondo Beach</t>
  </si>
  <si>
    <t>CA</t>
  </si>
  <si>
    <t>High</t>
  </si>
  <si>
    <t>Courtyard</t>
  </si>
  <si>
    <t>Outside on School Property</t>
  </si>
  <si>
    <t>Yes</t>
  </si>
  <si>
    <t>Morning Classes</t>
  </si>
  <si>
    <t>Gun fell out of backpack, fired, and struck student</t>
  </si>
  <si>
    <t>Accidental</t>
  </si>
  <si>
    <t>Random Shooting</t>
  </si>
  <si>
    <t>No</t>
  </si>
  <si>
    <t>20011012UTTAT</t>
  </si>
  <si>
    <t>Taylorsville High School</t>
  </si>
  <si>
    <t>Fall</t>
  </si>
  <si>
    <t>Taylorsville</t>
  </si>
  <si>
    <t>UT</t>
  </si>
  <si>
    <t>High</t>
  </si>
  <si>
    <t>Hallway</t>
  </si>
  <si>
    <t>Inside School Building</t>
  </si>
  <si>
    <t>Yes</t>
  </si>
  <si>
    <t>Afternoon Classes</t>
  </si>
  <si>
    <t>Commit suicide in hallway</t>
  </si>
  <si>
    <t>Suicide/Attempted</t>
  </si>
  <si>
    <t>Victims Targeted</t>
  </si>
  <si>
    <t>No</t>
  </si>
  <si>
    <t>20010921MDLAB</t>
  </si>
  <si>
    <t>Lake Clifton Eastern High School</t>
  </si>
  <si>
    <t>Fall</t>
  </si>
  <si>
    <t>Baltimore</t>
  </si>
  <si>
    <t>MD</t>
  </si>
  <si>
    <t>High</t>
  </si>
  <si>
    <t>Cafeteria</t>
  </si>
  <si>
    <t>Inside School Building</t>
  </si>
  <si>
    <t>Yes</t>
  </si>
  <si>
    <t>Lunch</t>
  </si>
  <si>
    <t>Ongoing fight related to neighborhood dispute between students</t>
  </si>
  <si>
    <t>Escalation of Dispute</t>
  </si>
  <si>
    <t>Victims Targeted</t>
  </si>
  <si>
    <t>No</t>
  </si>
  <si>
    <t>20010912KYLAC</t>
  </si>
  <si>
    <t>Latonia Elementary School</t>
  </si>
  <si>
    <t>Fall</t>
  </si>
  <si>
    <t>Covington</t>
  </si>
  <si>
    <t>KY</t>
  </si>
  <si>
    <t>Elementary</t>
  </si>
  <si>
    <t>Parking Lot</t>
  </si>
  <si>
    <t>Outside on School Property</t>
  </si>
  <si>
    <t>Yes</t>
  </si>
  <si>
    <t>Dismissal</t>
  </si>
  <si>
    <t>Fight between parents escalated into shooting in front of students</t>
  </si>
  <si>
    <t>Escalation of Dispute</t>
  </si>
  <si>
    <t>Victims Targeted</t>
  </si>
  <si>
    <t>No</t>
  </si>
  <si>
    <t>20010730CABEL</t>
  </si>
  <si>
    <t>Belmont High School</t>
  </si>
  <si>
    <t>Summer</t>
  </si>
  <si>
    <t>Los Angeles</t>
  </si>
  <si>
    <t>CA</t>
  </si>
  <si>
    <t>High</t>
  </si>
  <si>
    <t>Hallway</t>
  </si>
  <si>
    <t>Inside School Building</t>
  </si>
  <si>
    <t>Yes</t>
  </si>
  <si>
    <t>School Start</t>
  </si>
  <si>
    <t>Police officer shot by teen in school</t>
  </si>
  <si>
    <t>Escalation of Dispute</t>
  </si>
  <si>
    <t>Yes</t>
  </si>
  <si>
    <t>No</t>
  </si>
  <si>
    <t>20010607TXOUA</t>
  </si>
  <si>
    <t>Ousley Junior High School</t>
  </si>
  <si>
    <t>Summer</t>
  </si>
  <si>
    <t>Arlington</t>
  </si>
  <si>
    <t>TX</t>
  </si>
  <si>
    <t>High</t>
  </si>
  <si>
    <t>Hallway</t>
  </si>
  <si>
    <t>Inside School Building</t>
  </si>
  <si>
    <t>No</t>
  </si>
  <si>
    <t>Not a School Day</t>
  </si>
  <si>
    <t>Officer killed during training drill at school</t>
  </si>
  <si>
    <t>Accidental</t>
  </si>
  <si>
    <t>Random Shooting</t>
  </si>
  <si>
    <t>No</t>
  </si>
  <si>
    <t>N/A</t>
  </si>
  <si>
    <t>20010515TXENE</t>
  </si>
  <si>
    <t>Ennis High School</t>
  </si>
  <si>
    <t>Spring</t>
  </si>
  <si>
    <t>Ennis</t>
  </si>
  <si>
    <t>TX</t>
  </si>
  <si>
    <t>High</t>
  </si>
  <si>
    <t>Classroom</t>
  </si>
  <si>
    <t>Inside School Building</t>
  </si>
  <si>
    <t>Yes</t>
  </si>
  <si>
    <t>Morning Classes</t>
  </si>
  <si>
    <t>Held class hostage, shot TV, and then shot self</t>
  </si>
  <si>
    <t>Suicide/Attempted</t>
  </si>
  <si>
    <t>Neither</t>
  </si>
  <si>
    <t>No</t>
  </si>
  <si>
    <t>Yes</t>
  </si>
  <si>
    <t>No</t>
  </si>
  <si>
    <t>Yes</t>
  </si>
  <si>
    <t>20010425OHJOC</t>
  </si>
  <si>
    <t>John Marshall High School</t>
  </si>
  <si>
    <t>Spring</t>
  </si>
  <si>
    <t>Cleveland</t>
  </si>
  <si>
    <t>OH</t>
  </si>
  <si>
    <t>High</t>
  </si>
  <si>
    <t>Parking Lot</t>
  </si>
  <si>
    <t>Outside on School Property</t>
  </si>
  <si>
    <t>No</t>
  </si>
  <si>
    <t>Night</t>
  </si>
  <si>
    <t>Janitor shot outside of school, no suspects</t>
  </si>
  <si>
    <t>Unknown</t>
  </si>
  <si>
    <t>No</t>
  </si>
  <si>
    <t>20010420LAMOM</t>
  </si>
  <si>
    <t>Monroe City Alternative Center</t>
  </si>
  <si>
    <t>Spring</t>
  </si>
  <si>
    <t>Monroe</t>
  </si>
  <si>
    <t>LA</t>
  </si>
  <si>
    <t>High</t>
  </si>
  <si>
    <t>Hallway; Beside Building</t>
  </si>
  <si>
    <t>Both Inside/Outside</t>
  </si>
  <si>
    <t>Yes</t>
  </si>
  <si>
    <t>School Start</t>
  </si>
  <si>
    <t>Student fired 5 shots that missed, students were able to block doors until police arrived</t>
  </si>
  <si>
    <t>Anger Over Grade/Suspension/Discipline</t>
  </si>
  <si>
    <t>No</t>
  </si>
  <si>
    <t>Yes</t>
  </si>
  <si>
    <t>20010410WAWAM</t>
  </si>
  <si>
    <t>Wahluke High School</t>
  </si>
  <si>
    <t>Spring</t>
  </si>
  <si>
    <t>Mattawa</t>
  </si>
  <si>
    <t>WA</t>
  </si>
  <si>
    <t>High</t>
  </si>
  <si>
    <t>Classroom</t>
  </si>
  <si>
    <t>Inside School Building</t>
  </si>
  <si>
    <t>Yes</t>
  </si>
  <si>
    <t>Held class hostage, recent change in medication</t>
  </si>
  <si>
    <t>Hostage/Standoff</t>
  </si>
  <si>
    <t>Neither</t>
  </si>
  <si>
    <t>No</t>
  </si>
  <si>
    <t>Yes</t>
  </si>
  <si>
    <t>No</t>
  </si>
  <si>
    <t>Yes</t>
  </si>
  <si>
    <t>20010402TXKLH</t>
  </si>
  <si>
    <t>Kleb Intermediate School</t>
  </si>
  <si>
    <t>Spring</t>
  </si>
  <si>
    <t>Houston</t>
  </si>
  <si>
    <t>TX</t>
  </si>
  <si>
    <t>High</t>
  </si>
  <si>
    <t>Bathroom</t>
  </si>
  <si>
    <t>Inside School Building</t>
  </si>
  <si>
    <t>Yes</t>
  </si>
  <si>
    <t>Morning Classes</t>
  </si>
  <si>
    <t>Female student shot herself in bathroom</t>
  </si>
  <si>
    <t>Suicide/Attempted</t>
  </si>
  <si>
    <t>Victims Targeted</t>
  </si>
  <si>
    <t>No</t>
  </si>
  <si>
    <t>20010330INLEG</t>
  </si>
  <si>
    <t>Lew Wallace High School</t>
  </si>
  <si>
    <t>Spring</t>
  </si>
  <si>
    <t>Gary</t>
  </si>
  <si>
    <t>IN</t>
  </si>
  <si>
    <t>High</t>
  </si>
  <si>
    <t>Parking Lot</t>
  </si>
  <si>
    <t>Outside on School Property</t>
  </si>
  <si>
    <t>No</t>
  </si>
  <si>
    <t>School Start</t>
  </si>
  <si>
    <t>Ongoing fight relating to both bullying and gangs</t>
  </si>
  <si>
    <t>Escalation of Dispute</t>
  </si>
  <si>
    <t>Victims Targeted</t>
  </si>
  <si>
    <t>No</t>
  </si>
  <si>
    <t>Yes</t>
  </si>
  <si>
    <t>No</t>
  </si>
  <si>
    <t>20010322CAGRE</t>
  </si>
  <si>
    <t>Granite Hills High School</t>
  </si>
  <si>
    <t>Spring</t>
  </si>
  <si>
    <t>El Cajon</t>
  </si>
  <si>
    <t>CA</t>
  </si>
  <si>
    <t>High</t>
  </si>
  <si>
    <t>Beside Building</t>
  </si>
  <si>
    <t>Outside on School Property</t>
  </si>
  <si>
    <t>Yes</t>
  </si>
  <si>
    <t>Lunch</t>
  </si>
  <si>
    <t>Planned attack, SRO at school shot at shooter and detained him</t>
  </si>
  <si>
    <t>Indiscriminate Shooting</t>
  </si>
  <si>
    <t>Random Shooting</t>
  </si>
  <si>
    <t>No</t>
  </si>
  <si>
    <t>Yes</t>
  </si>
  <si>
    <t>20010307PABIW</t>
  </si>
  <si>
    <t>Bishop Neumann High School</t>
  </si>
  <si>
    <t>Spring</t>
  </si>
  <si>
    <t>Williamsport</t>
  </si>
  <si>
    <t>PA</t>
  </si>
  <si>
    <t>High</t>
  </si>
  <si>
    <t>Cafeteria</t>
  </si>
  <si>
    <t>Inside School Building</t>
  </si>
  <si>
    <t>Yes</t>
  </si>
  <si>
    <t>Lunch</t>
  </si>
  <si>
    <t>Bullied student shot head cheerleader</t>
  </si>
  <si>
    <t>Bullying</t>
  </si>
  <si>
    <t>Victims Targeted</t>
  </si>
  <si>
    <t>No</t>
  </si>
  <si>
    <t>Yes</t>
  </si>
  <si>
    <t>No</t>
  </si>
  <si>
    <t>20010307WAKEC</t>
  </si>
  <si>
    <t>Kentwood High School</t>
  </si>
  <si>
    <t>Spring</t>
  </si>
  <si>
    <t>Covington</t>
  </si>
  <si>
    <t>WA</t>
  </si>
  <si>
    <t>High</t>
  </si>
  <si>
    <t>Classroom</t>
  </si>
  <si>
    <t>Inside School Building</t>
  </si>
  <si>
    <t>Yes</t>
  </si>
  <si>
    <t>Student pulled gun in class, talked about suicide, talked into surrendering by two other students</t>
  </si>
  <si>
    <t>Suicide/Attempted</t>
  </si>
  <si>
    <t>Neither</t>
  </si>
  <si>
    <t>No</t>
  </si>
  <si>
    <t>Yes</t>
  </si>
  <si>
    <t>20010306MDLAL</t>
  </si>
  <si>
    <t>Largo High School</t>
  </si>
  <si>
    <t>Spring</t>
  </si>
  <si>
    <t>Largo</t>
  </si>
  <si>
    <t>MD</t>
  </si>
  <si>
    <t>High</t>
  </si>
  <si>
    <t>Cafeteria</t>
  </si>
  <si>
    <t>Inside School Building</t>
  </si>
  <si>
    <t>No</t>
  </si>
  <si>
    <t>After School</t>
  </si>
  <si>
    <t>Two teens went into school looking for student they had conflict with, fired shots</t>
  </si>
  <si>
    <t>Escalation of Dispute</t>
  </si>
  <si>
    <t>Victims Targeted</t>
  </si>
  <si>
    <t>Yes</t>
  </si>
  <si>
    <t>No</t>
  </si>
  <si>
    <t>20010305CASAS</t>
  </si>
  <si>
    <t>Santana High School</t>
  </si>
  <si>
    <t>Spring</t>
  </si>
  <si>
    <t>Santee</t>
  </si>
  <si>
    <t>CA</t>
  </si>
  <si>
    <t>High</t>
  </si>
  <si>
    <t>Bathroom</t>
  </si>
  <si>
    <t>Inside School Building</t>
  </si>
  <si>
    <t>Yes</t>
  </si>
  <si>
    <t>Morning Classes</t>
  </si>
  <si>
    <t>Bullying, planned attack, planned suicide by cop</t>
  </si>
  <si>
    <t>Bullying</t>
  </si>
  <si>
    <t>Random Shooting</t>
  </si>
  <si>
    <t>No</t>
  </si>
  <si>
    <t>Yes</t>
  </si>
  <si>
    <t>No</t>
  </si>
  <si>
    <t>Yes</t>
  </si>
  <si>
    <t>20010302CAHOS</t>
  </si>
  <si>
    <t>Hoover High School</t>
  </si>
  <si>
    <t>Spring</t>
  </si>
  <si>
    <t>San Diego</t>
  </si>
  <si>
    <t>CA</t>
  </si>
  <si>
    <t>High</t>
  </si>
  <si>
    <t>Parking Lot</t>
  </si>
  <si>
    <t>Outside on School Property</t>
  </si>
  <si>
    <t>Yes</t>
  </si>
  <si>
    <t>Afternoon Classes</t>
  </si>
  <si>
    <t>Student shot himself in parking lot, upset about breakup</t>
  </si>
  <si>
    <t>Suicide/Attempted</t>
  </si>
  <si>
    <t>Victims Targeted</t>
  </si>
  <si>
    <t>No</t>
  </si>
  <si>
    <t>20010202MIOSD</t>
  </si>
  <si>
    <t>Osborn High School</t>
  </si>
  <si>
    <t>Winter</t>
  </si>
  <si>
    <t>Detroit</t>
  </si>
  <si>
    <t>MI</t>
  </si>
  <si>
    <t>High</t>
  </si>
  <si>
    <t>Classroom</t>
  </si>
  <si>
    <t>Inside School Building</t>
  </si>
  <si>
    <t>Yes</t>
  </si>
  <si>
    <t>2 students and 1 teacher shot in bandroom by unknown student, possible to get class dismissed early</t>
  </si>
  <si>
    <t>Unknown</t>
  </si>
  <si>
    <t>No</t>
  </si>
  <si>
    <t>Yes</t>
  </si>
  <si>
    <t>20010117MDLAB</t>
  </si>
  <si>
    <t>Lake Clifton Eastern High School</t>
  </si>
  <si>
    <t>Winter</t>
  </si>
  <si>
    <t>Baltimore</t>
  </si>
  <si>
    <t>MD</t>
  </si>
  <si>
    <t>High</t>
  </si>
  <si>
    <t>Front of School</t>
  </si>
  <si>
    <t>Outside on School Property</t>
  </si>
  <si>
    <t>Yes</t>
  </si>
  <si>
    <t>Before School</t>
  </si>
  <si>
    <t>Shooting stemmed from a fight that occurred a month prior</t>
  </si>
  <si>
    <t>Escalation of Dispute</t>
  </si>
  <si>
    <t>Victims Targeted</t>
  </si>
  <si>
    <t>No</t>
  </si>
  <si>
    <t>20010110CAHUO</t>
  </si>
  <si>
    <t>Hueneme High School</t>
  </si>
  <si>
    <t>Winter</t>
  </si>
  <si>
    <t>Oxnard</t>
  </si>
  <si>
    <t>CA</t>
  </si>
  <si>
    <t>High</t>
  </si>
  <si>
    <t>Parking Lot</t>
  </si>
  <si>
    <t>Outside on School Property</t>
  </si>
  <si>
    <t>Yes</t>
  </si>
  <si>
    <t>Lunch</t>
  </si>
  <si>
    <t>Distraught over family issues - wanted to die at the hands of police - took hostage in school</t>
  </si>
  <si>
    <t>Hostage/Standoff</t>
  </si>
  <si>
    <t>Random Shooting</t>
  </si>
  <si>
    <t>No</t>
  </si>
  <si>
    <t>Yes</t>
  </si>
  <si>
    <t>No</t>
  </si>
  <si>
    <t>Yes</t>
  </si>
  <si>
    <t>20010103CABAS</t>
  </si>
  <si>
    <t>Balboa High School</t>
  </si>
  <si>
    <t>Winter</t>
  </si>
  <si>
    <t>San Francisco</t>
  </si>
  <si>
    <t>CA</t>
  </si>
  <si>
    <t>High</t>
  </si>
  <si>
    <t>Classroom</t>
  </si>
  <si>
    <t>Inside School Building</t>
  </si>
  <si>
    <t>Yes</t>
  </si>
  <si>
    <t>Morning Classes</t>
  </si>
  <si>
    <t>Shot himself in leg during class, fled, ditched gun, then went to nurses office</t>
  </si>
  <si>
    <t>Accidental</t>
  </si>
  <si>
    <t>Neither</t>
  </si>
  <si>
    <t>No</t>
  </si>
  <si>
    <t>20001221FLNOM</t>
  </si>
  <si>
    <t>Norland Elementary School</t>
  </si>
  <si>
    <t>Winter</t>
  </si>
  <si>
    <t>Miami</t>
  </si>
  <si>
    <t>FL</t>
  </si>
  <si>
    <t>Elementary</t>
  </si>
  <si>
    <t>Parking Lot</t>
  </si>
  <si>
    <t>Outside on School Property</t>
  </si>
  <si>
    <t>Yes</t>
  </si>
  <si>
    <t>After School</t>
  </si>
  <si>
    <t>Teens shot armored car guard picking up money from the school</t>
  </si>
  <si>
    <t>Illegal Activity</t>
  </si>
  <si>
    <t>Victims Targeted</t>
  </si>
  <si>
    <t>Yes</t>
  </si>
  <si>
    <t>No</t>
  </si>
  <si>
    <t>20001207CARIR</t>
  </si>
  <si>
    <t>Richmond High School</t>
  </si>
  <si>
    <t>Winter</t>
  </si>
  <si>
    <t>Richmond</t>
  </si>
  <si>
    <t>CA</t>
  </si>
  <si>
    <t>High</t>
  </si>
  <si>
    <t>Front of School</t>
  </si>
  <si>
    <t>Outside on School Property</t>
  </si>
  <si>
    <t>Yes</t>
  </si>
  <si>
    <t>Lunch</t>
  </si>
  <si>
    <t>Special education student shot outside school in drive by</t>
  </si>
  <si>
    <t>Drive-by Shooting</t>
  </si>
  <si>
    <t>Unknown</t>
  </si>
  <si>
    <t>No</t>
  </si>
  <si>
    <t>20001201CAGRL</t>
  </si>
  <si>
    <t>Granada Hills High School</t>
  </si>
  <si>
    <t>Winter</t>
  </si>
  <si>
    <t>Los Angeles</t>
  </si>
  <si>
    <t>CA</t>
  </si>
  <si>
    <t>High</t>
  </si>
  <si>
    <t>Parking Lot</t>
  </si>
  <si>
    <t>Outside on School Property</t>
  </si>
  <si>
    <t>No</t>
  </si>
  <si>
    <t>Before School</t>
  </si>
  <si>
    <t>Setup camera and shot self in parking lot in front of school</t>
  </si>
  <si>
    <t>Suicide/Attempted</t>
  </si>
  <si>
    <t>Victims Targeted</t>
  </si>
  <si>
    <t>No</t>
  </si>
  <si>
    <t>20001201CAJUS</t>
  </si>
  <si>
    <t>Junipero Serra High School</t>
  </si>
  <si>
    <t>Winter</t>
  </si>
  <si>
    <t>San Diego</t>
  </si>
  <si>
    <t>CA</t>
  </si>
  <si>
    <t>High</t>
  </si>
  <si>
    <t>Inside School Building</t>
  </si>
  <si>
    <t>Yes</t>
  </si>
  <si>
    <t>Unknown</t>
  </si>
  <si>
    <t>Accidental discharge, shot self showing off gun</t>
  </si>
  <si>
    <t>Accidental</t>
  </si>
  <si>
    <t>Victims Targeted</t>
  </si>
  <si>
    <t>No</t>
  </si>
  <si>
    <t>20001101TXNEC</t>
  </si>
  <si>
    <t>Newman Smith High School</t>
  </si>
  <si>
    <t>Fall</t>
  </si>
  <si>
    <t>Carrollton</t>
  </si>
  <si>
    <t>TX</t>
  </si>
  <si>
    <t>High</t>
  </si>
  <si>
    <t>Classroom</t>
  </si>
  <si>
    <t>Inside School Building</t>
  </si>
  <si>
    <t>Yes</t>
  </si>
  <si>
    <t>Morning Classes</t>
  </si>
  <si>
    <t>Held 19 students and teacher hostage for 30 minutes</t>
  </si>
  <si>
    <t>Hostage/Standoff</t>
  </si>
  <si>
    <t>No</t>
  </si>
  <si>
    <t>Yes</t>
  </si>
  <si>
    <t>No</t>
  </si>
  <si>
    <t>Yes</t>
  </si>
  <si>
    <t>20001024AZPIG</t>
  </si>
  <si>
    <t>Pioneer Elementary School</t>
  </si>
  <si>
    <t>Fall</t>
  </si>
  <si>
    <t>Glendale</t>
  </si>
  <si>
    <t>AZ</t>
  </si>
  <si>
    <t>Elementary</t>
  </si>
  <si>
    <t>Classroom</t>
  </si>
  <si>
    <t>Inside School Building</t>
  </si>
  <si>
    <t>Yes</t>
  </si>
  <si>
    <t>Morning Classes</t>
  </si>
  <si>
    <t>Held elementary school class hostage until surrendering</t>
  </si>
  <si>
    <t>Hostage/Standoff</t>
  </si>
  <si>
    <t>Random Shooting</t>
  </si>
  <si>
    <t>No</t>
  </si>
  <si>
    <t>Yes</t>
  </si>
  <si>
    <t>No</t>
  </si>
  <si>
    <t>Yes</t>
  </si>
  <si>
    <t>20001005MNMIM</t>
  </si>
  <si>
    <t>Minneapolis North High School</t>
  </si>
  <si>
    <t>Fall</t>
  </si>
  <si>
    <t>Minneapolis</t>
  </si>
  <si>
    <t>MN</t>
  </si>
  <si>
    <t>High</t>
  </si>
  <si>
    <t>Beside Building</t>
  </si>
  <si>
    <t>Outside on School Property</t>
  </si>
  <si>
    <t>No</t>
  </si>
  <si>
    <t>Night</t>
  </si>
  <si>
    <t>Two non-student shot outside school, likely gang related</t>
  </si>
  <si>
    <t>Illegal Activity</t>
  </si>
  <si>
    <t>No</t>
  </si>
  <si>
    <t>20000926LACAN</t>
  </si>
  <si>
    <t>Carter G. Woodson Middle School</t>
  </si>
  <si>
    <t>Fall</t>
  </si>
  <si>
    <t>New Orleans</t>
  </si>
  <si>
    <t>LA</t>
  </si>
  <si>
    <t>Middle</t>
  </si>
  <si>
    <t>Field (General)</t>
  </si>
  <si>
    <t>Outside on School Property</t>
  </si>
  <si>
    <t>Yes</t>
  </si>
  <si>
    <t>Lunch</t>
  </si>
  <si>
    <t>Multiple prior fights between shooter and victim</t>
  </si>
  <si>
    <t>Escalation of Dispute</t>
  </si>
  <si>
    <t>Victims Targeted</t>
  </si>
  <si>
    <t>Yes</t>
  </si>
  <si>
    <t>No</t>
  </si>
  <si>
    <t>20000918OHMOM</t>
  </si>
  <si>
    <t>Mount Healthy North Junior High</t>
  </si>
  <si>
    <t>Fall</t>
  </si>
  <si>
    <t>Mount Healthy</t>
  </si>
  <si>
    <t>OH</t>
  </si>
  <si>
    <t>Junior High</t>
  </si>
  <si>
    <t>Classroom</t>
  </si>
  <si>
    <t>Inside School Building</t>
  </si>
  <si>
    <t>Yes</t>
  </si>
  <si>
    <t>Fired shot into classroom ceiling, surrendered gun to SRO after 25 minutes, motive unclear</t>
  </si>
  <si>
    <t>Hostage/Standoff</t>
  </si>
  <si>
    <t>Neither</t>
  </si>
  <si>
    <t>No</t>
  </si>
  <si>
    <t>Yes</t>
  </si>
  <si>
    <t>20000907ILLOR</t>
  </si>
  <si>
    <t>Longfellow Elementary School</t>
  </si>
  <si>
    <t>Fall</t>
  </si>
  <si>
    <t>Rock Island</t>
  </si>
  <si>
    <t>IL</t>
  </si>
  <si>
    <t>Elementary</t>
  </si>
  <si>
    <t>Parking Lot</t>
  </si>
  <si>
    <t>Outside on School Property</t>
  </si>
  <si>
    <t>No</t>
  </si>
  <si>
    <t>Evening</t>
  </si>
  <si>
    <t>Robbery</t>
  </si>
  <si>
    <t>Illegal Activity</t>
  </si>
  <si>
    <t>Victims Targeted</t>
  </si>
  <si>
    <t>No</t>
  </si>
  <si>
    <t>20000905OHBIB</t>
  </si>
  <si>
    <t>Bidwell Porter Elementary School</t>
  </si>
  <si>
    <t>Fall</t>
  </si>
  <si>
    <t>Bidwell</t>
  </si>
  <si>
    <t>OH</t>
  </si>
  <si>
    <t>Elementary</t>
  </si>
  <si>
    <t>Parking Lot</t>
  </si>
  <si>
    <t>Outside on School Property</t>
  </si>
  <si>
    <t>No</t>
  </si>
  <si>
    <t>Before School</t>
  </si>
  <si>
    <t>Cafeteria worker shot by estranged husband, fled, later commit suicide at home</t>
  </si>
  <si>
    <t>Murder/Suicide</t>
  </si>
  <si>
    <t>Victims Targeted</t>
  </si>
  <si>
    <t>No</t>
  </si>
  <si>
    <t>Yes</t>
  </si>
  <si>
    <t>20000726OHTIC</t>
  </si>
  <si>
    <t>Timken Senior High School</t>
  </si>
  <si>
    <t>Summer</t>
  </si>
  <si>
    <t>Canton</t>
  </si>
  <si>
    <t>OH</t>
  </si>
  <si>
    <t>High</t>
  </si>
  <si>
    <t>Parking Lot</t>
  </si>
  <si>
    <t>Outside on School Property</t>
  </si>
  <si>
    <t>Yes</t>
  </si>
  <si>
    <t>Dismissal</t>
  </si>
  <si>
    <t>Ongoing feud with victim, shot him in parking lot of school</t>
  </si>
  <si>
    <t>Escalation of Dispute</t>
  </si>
  <si>
    <t>Victims Targeted</t>
  </si>
  <si>
    <t>Yes</t>
  </si>
  <si>
    <t>No</t>
  </si>
  <si>
    <t>20000717WADIR</t>
  </si>
  <si>
    <t>Dimmitt Middle School</t>
  </si>
  <si>
    <t>Summer</t>
  </si>
  <si>
    <t>Renton</t>
  </si>
  <si>
    <t>WA</t>
  </si>
  <si>
    <t>Middle</t>
  </si>
  <si>
    <t>Cafeteria</t>
  </si>
  <si>
    <t>Inside School Building</t>
  </si>
  <si>
    <t>Yes</t>
  </si>
  <si>
    <t>Lunch</t>
  </si>
  <si>
    <t>Jumped on cafeteria table, fired one shot into ceiling, ordered students to go to the stage but they fled, then shooter fled</t>
  </si>
  <si>
    <t>Hostage/Standoff</t>
  </si>
  <si>
    <t>Neither</t>
  </si>
  <si>
    <t>Yes</t>
  </si>
  <si>
    <t>No</t>
  </si>
  <si>
    <t>Yes</t>
  </si>
  <si>
    <t>20000526FLLAL</t>
  </si>
  <si>
    <t>Lake Worth Middle School</t>
  </si>
  <si>
    <t>Spring</t>
  </si>
  <si>
    <t>Lake Worth</t>
  </si>
  <si>
    <t>FL</t>
  </si>
  <si>
    <t>Middle</t>
  </si>
  <si>
    <t>Classroom</t>
  </si>
  <si>
    <t>Inside School Building</t>
  </si>
  <si>
    <t>Yes</t>
  </si>
  <si>
    <t>After School</t>
  </si>
  <si>
    <t>Teacher had given F on assignment (possibly throwing water balloons)</t>
  </si>
  <si>
    <t>Anger Over Grade/Suspension/Discipline</t>
  </si>
  <si>
    <t>Victims Targeted</t>
  </si>
  <si>
    <t>No</t>
  </si>
  <si>
    <t>20000510AZCAS</t>
  </si>
  <si>
    <t>Carmichael Elementary School</t>
  </si>
  <si>
    <t>Spring</t>
  </si>
  <si>
    <t>Sierra Vista</t>
  </si>
  <si>
    <t>AZ</t>
  </si>
  <si>
    <t>Elementary</t>
  </si>
  <si>
    <t>Classroom</t>
  </si>
  <si>
    <t>Inside School Building</t>
  </si>
  <si>
    <t>Yes</t>
  </si>
  <si>
    <t>Afternoon Classes</t>
  </si>
  <si>
    <t>Killed estranged wife in preschool classroom, students were present</t>
  </si>
  <si>
    <t>Murder/Suicide</t>
  </si>
  <si>
    <t>Victims Targeted</t>
  </si>
  <si>
    <t>No</t>
  </si>
  <si>
    <t>Yes</t>
  </si>
  <si>
    <t>20000502COTHD</t>
  </si>
  <si>
    <t>Thomas Jefferson High School</t>
  </si>
  <si>
    <t>Spring</t>
  </si>
  <si>
    <t>Denver</t>
  </si>
  <si>
    <t>CO</t>
  </si>
  <si>
    <t>High</t>
  </si>
  <si>
    <t>Parking Lot</t>
  </si>
  <si>
    <t>Outside on School Property</t>
  </si>
  <si>
    <t>Yes</t>
  </si>
  <si>
    <t>Shot self in parking lot</t>
  </si>
  <si>
    <t>Murder/Suicide</t>
  </si>
  <si>
    <t>Victims Targeted</t>
  </si>
  <si>
    <t>No</t>
  </si>
  <si>
    <t>20000410AZLAT</t>
  </si>
  <si>
    <t>La Cima Middle School</t>
  </si>
  <si>
    <t>Spring</t>
  </si>
  <si>
    <t>Tucson</t>
  </si>
  <si>
    <t>AZ</t>
  </si>
  <si>
    <t>Middle</t>
  </si>
  <si>
    <t>Classroom</t>
  </si>
  <si>
    <t>Inside School Building</t>
  </si>
  <si>
    <t>No</t>
  </si>
  <si>
    <t>Before School</t>
  </si>
  <si>
    <t>Teacher shot herself and made up story about being shot by unknown student</t>
  </si>
  <si>
    <t>Psychosis</t>
  </si>
  <si>
    <t>Victims Targeted</t>
  </si>
  <si>
    <t>No</t>
  </si>
  <si>
    <t>20000406OKHUH</t>
  </si>
  <si>
    <t>Hugo High School</t>
  </si>
  <si>
    <t>Spring</t>
  </si>
  <si>
    <t>Hugo</t>
  </si>
  <si>
    <t>OK</t>
  </si>
  <si>
    <t>High</t>
  </si>
  <si>
    <t>Football Field/Track</t>
  </si>
  <si>
    <t>Outside on School Property</t>
  </si>
  <si>
    <t>Yes</t>
  </si>
  <si>
    <t>Sport Event</t>
  </si>
  <si>
    <t>Feud between parents turned into shooting at track meet.</t>
  </si>
  <si>
    <t>Escalation of Dispute</t>
  </si>
  <si>
    <t>Victims Targeted</t>
  </si>
  <si>
    <t>No</t>
  </si>
  <si>
    <t>20000323OHMCL</t>
  </si>
  <si>
    <t>McKinley Elementary School</t>
  </si>
  <si>
    <t>Spring</t>
  </si>
  <si>
    <t>Lisbon</t>
  </si>
  <si>
    <t>OH</t>
  </si>
  <si>
    <t>Elementary</t>
  </si>
  <si>
    <t>Classroom</t>
  </si>
  <si>
    <t>Inside School Building</t>
  </si>
  <si>
    <t>Yes</t>
  </si>
  <si>
    <t>Morning Classes</t>
  </si>
  <si>
    <t>Took class hostage, wanted to go to jail to be with mother</t>
  </si>
  <si>
    <t>Hostage/Standoff</t>
  </si>
  <si>
    <t>No</t>
  </si>
  <si>
    <t>Yes</t>
  </si>
  <si>
    <t>No</t>
  </si>
  <si>
    <t>Yes</t>
  </si>
  <si>
    <t>20000310GABES</t>
  </si>
  <si>
    <t>Beach High School</t>
  </si>
  <si>
    <t>Spring</t>
  </si>
  <si>
    <t>Savannah</t>
  </si>
  <si>
    <t>GA</t>
  </si>
  <si>
    <t>High</t>
  </si>
  <si>
    <t>Gym</t>
  </si>
  <si>
    <t>Inside School Building</t>
  </si>
  <si>
    <t>No</t>
  </si>
  <si>
    <t>School Event</t>
  </si>
  <si>
    <t>Shots fired during fight at school dance</t>
  </si>
  <si>
    <t>Escalation of Dispute</t>
  </si>
  <si>
    <t>No</t>
  </si>
  <si>
    <t>20000229MIBUF</t>
  </si>
  <si>
    <t>Buell Elementary School</t>
  </si>
  <si>
    <t>National</t>
  </si>
  <si>
    <t>Winter</t>
  </si>
  <si>
    <t>Flint</t>
  </si>
  <si>
    <t>MI</t>
  </si>
  <si>
    <t>Elementary</t>
  </si>
  <si>
    <t>Classroom</t>
  </si>
  <si>
    <t>Inside School Building</t>
  </si>
  <si>
    <t>Yes</t>
  </si>
  <si>
    <t>Morning Classes</t>
  </si>
  <si>
    <t>1st grader shot classmate inside school</t>
  </si>
  <si>
    <t>Escalation of Dispute</t>
  </si>
  <si>
    <t>Victims Targeted</t>
  </si>
  <si>
    <t>No</t>
  </si>
  <si>
    <t>20000214ILDUC</t>
  </si>
  <si>
    <t>Duke Ellington Elementary School</t>
  </si>
  <si>
    <t>Local</t>
  </si>
  <si>
    <t>Winter</t>
  </si>
  <si>
    <t>Chicago</t>
  </si>
  <si>
    <t>IL</t>
  </si>
  <si>
    <t>Elementary</t>
  </si>
  <si>
    <t>Bathroom</t>
  </si>
  <si>
    <t>Inside School Building</t>
  </si>
  <si>
    <t>Yes</t>
  </si>
  <si>
    <t>Afternoon Classes</t>
  </si>
  <si>
    <t>Accident discharge in bathroom, round went through wall and struck student in a classroom</t>
  </si>
  <si>
    <t>Accidental</t>
  </si>
  <si>
    <t>Random Shooting</t>
  </si>
  <si>
    <t>No</t>
  </si>
  <si>
    <t>20000210PAPEY</t>
  </si>
  <si>
    <t>Penn Wood East Junior High School</t>
  </si>
  <si>
    <t>Winter</t>
  </si>
  <si>
    <t>Yeadon</t>
  </si>
  <si>
    <t>PA</t>
  </si>
  <si>
    <t>Junior High</t>
  </si>
  <si>
    <t>Beside Building</t>
  </si>
  <si>
    <t>Outside on School Property</t>
  </si>
  <si>
    <t>Yes</t>
  </si>
  <si>
    <t>Dismissal</t>
  </si>
  <si>
    <t>Ongoing fight, fired gun and missed, pointed at principal and misfired</t>
  </si>
  <si>
    <t>Escalation of Dispute</t>
  </si>
  <si>
    <t>Victims Targeted</t>
  </si>
  <si>
    <t>Yes</t>
  </si>
  <si>
    <t>No</t>
  </si>
  <si>
    <t>20000126NESOO</t>
  </si>
  <si>
    <t>South High School</t>
  </si>
  <si>
    <t>Winter</t>
  </si>
  <si>
    <t>Omaha</t>
  </si>
  <si>
    <t>NE</t>
  </si>
  <si>
    <t>High</t>
  </si>
  <si>
    <t>Front of School</t>
  </si>
  <si>
    <t>Outside on School Property</t>
  </si>
  <si>
    <t>Yes</t>
  </si>
  <si>
    <t>Dismissal</t>
  </si>
  <si>
    <t>Shooter targeted victim he was fighting with, missed and hit female student</t>
  </si>
  <si>
    <t>Escalation of Dispute</t>
  </si>
  <si>
    <t>Both</t>
  </si>
  <si>
    <t>No</t>
  </si>
  <si>
    <t>20000126CAALM</t>
  </si>
  <si>
    <t>Alicia Reyes Elementary School</t>
  </si>
  <si>
    <t>Local</t>
  </si>
  <si>
    <t>Winter</t>
  </si>
  <si>
    <t>Merced</t>
  </si>
  <si>
    <t>CA</t>
  </si>
  <si>
    <t>Elementary</t>
  </si>
  <si>
    <t>Parking Lot</t>
  </si>
  <si>
    <t>Outside on School Property</t>
  </si>
  <si>
    <t>Yes</t>
  </si>
  <si>
    <t>School Start</t>
  </si>
  <si>
    <t>Ongoing dispute that escalated</t>
  </si>
  <si>
    <t>Escalation of Dispute</t>
  </si>
  <si>
    <t>Victims Targeted</t>
  </si>
  <si>
    <t>No</t>
  </si>
  <si>
    <t>Yes</t>
  </si>
  <si>
    <t>No</t>
  </si>
  <si>
    <t>20000120NCERA</t>
  </si>
  <si>
    <t>Erwin High School</t>
  </si>
  <si>
    <t>Winter</t>
  </si>
  <si>
    <t>Asheville</t>
  </si>
  <si>
    <t>NC</t>
  </si>
  <si>
    <t>High</t>
  </si>
  <si>
    <t>Gym</t>
  </si>
  <si>
    <t>Inside School Building</t>
  </si>
  <si>
    <t>No</t>
  </si>
  <si>
    <t>Evening</t>
  </si>
  <si>
    <t>Fired rifle into school building, made bomb threat</t>
  </si>
  <si>
    <t>Indiscriminate Shooting</t>
  </si>
  <si>
    <t>Random Shooting</t>
  </si>
  <si>
    <t>Yes</t>
  </si>
  <si>
    <t>No</t>
  </si>
  <si>
    <t>Yes</t>
  </si>
  <si>
    <t>20000119FLRIN</t>
  </si>
  <si>
    <t>Ridgewood High School</t>
  </si>
  <si>
    <t>Winter</t>
  </si>
  <si>
    <t>New Port Richey</t>
  </si>
  <si>
    <t>FL</t>
  </si>
  <si>
    <t>High</t>
  </si>
  <si>
    <t>Outside on School Property</t>
  </si>
  <si>
    <t>Yes</t>
  </si>
  <si>
    <t>After School</t>
  </si>
  <si>
    <t>Accidental discharge while passing pistol to friend in parking lot</t>
  </si>
  <si>
    <t>Accidental</t>
  </si>
  <si>
    <t>Random Shooting</t>
  </si>
  <si>
    <t>No</t>
  </si>
  <si>
    <t>20000113NMALA</t>
  </si>
  <si>
    <t>Albuquerque High School</t>
  </si>
  <si>
    <t>Winter</t>
  </si>
  <si>
    <t>Albuquerque</t>
  </si>
  <si>
    <t>NM</t>
  </si>
  <si>
    <t>High</t>
  </si>
  <si>
    <t>Parking Lot</t>
  </si>
  <si>
    <t>Outside on School Property</t>
  </si>
  <si>
    <t>Yes</t>
  </si>
  <si>
    <t>Lunch</t>
  </si>
  <si>
    <t>Four students from another high school involved in fight in parking lot, shots fired</t>
  </si>
  <si>
    <t>Escalation of Dispute</t>
  </si>
  <si>
    <t>Victims Targeted</t>
  </si>
  <si>
    <t>Yes</t>
  </si>
  <si>
    <t>No</t>
  </si>
  <si>
    <t>20000110AKBAA</t>
  </si>
  <si>
    <t>Bartlett High School</t>
  </si>
  <si>
    <t>Winter</t>
  </si>
  <si>
    <t>Anchorage</t>
  </si>
  <si>
    <t>AK</t>
  </si>
  <si>
    <t>High</t>
  </si>
  <si>
    <t>Beside Building</t>
  </si>
  <si>
    <t>Outside on School Property</t>
  </si>
  <si>
    <t>No</t>
  </si>
  <si>
    <t>After School</t>
  </si>
  <si>
    <t>Fight between students, shooter fired two shots that missed target and fled</t>
  </si>
  <si>
    <t>Escalation of Dispute</t>
  </si>
  <si>
    <t>Victims Targeted</t>
  </si>
  <si>
    <t>No</t>
  </si>
  <si>
    <t>19991206OKFOF</t>
  </si>
  <si>
    <t>Fort Gibson Middle School</t>
  </si>
  <si>
    <t>Winter</t>
  </si>
  <si>
    <t>Fort Gibson</t>
  </si>
  <si>
    <t>OK</t>
  </si>
  <si>
    <t>Middle</t>
  </si>
  <si>
    <t>Front of School</t>
  </si>
  <si>
    <t>Outside on School Property</t>
  </si>
  <si>
    <t>Yes</t>
  </si>
  <si>
    <t>School Start</t>
  </si>
  <si>
    <t>Fired shots at the crowd outside of the school, tackled by SRO and teacher, inspired by Columbine</t>
  </si>
  <si>
    <t>Indiscriminate Shooting</t>
  </si>
  <si>
    <t>Random Shooting</t>
  </si>
  <si>
    <t>No</t>
  </si>
  <si>
    <t>Yes</t>
  </si>
  <si>
    <t>19991119NMDED</t>
  </si>
  <si>
    <t>Deming Middle School</t>
  </si>
  <si>
    <t>Fall</t>
  </si>
  <si>
    <t>Deming</t>
  </si>
  <si>
    <t>NM</t>
  </si>
  <si>
    <t>Middle</t>
  </si>
  <si>
    <t>Outside on School Property</t>
  </si>
  <si>
    <t>Yes</t>
  </si>
  <si>
    <t>Lunch</t>
  </si>
  <si>
    <t>Fired shot and then surrendered to school officials</t>
  </si>
  <si>
    <t>Unknown</t>
  </si>
  <si>
    <t>Victims Targeted</t>
  </si>
  <si>
    <t>No</t>
  </si>
  <si>
    <t>Yes</t>
  </si>
  <si>
    <t>19991117TXDID</t>
  </si>
  <si>
    <t>Dickinson High School</t>
  </si>
  <si>
    <t>Fall</t>
  </si>
  <si>
    <t>Dickinson</t>
  </si>
  <si>
    <t>TX</t>
  </si>
  <si>
    <t>High</t>
  </si>
  <si>
    <t>Bathroom</t>
  </si>
  <si>
    <t>Inside School Building</t>
  </si>
  <si>
    <t>Yes</t>
  </si>
  <si>
    <t>Before School</t>
  </si>
  <si>
    <t>Showing off gun in bathroom, accidental discharge</t>
  </si>
  <si>
    <t>Accidental</t>
  </si>
  <si>
    <t>Random Shooting</t>
  </si>
  <si>
    <t>Yes</t>
  </si>
  <si>
    <t>No</t>
  </si>
  <si>
    <t>19991026PAMAP</t>
  </si>
  <si>
    <t>Martin Luther King High School</t>
  </si>
  <si>
    <t>Fall</t>
  </si>
  <si>
    <t>Philadelphia</t>
  </si>
  <si>
    <t>PA</t>
  </si>
  <si>
    <t>High</t>
  </si>
  <si>
    <t>Beside Building</t>
  </si>
  <si>
    <t>Outside on School Property</t>
  </si>
  <si>
    <t>Yes</t>
  </si>
  <si>
    <t>Afternoon Classes</t>
  </si>
  <si>
    <t>Shooter thought victim had insulted his girlfriend</t>
  </si>
  <si>
    <t>Escalation of Dispute</t>
  </si>
  <si>
    <t>Victims Targeted</t>
  </si>
  <si>
    <t>Yes</t>
  </si>
  <si>
    <t>No</t>
  </si>
  <si>
    <t>19991026WVGUB</t>
  </si>
  <si>
    <t>Guyan Valley High School</t>
  </si>
  <si>
    <t>Fall</t>
  </si>
  <si>
    <t>Branchland</t>
  </si>
  <si>
    <t>WV</t>
  </si>
  <si>
    <t>High</t>
  </si>
  <si>
    <t>Outside on School Property</t>
  </si>
  <si>
    <t>No</t>
  </si>
  <si>
    <t>Before School</t>
  </si>
  <si>
    <t>Bus driver killed janitor then self (believed wife was having affair)</t>
  </si>
  <si>
    <t>Domestic w/ Targeted Victim</t>
  </si>
  <si>
    <t>Victims Targeted</t>
  </si>
  <si>
    <t>No</t>
  </si>
  <si>
    <t>Yes</t>
  </si>
  <si>
    <t>19991021CASAP</t>
  </si>
  <si>
    <t>San Fernando High School</t>
  </si>
  <si>
    <t>Fall</t>
  </si>
  <si>
    <t>Pacoima</t>
  </si>
  <si>
    <t>CA</t>
  </si>
  <si>
    <t>High</t>
  </si>
  <si>
    <t>Beside Building</t>
  </si>
  <si>
    <t>Outside on School Property</t>
  </si>
  <si>
    <t>No</t>
  </si>
  <si>
    <t>After School</t>
  </si>
  <si>
    <t>Student shot by group of multiple students outside of school</t>
  </si>
  <si>
    <t>Escalation of Dispute</t>
  </si>
  <si>
    <t>Victims Targeted</t>
  </si>
  <si>
    <t>Yes</t>
  </si>
  <si>
    <t>No</t>
  </si>
  <si>
    <t>19991011NVCLL</t>
  </si>
  <si>
    <t>Clark High School</t>
  </si>
  <si>
    <t>Fall</t>
  </si>
  <si>
    <t>Las Vegas</t>
  </si>
  <si>
    <t>NV</t>
  </si>
  <si>
    <t>High</t>
  </si>
  <si>
    <t>Beside Building</t>
  </si>
  <si>
    <t>Outside on School Property</t>
  </si>
  <si>
    <t>No</t>
  </si>
  <si>
    <t>After School</t>
  </si>
  <si>
    <t>Gang related shooting outside of school</t>
  </si>
  <si>
    <t>Illegal Activity</t>
  </si>
  <si>
    <t>Both</t>
  </si>
  <si>
    <t>Yes</t>
  </si>
  <si>
    <t>No</t>
  </si>
  <si>
    <t>19991004SDJOP</t>
  </si>
  <si>
    <t>John Bartram High School</t>
  </si>
  <si>
    <t>Fall</t>
  </si>
  <si>
    <t>Philadelphia</t>
  </si>
  <si>
    <t>SD</t>
  </si>
  <si>
    <t>High</t>
  </si>
  <si>
    <t>Hallway</t>
  </si>
  <si>
    <t>Inside School Building</t>
  </si>
  <si>
    <t>Yes</t>
  </si>
  <si>
    <t>Morning Classes</t>
  </si>
  <si>
    <t>Principal grabbed gun during fight between student, shot in foot</t>
  </si>
  <si>
    <t>Escalation of Dispute</t>
  </si>
  <si>
    <t>Random Shooting</t>
  </si>
  <si>
    <t>No</t>
  </si>
  <si>
    <t>19990927FLEGT</t>
  </si>
  <si>
    <t>Egypt Lake Elementary School</t>
  </si>
  <si>
    <t>Fall</t>
  </si>
  <si>
    <t>Tampa</t>
  </si>
  <si>
    <t>FL</t>
  </si>
  <si>
    <t>Elementary</t>
  </si>
  <si>
    <t>Beside Building</t>
  </si>
  <si>
    <t>Outside on School Property</t>
  </si>
  <si>
    <t>Yes</t>
  </si>
  <si>
    <t>Before School</t>
  </si>
  <si>
    <t>Girl shot in head outside of school, long range shot</t>
  </si>
  <si>
    <t>Accidental</t>
  </si>
  <si>
    <t>Random Shooting</t>
  </si>
  <si>
    <t>No</t>
  </si>
  <si>
    <t>19990909CASAS</t>
  </si>
  <si>
    <t>Santa Teresa High School</t>
  </si>
  <si>
    <t>Fall</t>
  </si>
  <si>
    <t>San Jose</t>
  </si>
  <si>
    <t>CA</t>
  </si>
  <si>
    <t>High</t>
  </si>
  <si>
    <t>Bathroom</t>
  </si>
  <si>
    <t>Inside School Building</t>
  </si>
  <si>
    <t>Yes</t>
  </si>
  <si>
    <t>Morning Classes</t>
  </si>
  <si>
    <t>Shot self in school bathroom</t>
  </si>
  <si>
    <t>Suicide/Attempted</t>
  </si>
  <si>
    <t>Victims Targeted</t>
  </si>
  <si>
    <t>No</t>
  </si>
  <si>
    <t>19990825GAJAM</t>
  </si>
  <si>
    <t>Jasper County High School</t>
  </si>
  <si>
    <t>Summer</t>
  </si>
  <si>
    <t>Monticello</t>
  </si>
  <si>
    <t>GA</t>
  </si>
  <si>
    <t>High</t>
  </si>
  <si>
    <t>Parking Lot</t>
  </si>
  <si>
    <t>Outside on School Property</t>
  </si>
  <si>
    <t>Yes</t>
  </si>
  <si>
    <t>Morning Classes</t>
  </si>
  <si>
    <t>Suicide in parking lot of school</t>
  </si>
  <si>
    <t>Suicide/Attempted</t>
  </si>
  <si>
    <t>Victims Targeted</t>
  </si>
  <si>
    <t>No</t>
  </si>
  <si>
    <t>19990520GAHEC</t>
  </si>
  <si>
    <t>Heritage High School</t>
  </si>
  <si>
    <t>Spring</t>
  </si>
  <si>
    <t>Conyers</t>
  </si>
  <si>
    <t>GA</t>
  </si>
  <si>
    <t>High</t>
  </si>
  <si>
    <t>Hallway</t>
  </si>
  <si>
    <t>Inside School Building</t>
  </si>
  <si>
    <t>Yes</t>
  </si>
  <si>
    <t>Morning Classes</t>
  </si>
  <si>
    <t>Columbine inspired, depressed, told other students about desire to commit school shooting</t>
  </si>
  <si>
    <t>Indiscriminate Shooting</t>
  </si>
  <si>
    <t>Random Shooting</t>
  </si>
  <si>
    <t>No</t>
  </si>
  <si>
    <t>Yes</t>
  </si>
  <si>
    <t>19990422GAMAA</t>
  </si>
  <si>
    <t>Martin Luther King Jr. Middle School</t>
  </si>
  <si>
    <t>Spring</t>
  </si>
  <si>
    <t>Atlanta</t>
  </si>
  <si>
    <t>GA</t>
  </si>
  <si>
    <t>Middle</t>
  </si>
  <si>
    <t>Parking Lot</t>
  </si>
  <si>
    <t>Outside on School Property</t>
  </si>
  <si>
    <t>No</t>
  </si>
  <si>
    <t>Evening</t>
  </si>
  <si>
    <t>Victim shot in back outside school, shooter and victim had Ongoing dispute</t>
  </si>
  <si>
    <t>Escalation of Dispute</t>
  </si>
  <si>
    <t>Victims Targeted</t>
  </si>
  <si>
    <t>Yes</t>
  </si>
  <si>
    <t>No</t>
  </si>
  <si>
    <t>19990422LASCB</t>
  </si>
  <si>
    <t>Scotlandville Middle School</t>
  </si>
  <si>
    <t>Spring</t>
  </si>
  <si>
    <t>Baton Rouge</t>
  </si>
  <si>
    <t>LA</t>
  </si>
  <si>
    <t>Middle</t>
  </si>
  <si>
    <t>Beside Building</t>
  </si>
  <si>
    <t>Outside on School Property</t>
  </si>
  <si>
    <t>Yes</t>
  </si>
  <si>
    <t>Lunch</t>
  </si>
  <si>
    <t>Shooter targeted victim due to prior fight, hit the girl the target was walking with</t>
  </si>
  <si>
    <t>Escalation of Dispute</t>
  </si>
  <si>
    <t>Both</t>
  </si>
  <si>
    <t>No</t>
  </si>
  <si>
    <t>19990420COCOL</t>
  </si>
  <si>
    <t>Columbine High School</t>
  </si>
  <si>
    <t>Spring</t>
  </si>
  <si>
    <t>Littleton</t>
  </si>
  <si>
    <t>CO</t>
  </si>
  <si>
    <t>High</t>
  </si>
  <si>
    <t>Cafeteria</t>
  </si>
  <si>
    <t>Inside School Building</t>
  </si>
  <si>
    <t>Yes</t>
  </si>
  <si>
    <t>Morning Classes</t>
  </si>
  <si>
    <t>Planned attack and bombing of school</t>
  </si>
  <si>
    <t>Indiscriminate Shooting</t>
  </si>
  <si>
    <t>Both</t>
  </si>
  <si>
    <t>Yes</t>
  </si>
  <si>
    <t>No</t>
  </si>
  <si>
    <t>Yes</t>
  </si>
  <si>
    <t>No</t>
  </si>
  <si>
    <t>Yes</t>
  </si>
  <si>
    <t>19990416IDNON</t>
  </si>
  <si>
    <t>Notus Jr. Sr. High School</t>
  </si>
  <si>
    <t>Spring</t>
  </si>
  <si>
    <t>Notus</t>
  </si>
  <si>
    <t>ID</t>
  </si>
  <si>
    <t>6-12</t>
  </si>
  <si>
    <t>Gym</t>
  </si>
  <si>
    <t>Inside School Building</t>
  </si>
  <si>
    <t>Yes</t>
  </si>
  <si>
    <t>Unknown</t>
  </si>
  <si>
    <t>Fired two shots inside school and surrendered when confronted by police</t>
  </si>
  <si>
    <t>Psychosis</t>
  </si>
  <si>
    <t>Random Shooting</t>
  </si>
  <si>
    <t>No</t>
  </si>
  <si>
    <t>Yes</t>
  </si>
  <si>
    <t>19990304ILNIS</t>
  </si>
  <si>
    <t>Niles West High School</t>
  </si>
  <si>
    <t>Spring</t>
  </si>
  <si>
    <t>Skokie</t>
  </si>
  <si>
    <t>IL</t>
  </si>
  <si>
    <t>High</t>
  </si>
  <si>
    <t>Gym</t>
  </si>
  <si>
    <t>Inside School Building</t>
  </si>
  <si>
    <t>No</t>
  </si>
  <si>
    <t>Sport Event</t>
  </si>
  <si>
    <t>Shot security guard in targeted shooting</t>
  </si>
  <si>
    <t>Domestic w/ Targeted Victim</t>
  </si>
  <si>
    <t>Victims Targeted</t>
  </si>
  <si>
    <t>No</t>
  </si>
  <si>
    <t>Yes</t>
  </si>
  <si>
    <t>19990211ILOME</t>
  </si>
  <si>
    <t>Ombudsman Educational Service Center</t>
  </si>
  <si>
    <t>Winter</t>
  </si>
  <si>
    <t>Elgin</t>
  </si>
  <si>
    <t>IL</t>
  </si>
  <si>
    <t>High</t>
  </si>
  <si>
    <t>Classroom</t>
  </si>
  <si>
    <t>Inside School Building</t>
  </si>
  <si>
    <t>Yes</t>
  </si>
  <si>
    <t>Afternoon Classes</t>
  </si>
  <si>
    <t>Masked shooter entered classroom and fired multiple shots at student</t>
  </si>
  <si>
    <t>Escalation of Dispute</t>
  </si>
  <si>
    <t>Victims Targeted</t>
  </si>
  <si>
    <t>Yes</t>
  </si>
  <si>
    <t>No</t>
  </si>
  <si>
    <t>19990211MSJEP</t>
  </si>
  <si>
    <t>Jefferson-Todd Educational Center</t>
  </si>
  <si>
    <t>Winter</t>
  </si>
  <si>
    <t>Purvis</t>
  </si>
  <si>
    <t>MS</t>
  </si>
  <si>
    <t>Other</t>
  </si>
  <si>
    <t>Office</t>
  </si>
  <si>
    <t>Inside School Building</t>
  </si>
  <si>
    <t>Yes</t>
  </si>
  <si>
    <t>Held 4 teachers hostage for 12 hours, angry about lack of black teachers</t>
  </si>
  <si>
    <t>Hostage/Standoff</t>
  </si>
  <si>
    <t>Random Shooting</t>
  </si>
  <si>
    <t>No</t>
  </si>
  <si>
    <t>Yes</t>
  </si>
  <si>
    <t>No</t>
  </si>
  <si>
    <t>Yes</t>
  </si>
  <si>
    <t>19990121TXRIN</t>
  </si>
  <si>
    <t>Richland High School</t>
  </si>
  <si>
    <t>Winter</t>
  </si>
  <si>
    <t>North Richland Hills</t>
  </si>
  <si>
    <t>TX</t>
  </si>
  <si>
    <t>High</t>
  </si>
  <si>
    <t>Bathroom</t>
  </si>
  <si>
    <t>Inside School Building</t>
  </si>
  <si>
    <t>Yes</t>
  </si>
  <si>
    <t>Morning Classes</t>
  </si>
  <si>
    <t>Shot self in school bathroom</t>
  </si>
  <si>
    <t>Suicide/Attempted</t>
  </si>
  <si>
    <t>Victims Targeted</t>
  </si>
  <si>
    <t>No</t>
  </si>
  <si>
    <t>19990114NYHAN</t>
  </si>
  <si>
    <t>Harry S. Truman High School</t>
  </si>
  <si>
    <t>Winter</t>
  </si>
  <si>
    <t>New York</t>
  </si>
  <si>
    <t>NY</t>
  </si>
  <si>
    <t>High</t>
  </si>
  <si>
    <t>Front of School</t>
  </si>
  <si>
    <t>Outside on School Property</t>
  </si>
  <si>
    <t>Yes</t>
  </si>
  <si>
    <t>Morning Classes</t>
  </si>
  <si>
    <t>Retaliation for stabbing the prior day</t>
  </si>
  <si>
    <t>Escalation of Dispute</t>
  </si>
  <si>
    <t>Victims Targeted</t>
  </si>
  <si>
    <t>No</t>
  </si>
  <si>
    <t>19990108GACEC</t>
  </si>
  <si>
    <t>Central High School</t>
  </si>
  <si>
    <t>Winter</t>
  </si>
  <si>
    <t>Carrollton</t>
  </si>
  <si>
    <t>GA</t>
  </si>
  <si>
    <t>High</t>
  </si>
  <si>
    <t>Bathroom</t>
  </si>
  <si>
    <t>Inside School Building</t>
  </si>
  <si>
    <t>Yes</t>
  </si>
  <si>
    <t>Morning Classes</t>
  </si>
  <si>
    <t>Planned murder/suicide pact</t>
  </si>
  <si>
    <t>Murder/Suicide</t>
  </si>
  <si>
    <t>Victims Targeted</t>
  </si>
  <si>
    <t>Yes</t>
  </si>
  <si>
    <t>No</t>
  </si>
  <si>
    <t>Yes</t>
  </si>
  <si>
    <t>19981211INBEI</t>
  </si>
  <si>
    <t>Ben Davis Junior High School</t>
  </si>
  <si>
    <t>Winter</t>
  </si>
  <si>
    <t>Indianapolis</t>
  </si>
  <si>
    <t>IN</t>
  </si>
  <si>
    <t>Junior High</t>
  </si>
  <si>
    <t>School Bus</t>
  </si>
  <si>
    <t>Yes</t>
  </si>
  <si>
    <t>After School</t>
  </si>
  <si>
    <t>Playing with gun on school bus</t>
  </si>
  <si>
    <t>Accidental</t>
  </si>
  <si>
    <t>Random Shooting</t>
  </si>
  <si>
    <t>No</t>
  </si>
  <si>
    <t>19981203INERG</t>
  </si>
  <si>
    <t>Ernie Elementary School</t>
  </si>
  <si>
    <t>Winter</t>
  </si>
  <si>
    <t>Gary</t>
  </si>
  <si>
    <t>IN</t>
  </si>
  <si>
    <t>Elementary</t>
  </si>
  <si>
    <t>Gym</t>
  </si>
  <si>
    <t>Inside School Building</t>
  </si>
  <si>
    <t>No</t>
  </si>
  <si>
    <t>Evening</t>
  </si>
  <si>
    <t>Parent shot teacher during argument at parent-teacher conference</t>
  </si>
  <si>
    <t>Escalation of Dispute</t>
  </si>
  <si>
    <t>Victims Targeted</t>
  </si>
  <si>
    <t>No</t>
  </si>
  <si>
    <t>19981130NYHAH</t>
  </si>
  <si>
    <t>Hancock Middle High School</t>
  </si>
  <si>
    <t>Fall</t>
  </si>
  <si>
    <t>Hancock</t>
  </si>
  <si>
    <t>NY</t>
  </si>
  <si>
    <t>Middle</t>
  </si>
  <si>
    <t>Bathroom</t>
  </si>
  <si>
    <t>Inside School Building</t>
  </si>
  <si>
    <t>Yes</t>
  </si>
  <si>
    <t>Morning Classes</t>
  </si>
  <si>
    <t>Suicide in school bathroom</t>
  </si>
  <si>
    <t>Suicide/Attempted</t>
  </si>
  <si>
    <t>Victims Targeted</t>
  </si>
  <si>
    <t>No</t>
  </si>
  <si>
    <t>19981103PAMAP</t>
  </si>
  <si>
    <t>Martin Luther King High School</t>
  </si>
  <si>
    <t>Fall</t>
  </si>
  <si>
    <t>Philadelphia</t>
  </si>
  <si>
    <t>PA</t>
  </si>
  <si>
    <t>High</t>
  </si>
  <si>
    <t>Beside Building</t>
  </si>
  <si>
    <t>Outside on School Property</t>
  </si>
  <si>
    <t>Yes</t>
  </si>
  <si>
    <t>Dismissal</t>
  </si>
  <si>
    <t>Dispute over a girl at end of school day</t>
  </si>
  <si>
    <t>Escalation of Dispute</t>
  </si>
  <si>
    <t>Victims Targeted</t>
  </si>
  <si>
    <t>Yes</t>
  </si>
  <si>
    <t>No</t>
  </si>
  <si>
    <t>19980930FLNOM</t>
  </si>
  <si>
    <t>North Miami High School</t>
  </si>
  <si>
    <t>Fall</t>
  </si>
  <si>
    <t>Miami</t>
  </si>
  <si>
    <t>FL</t>
  </si>
  <si>
    <t>High</t>
  </si>
  <si>
    <t>Hallway</t>
  </si>
  <si>
    <t>Inside School Building</t>
  </si>
  <si>
    <t>Yes</t>
  </si>
  <si>
    <t>Lunch</t>
  </si>
  <si>
    <t>Gang related shooting following prior fight</t>
  </si>
  <si>
    <t>Escalation of Dispute</t>
  </si>
  <si>
    <t>Both</t>
  </si>
  <si>
    <t>Yes</t>
  </si>
  <si>
    <t>No</t>
  </si>
  <si>
    <t>19980930FLLEL</t>
  </si>
  <si>
    <t>Leesburg High School</t>
  </si>
  <si>
    <t>Fall</t>
  </si>
  <si>
    <t>Leesburg</t>
  </si>
  <si>
    <t>FL</t>
  </si>
  <si>
    <t>High</t>
  </si>
  <si>
    <t>Outside on School Property</t>
  </si>
  <si>
    <t>Yes</t>
  </si>
  <si>
    <t>Teen shot himself in the arm</t>
  </si>
  <si>
    <t>Accidental</t>
  </si>
  <si>
    <t>Victims Targeted</t>
  </si>
  <si>
    <t>No</t>
  </si>
  <si>
    <t>19980911CAHEG</t>
  </si>
  <si>
    <t>Herbert Hoover High School</t>
  </si>
  <si>
    <t>Fall</t>
  </si>
  <si>
    <t>Glendale</t>
  </si>
  <si>
    <t>CA</t>
  </si>
  <si>
    <t>High</t>
  </si>
  <si>
    <t>Parking Lot</t>
  </si>
  <si>
    <t>Outside on School Property</t>
  </si>
  <si>
    <t>No</t>
  </si>
  <si>
    <t>After School</t>
  </si>
  <si>
    <t>Gang fight in parking lot, one shot (student involved in fight)</t>
  </si>
  <si>
    <t>Escalation of Dispute</t>
  </si>
  <si>
    <t>Victims Targeted</t>
  </si>
  <si>
    <t>No</t>
  </si>
  <si>
    <t>19980615VAARR</t>
  </si>
  <si>
    <t>Armstrong High School</t>
  </si>
  <si>
    <t>Summer</t>
  </si>
  <si>
    <t>Richmond</t>
  </si>
  <si>
    <t>VA</t>
  </si>
  <si>
    <t>High</t>
  </si>
  <si>
    <t>Hallway</t>
  </si>
  <si>
    <t>Inside School Building</t>
  </si>
  <si>
    <t>Yes</t>
  </si>
  <si>
    <t>Morning Classes</t>
  </si>
  <si>
    <t>Fight (escalated) between juveniles, two teachers struck</t>
  </si>
  <si>
    <t>Escalation of Dispute</t>
  </si>
  <si>
    <t>Both</t>
  </si>
  <si>
    <t>No</t>
  </si>
  <si>
    <t>19980529FLSTF</t>
  </si>
  <si>
    <t>Stranahan High School</t>
  </si>
  <si>
    <t>Spring</t>
  </si>
  <si>
    <t>Ft Lauderdale</t>
  </si>
  <si>
    <t>FL</t>
  </si>
  <si>
    <t>High</t>
  </si>
  <si>
    <t>Parking Lot</t>
  </si>
  <si>
    <t>Outside on School Property</t>
  </si>
  <si>
    <t>Yes</t>
  </si>
  <si>
    <t>School Start</t>
  </si>
  <si>
    <t>Murder suicide after breakup, victim was teacher</t>
  </si>
  <si>
    <t>Murder/Suicide</t>
  </si>
  <si>
    <t>Victims Targeted</t>
  </si>
  <si>
    <t>No</t>
  </si>
  <si>
    <t>Yes</t>
  </si>
  <si>
    <t>No</t>
  </si>
  <si>
    <t>19980527CAWAP</t>
  </si>
  <si>
    <t>Washington Middle School</t>
  </si>
  <si>
    <t>Spring</t>
  </si>
  <si>
    <t>Pasadena</t>
  </si>
  <si>
    <t>CA</t>
  </si>
  <si>
    <t>Middle</t>
  </si>
  <si>
    <t>Beside Building</t>
  </si>
  <si>
    <t>Outside on School Property</t>
  </si>
  <si>
    <t>No</t>
  </si>
  <si>
    <t>Evening</t>
  </si>
  <si>
    <t>Gang related shooting outside of school</t>
  </si>
  <si>
    <t>Escalation of Dispute</t>
  </si>
  <si>
    <t>Victims Targeted</t>
  </si>
  <si>
    <t>No</t>
  </si>
  <si>
    <t>19980521WAONO</t>
  </si>
  <si>
    <t>Onalaska High School</t>
  </si>
  <si>
    <t>Spring</t>
  </si>
  <si>
    <t>Onalaska</t>
  </si>
  <si>
    <t>WA</t>
  </si>
  <si>
    <t>High</t>
  </si>
  <si>
    <t>School Bus</t>
  </si>
  <si>
    <t>No</t>
  </si>
  <si>
    <t>Before School</t>
  </si>
  <si>
    <t>Pulled gun on bus, ordered girlfriend to get off then shot himself</t>
  </si>
  <si>
    <t>Suicide/Attempted</t>
  </si>
  <si>
    <t>Victims Targeted</t>
  </si>
  <si>
    <t>No</t>
  </si>
  <si>
    <t>Yes</t>
  </si>
  <si>
    <t>19980521ORTHS</t>
  </si>
  <si>
    <t>Thurston High School</t>
  </si>
  <si>
    <t>Spring</t>
  </si>
  <si>
    <t>Springfield</t>
  </si>
  <si>
    <t>OR</t>
  </si>
  <si>
    <t>High</t>
  </si>
  <si>
    <t>Cafeteria</t>
  </si>
  <si>
    <t>Inside School Building</t>
  </si>
  <si>
    <t>Yes</t>
  </si>
  <si>
    <t>Before School</t>
  </si>
  <si>
    <t>Angry over being arrested and facing expulsion for bringing gun to school earlier that day</t>
  </si>
  <si>
    <t>Anger Over Grade/Suspension/Discipline</t>
  </si>
  <si>
    <t>Random Shooting</t>
  </si>
  <si>
    <t>No</t>
  </si>
  <si>
    <t>Yes</t>
  </si>
  <si>
    <t>19980521CARIR</t>
  </si>
  <si>
    <t>Rialta High School</t>
  </si>
  <si>
    <t>Spring</t>
  </si>
  <si>
    <t>Rialto</t>
  </si>
  <si>
    <t>CA</t>
  </si>
  <si>
    <t>High</t>
  </si>
  <si>
    <t>Courtyard</t>
  </si>
  <si>
    <t>Outside on School Property</t>
  </si>
  <si>
    <t>Yes</t>
  </si>
  <si>
    <t>School Start</t>
  </si>
  <si>
    <t>Bullied, told he would need to repeat 9th grade, killed himself</t>
  </si>
  <si>
    <t>Suicide/Attempted</t>
  </si>
  <si>
    <t>Victims Targeted</t>
  </si>
  <si>
    <t>No</t>
  </si>
  <si>
    <t>Yes</t>
  </si>
  <si>
    <t>No</t>
  </si>
  <si>
    <t>19980519TNLIF</t>
  </si>
  <si>
    <t>Lincoln County High School</t>
  </si>
  <si>
    <t>Spring</t>
  </si>
  <si>
    <t>Fayetteville</t>
  </si>
  <si>
    <t>TN</t>
  </si>
  <si>
    <t>High</t>
  </si>
  <si>
    <t>Beside Building</t>
  </si>
  <si>
    <t>Outside on School Property</t>
  </si>
  <si>
    <t>Yes</t>
  </si>
  <si>
    <t>Dismissal</t>
  </si>
  <si>
    <t>Fight over girl outside of school</t>
  </si>
  <si>
    <t>Escalation of Dispute</t>
  </si>
  <si>
    <t>Victims Targeted</t>
  </si>
  <si>
    <t>No</t>
  </si>
  <si>
    <t>Yes</t>
  </si>
  <si>
    <t>19980501FLNOM</t>
  </si>
  <si>
    <t>North Miami Senior High School</t>
  </si>
  <si>
    <t>Spring</t>
  </si>
  <si>
    <t>Miami</t>
  </si>
  <si>
    <t>FL</t>
  </si>
  <si>
    <t>High</t>
  </si>
  <si>
    <t>Beside Building</t>
  </si>
  <si>
    <t>Outside on School Property</t>
  </si>
  <si>
    <t>No</t>
  </si>
  <si>
    <t>Evening</t>
  </si>
  <si>
    <t>Gang related shooting when student was exiting school at night</t>
  </si>
  <si>
    <t>Escalation of Dispute</t>
  </si>
  <si>
    <t>Victims Targeted</t>
  </si>
  <si>
    <t>No</t>
  </si>
  <si>
    <t>19980501NYPUB</t>
  </si>
  <si>
    <t>Public School 18</t>
  </si>
  <si>
    <t>Spring</t>
  </si>
  <si>
    <t>Buffalo</t>
  </si>
  <si>
    <t>NY</t>
  </si>
  <si>
    <t>Elementary</t>
  </si>
  <si>
    <t>Office</t>
  </si>
  <si>
    <t>Inside School Building</t>
  </si>
  <si>
    <t>Yes</t>
  </si>
  <si>
    <t>Morning Classes</t>
  </si>
  <si>
    <t>Went into school to kill estranged wife, school aid wounded</t>
  </si>
  <si>
    <t>Domestic w/ Targeted Victim</t>
  </si>
  <si>
    <t>Victims Targeted</t>
  </si>
  <si>
    <t>No</t>
  </si>
  <si>
    <t>Yes</t>
  </si>
  <si>
    <t>19980428WIPAP</t>
  </si>
  <si>
    <t>Pardeeville Elementary School</t>
  </si>
  <si>
    <t>Spring</t>
  </si>
  <si>
    <t>Pardeeville</t>
  </si>
  <si>
    <t>WI</t>
  </si>
  <si>
    <t>Elementary</t>
  </si>
  <si>
    <t>Parking Lot</t>
  </si>
  <si>
    <t>Outside on School Property</t>
  </si>
  <si>
    <t>No</t>
  </si>
  <si>
    <t>After School</t>
  </si>
  <si>
    <t>Carjacking of janitor, shot him</t>
  </si>
  <si>
    <t>Illegal Activity</t>
  </si>
  <si>
    <t>Victims Targeted</t>
  </si>
  <si>
    <t>Yes</t>
  </si>
  <si>
    <t>No</t>
  </si>
  <si>
    <t>19980428CAPHP</t>
  </si>
  <si>
    <t>Philadelphia Elementary School</t>
  </si>
  <si>
    <t>Spring</t>
  </si>
  <si>
    <t>Pomona</t>
  </si>
  <si>
    <t>CA</t>
  </si>
  <si>
    <t>Elementary</t>
  </si>
  <si>
    <t>Beside Building</t>
  </si>
  <si>
    <t>Outside on School Property</t>
  </si>
  <si>
    <t>No</t>
  </si>
  <si>
    <t>After School</t>
  </si>
  <si>
    <t>Disagreement between rival gang members</t>
  </si>
  <si>
    <t>Escalation of Dispute</t>
  </si>
  <si>
    <t>Victims Targeted</t>
  </si>
  <si>
    <t>No</t>
  </si>
  <si>
    <t>19980424PAPAE</t>
  </si>
  <si>
    <t>Parker Middle School</t>
  </si>
  <si>
    <t>Spring</t>
  </si>
  <si>
    <t>Edinboro</t>
  </si>
  <si>
    <t>PA</t>
  </si>
  <si>
    <t>Middle</t>
  </si>
  <si>
    <t>Off School Property</t>
  </si>
  <si>
    <t>No</t>
  </si>
  <si>
    <t>School Event</t>
  </si>
  <si>
    <t>Planned attack at school dance</t>
  </si>
  <si>
    <t>Indiscriminate Shooting</t>
  </si>
  <si>
    <t>Random Shooting</t>
  </si>
  <si>
    <t>No</t>
  </si>
  <si>
    <t>Yes</t>
  </si>
  <si>
    <t>19980423CACUL</t>
  </si>
  <si>
    <t>Culver City High School</t>
  </si>
  <si>
    <t>Spring</t>
  </si>
  <si>
    <t>Los Angeles</t>
  </si>
  <si>
    <t>CA</t>
  </si>
  <si>
    <t>High</t>
  </si>
  <si>
    <t>Front of School</t>
  </si>
  <si>
    <t>Outside on School Property</t>
  </si>
  <si>
    <t>Yes</t>
  </si>
  <si>
    <t>Afternoon Classes</t>
  </si>
  <si>
    <t>Drive by shooting outside of school</t>
  </si>
  <si>
    <t>Drive-by Shooting</t>
  </si>
  <si>
    <t>Unknown</t>
  </si>
  <si>
    <t>No</t>
  </si>
  <si>
    <t>19980409IDTHA</t>
  </si>
  <si>
    <t>The Alternate School</t>
  </si>
  <si>
    <t>National</t>
  </si>
  <si>
    <t>Spring</t>
  </si>
  <si>
    <t>Pocatello</t>
  </si>
  <si>
    <t>ID</t>
  </si>
  <si>
    <t>6-12</t>
  </si>
  <si>
    <t>Classroom</t>
  </si>
  <si>
    <t>Inside School Building</t>
  </si>
  <si>
    <t>Yes</t>
  </si>
  <si>
    <t>Morning Classes</t>
  </si>
  <si>
    <t>Student fired shot and took 12 students hostage for 5 hours</t>
  </si>
  <si>
    <t>Hostage/Standoff</t>
  </si>
  <si>
    <t>Neither</t>
  </si>
  <si>
    <t>No</t>
  </si>
  <si>
    <t>Yes</t>
  </si>
  <si>
    <t>No</t>
  </si>
  <si>
    <t>Yes</t>
  </si>
  <si>
    <t>19980331WIOAO</t>
  </si>
  <si>
    <t>Oakfield Middle School</t>
  </si>
  <si>
    <t>Spring</t>
  </si>
  <si>
    <t>Oakfield</t>
  </si>
  <si>
    <t>WI</t>
  </si>
  <si>
    <t>Middle</t>
  </si>
  <si>
    <t>Front of School</t>
  </si>
  <si>
    <t>Outside on School Property</t>
  </si>
  <si>
    <t>Yes</t>
  </si>
  <si>
    <t>Angry about grade, fired 5 shots into the school's front door</t>
  </si>
  <si>
    <t>Anger Over Grade/Suspension/Discipline</t>
  </si>
  <si>
    <t>Random Shooting</t>
  </si>
  <si>
    <t>No</t>
  </si>
  <si>
    <t>Yes</t>
  </si>
  <si>
    <t>19980330NCGRC</t>
  </si>
  <si>
    <t>Grey Culbreth Middle School</t>
  </si>
  <si>
    <t>Spring</t>
  </si>
  <si>
    <t>Chapel Hill</t>
  </si>
  <si>
    <t>NC</t>
  </si>
  <si>
    <t>Middle</t>
  </si>
  <si>
    <t>Bathroom</t>
  </si>
  <si>
    <t>Inside School Building</t>
  </si>
  <si>
    <t>Yes</t>
  </si>
  <si>
    <t>Shot herself in bathroom</t>
  </si>
  <si>
    <t>Suicide/Attempted</t>
  </si>
  <si>
    <t>Victims Targeted</t>
  </si>
  <si>
    <t>No</t>
  </si>
  <si>
    <t>19980325MICOC</t>
  </si>
  <si>
    <t>Coldwater High School</t>
  </si>
  <si>
    <t>Spring</t>
  </si>
  <si>
    <t>Coldwater</t>
  </si>
  <si>
    <t>MI</t>
  </si>
  <si>
    <t>High</t>
  </si>
  <si>
    <t>Parking Lot</t>
  </si>
  <si>
    <t>Outside on School Property</t>
  </si>
  <si>
    <t>Yes</t>
  </si>
  <si>
    <t>School Start</t>
  </si>
  <si>
    <t>Commit suicide in car in parking lot</t>
  </si>
  <si>
    <t>Suicide/Attempted</t>
  </si>
  <si>
    <t>Victims Targeted</t>
  </si>
  <si>
    <t>No</t>
  </si>
  <si>
    <t>19980325CAFED</t>
  </si>
  <si>
    <t>Fernando Rivera Middle School</t>
  </si>
  <si>
    <t>Spring</t>
  </si>
  <si>
    <t>Daly City</t>
  </si>
  <si>
    <t>CA</t>
  </si>
  <si>
    <t>Middle</t>
  </si>
  <si>
    <t>Courtyard</t>
  </si>
  <si>
    <t>Outside on School Property</t>
  </si>
  <si>
    <t>Yes</t>
  </si>
  <si>
    <t>School Start</t>
  </si>
  <si>
    <t>Shot at principal, missed, ditched gun, and fled scene</t>
  </si>
  <si>
    <t>Anger Over Grade/Suspension/Discipline</t>
  </si>
  <si>
    <t>Victims Targeted</t>
  </si>
  <si>
    <t>No</t>
  </si>
  <si>
    <t>19980324ARWEJ</t>
  </si>
  <si>
    <t>Westside Middle School</t>
  </si>
  <si>
    <t>Spring</t>
  </si>
  <si>
    <t>Jonesboro</t>
  </si>
  <si>
    <t>AR</t>
  </si>
  <si>
    <t>Middle</t>
  </si>
  <si>
    <t>Field (General)</t>
  </si>
  <si>
    <t>Outside on School Property</t>
  </si>
  <si>
    <t>Yes</t>
  </si>
  <si>
    <t>Afternoon Classes</t>
  </si>
  <si>
    <t>Planned attack by two shooter, shot students are pulling fire alarm and fled in stolen vehicle</t>
  </si>
  <si>
    <t>Indiscriminate Shooting</t>
  </si>
  <si>
    <t>Random Shooting</t>
  </si>
  <si>
    <t>Yes</t>
  </si>
  <si>
    <t>No</t>
  </si>
  <si>
    <t>Yes</t>
  </si>
  <si>
    <t>19980227VAMAF</t>
  </si>
  <si>
    <t>Marshall High School</t>
  </si>
  <si>
    <t>Winter</t>
  </si>
  <si>
    <t>Fairfax</t>
  </si>
  <si>
    <t>VA</t>
  </si>
  <si>
    <t>High</t>
  </si>
  <si>
    <t>Parking Lot</t>
  </si>
  <si>
    <t>Outside on School Property</t>
  </si>
  <si>
    <t>Yes</t>
  </si>
  <si>
    <t>Lunch</t>
  </si>
  <si>
    <t>Drive by gang shooting in parking lot</t>
  </si>
  <si>
    <t>Drive-by Shooting</t>
  </si>
  <si>
    <t>Victims Targeted</t>
  </si>
  <si>
    <t>Yes</t>
  </si>
  <si>
    <t>No</t>
  </si>
  <si>
    <t>19980225MIRER</t>
  </si>
  <si>
    <t>Reed City High School</t>
  </si>
  <si>
    <t>Winter</t>
  </si>
  <si>
    <t>Reed City</t>
  </si>
  <si>
    <t>MI</t>
  </si>
  <si>
    <t>High</t>
  </si>
  <si>
    <t>Hallway</t>
  </si>
  <si>
    <t>Inside School Building</t>
  </si>
  <si>
    <t>Yes</t>
  </si>
  <si>
    <t>School Start</t>
  </si>
  <si>
    <t>Commit suicide in school hallway</t>
  </si>
  <si>
    <t>Suicide/Attempted</t>
  </si>
  <si>
    <t>Victims Targeted</t>
  </si>
  <si>
    <t>No</t>
  </si>
  <si>
    <t>19980212NJHOH</t>
  </si>
  <si>
    <t>Hoboken High School</t>
  </si>
  <si>
    <t>Winter</t>
  </si>
  <si>
    <t>Hoboken</t>
  </si>
  <si>
    <t>NJ</t>
  </si>
  <si>
    <t>High</t>
  </si>
  <si>
    <t>Parking Lot</t>
  </si>
  <si>
    <t>Outside on School Property</t>
  </si>
  <si>
    <t>No</t>
  </si>
  <si>
    <t>After School</t>
  </si>
  <si>
    <t>Shooter believed teacher was having affair with his wife, killed teacher and commited suicide.</t>
  </si>
  <si>
    <t>Domestic w/ Targeted Victim</t>
  </si>
  <si>
    <t>Victims Targeted</t>
  </si>
  <si>
    <t>No</t>
  </si>
  <si>
    <t>Yes</t>
  </si>
  <si>
    <t>19971215ARSTS</t>
  </si>
  <si>
    <t>Stamps High School</t>
  </si>
  <si>
    <t>Winter</t>
  </si>
  <si>
    <t>Stamps</t>
  </si>
  <si>
    <t>AR</t>
  </si>
  <si>
    <t>High</t>
  </si>
  <si>
    <t>Parking Lot</t>
  </si>
  <si>
    <t>Outside on School Property</t>
  </si>
  <si>
    <t>Yes</t>
  </si>
  <si>
    <t>Planned attack, fired at random students from the woods near the school</t>
  </si>
  <si>
    <t>Indiscriminate Shooting</t>
  </si>
  <si>
    <t>Random Shooting</t>
  </si>
  <si>
    <t>No</t>
  </si>
  <si>
    <t>Yes</t>
  </si>
  <si>
    <t>19971201KYHEW</t>
  </si>
  <si>
    <t>Heath High School</t>
  </si>
  <si>
    <t>National</t>
  </si>
  <si>
    <t>Winter</t>
  </si>
  <si>
    <t>West Paducah</t>
  </si>
  <si>
    <t>KY</t>
  </si>
  <si>
    <t>High</t>
  </si>
  <si>
    <t>Entryway</t>
  </si>
  <si>
    <t>Outside on School Property</t>
  </si>
  <si>
    <t>Yes</t>
  </si>
  <si>
    <t>Before School</t>
  </si>
  <si>
    <t>Planned attack, fired at multiple students in front of school then sat down and surrendered</t>
  </si>
  <si>
    <t>Indiscriminate Shooting</t>
  </si>
  <si>
    <t>Random Shooting</t>
  </si>
  <si>
    <t>No</t>
  </si>
  <si>
    <t>Yes</t>
  </si>
  <si>
    <t>No</t>
  </si>
  <si>
    <t>Yes</t>
  </si>
  <si>
    <t>19971113CACRS</t>
  </si>
  <si>
    <t>Creekside Elementary School</t>
  </si>
  <si>
    <t>Fall</t>
  </si>
  <si>
    <t>Sacramento</t>
  </si>
  <si>
    <t>CA</t>
  </si>
  <si>
    <t>Elementary</t>
  </si>
  <si>
    <t>Parking Lot</t>
  </si>
  <si>
    <t>Outside on School Property</t>
  </si>
  <si>
    <t>Yes</t>
  </si>
  <si>
    <t>Dismissal</t>
  </si>
  <si>
    <t>Parent killed, related to custody battle with ex-wife</t>
  </si>
  <si>
    <t>Domestic w/ Targeted Victim</t>
  </si>
  <si>
    <t>Victims Targeted</t>
  </si>
  <si>
    <t>Unknown</t>
  </si>
  <si>
    <t>Yes</t>
  </si>
  <si>
    <t>No</t>
  </si>
  <si>
    <t>Yes</t>
  </si>
  <si>
    <t>19971107FLRIJ</t>
  </si>
  <si>
    <t>Ribault High School</t>
  </si>
  <si>
    <t>Fall</t>
  </si>
  <si>
    <t>Jacksonville</t>
  </si>
  <si>
    <t>FL</t>
  </si>
  <si>
    <t>High</t>
  </si>
  <si>
    <t>Beside Building</t>
  </si>
  <si>
    <t>Outside on School Property</t>
  </si>
  <si>
    <t>Yes</t>
  </si>
  <si>
    <t>School Start</t>
  </si>
  <si>
    <t>Two students chased and shot</t>
  </si>
  <si>
    <t>Escalation of Dispute</t>
  </si>
  <si>
    <t>Victims Targeted</t>
  </si>
  <si>
    <t>No</t>
  </si>
  <si>
    <t>19971022CAJON</t>
  </si>
  <si>
    <t>John Glenn High School</t>
  </si>
  <si>
    <t>Fall</t>
  </si>
  <si>
    <t>Norwalk</t>
  </si>
  <si>
    <t>CA</t>
  </si>
  <si>
    <t>High</t>
  </si>
  <si>
    <t>Outside on School Property</t>
  </si>
  <si>
    <t>Yes</t>
  </si>
  <si>
    <t>School Start</t>
  </si>
  <si>
    <t>Killed ex-girlfriend and self at school</t>
  </si>
  <si>
    <t>Murder/Suicide</t>
  </si>
  <si>
    <t>Victims Targeted</t>
  </si>
  <si>
    <t>No</t>
  </si>
  <si>
    <t>Yes</t>
  </si>
  <si>
    <t>19971020CAMCO</t>
  </si>
  <si>
    <t>McClymonds High School</t>
  </si>
  <si>
    <t>Fall</t>
  </si>
  <si>
    <t>Oakland</t>
  </si>
  <si>
    <t>CA</t>
  </si>
  <si>
    <t>High</t>
  </si>
  <si>
    <t>Parking Lot</t>
  </si>
  <si>
    <t>Outside on School Property</t>
  </si>
  <si>
    <t>No</t>
  </si>
  <si>
    <t>Evening</t>
  </si>
  <si>
    <t>2 students shot in vehicle outside of school</t>
  </si>
  <si>
    <t>Escalation of Dispute</t>
  </si>
  <si>
    <t>Victims Targeted</t>
  </si>
  <si>
    <t>Unknown</t>
  </si>
  <si>
    <t>No</t>
  </si>
  <si>
    <t>19971015FLLIP</t>
  </si>
  <si>
    <t>Lincoln Middle School</t>
  </si>
  <si>
    <t>Fall</t>
  </si>
  <si>
    <t>Palmetto</t>
  </si>
  <si>
    <t>FL</t>
  </si>
  <si>
    <t>Middle</t>
  </si>
  <si>
    <t>Outside on School Property</t>
  </si>
  <si>
    <t>Yes</t>
  </si>
  <si>
    <t>Unknown</t>
  </si>
  <si>
    <t>Shots fired during fight</t>
  </si>
  <si>
    <t>Escalation of Dispute</t>
  </si>
  <si>
    <t>No</t>
  </si>
  <si>
    <t>19971014TXLAG</t>
  </si>
  <si>
    <t>Lakeview Centennial High School</t>
  </si>
  <si>
    <t>Fall</t>
  </si>
  <si>
    <t>Garland</t>
  </si>
  <si>
    <t>TX</t>
  </si>
  <si>
    <t>High</t>
  </si>
  <si>
    <t>Bathroom</t>
  </si>
  <si>
    <t>Inside School Building</t>
  </si>
  <si>
    <t>Yes</t>
  </si>
  <si>
    <t>Shot self in school bathroom</t>
  </si>
  <si>
    <t>Suicide/Attempted</t>
  </si>
  <si>
    <t>Victims Targeted</t>
  </si>
  <si>
    <t>No</t>
  </si>
  <si>
    <t>19971010INWAG</t>
  </si>
  <si>
    <t>Wallace High School</t>
  </si>
  <si>
    <t>Fall</t>
  </si>
  <si>
    <t>Gary</t>
  </si>
  <si>
    <t>IN</t>
  </si>
  <si>
    <t>High</t>
  </si>
  <si>
    <t>Football Field/Track</t>
  </si>
  <si>
    <t>Outside on School Property</t>
  </si>
  <si>
    <t>No</t>
  </si>
  <si>
    <t>Not a School Day</t>
  </si>
  <si>
    <t>Dispute between rival gang members at football game</t>
  </si>
  <si>
    <t>Indiscriminate Shooting</t>
  </si>
  <si>
    <t>Both</t>
  </si>
  <si>
    <t>No</t>
  </si>
  <si>
    <t>19971005OKMOO</t>
  </si>
  <si>
    <t>Moore West Junior High School</t>
  </si>
  <si>
    <t>Fall</t>
  </si>
  <si>
    <t>Oklahoma City</t>
  </si>
  <si>
    <t>OK</t>
  </si>
  <si>
    <t>Junior High</t>
  </si>
  <si>
    <t>Parking Lot</t>
  </si>
  <si>
    <t>Outside on School Property</t>
  </si>
  <si>
    <t>No</t>
  </si>
  <si>
    <t>Not a School Day</t>
  </si>
  <si>
    <t>Escalation of argument</t>
  </si>
  <si>
    <t>Escalation of Dispute</t>
  </si>
  <si>
    <t>Victims Targeted</t>
  </si>
  <si>
    <t>No</t>
  </si>
  <si>
    <t>19971001MSPEP</t>
  </si>
  <si>
    <t>Pearl High School</t>
  </si>
  <si>
    <t>Fall</t>
  </si>
  <si>
    <t>Pearl</t>
  </si>
  <si>
    <t>MS</t>
  </si>
  <si>
    <t>High</t>
  </si>
  <si>
    <t>Hallway</t>
  </si>
  <si>
    <t>Inside School Building</t>
  </si>
  <si>
    <t>Yes</t>
  </si>
  <si>
    <t>Morning Classes</t>
  </si>
  <si>
    <t>Planned attack including ex-girlfriend as target</t>
  </si>
  <si>
    <t>Domestic w/ Targeted Victim</t>
  </si>
  <si>
    <t>Both</t>
  </si>
  <si>
    <t>No</t>
  </si>
  <si>
    <t>Yes</t>
  </si>
  <si>
    <t>19970624ALJEM</t>
  </si>
  <si>
    <t>Jefferson Davis High School</t>
  </si>
  <si>
    <t>Summer</t>
  </si>
  <si>
    <t>Montgomery</t>
  </si>
  <si>
    <t>AL</t>
  </si>
  <si>
    <t>High</t>
  </si>
  <si>
    <t>Parking Lot</t>
  </si>
  <si>
    <t>Outside on School Property</t>
  </si>
  <si>
    <t>Yes</t>
  </si>
  <si>
    <t>Lunch</t>
  </si>
  <si>
    <t>Escalation of argument</t>
  </si>
  <si>
    <t>Escalation of Dispute</t>
  </si>
  <si>
    <t>Victims Targeted</t>
  </si>
  <si>
    <t>No</t>
  </si>
  <si>
    <t>19970520OHDUD</t>
  </si>
  <si>
    <t>Dunbar High School</t>
  </si>
  <si>
    <t>Spring</t>
  </si>
  <si>
    <t>Dayton</t>
  </si>
  <si>
    <t>OH</t>
  </si>
  <si>
    <t>High</t>
  </si>
  <si>
    <t>Cafeteria</t>
  </si>
  <si>
    <t>Inside School Building</t>
  </si>
  <si>
    <t>Yes</t>
  </si>
  <si>
    <t>Lunch</t>
  </si>
  <si>
    <t>Showing off gun at lunch</t>
  </si>
  <si>
    <t>Accidental</t>
  </si>
  <si>
    <t>Random Shooting</t>
  </si>
  <si>
    <t>No</t>
  </si>
  <si>
    <t>19970513FLNOM</t>
  </si>
  <si>
    <t>Northwestern High School</t>
  </si>
  <si>
    <t>Spring</t>
  </si>
  <si>
    <t>Miami</t>
  </si>
  <si>
    <t>FL</t>
  </si>
  <si>
    <t>High</t>
  </si>
  <si>
    <t>Hallway</t>
  </si>
  <si>
    <t>Inside School Building</t>
  </si>
  <si>
    <t>Yes</t>
  </si>
  <si>
    <t>Morning Classes</t>
  </si>
  <si>
    <t>Shooter lost $20 to victim in poker game at school - shot him in fit of rage</t>
  </si>
  <si>
    <t>Escalation of Dispute</t>
  </si>
  <si>
    <t>Victims Targeted</t>
  </si>
  <si>
    <t>No</t>
  </si>
  <si>
    <t>19970430NYCIN</t>
  </si>
  <si>
    <t>City-as-School High School</t>
  </si>
  <si>
    <t>Spring</t>
  </si>
  <si>
    <t>New York</t>
  </si>
  <si>
    <t>NY</t>
  </si>
  <si>
    <t>High</t>
  </si>
  <si>
    <t>Front of School</t>
  </si>
  <si>
    <t>Outside on School Property</t>
  </si>
  <si>
    <t>Yes</t>
  </si>
  <si>
    <t>Lunch</t>
  </si>
  <si>
    <t>Shot on steps outside of school</t>
  </si>
  <si>
    <t>Escalation of Dispute</t>
  </si>
  <si>
    <t>No</t>
  </si>
  <si>
    <t>19970428CAJOL</t>
  </si>
  <si>
    <t>John Marshall High School</t>
  </si>
  <si>
    <t>Spring</t>
  </si>
  <si>
    <t>Los Angeles</t>
  </si>
  <si>
    <t>CA</t>
  </si>
  <si>
    <t>High</t>
  </si>
  <si>
    <t>Beside Building</t>
  </si>
  <si>
    <t>Outside on School Property</t>
  </si>
  <si>
    <t>Student shot by gang members outside of school</t>
  </si>
  <si>
    <t>Escalation of Dispute</t>
  </si>
  <si>
    <t>Victims Targeted</t>
  </si>
  <si>
    <t>Yes</t>
  </si>
  <si>
    <t>No</t>
  </si>
  <si>
    <t>19970403CAMAM</t>
  </si>
  <si>
    <t>Maria Del Rey Junior High School</t>
  </si>
  <si>
    <t>Spring</t>
  </si>
  <si>
    <t>Imperial Beach</t>
  </si>
  <si>
    <t>CA</t>
  </si>
  <si>
    <t>High</t>
  </si>
  <si>
    <t>Front of School</t>
  </si>
  <si>
    <t>Outside on School Property</t>
  </si>
  <si>
    <t>Student shot during drive-by outside of school</t>
  </si>
  <si>
    <t>Drive-by Shooting</t>
  </si>
  <si>
    <t>Unknown</t>
  </si>
  <si>
    <t>No</t>
  </si>
  <si>
    <t>19970317MIPED</t>
  </si>
  <si>
    <t>Pershing High School</t>
  </si>
  <si>
    <t>Spring</t>
  </si>
  <si>
    <t>Detroit</t>
  </si>
  <si>
    <t>MI</t>
  </si>
  <si>
    <t>High</t>
  </si>
  <si>
    <t>Parking Lot</t>
  </si>
  <si>
    <t>Outside on School Property</t>
  </si>
  <si>
    <t>Yes</t>
  </si>
  <si>
    <t>Dismissal</t>
  </si>
  <si>
    <t>Argument earlier in day, shooter went to get gun and shot victim involved in conflict</t>
  </si>
  <si>
    <t>Escalation of Dispute</t>
  </si>
  <si>
    <t>Victims Targeted</t>
  </si>
  <si>
    <t>Yes</t>
  </si>
  <si>
    <t>No</t>
  </si>
  <si>
    <t>19970221NVRAL</t>
  </si>
  <si>
    <t>Rancho High School</t>
  </si>
  <si>
    <t>Winter</t>
  </si>
  <si>
    <t>Las Vegas</t>
  </si>
  <si>
    <t>NV</t>
  </si>
  <si>
    <t>High</t>
  </si>
  <si>
    <t>Parking Lot</t>
  </si>
  <si>
    <t>Outside on School Property</t>
  </si>
  <si>
    <t>Yes</t>
  </si>
  <si>
    <t>Dismissal</t>
  </si>
  <si>
    <t>Student shot during dismissal by rival gang members</t>
  </si>
  <si>
    <t>Escalation of Dispute</t>
  </si>
  <si>
    <t>Victims Targeted</t>
  </si>
  <si>
    <t>Yes</t>
  </si>
  <si>
    <t>No</t>
  </si>
  <si>
    <t>19970220FLFIJ</t>
  </si>
  <si>
    <t>First Coast High School</t>
  </si>
  <si>
    <t>Winter</t>
  </si>
  <si>
    <t>Jacksonville</t>
  </si>
  <si>
    <t>FL</t>
  </si>
  <si>
    <t>High</t>
  </si>
  <si>
    <t>Field (General)</t>
  </si>
  <si>
    <t>Outside on School Property</t>
  </si>
  <si>
    <t>No</t>
  </si>
  <si>
    <t>After School</t>
  </si>
  <si>
    <t>Student shot herself on field after sports tryout</t>
  </si>
  <si>
    <t>Suicide/Attempted</t>
  </si>
  <si>
    <t>Victims Targeted</t>
  </si>
  <si>
    <t>No</t>
  </si>
  <si>
    <t>19970219AKBEB</t>
  </si>
  <si>
    <t>Bethel Regional High School</t>
  </si>
  <si>
    <t>Winter</t>
  </si>
  <si>
    <t>Bethel</t>
  </si>
  <si>
    <t>AK</t>
  </si>
  <si>
    <t>High</t>
  </si>
  <si>
    <t>Entryway</t>
  </si>
  <si>
    <t>Inside School Building</t>
  </si>
  <si>
    <t>Yes</t>
  </si>
  <si>
    <t>School Start</t>
  </si>
  <si>
    <t>Prolonged bullying, asked teachers for help</t>
  </si>
  <si>
    <t>Bullying</t>
  </si>
  <si>
    <t>Random Shooting</t>
  </si>
  <si>
    <t>No</t>
  </si>
  <si>
    <t>Yes</t>
  </si>
  <si>
    <t>No</t>
  </si>
  <si>
    <t>Yes</t>
  </si>
  <si>
    <t>19970213NYSAB</t>
  </si>
  <si>
    <t>Samuel Gompers High School</t>
  </si>
  <si>
    <t>Winter</t>
  </si>
  <si>
    <t>Bronx</t>
  </si>
  <si>
    <t>NY</t>
  </si>
  <si>
    <t>High</t>
  </si>
  <si>
    <t>Beside Building</t>
  </si>
  <si>
    <t>Outside on School Property</t>
  </si>
  <si>
    <t>Yes</t>
  </si>
  <si>
    <t>Dismissal</t>
  </si>
  <si>
    <t>Student shot in leg during fight outside school at dismissal</t>
  </si>
  <si>
    <t>Escalation of Dispute</t>
  </si>
  <si>
    <t>Victims Targeted</t>
  </si>
  <si>
    <t>Yes</t>
  </si>
  <si>
    <t>No</t>
  </si>
  <si>
    <t>19970213NYMOB</t>
  </si>
  <si>
    <t>Morris High School</t>
  </si>
  <si>
    <t>Winter</t>
  </si>
  <si>
    <t>Bronx</t>
  </si>
  <si>
    <t>NY</t>
  </si>
  <si>
    <t>High</t>
  </si>
  <si>
    <t>Hallway</t>
  </si>
  <si>
    <t>Inside School Building</t>
  </si>
  <si>
    <t>Yes</t>
  </si>
  <si>
    <t>Morning Classes</t>
  </si>
  <si>
    <t>Accidental discharge while showing off gun</t>
  </si>
  <si>
    <t>Accidental</t>
  </si>
  <si>
    <t>Random Shooting</t>
  </si>
  <si>
    <t>Yes</t>
  </si>
  <si>
    <t>No</t>
  </si>
  <si>
    <t>19970206MSWIJ</t>
  </si>
  <si>
    <t>Wingfield High School</t>
  </si>
  <si>
    <t>Winter</t>
  </si>
  <si>
    <t>Jackson</t>
  </si>
  <si>
    <t>MS</t>
  </si>
  <si>
    <t>High</t>
  </si>
  <si>
    <t>Parking Lot</t>
  </si>
  <si>
    <t>Off School Property</t>
  </si>
  <si>
    <t>Yes</t>
  </si>
  <si>
    <t>Before School</t>
  </si>
  <si>
    <t>Escalation of argument</t>
  </si>
  <si>
    <t>Escalation of Dispute</t>
  </si>
  <si>
    <t>Victims Targeted</t>
  </si>
  <si>
    <t>No</t>
  </si>
  <si>
    <t>19970127FLCOW</t>
  </si>
  <si>
    <t>Conniston Middle School</t>
  </si>
  <si>
    <t>Winter</t>
  </si>
  <si>
    <t>West Palm Beach</t>
  </si>
  <si>
    <t>FL</t>
  </si>
  <si>
    <t>Middle</t>
  </si>
  <si>
    <t>Front of School</t>
  </si>
  <si>
    <t>Outside on School Property</t>
  </si>
  <si>
    <t>Yes</t>
  </si>
  <si>
    <t>Before School</t>
  </si>
  <si>
    <t>Shooter had a history of bullying victim, ongoing debt, fight over watch, shot victim before school started</t>
  </si>
  <si>
    <t>Escalation of Dispute</t>
  </si>
  <si>
    <t>Victims Targeted</t>
  </si>
  <si>
    <t>No</t>
  </si>
  <si>
    <t>19970108NYCRN</t>
  </si>
  <si>
    <t>Crown Heights High School</t>
  </si>
  <si>
    <t>Winter</t>
  </si>
  <si>
    <t>New York</t>
  </si>
  <si>
    <t>NY</t>
  </si>
  <si>
    <t>High</t>
  </si>
  <si>
    <t>Basketball Court</t>
  </si>
  <si>
    <t>Off School Property</t>
  </si>
  <si>
    <t>Yes</t>
  </si>
  <si>
    <t>Afternoon Classes</t>
  </si>
  <si>
    <t>Argument earlier in the day, continued later that afternoon, shots fired on basketball court (not on school property)</t>
  </si>
  <si>
    <t>Escalation of Dispute</t>
  </si>
  <si>
    <t>Both</t>
  </si>
  <si>
    <t>Yes</t>
  </si>
  <si>
    <t>No</t>
  </si>
  <si>
    <t>N/A</t>
  </si>
  <si>
    <t>No</t>
  </si>
  <si>
    <t>19961127CAHIS</t>
  </si>
  <si>
    <t>Highlands High School</t>
  </si>
  <si>
    <t>Fall</t>
  </si>
  <si>
    <t>Sacramento</t>
  </si>
  <si>
    <t>CA</t>
  </si>
  <si>
    <t>High</t>
  </si>
  <si>
    <t>Basketball Court</t>
  </si>
  <si>
    <t>Outside on School Property</t>
  </si>
  <si>
    <t>No</t>
  </si>
  <si>
    <t>Evening</t>
  </si>
  <si>
    <t>Officers gun discharged during fight killing victim</t>
  </si>
  <si>
    <t>Accidental</t>
  </si>
  <si>
    <t>Victims Targeted</t>
  </si>
  <si>
    <t>No</t>
  </si>
  <si>
    <t>N/A</t>
  </si>
  <si>
    <t>19961014MOSUS</t>
  </si>
  <si>
    <t>Sumner High School</t>
  </si>
  <si>
    <t>Fall</t>
  </si>
  <si>
    <t>St. Louis</t>
  </si>
  <si>
    <t>MO</t>
  </si>
  <si>
    <t>High</t>
  </si>
  <si>
    <t>Inside School Building</t>
  </si>
  <si>
    <t>Yes</t>
  </si>
  <si>
    <t>Shots fired during fight in hallway</t>
  </si>
  <si>
    <t>Escalation of Dispute</t>
  </si>
  <si>
    <t>Victims Targeted</t>
  </si>
  <si>
    <t>Unknown</t>
  </si>
  <si>
    <t>No</t>
  </si>
  <si>
    <t>19961009ARJAS</t>
  </si>
  <si>
    <t>Jacksonville High School bus</t>
  </si>
  <si>
    <t>Fall</t>
  </si>
  <si>
    <t>Sherwood</t>
  </si>
  <si>
    <t>AR</t>
  </si>
  <si>
    <t>High</t>
  </si>
  <si>
    <t>School Bus</t>
  </si>
  <si>
    <t>No</t>
  </si>
  <si>
    <t>Fight (escalated)</t>
  </si>
  <si>
    <t>Escalation of Dispute</t>
  </si>
  <si>
    <t>Victims Targeted</t>
  </si>
  <si>
    <t>No</t>
  </si>
  <si>
    <t>19961004CASTP</t>
  </si>
  <si>
    <t>St. Bernard High School</t>
  </si>
  <si>
    <t>Fall</t>
  </si>
  <si>
    <t>Playa Del Rey</t>
  </si>
  <si>
    <t>CA</t>
  </si>
  <si>
    <t>High</t>
  </si>
  <si>
    <t>Football Field/Track</t>
  </si>
  <si>
    <t>Outside on School Property</t>
  </si>
  <si>
    <t>No</t>
  </si>
  <si>
    <t>Sport Event</t>
  </si>
  <si>
    <t>Shooting on track after football game</t>
  </si>
  <si>
    <t>Escalation of Dispute</t>
  </si>
  <si>
    <t>No</t>
  </si>
  <si>
    <t>19961002PASMP</t>
  </si>
  <si>
    <t>Smedley Elementary School</t>
  </si>
  <si>
    <t>Fall</t>
  </si>
  <si>
    <t>Philadelphia</t>
  </si>
  <si>
    <t>PA</t>
  </si>
  <si>
    <t>Elementary</t>
  </si>
  <si>
    <t>Parking Lot</t>
  </si>
  <si>
    <t>Outside on School Property</t>
  </si>
  <si>
    <t>Yes</t>
  </si>
  <si>
    <t>Dismissal</t>
  </si>
  <si>
    <t>Two women killed outside of school during domestic</t>
  </si>
  <si>
    <t>Domestic w/ Targeted Victim</t>
  </si>
  <si>
    <t>Victims Targeted</t>
  </si>
  <si>
    <t>No</t>
  </si>
  <si>
    <t>Yes</t>
  </si>
  <si>
    <t>19960925GADED</t>
  </si>
  <si>
    <t>Dekalb Alternative School</t>
  </si>
  <si>
    <t>Fall</t>
  </si>
  <si>
    <t>Decatur</t>
  </si>
  <si>
    <t>GA</t>
  </si>
  <si>
    <t>Unknown</t>
  </si>
  <si>
    <t>Classroom</t>
  </si>
  <si>
    <t>Inside School Building</t>
  </si>
  <si>
    <t>Yes</t>
  </si>
  <si>
    <t>Unknown</t>
  </si>
  <si>
    <t>Recently expelled student shot teacher</t>
  </si>
  <si>
    <t>Anger Over Grade/Suspension/Discipline</t>
  </si>
  <si>
    <t>Victims Targeted</t>
  </si>
  <si>
    <t>No</t>
  </si>
  <si>
    <t>19960726CAJOL</t>
  </si>
  <si>
    <t>John Marshall High School</t>
  </si>
  <si>
    <t>Summer</t>
  </si>
  <si>
    <t>Los Angeles</t>
  </si>
  <si>
    <t>CA</t>
  </si>
  <si>
    <t>High</t>
  </si>
  <si>
    <t>Hallway</t>
  </si>
  <si>
    <t>Inside School Building</t>
  </si>
  <si>
    <t>Yes</t>
  </si>
  <si>
    <t>Afternoon Classes</t>
  </si>
  <si>
    <t>Missed intended target, hit two other students in stairwell</t>
  </si>
  <si>
    <t>Escalation of Dispute</t>
  </si>
  <si>
    <t>Both</t>
  </si>
  <si>
    <t>No</t>
  </si>
  <si>
    <t>19960604CAWEH</t>
  </si>
  <si>
    <t>West Valley High School</t>
  </si>
  <si>
    <t>Summer</t>
  </si>
  <si>
    <t>Hemet</t>
  </si>
  <si>
    <t>CA</t>
  </si>
  <si>
    <t>High</t>
  </si>
  <si>
    <t>Inside School Building</t>
  </si>
  <si>
    <t>Yes</t>
  </si>
  <si>
    <t>School Start</t>
  </si>
  <si>
    <t>Shot self prior to classes starting</t>
  </si>
  <si>
    <t>Suicide/Attempted</t>
  </si>
  <si>
    <t>Victims Targeted</t>
  </si>
  <si>
    <t>No</t>
  </si>
  <si>
    <t>19960522CACOC</t>
  </si>
  <si>
    <t>Colton High School</t>
  </si>
  <si>
    <t>Spring</t>
  </si>
  <si>
    <t>Colton</t>
  </si>
  <si>
    <t>CA</t>
  </si>
  <si>
    <t>High</t>
  </si>
  <si>
    <t>Outside on School Property</t>
  </si>
  <si>
    <t>Yes</t>
  </si>
  <si>
    <t>Afternoon Classes</t>
  </si>
  <si>
    <t>Student executed outside of school by another student</t>
  </si>
  <si>
    <t>Illegal Activity</t>
  </si>
  <si>
    <t>Victims Targeted</t>
  </si>
  <si>
    <t>No</t>
  </si>
  <si>
    <t>19960514UTBIT</t>
  </si>
  <si>
    <t>Bingham Middle School</t>
  </si>
  <si>
    <t>Spring</t>
  </si>
  <si>
    <t>Taylorsville</t>
  </si>
  <si>
    <t>UT</t>
  </si>
  <si>
    <t>High</t>
  </si>
  <si>
    <t>School Bus</t>
  </si>
  <si>
    <t>Shot bus driver, stole bus, crashed bus, killed self</t>
  </si>
  <si>
    <t>Suicide/Attempted</t>
  </si>
  <si>
    <t>Victims Targeted</t>
  </si>
  <si>
    <t>No</t>
  </si>
  <si>
    <t>19960415DCMCW</t>
  </si>
  <si>
    <t>McKinley High School</t>
  </si>
  <si>
    <t>Spring</t>
  </si>
  <si>
    <t>Washington</t>
  </si>
  <si>
    <t>DC</t>
  </si>
  <si>
    <t>High</t>
  </si>
  <si>
    <t>Gym</t>
  </si>
  <si>
    <t>Inside School Building</t>
  </si>
  <si>
    <t>Yes</t>
  </si>
  <si>
    <t>Unknown</t>
  </si>
  <si>
    <t>Shot in the gym</t>
  </si>
  <si>
    <t>Escalation of Dispute</t>
  </si>
  <si>
    <t>No</t>
  </si>
  <si>
    <t>19960411ALTAT</t>
  </si>
  <si>
    <t>Talladega High School</t>
  </si>
  <si>
    <t>Spring</t>
  </si>
  <si>
    <t>Talladega</t>
  </si>
  <si>
    <t>AL</t>
  </si>
  <si>
    <t>High</t>
  </si>
  <si>
    <t>Parking Lot</t>
  </si>
  <si>
    <t>Outside on School Property</t>
  </si>
  <si>
    <t>Fight in parking lot escalated into shooting</t>
  </si>
  <si>
    <t>Escalation of Dispute</t>
  </si>
  <si>
    <t>Victims Targeted</t>
  </si>
  <si>
    <t>No</t>
  </si>
  <si>
    <t>19960319NVSWL</t>
  </si>
  <si>
    <t>Swainston Middle School</t>
  </si>
  <si>
    <t>Spring</t>
  </si>
  <si>
    <t>Las Vegas</t>
  </si>
  <si>
    <t>NV</t>
  </si>
  <si>
    <t>Middle</t>
  </si>
  <si>
    <t>Beside Building</t>
  </si>
  <si>
    <t>Outside on School Property</t>
  </si>
  <si>
    <t>Yes</t>
  </si>
  <si>
    <t>Morning Classes</t>
  </si>
  <si>
    <t>Students shot with pellet gun while walking between classes</t>
  </si>
  <si>
    <t>Indiscriminate Shooting</t>
  </si>
  <si>
    <t>No</t>
  </si>
  <si>
    <t>19960311NCNON</t>
  </si>
  <si>
    <t>North Stanley High School</t>
  </si>
  <si>
    <t>Spring</t>
  </si>
  <si>
    <t>New London</t>
  </si>
  <si>
    <t>NC</t>
  </si>
  <si>
    <t>High</t>
  </si>
  <si>
    <t>Classroom</t>
  </si>
  <si>
    <t>Inside School Building</t>
  </si>
  <si>
    <t>Yes</t>
  </si>
  <si>
    <t>Afternoon Classes</t>
  </si>
  <si>
    <t>Student shot himself during algebra</t>
  </si>
  <si>
    <t>Suicide/Attempted</t>
  </si>
  <si>
    <t>Victims Targeted</t>
  </si>
  <si>
    <t>No</t>
  </si>
  <si>
    <t>19960229MOBES</t>
  </si>
  <si>
    <t>Beaumont High School (bus)</t>
  </si>
  <si>
    <t>Winter</t>
  </si>
  <si>
    <t>St. Louis</t>
  </si>
  <si>
    <t>MO</t>
  </si>
  <si>
    <t>High</t>
  </si>
  <si>
    <t>School Bus</t>
  </si>
  <si>
    <t>No</t>
  </si>
  <si>
    <t>Before School</t>
  </si>
  <si>
    <t>Hitman hired to kill pregnant student</t>
  </si>
  <si>
    <t>Domestic w/ Targeted Victim</t>
  </si>
  <si>
    <t>Victims Targeted</t>
  </si>
  <si>
    <t>Yes</t>
  </si>
  <si>
    <t>No</t>
  </si>
  <si>
    <t>19960222GAJES</t>
  </si>
  <si>
    <t>Jenkins High School</t>
  </si>
  <si>
    <t>Winter</t>
  </si>
  <si>
    <t>Savannah</t>
  </si>
  <si>
    <t>GA</t>
  </si>
  <si>
    <t>High</t>
  </si>
  <si>
    <t>Front of School</t>
  </si>
  <si>
    <t>Outside on School Property</t>
  </si>
  <si>
    <t>No</t>
  </si>
  <si>
    <t>Dismissal</t>
  </si>
  <si>
    <t>Ongoing argument for 3 days escalated into shooting</t>
  </si>
  <si>
    <t>Escalation of Dispute</t>
  </si>
  <si>
    <t>Victims Targeted</t>
  </si>
  <si>
    <t>No</t>
  </si>
  <si>
    <t>19960208CAMIM</t>
  </si>
  <si>
    <t>Mid-Peninsula High School</t>
  </si>
  <si>
    <t>Winter</t>
  </si>
  <si>
    <t>Menlo Park</t>
  </si>
  <si>
    <t>CA</t>
  </si>
  <si>
    <t>High</t>
  </si>
  <si>
    <t>Basketball Court</t>
  </si>
  <si>
    <t>Outside on School Property</t>
  </si>
  <si>
    <t>Yes</t>
  </si>
  <si>
    <t>Morning Classes</t>
  </si>
  <si>
    <t>Suicidal - shot randomly at students then killed himself</t>
  </si>
  <si>
    <t>Indiscriminate Shooting</t>
  </si>
  <si>
    <t>Random Shooting</t>
  </si>
  <si>
    <t>No</t>
  </si>
  <si>
    <t>Yes</t>
  </si>
  <si>
    <t>19960202WAFRM</t>
  </si>
  <si>
    <t>Frontier Middle School</t>
  </si>
  <si>
    <t>Winter</t>
  </si>
  <si>
    <t>Moses Lake</t>
  </si>
  <si>
    <t>WA</t>
  </si>
  <si>
    <t>Middle</t>
  </si>
  <si>
    <t>Classroom</t>
  </si>
  <si>
    <t>Inside School Building</t>
  </si>
  <si>
    <t>Yes</t>
  </si>
  <si>
    <t>Afternoon Classes</t>
  </si>
  <si>
    <t>Student dressed as cowboy planned attack/hostages; subdued by teacher</t>
  </si>
  <si>
    <t>Hostage/Standoff</t>
  </si>
  <si>
    <t>Both</t>
  </si>
  <si>
    <t>No</t>
  </si>
  <si>
    <t>Yes</t>
  </si>
  <si>
    <t>No</t>
  </si>
  <si>
    <t>Yes</t>
  </si>
  <si>
    <t>19960126TNEAM</t>
  </si>
  <si>
    <t>East High School</t>
  </si>
  <si>
    <t>Winter</t>
  </si>
  <si>
    <t>Memphis</t>
  </si>
  <si>
    <t>TN</t>
  </si>
  <si>
    <t>High</t>
  </si>
  <si>
    <t>Parking Lot</t>
  </si>
  <si>
    <t>Outside on School Property</t>
  </si>
  <si>
    <t>No</t>
  </si>
  <si>
    <t>Sport Event</t>
  </si>
  <si>
    <t>Shot while trying to break up fight after basketball game</t>
  </si>
  <si>
    <t>Escalation of Dispute</t>
  </si>
  <si>
    <t>Random Shooting</t>
  </si>
  <si>
    <t>No</t>
  </si>
  <si>
    <t>19960119DCWIW</t>
  </si>
  <si>
    <t>Winston Education Center</t>
  </si>
  <si>
    <t>Winter</t>
  </si>
  <si>
    <t>Washington</t>
  </si>
  <si>
    <t>DC</t>
  </si>
  <si>
    <t>K-8</t>
  </si>
  <si>
    <t>Other</t>
  </si>
  <si>
    <t>Inside School Building</t>
  </si>
  <si>
    <t>Yes</t>
  </si>
  <si>
    <t>Dismissal</t>
  </si>
  <si>
    <t>Shot fired during a chase between non-students inside school, hit bystander victim</t>
  </si>
  <si>
    <t>Escalation of Dispute</t>
  </si>
  <si>
    <t>Victims Targeted</t>
  </si>
  <si>
    <t>Yes</t>
  </si>
  <si>
    <t>No</t>
  </si>
  <si>
    <t>19960102PAGIG</t>
  </si>
  <si>
    <t>Girard High School</t>
  </si>
  <si>
    <t>Winter</t>
  </si>
  <si>
    <t>Girard</t>
  </si>
  <si>
    <t>PA</t>
  </si>
  <si>
    <t>High</t>
  </si>
  <si>
    <t>Hallway</t>
  </si>
  <si>
    <t>Inside School Building</t>
  </si>
  <si>
    <t>Commit suicide in school hallway</t>
  </si>
  <si>
    <t>Suicide/Attempted</t>
  </si>
  <si>
    <t>Victims Targeted</t>
  </si>
  <si>
    <t>No</t>
  </si>
  <si>
    <t>N/A</t>
  </si>
  <si>
    <t>No</t>
  </si>
  <si>
    <t>19951128NYTHN</t>
  </si>
  <si>
    <t>Thomas A. Edison Vocational and Technical High School</t>
  </si>
  <si>
    <t>Fall</t>
  </si>
  <si>
    <t>New York</t>
  </si>
  <si>
    <t>NY</t>
  </si>
  <si>
    <t>High</t>
  </si>
  <si>
    <t>Parking Lot</t>
  </si>
  <si>
    <t>Outside on School Property</t>
  </si>
  <si>
    <t>Yes</t>
  </si>
  <si>
    <t>Morning Classes</t>
  </si>
  <si>
    <t>Three suspects pursued victim and shot during robbery for his gold chain.</t>
  </si>
  <si>
    <t>Illegal Activity</t>
  </si>
  <si>
    <t>Victims Targeted</t>
  </si>
  <si>
    <t>Yes</t>
  </si>
  <si>
    <t>No</t>
  </si>
  <si>
    <t>19951115TNRIL</t>
  </si>
  <si>
    <t>Richland High School</t>
  </si>
  <si>
    <t>Fall</t>
  </si>
  <si>
    <t>Lynnville</t>
  </si>
  <si>
    <t>TN</t>
  </si>
  <si>
    <t>High</t>
  </si>
  <si>
    <t>Hallway</t>
  </si>
  <si>
    <t>Inside School Building</t>
  </si>
  <si>
    <t>Yes</t>
  </si>
  <si>
    <t>School Start</t>
  </si>
  <si>
    <t>Planned attack, shot at 3 teachers before being tackled by a teacher and student; blamed teachers for allowing bullying.</t>
  </si>
  <si>
    <t>Bullying</t>
  </si>
  <si>
    <t>Both</t>
  </si>
  <si>
    <t>No</t>
  </si>
  <si>
    <t>Yes</t>
  </si>
  <si>
    <t>No</t>
  </si>
  <si>
    <t>Yes</t>
  </si>
  <si>
    <t>19951102FLBLM</t>
  </si>
  <si>
    <t>Blue Lake Elementary School (bus)</t>
  </si>
  <si>
    <t>Fall</t>
  </si>
  <si>
    <t>Miami Beach</t>
  </si>
  <si>
    <t>FL</t>
  </si>
  <si>
    <t>Elementary</t>
  </si>
  <si>
    <t>School Bus</t>
  </si>
  <si>
    <t>No</t>
  </si>
  <si>
    <t>Before School</t>
  </si>
  <si>
    <t>Hijacked a bus full of disabled students and held them hostage.</t>
  </si>
  <si>
    <t>Hostage/Standoff</t>
  </si>
  <si>
    <t>Random Shooting</t>
  </si>
  <si>
    <t>No</t>
  </si>
  <si>
    <t>Yes</t>
  </si>
  <si>
    <t>No</t>
  </si>
  <si>
    <t>19951030VAJOR</t>
  </si>
  <si>
    <t>John F. Kennedy High School</t>
  </si>
  <si>
    <t>Fall</t>
  </si>
  <si>
    <t>Richmond</t>
  </si>
  <si>
    <t>VA</t>
  </si>
  <si>
    <t>High</t>
  </si>
  <si>
    <t>Other</t>
  </si>
  <si>
    <t>Outside on School Property</t>
  </si>
  <si>
    <t>No</t>
  </si>
  <si>
    <t>Dismissal</t>
  </si>
  <si>
    <t>Shooter had an ongoing feud for more than a year with the victims.</t>
  </si>
  <si>
    <t>Escalation of Dispute</t>
  </si>
  <si>
    <t>Victims Targeted</t>
  </si>
  <si>
    <t>No</t>
  </si>
  <si>
    <t>19951023FLLAC</t>
  </si>
  <si>
    <t>Lake Howell High School</t>
  </si>
  <si>
    <t>Fall</t>
  </si>
  <si>
    <t>Casselberry</t>
  </si>
  <si>
    <t>FL</t>
  </si>
  <si>
    <t>High</t>
  </si>
  <si>
    <t>Parking Lot</t>
  </si>
  <si>
    <t>Outside on School Property</t>
  </si>
  <si>
    <t>Yes</t>
  </si>
  <si>
    <t>School Start</t>
  </si>
  <si>
    <t>Accidentally shot oneself while hiding weapon.</t>
  </si>
  <si>
    <t>Accidental</t>
  </si>
  <si>
    <t>Victims Targeted</t>
  </si>
  <si>
    <t>No</t>
  </si>
  <si>
    <t>19951012SCBLB</t>
  </si>
  <si>
    <t>Blackville-Hilda High School</t>
  </si>
  <si>
    <t>Fall</t>
  </si>
  <si>
    <t>Blackville</t>
  </si>
  <si>
    <t>SC</t>
  </si>
  <si>
    <t>High</t>
  </si>
  <si>
    <t>Classroom</t>
  </si>
  <si>
    <t>Inside School Building</t>
  </si>
  <si>
    <t>Yes</t>
  </si>
  <si>
    <t>Morning Classes</t>
  </si>
  <si>
    <t>Anger of suspension, shot 2 teachers and himself.</t>
  </si>
  <si>
    <t>Anger Over Grade/Suspension/Discipline</t>
  </si>
  <si>
    <t>Victims Targeted</t>
  </si>
  <si>
    <t>No</t>
  </si>
  <si>
    <t>Yes</t>
  </si>
  <si>
    <t>No</t>
  </si>
  <si>
    <t>Yes</t>
  </si>
  <si>
    <t>19950929FLTAT</t>
  </si>
  <si>
    <t>Tavares Middle School</t>
  </si>
  <si>
    <t>Fall</t>
  </si>
  <si>
    <t>Tavares</t>
  </si>
  <si>
    <t>FL</t>
  </si>
  <si>
    <t>Middle</t>
  </si>
  <si>
    <t>Courtyard</t>
  </si>
  <si>
    <t>Outside on School Property</t>
  </si>
  <si>
    <t>Yes</t>
  </si>
  <si>
    <t>Unknown</t>
  </si>
  <si>
    <t>Shooter had ongoing conflict with victim (possible bullying was involved)</t>
  </si>
  <si>
    <t>Escalation of Dispute</t>
  </si>
  <si>
    <t>Victims Targeted</t>
  </si>
  <si>
    <t>No</t>
  </si>
  <si>
    <t>Yes</t>
  </si>
  <si>
    <t>No</t>
  </si>
  <si>
    <t>19950927ALBLP</t>
  </si>
  <si>
    <t>Blount High School</t>
  </si>
  <si>
    <t>Fall</t>
  </si>
  <si>
    <t>Prichard</t>
  </si>
  <si>
    <t>AL</t>
  </si>
  <si>
    <t>High</t>
  </si>
  <si>
    <t>Hallway</t>
  </si>
  <si>
    <t>Inside School Building</t>
  </si>
  <si>
    <t>Yes</t>
  </si>
  <si>
    <t>Morning Classes</t>
  </si>
  <si>
    <t>Shots fired during argument between suspect's younger brother and victim.</t>
  </si>
  <si>
    <t>Escalation of Dispute</t>
  </si>
  <si>
    <t>Victims Targeted</t>
  </si>
  <si>
    <t>No</t>
  </si>
  <si>
    <t>19950915KYGEW</t>
  </si>
  <si>
    <t>George Rogers Clark High School</t>
  </si>
  <si>
    <t>Fall</t>
  </si>
  <si>
    <t>Winchester</t>
  </si>
  <si>
    <t>KY</t>
  </si>
  <si>
    <t>High</t>
  </si>
  <si>
    <t>Inside School Building</t>
  </si>
  <si>
    <t>Yes</t>
  </si>
  <si>
    <t>Afternoon Classes</t>
  </si>
  <si>
    <t>Student took another student hostage at gunpoint after fight earlier in the day</t>
  </si>
  <si>
    <t>Hostage/Standoff</t>
  </si>
  <si>
    <t>Victims Targeted</t>
  </si>
  <si>
    <t>No</t>
  </si>
  <si>
    <t>Yes</t>
  </si>
  <si>
    <t>No</t>
  </si>
  <si>
    <t>Yes</t>
  </si>
  <si>
    <t>19950914KSOLO</t>
  </si>
  <si>
    <t>Olathe North High School</t>
  </si>
  <si>
    <t>Fall</t>
  </si>
  <si>
    <t>Olathe</t>
  </si>
  <si>
    <t>KS</t>
  </si>
  <si>
    <t>High</t>
  </si>
  <si>
    <t>Parking Lot</t>
  </si>
  <si>
    <t>Outside on School Property</t>
  </si>
  <si>
    <t>No</t>
  </si>
  <si>
    <t>Sport Event</t>
  </si>
  <si>
    <t>Drive-by shooting by student from rival school at a football game.</t>
  </si>
  <si>
    <t>Drive-by Shooting</t>
  </si>
  <si>
    <t>Victims Targeted</t>
  </si>
  <si>
    <t>No</t>
  </si>
  <si>
    <t>19950912TNCYM</t>
  </si>
  <si>
    <t>Cypress Junior High School</t>
  </si>
  <si>
    <t>Fall</t>
  </si>
  <si>
    <t>Memphis</t>
  </si>
  <si>
    <t>TN</t>
  </si>
  <si>
    <t>Junior High</t>
  </si>
  <si>
    <t>Hallway</t>
  </si>
  <si>
    <t>Inside School Building</t>
  </si>
  <si>
    <t>Yes</t>
  </si>
  <si>
    <t>Morning Classes</t>
  </si>
  <si>
    <t>Shooter retaliated for previous assault by victim.</t>
  </si>
  <si>
    <t>Escalation of Dispute</t>
  </si>
  <si>
    <t>Victims Targeted</t>
  </si>
  <si>
    <t>No</t>
  </si>
  <si>
    <t>19950829TXMEL</t>
  </si>
  <si>
    <t>Memorial Middle School</t>
  </si>
  <si>
    <t>Summer</t>
  </si>
  <si>
    <t>Laredo</t>
  </si>
  <si>
    <t>TX</t>
  </si>
  <si>
    <t>Middle</t>
  </si>
  <si>
    <t>Bathroom</t>
  </si>
  <si>
    <t>Inside School Building</t>
  </si>
  <si>
    <t>No</t>
  </si>
  <si>
    <t>After School</t>
  </si>
  <si>
    <t>Shot victim in the bathroom then fled.</t>
  </si>
  <si>
    <t>Domestic w/ Targeted Victim</t>
  </si>
  <si>
    <t>Victims Targeted</t>
  </si>
  <si>
    <t>No</t>
  </si>
  <si>
    <t>Yes</t>
  </si>
  <si>
    <t>19950614FLLAL</t>
  </si>
  <si>
    <t>Lake Worth High School</t>
  </si>
  <si>
    <t>Summer</t>
  </si>
  <si>
    <t>Lake Worth</t>
  </si>
  <si>
    <t>FL</t>
  </si>
  <si>
    <t>High</t>
  </si>
  <si>
    <t>Parking Lot</t>
  </si>
  <si>
    <t>Outside on School Property</t>
  </si>
  <si>
    <t>No</t>
  </si>
  <si>
    <t>Dismissal</t>
  </si>
  <si>
    <t>Shooting in parking lot on the last day of school at dismissal time.</t>
  </si>
  <si>
    <t>Domestic w/ Targeted Victim</t>
  </si>
  <si>
    <t>Both</t>
  </si>
  <si>
    <t>No</t>
  </si>
  <si>
    <t>19950327MIRED</t>
  </si>
  <si>
    <t>Redford High School</t>
  </si>
  <si>
    <t>Spring</t>
  </si>
  <si>
    <t>Detroit</t>
  </si>
  <si>
    <t>MI</t>
  </si>
  <si>
    <t>High</t>
  </si>
  <si>
    <t>Hallway</t>
  </si>
  <si>
    <t>Inside School Building</t>
  </si>
  <si>
    <t>Yes</t>
  </si>
  <si>
    <t>Morning Classes</t>
  </si>
  <si>
    <t>A gun was dropped and went off in the hallway.</t>
  </si>
  <si>
    <t>Accidental</t>
  </si>
  <si>
    <t>Victims Targeted</t>
  </si>
  <si>
    <t>No</t>
  </si>
  <si>
    <t>19950303MIPED</t>
  </si>
  <si>
    <t>Pershing High School</t>
  </si>
  <si>
    <t>Spring</t>
  </si>
  <si>
    <t>Detroit</t>
  </si>
  <si>
    <t>MI</t>
  </si>
  <si>
    <t>High</t>
  </si>
  <si>
    <t>Hallway</t>
  </si>
  <si>
    <t>Inside School Building</t>
  </si>
  <si>
    <t>Yes</t>
  </si>
  <si>
    <t>Afternoon Classes</t>
  </si>
  <si>
    <t>16-year-old student shot 4 times in the chest</t>
  </si>
  <si>
    <t>Escalation of Dispute</t>
  </si>
  <si>
    <t>Victims Targeted</t>
  </si>
  <si>
    <t>No</t>
  </si>
  <si>
    <t>19950208NECHS</t>
  </si>
  <si>
    <t>Chadron Middle School</t>
  </si>
  <si>
    <t>Winter</t>
  </si>
  <si>
    <t>Scottsbluff</t>
  </si>
  <si>
    <t>NE</t>
  </si>
  <si>
    <t>Middle</t>
  </si>
  <si>
    <t>Classroom</t>
  </si>
  <si>
    <t>Inside School Building</t>
  </si>
  <si>
    <t>Yes</t>
  </si>
  <si>
    <t>Morning Classes</t>
  </si>
  <si>
    <t>Student walked in and shot teacher during class.</t>
  </si>
  <si>
    <t>Anger Over Grade/Suspension/Discipline</t>
  </si>
  <si>
    <t>Victims Targeted</t>
  </si>
  <si>
    <t>No</t>
  </si>
  <si>
    <t>19950202CAJOL</t>
  </si>
  <si>
    <t>Jordan High School</t>
  </si>
  <si>
    <t>Winter</t>
  </si>
  <si>
    <t>Long Beach</t>
  </si>
  <si>
    <t>CA</t>
  </si>
  <si>
    <t>High</t>
  </si>
  <si>
    <t>Field (General)</t>
  </si>
  <si>
    <t>Outside on School Property</t>
  </si>
  <si>
    <t>No</t>
  </si>
  <si>
    <t>Sport Event</t>
  </si>
  <si>
    <t>Two students were shot by gang member on an athletic field.</t>
  </si>
  <si>
    <t>Escalation of Dispute</t>
  </si>
  <si>
    <t>Victims Targeted</t>
  </si>
  <si>
    <t>No</t>
  </si>
  <si>
    <t>19950124DCSPW</t>
  </si>
  <si>
    <t>Spingarn High School</t>
  </si>
  <si>
    <t>Winter</t>
  </si>
  <si>
    <t>Washington</t>
  </si>
  <si>
    <t>DC</t>
  </si>
  <si>
    <t>High</t>
  </si>
  <si>
    <t>Entryway</t>
  </si>
  <si>
    <t>Inside School Building</t>
  </si>
  <si>
    <t>Yes</t>
  </si>
  <si>
    <t>Lunch</t>
  </si>
  <si>
    <t>Student was shot while sitting on the school exit stairs during lunch by a student from another school.</t>
  </si>
  <si>
    <t>Escalation of Dispute</t>
  </si>
  <si>
    <t>Victims Targeted</t>
  </si>
  <si>
    <t>No</t>
  </si>
  <si>
    <t>19950123CASAR</t>
  </si>
  <si>
    <t>Sacred Heart Middle School</t>
  </si>
  <si>
    <t>Winter</t>
  </si>
  <si>
    <t>Redlands</t>
  </si>
  <si>
    <t>CA</t>
  </si>
  <si>
    <t>Middle</t>
  </si>
  <si>
    <t>Office; Other</t>
  </si>
  <si>
    <t>Both Inside/Outside</t>
  </si>
  <si>
    <t>Yes</t>
  </si>
  <si>
    <t>Killed his principal after their meeting, discussing how to improve his attitude.</t>
  </si>
  <si>
    <t>Anger Over Grade/Suspension/Discipline</t>
  </si>
  <si>
    <t>Victims Targeted</t>
  </si>
  <si>
    <t>No</t>
  </si>
  <si>
    <t>19950112WAGAS</t>
  </si>
  <si>
    <t>Garfield High School</t>
  </si>
  <si>
    <t>Winter</t>
  </si>
  <si>
    <t>Seattle</t>
  </si>
  <si>
    <t>WA</t>
  </si>
  <si>
    <t>High</t>
  </si>
  <si>
    <t>Cafeteria</t>
  </si>
  <si>
    <t>Inside School Building</t>
  </si>
  <si>
    <t>Yes</t>
  </si>
  <si>
    <t>Left school to get gun after fight, returned and shot victim</t>
  </si>
  <si>
    <t>Escalation of Dispute</t>
  </si>
  <si>
    <t>Victims Targeted</t>
  </si>
  <si>
    <t>No</t>
  </si>
  <si>
    <t>19950110FLPAP</t>
  </si>
  <si>
    <t>Palm Beach Gardens High School</t>
  </si>
  <si>
    <t>Winter</t>
  </si>
  <si>
    <t>Palm Beach Gardens</t>
  </si>
  <si>
    <t>FL</t>
  </si>
  <si>
    <t>High</t>
  </si>
  <si>
    <t>Courtyard</t>
  </si>
  <si>
    <t>Outside on School Property</t>
  </si>
  <si>
    <t>Yes</t>
  </si>
  <si>
    <t>Morning Classes</t>
  </si>
  <si>
    <t>Student commit suicide in outdoor hallway</t>
  </si>
  <si>
    <t>Suicide/Attempted</t>
  </si>
  <si>
    <t>Victims Targeted</t>
  </si>
  <si>
    <t>No</t>
  </si>
  <si>
    <t>19950105DCCAW</t>
  </si>
  <si>
    <t>Cardozo Senior High School</t>
  </si>
  <si>
    <t>Winter</t>
  </si>
  <si>
    <t>Washington</t>
  </si>
  <si>
    <t>DC</t>
  </si>
  <si>
    <t>High</t>
  </si>
  <si>
    <t>Entryway</t>
  </si>
  <si>
    <t>Inside School Building</t>
  </si>
  <si>
    <t>Yes</t>
  </si>
  <si>
    <t>Lunch</t>
  </si>
  <si>
    <t>8 males entered the school seeking victim in retaliation for previous fight.</t>
  </si>
  <si>
    <t>Escalation of Dispute</t>
  </si>
  <si>
    <t>Both</t>
  </si>
  <si>
    <t>No</t>
  </si>
  <si>
    <t>Yes</t>
  </si>
  <si>
    <t>19941207FLPAM</t>
  </si>
  <si>
    <t>Palm Bay High School</t>
  </si>
  <si>
    <t>Local</t>
  </si>
  <si>
    <t>Winter</t>
  </si>
  <si>
    <t>Melbourne</t>
  </si>
  <si>
    <t>FL</t>
  </si>
  <si>
    <t>High</t>
  </si>
  <si>
    <t>Courtyard</t>
  </si>
  <si>
    <t>Outside on School Property</t>
  </si>
  <si>
    <t>Yes</t>
  </si>
  <si>
    <t>Afternoon Classes</t>
  </si>
  <si>
    <t>Teen fired shot during domestic dispute with girlfriend (student)</t>
  </si>
  <si>
    <t>Domestic w/ Targeted Victim</t>
  </si>
  <si>
    <t>Victims Targeted</t>
  </si>
  <si>
    <t>No</t>
  </si>
  <si>
    <t>Yes</t>
  </si>
  <si>
    <t>No</t>
  </si>
  <si>
    <t>19941115WASTT</t>
  </si>
  <si>
    <t>Stadium High School</t>
  </si>
  <si>
    <t>Fall</t>
  </si>
  <si>
    <t>Tacoma</t>
  </si>
  <si>
    <t>WA</t>
  </si>
  <si>
    <t>High</t>
  </si>
  <si>
    <t>Hallway</t>
  </si>
  <si>
    <t>Inside School Building</t>
  </si>
  <si>
    <t>Yes</t>
  </si>
  <si>
    <t>Lunch</t>
  </si>
  <si>
    <t>Suicide in school hallway</t>
  </si>
  <si>
    <t>Suicide/Attempted</t>
  </si>
  <si>
    <t>Victims Targeted</t>
  </si>
  <si>
    <t>No</t>
  </si>
  <si>
    <t>19941108IAWEM</t>
  </si>
  <si>
    <t>West Delaware High School</t>
  </si>
  <si>
    <t>Fall</t>
  </si>
  <si>
    <t>Manchester</t>
  </si>
  <si>
    <t>IA</t>
  </si>
  <si>
    <t>High</t>
  </si>
  <si>
    <t>Office</t>
  </si>
  <si>
    <t>Inside School Building</t>
  </si>
  <si>
    <t>Yes</t>
  </si>
  <si>
    <t>Not a School Day</t>
  </si>
  <si>
    <t>Fired two shotgun shells from outside school administrator's office</t>
  </si>
  <si>
    <t>Intentional Property Damage</t>
  </si>
  <si>
    <t>Random Shooting</t>
  </si>
  <si>
    <t>No</t>
  </si>
  <si>
    <t>19941107OHWIW</t>
  </si>
  <si>
    <t>Wickliffe Middle School</t>
  </si>
  <si>
    <t>Fall</t>
  </si>
  <si>
    <t>Wickliffe</t>
  </si>
  <si>
    <t>OH</t>
  </si>
  <si>
    <t>Middle</t>
  </si>
  <si>
    <t>Hallway</t>
  </si>
  <si>
    <t>Inside School Building</t>
  </si>
  <si>
    <t>Yes</t>
  </si>
  <si>
    <t>Stopped taking medications, fired at multiple school employees</t>
  </si>
  <si>
    <t>Psychosis</t>
  </si>
  <si>
    <t>Random Shooting</t>
  </si>
  <si>
    <t>No</t>
  </si>
  <si>
    <t>Yes</t>
  </si>
  <si>
    <t>No</t>
  </si>
  <si>
    <t>Yes</t>
  </si>
  <si>
    <t>19941105CATHS</t>
  </si>
  <si>
    <t>Thomas Jefferson Elementary School</t>
  </si>
  <si>
    <t>Fall</t>
  </si>
  <si>
    <t>San Leandro</t>
  </si>
  <si>
    <t>CA</t>
  </si>
  <si>
    <t>Elementary</t>
  </si>
  <si>
    <t>Field (General)</t>
  </si>
  <si>
    <t>Outside on School Property</t>
  </si>
  <si>
    <t>No</t>
  </si>
  <si>
    <t>Night</t>
  </si>
  <si>
    <t>Female teenager (non-student) killed outside of school while walking home by unknown male</t>
  </si>
  <si>
    <t>Unknown</t>
  </si>
  <si>
    <t>Victims Targeted</t>
  </si>
  <si>
    <t>No</t>
  </si>
  <si>
    <t>19941031CAALA</t>
  </si>
  <si>
    <t>Aliso Niguel High school</t>
  </si>
  <si>
    <t>Fall</t>
  </si>
  <si>
    <t>Aliso Viejo</t>
  </si>
  <si>
    <t>CA</t>
  </si>
  <si>
    <t>High</t>
  </si>
  <si>
    <t>Classroom</t>
  </si>
  <si>
    <t>Inside School Building</t>
  </si>
  <si>
    <t>Yes</t>
  </si>
  <si>
    <t>Afternoon Classes</t>
  </si>
  <si>
    <t>Distraught over girlfriend breakup - attempted suicide in classroom with weapon</t>
  </si>
  <si>
    <t>Suicide/Attempted</t>
  </si>
  <si>
    <t>Victims Targeted</t>
  </si>
  <si>
    <t>No</t>
  </si>
  <si>
    <t>Yes</t>
  </si>
  <si>
    <t>19941017ILHUC</t>
  </si>
  <si>
    <t>Hubbard High School</t>
  </si>
  <si>
    <t>Fall</t>
  </si>
  <si>
    <t>Chicago</t>
  </si>
  <si>
    <t>IL</t>
  </si>
  <si>
    <t>High</t>
  </si>
  <si>
    <t>Front of School</t>
  </si>
  <si>
    <t>Outside on School Property</t>
  </si>
  <si>
    <t>Yes</t>
  </si>
  <si>
    <t>Dismissal</t>
  </si>
  <si>
    <t>Gang related shooting, bystander student hit</t>
  </si>
  <si>
    <t>Drive-by Shooting</t>
  </si>
  <si>
    <t>Both</t>
  </si>
  <si>
    <t>No</t>
  </si>
  <si>
    <t>19941012NCGRG</t>
  </si>
  <si>
    <t>Grimsley High School</t>
  </si>
  <si>
    <t>Fall</t>
  </si>
  <si>
    <t>Greensboro</t>
  </si>
  <si>
    <t>NC</t>
  </si>
  <si>
    <t>High</t>
  </si>
  <si>
    <t>Parking Lot</t>
  </si>
  <si>
    <t>Outside on School Property</t>
  </si>
  <si>
    <t>Yes</t>
  </si>
  <si>
    <t>Dismissal</t>
  </si>
  <si>
    <t>Anger for being suspended</t>
  </si>
  <si>
    <t>Anger Over Grade/Suspension/Discipline</t>
  </si>
  <si>
    <t>Victims Targeted</t>
  </si>
  <si>
    <t>No</t>
  </si>
  <si>
    <t>19940922ORLEL</t>
  </si>
  <si>
    <t>Lebanon Union High School</t>
  </si>
  <si>
    <t>Fall</t>
  </si>
  <si>
    <t>Lebanon</t>
  </si>
  <si>
    <t>OR</t>
  </si>
  <si>
    <t>High</t>
  </si>
  <si>
    <t>Parking Lot</t>
  </si>
  <si>
    <t>Outside on School Property</t>
  </si>
  <si>
    <t>Yes</t>
  </si>
  <si>
    <t>Not a School Day</t>
  </si>
  <si>
    <t>Accidental discharge while looking at gun in vehicle</t>
  </si>
  <si>
    <t>Accidental</t>
  </si>
  <si>
    <t>Random Shooting</t>
  </si>
  <si>
    <t>No</t>
  </si>
  <si>
    <t>19940919CALOL</t>
  </si>
  <si>
    <t>Locke High School</t>
  </si>
  <si>
    <t>Fall</t>
  </si>
  <si>
    <t>Los Angeles</t>
  </si>
  <si>
    <t>CA</t>
  </si>
  <si>
    <t>High</t>
  </si>
  <si>
    <t>Front of School</t>
  </si>
  <si>
    <t>Outside on School Property</t>
  </si>
  <si>
    <t>Yes</t>
  </si>
  <si>
    <t>Morning Classes</t>
  </si>
  <si>
    <t>Gang related drive-by shooting</t>
  </si>
  <si>
    <t>Drive-by Shooting</t>
  </si>
  <si>
    <t>Both</t>
  </si>
  <si>
    <t>Yes</t>
  </si>
  <si>
    <t>No</t>
  </si>
  <si>
    <t>19940908NYSWA</t>
  </si>
  <si>
    <t>Sweet Home High School</t>
  </si>
  <si>
    <t>Fall</t>
  </si>
  <si>
    <t>Albany</t>
  </si>
  <si>
    <t>NY</t>
  </si>
  <si>
    <t>High</t>
  </si>
  <si>
    <t>Classroom</t>
  </si>
  <si>
    <t>Inside School Building</t>
  </si>
  <si>
    <t>Yes</t>
  </si>
  <si>
    <t>Morning Classes</t>
  </si>
  <si>
    <t>Shot bully after being thrown into locker</t>
  </si>
  <si>
    <t>Bullying</t>
  </si>
  <si>
    <t>Victims Targeted</t>
  </si>
  <si>
    <t>Yes</t>
  </si>
  <si>
    <t>No</t>
  </si>
  <si>
    <t>Yes</t>
  </si>
  <si>
    <t>No</t>
  </si>
  <si>
    <t>19940907CAHOL</t>
  </si>
  <si>
    <t>Hollywood High School</t>
  </si>
  <si>
    <t>Fall</t>
  </si>
  <si>
    <t>Los Angeles</t>
  </si>
  <si>
    <t>CA</t>
  </si>
  <si>
    <t>High</t>
  </si>
  <si>
    <t>Front of School</t>
  </si>
  <si>
    <t>Outside on School Property</t>
  </si>
  <si>
    <t>No</t>
  </si>
  <si>
    <t>After School</t>
  </si>
  <si>
    <t>Killed by rival gang members</t>
  </si>
  <si>
    <t>Drive-by Shooting</t>
  </si>
  <si>
    <t>Victims Targeted</t>
  </si>
  <si>
    <t>No</t>
  </si>
  <si>
    <t>19940725IAOTO</t>
  </si>
  <si>
    <t>Ottumwa High School</t>
  </si>
  <si>
    <t>Summer</t>
  </si>
  <si>
    <t>Ottumwa</t>
  </si>
  <si>
    <t>IA</t>
  </si>
  <si>
    <t>High</t>
  </si>
  <si>
    <t>Beside Building</t>
  </si>
  <si>
    <t>Outside on School Property</t>
  </si>
  <si>
    <t>Yes</t>
  </si>
  <si>
    <t>Lunch</t>
  </si>
  <si>
    <t>Ongoing dispute, shooter warned victim he would kill him</t>
  </si>
  <si>
    <t>Escalation of Dispute</t>
  </si>
  <si>
    <t>Victims Targeted</t>
  </si>
  <si>
    <t>No</t>
  </si>
  <si>
    <t>19940724PAMAM</t>
  </si>
  <si>
    <t>Manchester Elementary School</t>
  </si>
  <si>
    <t>Summer</t>
  </si>
  <si>
    <t>Manchester</t>
  </si>
  <si>
    <t>PA</t>
  </si>
  <si>
    <t>Elementary</t>
  </si>
  <si>
    <t>Basketball Court</t>
  </si>
  <si>
    <t>Outside on School Property</t>
  </si>
  <si>
    <t>No</t>
  </si>
  <si>
    <t>Not a School Day</t>
  </si>
  <si>
    <t>Shot during basketball game at school</t>
  </si>
  <si>
    <t>Escalation of Dispute</t>
  </si>
  <si>
    <t>Victims Targeted</t>
  </si>
  <si>
    <t>No</t>
  </si>
  <si>
    <t>19940526KYLAU</t>
  </si>
  <si>
    <t>Larry A. Ryle High School</t>
  </si>
  <si>
    <t>Spring</t>
  </si>
  <si>
    <t>Union</t>
  </si>
  <si>
    <t>KY</t>
  </si>
  <si>
    <t>High</t>
  </si>
  <si>
    <t>Classroom</t>
  </si>
  <si>
    <t>Inside School Building</t>
  </si>
  <si>
    <t>Yes</t>
  </si>
  <si>
    <t>Morning Classes</t>
  </si>
  <si>
    <t>Killed family, went to school and took class hostage</t>
  </si>
  <si>
    <t>Hostage/Standoff</t>
  </si>
  <si>
    <t>Neither</t>
  </si>
  <si>
    <t>No</t>
  </si>
  <si>
    <t>Yes</t>
  </si>
  <si>
    <t>No</t>
  </si>
  <si>
    <t>Yes</t>
  </si>
  <si>
    <t>19940525INLAS</t>
  </si>
  <si>
    <t>LaSalle High School</t>
  </si>
  <si>
    <t>Spring</t>
  </si>
  <si>
    <t>South Bend</t>
  </si>
  <si>
    <t>IN</t>
  </si>
  <si>
    <t>High</t>
  </si>
  <si>
    <t>Parking Lot</t>
  </si>
  <si>
    <t>Outside on School Property</t>
  </si>
  <si>
    <t>Yes</t>
  </si>
  <si>
    <t>Lunch</t>
  </si>
  <si>
    <t>Fight ensued over stolen jewelry</t>
  </si>
  <si>
    <t>Illegal Activity</t>
  </si>
  <si>
    <t>Victims Targeted</t>
  </si>
  <si>
    <t>Yes</t>
  </si>
  <si>
    <t>No</t>
  </si>
  <si>
    <t>19940525NJLAW</t>
  </si>
  <si>
    <t>Lakeland Regional High School</t>
  </si>
  <si>
    <t>Spring</t>
  </si>
  <si>
    <t>Wanaque</t>
  </si>
  <si>
    <t>NJ</t>
  </si>
  <si>
    <t>High</t>
  </si>
  <si>
    <t>Beside Building</t>
  </si>
  <si>
    <t>Outside on School Property</t>
  </si>
  <si>
    <t>Yes</t>
  </si>
  <si>
    <t>Morning Classes</t>
  </si>
  <si>
    <t>Shot herself behind the school</t>
  </si>
  <si>
    <t>Suicide/Attempted</t>
  </si>
  <si>
    <t>Victims Targeted</t>
  </si>
  <si>
    <t>No</t>
  </si>
  <si>
    <t>19940502FLNON</t>
  </si>
  <si>
    <t>North Miami High School</t>
  </si>
  <si>
    <t>Spring</t>
  </si>
  <si>
    <t>North Miami</t>
  </si>
  <si>
    <t>FL</t>
  </si>
  <si>
    <t>High</t>
  </si>
  <si>
    <t>Parking Lot</t>
  </si>
  <si>
    <t>Outside on School Property</t>
  </si>
  <si>
    <t>Yes</t>
  </si>
  <si>
    <t>Lunch</t>
  </si>
  <si>
    <t>Showing off gun, discharged and struck female student.</t>
  </si>
  <si>
    <t>Accidental</t>
  </si>
  <si>
    <t>Random Shooting</t>
  </si>
  <si>
    <t>No</t>
  </si>
  <si>
    <t>19940421TNJTN</t>
  </si>
  <si>
    <t>J T Moore Middle School</t>
  </si>
  <si>
    <t>Regional</t>
  </si>
  <si>
    <t>Spring</t>
  </si>
  <si>
    <t>Nashville</t>
  </si>
  <si>
    <t>TN</t>
  </si>
  <si>
    <t>Middle</t>
  </si>
  <si>
    <t>Classroom</t>
  </si>
  <si>
    <t>Inside School Building</t>
  </si>
  <si>
    <t>Yes</t>
  </si>
  <si>
    <t>Afternoon Classes</t>
  </si>
  <si>
    <t>Accidental discharge in classroom</t>
  </si>
  <si>
    <t>Accidental</t>
  </si>
  <si>
    <t>Neither</t>
  </si>
  <si>
    <t>No</t>
  </si>
  <si>
    <t>19940420INDIS</t>
  </si>
  <si>
    <t>Dickinson Middle School</t>
  </si>
  <si>
    <t>Spring</t>
  </si>
  <si>
    <t>South Bend</t>
  </si>
  <si>
    <t>IN</t>
  </si>
  <si>
    <t>Middle</t>
  </si>
  <si>
    <t>Classroom</t>
  </si>
  <si>
    <t>Inside School Building</t>
  </si>
  <si>
    <t>Yes</t>
  </si>
  <si>
    <t>Morning Classes</t>
  </si>
  <si>
    <t>Accidental shooting</t>
  </si>
  <si>
    <t>Accidental</t>
  </si>
  <si>
    <t>Random Shooting</t>
  </si>
  <si>
    <t>No</t>
  </si>
  <si>
    <t>19940419DCELW</t>
  </si>
  <si>
    <t>Eliot Junior High School</t>
  </si>
  <si>
    <t>Spring</t>
  </si>
  <si>
    <t>Washington</t>
  </si>
  <si>
    <t>DC</t>
  </si>
  <si>
    <t>High</t>
  </si>
  <si>
    <t>Front of School</t>
  </si>
  <si>
    <t>Outside on School Property</t>
  </si>
  <si>
    <t>No</t>
  </si>
  <si>
    <t>Night</t>
  </si>
  <si>
    <t>Shot overnight, found dead on steps, no suspects</t>
  </si>
  <si>
    <t>Unknown</t>
  </si>
  <si>
    <t>No</t>
  </si>
  <si>
    <t>19940413CA49L</t>
  </si>
  <si>
    <t>49th Street Elementary School</t>
  </si>
  <si>
    <t>Spring</t>
  </si>
  <si>
    <t>Los Angeles</t>
  </si>
  <si>
    <t>CA</t>
  </si>
  <si>
    <t>Elementary</t>
  </si>
  <si>
    <t>Front of School</t>
  </si>
  <si>
    <t>Outside on School Property</t>
  </si>
  <si>
    <t>Yes</t>
  </si>
  <si>
    <t>Before School</t>
  </si>
  <si>
    <t>Commit suicide at school, upset about disciplinary problems</t>
  </si>
  <si>
    <t>Suicide/Attempted</t>
  </si>
  <si>
    <t>Victims Targeted</t>
  </si>
  <si>
    <t>No</t>
  </si>
  <si>
    <t>19940412MTMAB</t>
  </si>
  <si>
    <t>Margaret Leary Elementary School</t>
  </si>
  <si>
    <t>Spring</t>
  </si>
  <si>
    <t>Butte</t>
  </si>
  <si>
    <t>MT</t>
  </si>
  <si>
    <t>Elementary</t>
  </si>
  <si>
    <t>Playground</t>
  </si>
  <si>
    <t>Outside on School Property</t>
  </si>
  <si>
    <t>Yes</t>
  </si>
  <si>
    <t>Before School</t>
  </si>
  <si>
    <t>Shot at bully, missed and struck other student</t>
  </si>
  <si>
    <t>Bullying</t>
  </si>
  <si>
    <t>Random Shooting</t>
  </si>
  <si>
    <t>No</t>
  </si>
  <si>
    <t>Yes</t>
  </si>
  <si>
    <t>No</t>
  </si>
  <si>
    <t>19940408MDLAU</t>
  </si>
  <si>
    <t>Largo High School</t>
  </si>
  <si>
    <t>Spring</t>
  </si>
  <si>
    <t>Upper Marlboro</t>
  </si>
  <si>
    <t>MD</t>
  </si>
  <si>
    <t>High</t>
  </si>
  <si>
    <t>Bathroom</t>
  </si>
  <si>
    <t>Inside School Building</t>
  </si>
  <si>
    <t>Yes</t>
  </si>
  <si>
    <t>Morning Classes</t>
  </si>
  <si>
    <t>Teacher asked student to give him the gun in the bathroom, where student shot the teacher in the chest.</t>
  </si>
  <si>
    <t>Indiscriminate Shooting</t>
  </si>
  <si>
    <t>Random Shooting</t>
  </si>
  <si>
    <t>No</t>
  </si>
  <si>
    <t>19940405TXMCA</t>
  </si>
  <si>
    <t>McNeil High School</t>
  </si>
  <si>
    <t>Spring</t>
  </si>
  <si>
    <t>Austin</t>
  </si>
  <si>
    <t>TX</t>
  </si>
  <si>
    <t>High</t>
  </si>
  <si>
    <t>Classroom</t>
  </si>
  <si>
    <t>Inside School Building</t>
  </si>
  <si>
    <t>Yes</t>
  </si>
  <si>
    <t>Accidental discharge in backpack, owner had prior charges of theft/burglary.</t>
  </si>
  <si>
    <t>Accidental</t>
  </si>
  <si>
    <t>Random Shooting</t>
  </si>
  <si>
    <t>Yes</t>
  </si>
  <si>
    <t>No</t>
  </si>
  <si>
    <t>19940325GAETC</t>
  </si>
  <si>
    <t>Etowah High School</t>
  </si>
  <si>
    <t>Spring</t>
  </si>
  <si>
    <t>Woodstock</t>
  </si>
  <si>
    <t>GA</t>
  </si>
  <si>
    <t>High</t>
  </si>
  <si>
    <t>Classroom</t>
  </si>
  <si>
    <t>Inside School Building</t>
  </si>
  <si>
    <t>Yes</t>
  </si>
  <si>
    <t>Suicide in classroom after being bullied</t>
  </si>
  <si>
    <t>Suicide/Attempted</t>
  </si>
  <si>
    <t>Victims Targeted</t>
  </si>
  <si>
    <t>No</t>
  </si>
  <si>
    <t>Yes</t>
  </si>
  <si>
    <t>No</t>
  </si>
  <si>
    <t>19940323WABAS</t>
  </si>
  <si>
    <t>Ballard High School</t>
  </si>
  <si>
    <t>Spring</t>
  </si>
  <si>
    <t>Seattle</t>
  </si>
  <si>
    <t>WA</t>
  </si>
  <si>
    <t>High</t>
  </si>
  <si>
    <t>Parking Lot</t>
  </si>
  <si>
    <t>Outside on School Property</t>
  </si>
  <si>
    <t>Yes</t>
  </si>
  <si>
    <t>Lunch</t>
  </si>
  <si>
    <t>Bystander student struck during gang drive-by shooting</t>
  </si>
  <si>
    <t>Drive-by Shooting</t>
  </si>
  <si>
    <t>Random Shooting</t>
  </si>
  <si>
    <t>No</t>
  </si>
  <si>
    <t>19940315SCGOC</t>
  </si>
  <si>
    <t>Goose Creek High School</t>
  </si>
  <si>
    <t>Spring</t>
  </si>
  <si>
    <t>Charleston</t>
  </si>
  <si>
    <t>SC</t>
  </si>
  <si>
    <t>High</t>
  </si>
  <si>
    <t>Outside on School Property</t>
  </si>
  <si>
    <t>No</t>
  </si>
  <si>
    <t>After School</t>
  </si>
  <si>
    <t>Bystander shot during fight that escalated</t>
  </si>
  <si>
    <t>Escalation of Dispute</t>
  </si>
  <si>
    <t>Random Shooting</t>
  </si>
  <si>
    <t>No</t>
  </si>
  <si>
    <t>19940309DCEAW</t>
  </si>
  <si>
    <t>Eastern High School</t>
  </si>
  <si>
    <t>Spring</t>
  </si>
  <si>
    <t>Washington</t>
  </si>
  <si>
    <t>DC</t>
  </si>
  <si>
    <t>High</t>
  </si>
  <si>
    <t>Cafeteria</t>
  </si>
  <si>
    <t>Inside School Building</t>
  </si>
  <si>
    <t>Yes</t>
  </si>
  <si>
    <t>Lunch</t>
  </si>
  <si>
    <t>Shots fired during fight</t>
  </si>
  <si>
    <t>Escalation of Dispute</t>
  </si>
  <si>
    <t>Victims Targeted</t>
  </si>
  <si>
    <t>No</t>
  </si>
  <si>
    <t>19940303ALENB</t>
  </si>
  <si>
    <t>Ensley High School</t>
  </si>
  <si>
    <t>Spring</t>
  </si>
  <si>
    <t>Birmingham</t>
  </si>
  <si>
    <t>AL</t>
  </si>
  <si>
    <t>High</t>
  </si>
  <si>
    <t>Other</t>
  </si>
  <si>
    <t>Inside School Building</t>
  </si>
  <si>
    <t>Yes</t>
  </si>
  <si>
    <t>Lunch</t>
  </si>
  <si>
    <t>Fight between gang members near the band room.</t>
  </si>
  <si>
    <t>Escalation of Dispute</t>
  </si>
  <si>
    <t>Victims Targeted</t>
  </si>
  <si>
    <t>No</t>
  </si>
  <si>
    <t>19940301MOKEB</t>
  </si>
  <si>
    <t>Kemper Military School and College</t>
  </si>
  <si>
    <t>Spring</t>
  </si>
  <si>
    <t>Boonville</t>
  </si>
  <si>
    <t>MO</t>
  </si>
  <si>
    <t>Other</t>
  </si>
  <si>
    <t>Cafeteria</t>
  </si>
  <si>
    <t>Inside School Building</t>
  </si>
  <si>
    <t>Yes</t>
  </si>
  <si>
    <t>Morning Classes</t>
  </si>
  <si>
    <t>Drunk, looking for ex-wife</t>
  </si>
  <si>
    <t>Domestic w/ Targeted Victim</t>
  </si>
  <si>
    <t>Both</t>
  </si>
  <si>
    <t>No</t>
  </si>
  <si>
    <t>Yes</t>
  </si>
  <si>
    <t>No</t>
  </si>
  <si>
    <t>Yes</t>
  </si>
  <si>
    <t>19940218SCSPS</t>
  </si>
  <si>
    <t>Spartanburg High School</t>
  </si>
  <si>
    <t>Winter</t>
  </si>
  <si>
    <t>Spartanburg</t>
  </si>
  <si>
    <t>SC</t>
  </si>
  <si>
    <t>High</t>
  </si>
  <si>
    <t>Parking Lot</t>
  </si>
  <si>
    <t>Outside on School Property</t>
  </si>
  <si>
    <t>No</t>
  </si>
  <si>
    <t>Sport Event</t>
  </si>
  <si>
    <t>Drive-by after basketball game</t>
  </si>
  <si>
    <t>Drive-by Shooting</t>
  </si>
  <si>
    <t>Victims Targeted</t>
  </si>
  <si>
    <t>No</t>
  </si>
  <si>
    <t>19940208MIOSD</t>
  </si>
  <si>
    <t>Osborn High School</t>
  </si>
  <si>
    <t>Winter</t>
  </si>
  <si>
    <t>Detroit</t>
  </si>
  <si>
    <t>MI</t>
  </si>
  <si>
    <t>High</t>
  </si>
  <si>
    <t>Parking Lot</t>
  </si>
  <si>
    <t>Outside on School Property</t>
  </si>
  <si>
    <t>Yes</t>
  </si>
  <si>
    <t>Special ed student shot in parking lot</t>
  </si>
  <si>
    <t>Unknown</t>
  </si>
  <si>
    <t>No</t>
  </si>
  <si>
    <t>19940131WAWHS</t>
  </si>
  <si>
    <t>Whitman Middle School</t>
  </si>
  <si>
    <t>Winter</t>
  </si>
  <si>
    <t>Seattle</t>
  </si>
  <si>
    <t>WA</t>
  </si>
  <si>
    <t>Middle</t>
  </si>
  <si>
    <t>Field (General)</t>
  </si>
  <si>
    <t>Outside on School Property</t>
  </si>
  <si>
    <t>No</t>
  </si>
  <si>
    <t>Before School</t>
  </si>
  <si>
    <t>Revenge for sexual abuse by teacher</t>
  </si>
  <si>
    <t>Domestic w/ Targeted Victim</t>
  </si>
  <si>
    <t>Victims Targeted</t>
  </si>
  <si>
    <t>No</t>
  </si>
  <si>
    <t>19940127CAWAS</t>
  </si>
  <si>
    <t>Washington Elementary School</t>
  </si>
  <si>
    <t>Winter</t>
  </si>
  <si>
    <t>San Jose</t>
  </si>
  <si>
    <t>CA</t>
  </si>
  <si>
    <t>Elementary</t>
  </si>
  <si>
    <t>Parking Lot</t>
  </si>
  <si>
    <t>Outside on School Property</t>
  </si>
  <si>
    <t>Yes</t>
  </si>
  <si>
    <t>Targeted killing by gang members</t>
  </si>
  <si>
    <t>Escalation of Dispute</t>
  </si>
  <si>
    <t>Victims Targeted</t>
  </si>
  <si>
    <t>Yes</t>
  </si>
  <si>
    <t>No</t>
  </si>
  <si>
    <t>19940126DCELW</t>
  </si>
  <si>
    <t>Eliot Junior High School</t>
  </si>
  <si>
    <t>Winter</t>
  </si>
  <si>
    <t>Washington</t>
  </si>
  <si>
    <t>DC</t>
  </si>
  <si>
    <t>Junior High</t>
  </si>
  <si>
    <t>Hallway</t>
  </si>
  <si>
    <t>Inside School Building</t>
  </si>
  <si>
    <t>Yes</t>
  </si>
  <si>
    <t>Dismissal</t>
  </si>
  <si>
    <t>Unknown gunman fired during dismissal, no injuries</t>
  </si>
  <si>
    <t>Unknown</t>
  </si>
  <si>
    <t>No</t>
  </si>
  <si>
    <t>19940126DCPAW</t>
  </si>
  <si>
    <t>Paul Lawrence Dunbar High School</t>
  </si>
  <si>
    <t>Winter</t>
  </si>
  <si>
    <t>Washington</t>
  </si>
  <si>
    <t>DC</t>
  </si>
  <si>
    <t>High</t>
  </si>
  <si>
    <t>Hallway</t>
  </si>
  <si>
    <t>Inside School Building</t>
  </si>
  <si>
    <t>Yes</t>
  </si>
  <si>
    <t>Morning Classes</t>
  </si>
  <si>
    <t>17 shots were fired inside and outside the school, police chased the unknown teen from school.</t>
  </si>
  <si>
    <t>Intentional Property Damage</t>
  </si>
  <si>
    <t>Yes</t>
  </si>
  <si>
    <t>No</t>
  </si>
  <si>
    <t>Yes</t>
  </si>
  <si>
    <t>19940124SCEAC</t>
  </si>
  <si>
    <t>Eau Claire High School</t>
  </si>
  <si>
    <t>Winter</t>
  </si>
  <si>
    <t>Columbia</t>
  </si>
  <si>
    <t>SC</t>
  </si>
  <si>
    <t>High</t>
  </si>
  <si>
    <t>Hallway</t>
  </si>
  <si>
    <t>Inside School Building</t>
  </si>
  <si>
    <t>Yes</t>
  </si>
  <si>
    <t>Unknown</t>
  </si>
  <si>
    <t>Shot specific victim (bully) in hallway, then fled.</t>
  </si>
  <si>
    <t>Bullying</t>
  </si>
  <si>
    <t>Victims Targeted</t>
  </si>
  <si>
    <t>No</t>
  </si>
  <si>
    <t>Yes</t>
  </si>
  <si>
    <t>No</t>
  </si>
  <si>
    <t>19940121TXKEK</t>
  </si>
  <si>
    <t>Kennard High School</t>
  </si>
  <si>
    <t>Winter</t>
  </si>
  <si>
    <t>Kennard</t>
  </si>
  <si>
    <t>TX</t>
  </si>
  <si>
    <t>High</t>
  </si>
  <si>
    <t>Classroom</t>
  </si>
  <si>
    <t>Inside School Building</t>
  </si>
  <si>
    <t>Yes</t>
  </si>
  <si>
    <t>Morning Classes</t>
  </si>
  <si>
    <t>Suicide in school</t>
  </si>
  <si>
    <t>Suicide/Attempted</t>
  </si>
  <si>
    <t>Victims Targeted</t>
  </si>
  <si>
    <t>No</t>
  </si>
  <si>
    <t>19940120CALOH</t>
  </si>
  <si>
    <t>Los Altos High School</t>
  </si>
  <si>
    <t>Winter</t>
  </si>
  <si>
    <t>Hacienda Heights</t>
  </si>
  <si>
    <t>CA</t>
  </si>
  <si>
    <t>High</t>
  </si>
  <si>
    <t>Parking Lot</t>
  </si>
  <si>
    <t>Outside on School Property</t>
  </si>
  <si>
    <t>No</t>
  </si>
  <si>
    <t>After School</t>
  </si>
  <si>
    <t>Shot 3 times in parking lot after argument</t>
  </si>
  <si>
    <t>Escalation of Dispute</t>
  </si>
  <si>
    <t>Victims Targeted</t>
  </si>
  <si>
    <t>Yes</t>
  </si>
  <si>
    <t>No</t>
  </si>
  <si>
    <t>19931217MICHC</t>
  </si>
  <si>
    <t>Chelsea High School</t>
  </si>
  <si>
    <t>Winter</t>
  </si>
  <si>
    <t>Chelsea</t>
  </si>
  <si>
    <t>MI</t>
  </si>
  <si>
    <t>High</t>
  </si>
  <si>
    <t>Office</t>
  </si>
  <si>
    <t>Inside School Building</t>
  </si>
  <si>
    <t>No</t>
  </si>
  <si>
    <t>After School</t>
  </si>
  <si>
    <t>Suspect - science teacher - walked into afterschool staff meeting and shot other staff members</t>
  </si>
  <si>
    <t>Anger Over Grade/Suspension/Discipline</t>
  </si>
  <si>
    <t>Victims Targeted</t>
  </si>
  <si>
    <t>No</t>
  </si>
  <si>
    <t>Yes</t>
  </si>
  <si>
    <t>19931215CACHS</t>
  </si>
  <si>
    <t>Chatsworth High School</t>
  </si>
  <si>
    <t>Winter</t>
  </si>
  <si>
    <t>Chatsworth</t>
  </si>
  <si>
    <t>CA</t>
  </si>
  <si>
    <t>High</t>
  </si>
  <si>
    <t>Outside on School Property</t>
  </si>
  <si>
    <t>Yes</t>
  </si>
  <si>
    <t>Afternoon Classes</t>
  </si>
  <si>
    <t>Shot during robbery of backpack</t>
  </si>
  <si>
    <t>Illegal Activity</t>
  </si>
  <si>
    <t>Victims Targeted</t>
  </si>
  <si>
    <t>Yes</t>
  </si>
  <si>
    <t>No</t>
  </si>
  <si>
    <t>19931208GABES</t>
  </si>
  <si>
    <t>Beach High School</t>
  </si>
  <si>
    <t>Winter</t>
  </si>
  <si>
    <t>Savannah</t>
  </si>
  <si>
    <t>GA</t>
  </si>
  <si>
    <t>High</t>
  </si>
  <si>
    <t>Front of School</t>
  </si>
  <si>
    <t>Outside on School Property</t>
  </si>
  <si>
    <t>No</t>
  </si>
  <si>
    <t>Evening</t>
  </si>
  <si>
    <t>Gang related shooting at front door of school</t>
  </si>
  <si>
    <t>Escalation of Dispute</t>
  </si>
  <si>
    <t>Victims Targeted</t>
  </si>
  <si>
    <t>No</t>
  </si>
  <si>
    <t>19931202CTNEN</t>
  </si>
  <si>
    <t>New Britain High School</t>
  </si>
  <si>
    <t>Winter</t>
  </si>
  <si>
    <t>New Britain</t>
  </si>
  <si>
    <t>CT</t>
  </si>
  <si>
    <t>High</t>
  </si>
  <si>
    <t>Front of School</t>
  </si>
  <si>
    <t>Outside on School Property</t>
  </si>
  <si>
    <t>No</t>
  </si>
  <si>
    <t>Masked gunman shot student on school steps, possible gang related</t>
  </si>
  <si>
    <t>Escalation of Dispute</t>
  </si>
  <si>
    <t>Victims Targeted</t>
  </si>
  <si>
    <t>No</t>
  </si>
  <si>
    <t>19931201WIWAW</t>
  </si>
  <si>
    <t>Wauwatosa West High School</t>
  </si>
  <si>
    <t>Winter</t>
  </si>
  <si>
    <t>Wauwatosa</t>
  </si>
  <si>
    <t>WI</t>
  </si>
  <si>
    <t>High</t>
  </si>
  <si>
    <t>Hallway</t>
  </si>
  <si>
    <t>Inside School Building</t>
  </si>
  <si>
    <t>Yes</t>
  </si>
  <si>
    <t>Unknown</t>
  </si>
  <si>
    <t>Killed principal, history of disciplinary issues</t>
  </si>
  <si>
    <t>Anger Over Grade/Suspension/Discipline</t>
  </si>
  <si>
    <t>Victims Targeted</t>
  </si>
  <si>
    <t>No</t>
  </si>
  <si>
    <t>19931111ILRIS</t>
  </si>
  <si>
    <t>Ridgely Elementary School</t>
  </si>
  <si>
    <t>Fall</t>
  </si>
  <si>
    <t>Springfield</t>
  </si>
  <si>
    <t>IL</t>
  </si>
  <si>
    <t>High</t>
  </si>
  <si>
    <t>Hallway</t>
  </si>
  <si>
    <t>Inside School Building</t>
  </si>
  <si>
    <t>No</t>
  </si>
  <si>
    <t>Night</t>
  </si>
  <si>
    <t>Shot in head in stairwell, found next morning, gang related</t>
  </si>
  <si>
    <t>Escalation of Dispute</t>
  </si>
  <si>
    <t>Victims Targeted</t>
  </si>
  <si>
    <t>No</t>
  </si>
  <si>
    <t>19931104FLTEJ</t>
  </si>
  <si>
    <t>Terry Parker High School</t>
  </si>
  <si>
    <t>Fall</t>
  </si>
  <si>
    <t>Jacksonville</t>
  </si>
  <si>
    <t>FL</t>
  </si>
  <si>
    <t>High</t>
  </si>
  <si>
    <t>Front of School</t>
  </si>
  <si>
    <t>Outside on School Property</t>
  </si>
  <si>
    <t>No</t>
  </si>
  <si>
    <t>After School</t>
  </si>
  <si>
    <t>Shot by group of students during robbery</t>
  </si>
  <si>
    <t>Illegal Activity</t>
  </si>
  <si>
    <t>Victims Targeted</t>
  </si>
  <si>
    <t>Yes</t>
  </si>
  <si>
    <t>No</t>
  </si>
  <si>
    <t>19931104CTNEN</t>
  </si>
  <si>
    <t>New Britain High School</t>
  </si>
  <si>
    <t>Fall</t>
  </si>
  <si>
    <t>New Britain</t>
  </si>
  <si>
    <t>CT</t>
  </si>
  <si>
    <t>High</t>
  </si>
  <si>
    <t>Beside Building</t>
  </si>
  <si>
    <t>Outside on School Property</t>
  </si>
  <si>
    <t>No</t>
  </si>
  <si>
    <t>Unknown</t>
  </si>
  <si>
    <t>Gang execution style shooting</t>
  </si>
  <si>
    <t>Illegal Activity</t>
  </si>
  <si>
    <t>Victims Targeted</t>
  </si>
  <si>
    <t>No</t>
  </si>
  <si>
    <t>19931104MSBAB</t>
  </si>
  <si>
    <t>Bay Springs High School</t>
  </si>
  <si>
    <t>Fall</t>
  </si>
  <si>
    <t>Bay Springs</t>
  </si>
  <si>
    <t>MS</t>
  </si>
  <si>
    <t>High</t>
  </si>
  <si>
    <t>Classroom</t>
  </si>
  <si>
    <t>Inside School Building</t>
  </si>
  <si>
    <t>Yes</t>
  </si>
  <si>
    <t>Good student killed in band room by unknown shooter</t>
  </si>
  <si>
    <t>Unknown</t>
  </si>
  <si>
    <t>Victims Targeted</t>
  </si>
  <si>
    <t>No</t>
  </si>
  <si>
    <t>19931101ILSUC</t>
  </si>
  <si>
    <t>Sullivan High School</t>
  </si>
  <si>
    <t>Fall</t>
  </si>
  <si>
    <t>Chicago</t>
  </si>
  <si>
    <t>IL</t>
  </si>
  <si>
    <t>High</t>
  </si>
  <si>
    <t>Outside on School Property</t>
  </si>
  <si>
    <t>Yes</t>
  </si>
  <si>
    <t>Student shot at school, motive unknown</t>
  </si>
  <si>
    <t>Intentional Property Damage</t>
  </si>
  <si>
    <t>Victims Targeted</t>
  </si>
  <si>
    <t>Yes</t>
  </si>
  <si>
    <t>No</t>
  </si>
  <si>
    <t>19931018DCJHW</t>
  </si>
  <si>
    <t>J H Johnson Junior High School</t>
  </si>
  <si>
    <t>Fall</t>
  </si>
  <si>
    <t>Washington</t>
  </si>
  <si>
    <t>DC</t>
  </si>
  <si>
    <t>Junior High</t>
  </si>
  <si>
    <t>Gym</t>
  </si>
  <si>
    <t>Inside School Building</t>
  </si>
  <si>
    <t>Yes</t>
  </si>
  <si>
    <t>Shooting in locker room</t>
  </si>
  <si>
    <t>Escalation of Dispute</t>
  </si>
  <si>
    <t>Victims Targeted</t>
  </si>
  <si>
    <t>No</t>
  </si>
  <si>
    <t>19931012DEDON</t>
  </si>
  <si>
    <t>Dover High School</t>
  </si>
  <si>
    <t>Fall</t>
  </si>
  <si>
    <t>New Castle</t>
  </si>
  <si>
    <t>DE</t>
  </si>
  <si>
    <t>High</t>
  </si>
  <si>
    <t>Bathroom</t>
  </si>
  <si>
    <t>Inside School Building</t>
  </si>
  <si>
    <t>Yes</t>
  </si>
  <si>
    <t>Commit suicide in bathroom</t>
  </si>
  <si>
    <t>Murder/Suicide</t>
  </si>
  <si>
    <t>Victims Targeted</t>
  </si>
  <si>
    <t>No</t>
  </si>
  <si>
    <t>19930928MSCOG</t>
  </si>
  <si>
    <t>Coleman Junior High School</t>
  </si>
  <si>
    <t>Fall</t>
  </si>
  <si>
    <t>Greenville</t>
  </si>
  <si>
    <t>MS</t>
  </si>
  <si>
    <t>Junior High</t>
  </si>
  <si>
    <t>Classroom</t>
  </si>
  <si>
    <t>Inside School Building</t>
  </si>
  <si>
    <t>Yes</t>
  </si>
  <si>
    <t>Morning Classes</t>
  </si>
  <si>
    <t>Shooter walked into class room and shot victim 4 times over a girl</t>
  </si>
  <si>
    <t>Escalation of Dispute</t>
  </si>
  <si>
    <t>Victims Targeted</t>
  </si>
  <si>
    <t>No</t>
  </si>
  <si>
    <t>19930925DCWEW</t>
  </si>
  <si>
    <t>Weatherless Elementary School</t>
  </si>
  <si>
    <t>Fall</t>
  </si>
  <si>
    <t>Washington</t>
  </si>
  <si>
    <t>DC</t>
  </si>
  <si>
    <t>Elementary</t>
  </si>
  <si>
    <t>Football Field/Track</t>
  </si>
  <si>
    <t>Outside on School Property</t>
  </si>
  <si>
    <t>No</t>
  </si>
  <si>
    <t>Not a School Day</t>
  </si>
  <si>
    <t>Gang shooting at pick-up football game, bystanders killed</t>
  </si>
  <si>
    <t>Escalation of Dispute</t>
  </si>
  <si>
    <t>Both</t>
  </si>
  <si>
    <t>No</t>
  </si>
  <si>
    <t>19930917ILDOD</t>
  </si>
  <si>
    <t>Downers South High School</t>
  </si>
  <si>
    <t>Fall</t>
  </si>
  <si>
    <t>Downers Grove</t>
  </si>
  <si>
    <t>IL</t>
  </si>
  <si>
    <t>High</t>
  </si>
  <si>
    <t>Football Field/Track</t>
  </si>
  <si>
    <t>Outside on School Property</t>
  </si>
  <si>
    <t>No</t>
  </si>
  <si>
    <t>Sport Event</t>
  </si>
  <si>
    <t>Shot victim in head after prior disputes</t>
  </si>
  <si>
    <t>Escalation of Dispute</t>
  </si>
  <si>
    <t>Victims Targeted</t>
  </si>
  <si>
    <t>No</t>
  </si>
  <si>
    <t>19930917WYCES</t>
  </si>
  <si>
    <t>Central Junior High School</t>
  </si>
  <si>
    <t>Fall</t>
  </si>
  <si>
    <t>Sheridan</t>
  </si>
  <si>
    <t>WY</t>
  </si>
  <si>
    <t>Junior High</t>
  </si>
  <si>
    <t>Football Field/Track</t>
  </si>
  <si>
    <t>Outside on School Property</t>
  </si>
  <si>
    <t>Yes</t>
  </si>
  <si>
    <t>Depressed - recently received dishonorable discharge from Navy</t>
  </si>
  <si>
    <t>Indiscriminate Shooting</t>
  </si>
  <si>
    <t>Random Shooting</t>
  </si>
  <si>
    <t>No</t>
  </si>
  <si>
    <t>Yes</t>
  </si>
  <si>
    <t>19930916ILROC</t>
  </si>
  <si>
    <t>Roosevelt High School</t>
  </si>
  <si>
    <t>Fall</t>
  </si>
  <si>
    <t>Chicago</t>
  </si>
  <si>
    <t>IL</t>
  </si>
  <si>
    <t>High</t>
  </si>
  <si>
    <t>Beside Building</t>
  </si>
  <si>
    <t>Outside on School Property</t>
  </si>
  <si>
    <t>Yes</t>
  </si>
  <si>
    <t>Dismissal</t>
  </si>
  <si>
    <t>Gang related shooting at dismissal outside of school</t>
  </si>
  <si>
    <t>Escalation of Dispute</t>
  </si>
  <si>
    <t>No</t>
  </si>
  <si>
    <t>19930912ALFAF</t>
  </si>
  <si>
    <t>Fairfield High School</t>
  </si>
  <si>
    <t>Local</t>
  </si>
  <si>
    <t>Fall</t>
  </si>
  <si>
    <t>Fairfield</t>
  </si>
  <si>
    <t>AL</t>
  </si>
  <si>
    <t>High</t>
  </si>
  <si>
    <t>Football Field/Track</t>
  </si>
  <si>
    <t>Outside on School Property</t>
  </si>
  <si>
    <t>No</t>
  </si>
  <si>
    <t>Sport Event</t>
  </si>
  <si>
    <t>Shots fired into the air during football game</t>
  </si>
  <si>
    <t>Illegal Activity</t>
  </si>
  <si>
    <t>Neither</t>
  </si>
  <si>
    <t>No</t>
  </si>
  <si>
    <t>19930902TXROD</t>
  </si>
  <si>
    <t>Roosevelt High School</t>
  </si>
  <si>
    <t>Fall</t>
  </si>
  <si>
    <t>Dallas</t>
  </si>
  <si>
    <t>TX</t>
  </si>
  <si>
    <t>High</t>
  </si>
  <si>
    <t>Hallway</t>
  </si>
  <si>
    <t>Inside School Building</t>
  </si>
  <si>
    <t>Yes</t>
  </si>
  <si>
    <t>Dismissal</t>
  </si>
  <si>
    <t>Argument over stolen beeper</t>
  </si>
  <si>
    <t>Escalation of Dispute</t>
  </si>
  <si>
    <t>Victims Targeted</t>
  </si>
  <si>
    <t>No</t>
  </si>
  <si>
    <t>19930901KSJUJ</t>
  </si>
  <si>
    <t>Junction City High School</t>
  </si>
  <si>
    <t>Fall</t>
  </si>
  <si>
    <t>Junction City</t>
  </si>
  <si>
    <t>KS</t>
  </si>
  <si>
    <t>High</t>
  </si>
  <si>
    <t>Cafeteria</t>
  </si>
  <si>
    <t>Inside School Building</t>
  </si>
  <si>
    <t>Yes</t>
  </si>
  <si>
    <t>Lunch</t>
  </si>
  <si>
    <t>Argument in cafeteria, bystander shot</t>
  </si>
  <si>
    <t>Escalation of Dispute</t>
  </si>
  <si>
    <t>Both</t>
  </si>
  <si>
    <t>No</t>
  </si>
  <si>
    <t>19930831GAHAA</t>
  </si>
  <si>
    <t>Harper High School</t>
  </si>
  <si>
    <t>Summer</t>
  </si>
  <si>
    <t>Atlanta</t>
  </si>
  <si>
    <t>GA</t>
  </si>
  <si>
    <t>High</t>
  </si>
  <si>
    <t>Cafeteria</t>
  </si>
  <si>
    <t>Inside School Building</t>
  </si>
  <si>
    <t>Yes</t>
  </si>
  <si>
    <t>Argument in cafeteria</t>
  </si>
  <si>
    <t>Escalation of Dispute</t>
  </si>
  <si>
    <t>Victims Targeted</t>
  </si>
  <si>
    <t>No</t>
  </si>
  <si>
    <t>19930803NYTHN</t>
  </si>
  <si>
    <t>Theodore Roosevelt High School</t>
  </si>
  <si>
    <t>Summer</t>
  </si>
  <si>
    <t>New York</t>
  </si>
  <si>
    <t>NY</t>
  </si>
  <si>
    <t>High</t>
  </si>
  <si>
    <t>Classroom</t>
  </si>
  <si>
    <t>Inside School Building</t>
  </si>
  <si>
    <t>Yes</t>
  </si>
  <si>
    <t>Morning Classes</t>
  </si>
  <si>
    <t>Victim shot in classroom by unknown shooter</t>
  </si>
  <si>
    <t>Escalation of Dispute</t>
  </si>
  <si>
    <t>Victims Targeted</t>
  </si>
  <si>
    <t>No</t>
  </si>
  <si>
    <t>19930707CADOL</t>
  </si>
  <si>
    <t>Dorsey High School</t>
  </si>
  <si>
    <t>Summer</t>
  </si>
  <si>
    <t>Los Angeles</t>
  </si>
  <si>
    <t>CA</t>
  </si>
  <si>
    <t>High</t>
  </si>
  <si>
    <t>Beside Building</t>
  </si>
  <si>
    <t>Outside on School Property</t>
  </si>
  <si>
    <t>Yes</t>
  </si>
  <si>
    <t>After School</t>
  </si>
  <si>
    <t>Fight between other students, bystander fatally shot</t>
  </si>
  <si>
    <t>Escalation of Dispute</t>
  </si>
  <si>
    <t>Both</t>
  </si>
  <si>
    <t>No</t>
  </si>
  <si>
    <t>19930527LAFRN</t>
  </si>
  <si>
    <t>Francis T. Nicholls High School</t>
  </si>
  <si>
    <t>Spring</t>
  </si>
  <si>
    <t>New Orleans</t>
  </si>
  <si>
    <t>LA</t>
  </si>
  <si>
    <t>High</t>
  </si>
  <si>
    <t>Hallway</t>
  </si>
  <si>
    <t>Inside School Building</t>
  </si>
  <si>
    <t>Yes</t>
  </si>
  <si>
    <t>Morning Classes</t>
  </si>
  <si>
    <t>Shooting in hallway related to quarrel</t>
  </si>
  <si>
    <t>Escalation of Dispute</t>
  </si>
  <si>
    <t>Victims Targeted</t>
  </si>
  <si>
    <t>No</t>
  </si>
  <si>
    <t>19930524PAUPP</t>
  </si>
  <si>
    <t>Upper Perkiomen High School</t>
  </si>
  <si>
    <t>Spring</t>
  </si>
  <si>
    <t>Pennsburg</t>
  </si>
  <si>
    <t>PA</t>
  </si>
  <si>
    <t>High</t>
  </si>
  <si>
    <t>Classroom</t>
  </si>
  <si>
    <t>Inside School Building</t>
  </si>
  <si>
    <t>Yes</t>
  </si>
  <si>
    <t>Bullying, much larger bully shot in front of class</t>
  </si>
  <si>
    <t>Bullying</t>
  </si>
  <si>
    <t>Victims Targeted</t>
  </si>
  <si>
    <t>No</t>
  </si>
  <si>
    <t>Yes</t>
  </si>
  <si>
    <t>No</t>
  </si>
  <si>
    <t>19930514TXNII</t>
  </si>
  <si>
    <t>Nimitz High School</t>
  </si>
  <si>
    <t>National</t>
  </si>
  <si>
    <t>Spring</t>
  </si>
  <si>
    <t>Irving</t>
  </si>
  <si>
    <t>TX</t>
  </si>
  <si>
    <t>High</t>
  </si>
  <si>
    <t>Hallway</t>
  </si>
  <si>
    <t>Inside School Building</t>
  </si>
  <si>
    <t>Yes</t>
  </si>
  <si>
    <t>Dismissal</t>
  </si>
  <si>
    <t>Dispute over girl in school hallway at dismissal</t>
  </si>
  <si>
    <t>Escalation of Dispute</t>
  </si>
  <si>
    <t>Victims Targeted</t>
  </si>
  <si>
    <t>No</t>
  </si>
  <si>
    <t>19930416CAGRS</t>
  </si>
  <si>
    <t>Grant High School</t>
  </si>
  <si>
    <t>Spring</t>
  </si>
  <si>
    <t>Sacramento</t>
  </si>
  <si>
    <t>CA</t>
  </si>
  <si>
    <t>High</t>
  </si>
  <si>
    <t>Field (General)</t>
  </si>
  <si>
    <t>Outside on School Property</t>
  </si>
  <si>
    <t>No</t>
  </si>
  <si>
    <t>Evening</t>
  </si>
  <si>
    <t>Baseball coach struck by handgun fired 820 feet away</t>
  </si>
  <si>
    <t>Accidental</t>
  </si>
  <si>
    <t>No</t>
  </si>
  <si>
    <t>19930416WAMOT</t>
  </si>
  <si>
    <t>Mount Tahoma High School</t>
  </si>
  <si>
    <t>Spring</t>
  </si>
  <si>
    <t>Tacoma</t>
  </si>
  <si>
    <t>WA</t>
  </si>
  <si>
    <t>High</t>
  </si>
  <si>
    <t>Beside Building</t>
  </si>
  <si>
    <t>Outside on School Property</t>
  </si>
  <si>
    <t>Suicide outside of school</t>
  </si>
  <si>
    <t>Suicide/Attempted</t>
  </si>
  <si>
    <t>Victims Targeted</t>
  </si>
  <si>
    <t>No</t>
  </si>
  <si>
    <t>19930415MAFOA</t>
  </si>
  <si>
    <t>Ford Middle School</t>
  </si>
  <si>
    <t>Spring</t>
  </si>
  <si>
    <t>Acushnet</t>
  </si>
  <si>
    <t>MA</t>
  </si>
  <si>
    <t>Middle</t>
  </si>
  <si>
    <t>Office</t>
  </si>
  <si>
    <t>Inside School Building</t>
  </si>
  <si>
    <t>Yes</t>
  </si>
  <si>
    <t>Unknown</t>
  </si>
  <si>
    <t>Burned down house, shot secretary, attempted to take principal hostage - tackled by school staff</t>
  </si>
  <si>
    <t>Psychosis</t>
  </si>
  <si>
    <t>Random Shooting</t>
  </si>
  <si>
    <t>No</t>
  </si>
  <si>
    <t>Yes</t>
  </si>
  <si>
    <t>19930403CAGRS</t>
  </si>
  <si>
    <t>Grant High School</t>
  </si>
  <si>
    <t>Spring</t>
  </si>
  <si>
    <t>Sacramento</t>
  </si>
  <si>
    <t>CA</t>
  </si>
  <si>
    <t>High</t>
  </si>
  <si>
    <t>Field (General)</t>
  </si>
  <si>
    <t>Outside on School Property</t>
  </si>
  <si>
    <t>No</t>
  </si>
  <si>
    <t>Not a School Day</t>
  </si>
  <si>
    <t>Two students shot walking around school field</t>
  </si>
  <si>
    <t>Unknown</t>
  </si>
  <si>
    <t>No</t>
  </si>
  <si>
    <t>19930325MOSUS</t>
  </si>
  <si>
    <t>Sumner High School</t>
  </si>
  <si>
    <t>Spring</t>
  </si>
  <si>
    <t>St. Louis</t>
  </si>
  <si>
    <t>MO</t>
  </si>
  <si>
    <t>High</t>
  </si>
  <si>
    <t>Hallway</t>
  </si>
  <si>
    <t>Inside School Building</t>
  </si>
  <si>
    <t>Yes</t>
  </si>
  <si>
    <t>School Start</t>
  </si>
  <si>
    <t>Shot ex-boyfriend in back of head in hallway</t>
  </si>
  <si>
    <t>Domestic w/ Targeted Victim</t>
  </si>
  <si>
    <t>Victims Targeted</t>
  </si>
  <si>
    <t>No</t>
  </si>
  <si>
    <t>Yes</t>
  </si>
  <si>
    <t>19930318GAHAH</t>
  </si>
  <si>
    <t>Harlem High School</t>
  </si>
  <si>
    <t>Spring</t>
  </si>
  <si>
    <t>Harlem</t>
  </si>
  <si>
    <t>GA</t>
  </si>
  <si>
    <t>High</t>
  </si>
  <si>
    <t>Hallway</t>
  </si>
  <si>
    <t>Inside School Building</t>
  </si>
  <si>
    <t>Yes</t>
  </si>
  <si>
    <t>School Start</t>
  </si>
  <si>
    <t>Shot two students who bullied him</t>
  </si>
  <si>
    <t>Bullying</t>
  </si>
  <si>
    <t>Victims Targeted</t>
  </si>
  <si>
    <t>No</t>
  </si>
  <si>
    <t>Yes</t>
  </si>
  <si>
    <t>No</t>
  </si>
  <si>
    <t>19930308VADOD</t>
  </si>
  <si>
    <t>Dozier Middle School</t>
  </si>
  <si>
    <t>Spring</t>
  </si>
  <si>
    <t>Denbigh</t>
  </si>
  <si>
    <t>VA</t>
  </si>
  <si>
    <t>Middle</t>
  </si>
  <si>
    <t>Parking Lot</t>
  </si>
  <si>
    <t>Outside on School Property</t>
  </si>
  <si>
    <t>Yes</t>
  </si>
  <si>
    <t>School Start</t>
  </si>
  <si>
    <t>Ex-school athlete shot teacher in school parking lot</t>
  </si>
  <si>
    <t>Psychosis</t>
  </si>
  <si>
    <t>Victims Targeted</t>
  </si>
  <si>
    <t>No</t>
  </si>
  <si>
    <t>19930226MAGLG</t>
  </si>
  <si>
    <t>Gloucester High School</t>
  </si>
  <si>
    <t>Winter</t>
  </si>
  <si>
    <t>Gloucester</t>
  </si>
  <si>
    <t>MA</t>
  </si>
  <si>
    <t>High</t>
  </si>
  <si>
    <t>Cafeteria</t>
  </si>
  <si>
    <t>Inside School Building</t>
  </si>
  <si>
    <t>Yes</t>
  </si>
  <si>
    <t>Lunch</t>
  </si>
  <si>
    <t>Suicide in cafeteria</t>
  </si>
  <si>
    <t>Suicide/Attempted</t>
  </si>
  <si>
    <t>Victims Targeted</t>
  </si>
  <si>
    <t>No</t>
  </si>
  <si>
    <t>19930222CAREL</t>
  </si>
  <si>
    <t>Reseda High School</t>
  </si>
  <si>
    <t>Regional</t>
  </si>
  <si>
    <t>Winter</t>
  </si>
  <si>
    <t>Los Angeles</t>
  </si>
  <si>
    <t>CA</t>
  </si>
  <si>
    <t>High</t>
  </si>
  <si>
    <t>Hallway</t>
  </si>
  <si>
    <t>Inside School Building</t>
  </si>
  <si>
    <t>Yes</t>
  </si>
  <si>
    <t>Morning Classes</t>
  </si>
  <si>
    <t>Gang related shooting in school hallway</t>
  </si>
  <si>
    <t>Escalation of Dispute</t>
  </si>
  <si>
    <t>Victims Targeted</t>
  </si>
  <si>
    <t>No</t>
  </si>
  <si>
    <t>19930208DCWAW</t>
  </si>
  <si>
    <t>Washington-Dix Street Academy (High School)</t>
  </si>
  <si>
    <t>Winter</t>
  </si>
  <si>
    <t>Washington</t>
  </si>
  <si>
    <t>DC</t>
  </si>
  <si>
    <t>High</t>
  </si>
  <si>
    <t>Hallway</t>
  </si>
  <si>
    <t>Inside School Building</t>
  </si>
  <si>
    <t>Yes</t>
  </si>
  <si>
    <t>Morning Classes</t>
  </si>
  <si>
    <t>Shot during robbery</t>
  </si>
  <si>
    <t>Illegal Activity</t>
  </si>
  <si>
    <t>Victims Targeted</t>
  </si>
  <si>
    <t>No</t>
  </si>
  <si>
    <t>19930208MNMIM</t>
  </si>
  <si>
    <t>Middle River Middle School</t>
  </si>
  <si>
    <t>Winter</t>
  </si>
  <si>
    <t>Middle River</t>
  </si>
  <si>
    <t>MN</t>
  </si>
  <si>
    <t>Middle</t>
  </si>
  <si>
    <t>Classroom</t>
  </si>
  <si>
    <t>Inside School Building</t>
  </si>
  <si>
    <t>Yes</t>
  </si>
  <si>
    <t>Shot self in classroom</t>
  </si>
  <si>
    <t>Suicide/Attempted</t>
  </si>
  <si>
    <t>Victims Targeted</t>
  </si>
  <si>
    <t>No</t>
  </si>
  <si>
    <t>19930204GACLA</t>
  </si>
  <si>
    <t>Clayton High School</t>
  </si>
  <si>
    <t>Winter</t>
  </si>
  <si>
    <t>Atlanta</t>
  </si>
  <si>
    <t>GA</t>
  </si>
  <si>
    <t>High</t>
  </si>
  <si>
    <t>Parking Lot</t>
  </si>
  <si>
    <t>Outside on School Property</t>
  </si>
  <si>
    <t>No</t>
  </si>
  <si>
    <t>After School</t>
  </si>
  <si>
    <t>Bad blood between two non-students fighting in parking lot after school</t>
  </si>
  <si>
    <t>Escalation of Dispute</t>
  </si>
  <si>
    <t>Victims Targeted</t>
  </si>
  <si>
    <t>No</t>
  </si>
  <si>
    <t>19930203SCGAC</t>
  </si>
  <si>
    <t>Garrett High School</t>
  </si>
  <si>
    <t>Local</t>
  </si>
  <si>
    <t>Winter</t>
  </si>
  <si>
    <t>Charleston</t>
  </si>
  <si>
    <t>SC</t>
  </si>
  <si>
    <t>High</t>
  </si>
  <si>
    <t>Front of School</t>
  </si>
  <si>
    <t>Outside on School Property</t>
  </si>
  <si>
    <t>Yes</t>
  </si>
  <si>
    <t>Evening</t>
  </si>
  <si>
    <t>Student shot outside during break in night classes</t>
  </si>
  <si>
    <t>Victims Targeted</t>
  </si>
  <si>
    <t>No</t>
  </si>
  <si>
    <t>19930203SCLEL</t>
  </si>
  <si>
    <t>Lexington High School</t>
  </si>
  <si>
    <t>Regional</t>
  </si>
  <si>
    <t>Winter</t>
  </si>
  <si>
    <t>Lexington</t>
  </si>
  <si>
    <t>SC</t>
  </si>
  <si>
    <t>High</t>
  </si>
  <si>
    <t>Outside on School Property</t>
  </si>
  <si>
    <t>Yes</t>
  </si>
  <si>
    <t>Student shot at high school</t>
  </si>
  <si>
    <t>Escalation of Dispute</t>
  </si>
  <si>
    <t>Victims Targeted</t>
  </si>
  <si>
    <t>No</t>
  </si>
  <si>
    <t>19930201NYAMA</t>
  </si>
  <si>
    <t>Amityville High School</t>
  </si>
  <si>
    <t>Winter</t>
  </si>
  <si>
    <t>Amityville</t>
  </si>
  <si>
    <t>NY</t>
  </si>
  <si>
    <t>High</t>
  </si>
  <si>
    <t>Beside Building</t>
  </si>
  <si>
    <t>Outside on School Property</t>
  </si>
  <si>
    <t>Yes</t>
  </si>
  <si>
    <t>Afternoon Classes</t>
  </si>
  <si>
    <t>Suspect was in ongoing dispute with victims</t>
  </si>
  <si>
    <t>Escalation of Dispute</t>
  </si>
  <si>
    <t>Victims Targeted</t>
  </si>
  <si>
    <t>No</t>
  </si>
  <si>
    <t>19930201WARER</t>
  </si>
  <si>
    <t>Redmond Junior High School</t>
  </si>
  <si>
    <t>Winter</t>
  </si>
  <si>
    <t>Redmond</t>
  </si>
  <si>
    <t>WA</t>
  </si>
  <si>
    <t>High</t>
  </si>
  <si>
    <t>Outside on School Property</t>
  </si>
  <si>
    <t>No</t>
  </si>
  <si>
    <t>Before School</t>
  </si>
  <si>
    <t>Suicide on school grounds</t>
  </si>
  <si>
    <t>Suicide/Attempted</t>
  </si>
  <si>
    <t>Victims Targeted</t>
  </si>
  <si>
    <t>No</t>
  </si>
  <si>
    <t>19930121CAFAL</t>
  </si>
  <si>
    <t>Fairfax High School</t>
  </si>
  <si>
    <t>Winter</t>
  </si>
  <si>
    <t>Los Angeles</t>
  </si>
  <si>
    <t>CA</t>
  </si>
  <si>
    <t>High</t>
  </si>
  <si>
    <t>Classroom</t>
  </si>
  <si>
    <t>Inside School Building</t>
  </si>
  <si>
    <t>Yes</t>
  </si>
  <si>
    <t>Gun in backpack went off</t>
  </si>
  <si>
    <t>Accidental</t>
  </si>
  <si>
    <t>Random Shooting</t>
  </si>
  <si>
    <t>No</t>
  </si>
  <si>
    <t>19930118KYEAG</t>
  </si>
  <si>
    <t>East Carter High School</t>
  </si>
  <si>
    <t>Winter</t>
  </si>
  <si>
    <t>Grayson</t>
  </si>
  <si>
    <t>KY</t>
  </si>
  <si>
    <t>High</t>
  </si>
  <si>
    <t>Classroom</t>
  </si>
  <si>
    <t>Inside School Building</t>
  </si>
  <si>
    <t>Yes</t>
  </si>
  <si>
    <t>Afternoon Classes</t>
  </si>
  <si>
    <t>Planned attack, took 22 hostages, upset over grade</t>
  </si>
  <si>
    <t>Hostage/Standoff</t>
  </si>
  <si>
    <t>Both</t>
  </si>
  <si>
    <t>No</t>
  </si>
  <si>
    <t>Yes</t>
  </si>
  <si>
    <t>No</t>
  </si>
  <si>
    <t>Yes</t>
  </si>
  <si>
    <t>19930112FLNOM</t>
  </si>
  <si>
    <t>Norland Senior High School</t>
  </si>
  <si>
    <t>Winter</t>
  </si>
  <si>
    <t>Miami</t>
  </si>
  <si>
    <t>FL</t>
  </si>
  <si>
    <t>High</t>
  </si>
  <si>
    <t>Hallway</t>
  </si>
  <si>
    <t>Inside School Building</t>
  </si>
  <si>
    <t>Yes</t>
  </si>
  <si>
    <t>After School</t>
  </si>
  <si>
    <t>Shooting during argument between victim and 3 males over girl</t>
  </si>
  <si>
    <t>Escalation of Dispute</t>
  </si>
  <si>
    <t>Victims Targeted</t>
  </si>
  <si>
    <t>No</t>
  </si>
  <si>
    <t>19930108PACRM</t>
  </si>
  <si>
    <t>Crawford County Joint Vocational Technical School</t>
  </si>
  <si>
    <t>National</t>
  </si>
  <si>
    <t>Winter</t>
  </si>
  <si>
    <t>Meadville</t>
  </si>
  <si>
    <t>PA</t>
  </si>
  <si>
    <t>High</t>
  </si>
  <si>
    <t>Hallway</t>
  </si>
  <si>
    <t>Inside School Building</t>
  </si>
  <si>
    <t>Yes</t>
  </si>
  <si>
    <t>Morning Classes</t>
  </si>
  <si>
    <t>Student shot in the head in hallway by unknown shooter</t>
  </si>
  <si>
    <t>Victims Targeted</t>
  </si>
  <si>
    <t>No</t>
  </si>
  <si>
    <t>19930105NYBRB</t>
  </si>
  <si>
    <t>Brentwood High School</t>
  </si>
  <si>
    <t>Winter</t>
  </si>
  <si>
    <t>Brentwood</t>
  </si>
  <si>
    <t>NY</t>
  </si>
  <si>
    <t>High</t>
  </si>
  <si>
    <t>Gym</t>
  </si>
  <si>
    <t>Inside School Building</t>
  </si>
  <si>
    <t>No</t>
  </si>
  <si>
    <t>Evening</t>
  </si>
  <si>
    <t>Dispute over theft of gold chain</t>
  </si>
  <si>
    <t>Escalation of Dispute</t>
  </si>
  <si>
    <t>Victims Targeted</t>
  </si>
  <si>
    <t>No</t>
  </si>
  <si>
    <t>19921214NYWAW</t>
  </si>
  <si>
    <t>Walton High School</t>
  </si>
  <si>
    <t>Winter</t>
  </si>
  <si>
    <t>Walton</t>
  </si>
  <si>
    <t>NY</t>
  </si>
  <si>
    <t>High</t>
  </si>
  <si>
    <t>Classroom</t>
  </si>
  <si>
    <t>Inside School Building</t>
  </si>
  <si>
    <t>Yes</t>
  </si>
  <si>
    <t>Morning Classes</t>
  </si>
  <si>
    <t>Shot teacher when she would not let him read poem in class</t>
  </si>
  <si>
    <t>Anger Over Grade/Suspension/Discipline</t>
  </si>
  <si>
    <t>Victims Targeted</t>
  </si>
  <si>
    <t>No</t>
  </si>
  <si>
    <t>19921203ILWOC</t>
  </si>
  <si>
    <t>Woodson High School</t>
  </si>
  <si>
    <t>Winter</t>
  </si>
  <si>
    <t>Chicago</t>
  </si>
  <si>
    <t>IL</t>
  </si>
  <si>
    <t>High</t>
  </si>
  <si>
    <t>Gym</t>
  </si>
  <si>
    <t>Inside School Building</t>
  </si>
  <si>
    <t>No</t>
  </si>
  <si>
    <t>Sport Event</t>
  </si>
  <si>
    <t>Shooting during open gym at basketball court</t>
  </si>
  <si>
    <t>Escalation of Dispute</t>
  </si>
  <si>
    <t>Victims Targeted</t>
  </si>
  <si>
    <t>Yes</t>
  </si>
  <si>
    <t>No</t>
  </si>
  <si>
    <t>19921130ILORC</t>
  </si>
  <si>
    <t>Orr High School</t>
  </si>
  <si>
    <t>Fall</t>
  </si>
  <si>
    <t>Chicago</t>
  </si>
  <si>
    <t>IL</t>
  </si>
  <si>
    <t>High</t>
  </si>
  <si>
    <t>Beside Building</t>
  </si>
  <si>
    <t>Outside on School Property</t>
  </si>
  <si>
    <t>Yes</t>
  </si>
  <si>
    <t>Dismissal</t>
  </si>
  <si>
    <t>Retaliation for previous beating by victim</t>
  </si>
  <si>
    <t>Escalation of Dispute</t>
  </si>
  <si>
    <t>Victims Targeted</t>
  </si>
  <si>
    <t>No</t>
  </si>
  <si>
    <t>19921124ALROM</t>
  </si>
  <si>
    <t>Robert E. Lee High School</t>
  </si>
  <si>
    <t>Fall</t>
  </si>
  <si>
    <t>Montgomery</t>
  </si>
  <si>
    <t>AL</t>
  </si>
  <si>
    <t>High</t>
  </si>
  <si>
    <t>Bathroom</t>
  </si>
  <si>
    <t>Inside School Building</t>
  </si>
  <si>
    <t>Yes</t>
  </si>
  <si>
    <t>Fight between two girls in school bathroom</t>
  </si>
  <si>
    <t>Escalation of Dispute</t>
  </si>
  <si>
    <t>Victims Targeted</t>
  </si>
  <si>
    <t>No</t>
  </si>
  <si>
    <t>19921120ILTIC</t>
  </si>
  <si>
    <t>Tilden High School</t>
  </si>
  <si>
    <t>Fall</t>
  </si>
  <si>
    <t>Chicago</t>
  </si>
  <si>
    <t>IL</t>
  </si>
  <si>
    <t>High</t>
  </si>
  <si>
    <t>Hallway</t>
  </si>
  <si>
    <t>Inside School Building</t>
  </si>
  <si>
    <t>Yes</t>
  </si>
  <si>
    <t>Morning Classes</t>
  </si>
  <si>
    <t>Fight in the hallway, shooter fired 4 random shots</t>
  </si>
  <si>
    <t>Escalation of Dispute</t>
  </si>
  <si>
    <t>Random Shooting</t>
  </si>
  <si>
    <t>No</t>
  </si>
  <si>
    <t>19921116ALFAB</t>
  </si>
  <si>
    <t>Fairfield High School</t>
  </si>
  <si>
    <t>Fall</t>
  </si>
  <si>
    <t>Birmingham</t>
  </si>
  <si>
    <t>AL</t>
  </si>
  <si>
    <t>High</t>
  </si>
  <si>
    <t>Hallway</t>
  </si>
  <si>
    <t>Inside School Building</t>
  </si>
  <si>
    <t>Yes</t>
  </si>
  <si>
    <t>4 youths shot victim during robbery</t>
  </si>
  <si>
    <t>Illegal Activity</t>
  </si>
  <si>
    <t>Victims Targeted</t>
  </si>
  <si>
    <t>Yes</t>
  </si>
  <si>
    <t>No</t>
  </si>
  <si>
    <t>19921113TXLAC</t>
  </si>
  <si>
    <t>Langham Creek High School</t>
  </si>
  <si>
    <t>Fall</t>
  </si>
  <si>
    <t>Cypress</t>
  </si>
  <si>
    <t>TX</t>
  </si>
  <si>
    <t>High</t>
  </si>
  <si>
    <t>Parking Lot</t>
  </si>
  <si>
    <t>Outside on School Property</t>
  </si>
  <si>
    <t>Yes</t>
  </si>
  <si>
    <t>Afternoon Classes</t>
  </si>
  <si>
    <t>Murder suicide of estranged wife in parking lot</t>
  </si>
  <si>
    <t>Murder/Suicide</t>
  </si>
  <si>
    <t>Victims Targeted</t>
  </si>
  <si>
    <t>No</t>
  </si>
  <si>
    <t>Yes</t>
  </si>
  <si>
    <t>19921110ILSHC</t>
  </si>
  <si>
    <t>Sherman Elementary School</t>
  </si>
  <si>
    <t>Fall</t>
  </si>
  <si>
    <t>Chicago</t>
  </si>
  <si>
    <t>IL</t>
  </si>
  <si>
    <t>Elementary</t>
  </si>
  <si>
    <t>Classroom</t>
  </si>
  <si>
    <t>Inside School Building</t>
  </si>
  <si>
    <t>Yes</t>
  </si>
  <si>
    <t>Playing with gun in classroom, shot himself in the head</t>
  </si>
  <si>
    <t>Accidental</t>
  </si>
  <si>
    <t>Victims Targeted</t>
  </si>
  <si>
    <t>No</t>
  </si>
  <si>
    <t>19921104MIMUD</t>
  </si>
  <si>
    <t>Mumford High School</t>
  </si>
  <si>
    <t>Fall</t>
  </si>
  <si>
    <t>Detroit</t>
  </si>
  <si>
    <t>MI</t>
  </si>
  <si>
    <t>High</t>
  </si>
  <si>
    <t>Front of School</t>
  </si>
  <si>
    <t>Outside on School Property</t>
  </si>
  <si>
    <t>Yes</t>
  </si>
  <si>
    <t>Afternoon Classes</t>
  </si>
  <si>
    <t>Bystander student hit during related drive-by</t>
  </si>
  <si>
    <t>Drive-by Shooting</t>
  </si>
  <si>
    <t>Yes</t>
  </si>
  <si>
    <t>No</t>
  </si>
  <si>
    <t>19921104MIMAD</t>
  </si>
  <si>
    <t>Marcus Garvey Academy</t>
  </si>
  <si>
    <t>Fall</t>
  </si>
  <si>
    <t>Detroit</t>
  </si>
  <si>
    <t>MI</t>
  </si>
  <si>
    <t>K-8</t>
  </si>
  <si>
    <t>Front of School</t>
  </si>
  <si>
    <t>Outside on School Property</t>
  </si>
  <si>
    <t>Yes</t>
  </si>
  <si>
    <t>Dismissal</t>
  </si>
  <si>
    <t>Bystander student hit during related drive-by</t>
  </si>
  <si>
    <t>Drive-by Shooting</t>
  </si>
  <si>
    <t>No</t>
  </si>
  <si>
    <t>19921104MIFID</t>
  </si>
  <si>
    <t>Finney High School</t>
  </si>
  <si>
    <t>Fall</t>
  </si>
  <si>
    <t>Detroit</t>
  </si>
  <si>
    <t>MI</t>
  </si>
  <si>
    <t>High</t>
  </si>
  <si>
    <t>Hallway</t>
  </si>
  <si>
    <t>Inside School Building</t>
  </si>
  <si>
    <t>Yes</t>
  </si>
  <si>
    <t>Morning Classes</t>
  </si>
  <si>
    <t>Gang related shooting in hallway</t>
  </si>
  <si>
    <t>Indiscriminate Shooting</t>
  </si>
  <si>
    <t>Both</t>
  </si>
  <si>
    <t>Yes</t>
  </si>
  <si>
    <t>No</t>
  </si>
  <si>
    <t>19921019NYEVB</t>
  </si>
  <si>
    <t>Evander Childs High School</t>
  </si>
  <si>
    <t>Fall</t>
  </si>
  <si>
    <t>Bronx</t>
  </si>
  <si>
    <t>NY</t>
  </si>
  <si>
    <t>High</t>
  </si>
  <si>
    <t>Beside Building</t>
  </si>
  <si>
    <t>Outside on School Property</t>
  </si>
  <si>
    <t>Yes</t>
  </si>
  <si>
    <t>Afternoon Classes</t>
  </si>
  <si>
    <t>Bystander student shot in hallway during gang shooting</t>
  </si>
  <si>
    <t>Escalation of Dispute</t>
  </si>
  <si>
    <t>Victims Targeted</t>
  </si>
  <si>
    <t>No</t>
  </si>
  <si>
    <t>19921013AZDET</t>
  </si>
  <si>
    <t>Desert View High School</t>
  </si>
  <si>
    <t>Fall</t>
  </si>
  <si>
    <t>Tucson</t>
  </si>
  <si>
    <t>AZ</t>
  </si>
  <si>
    <t>High</t>
  </si>
  <si>
    <t>Parking Lot</t>
  </si>
  <si>
    <t>Outside on School Property</t>
  </si>
  <si>
    <t>Yes</t>
  </si>
  <si>
    <t>Dismissal</t>
  </si>
  <si>
    <t>Student flashed gang sign at shooter</t>
  </si>
  <si>
    <t>Escalation of Dispute</t>
  </si>
  <si>
    <t>Victims Targeted</t>
  </si>
  <si>
    <t>No</t>
  </si>
  <si>
    <t>19920930CAPAL</t>
  </si>
  <si>
    <t>Paramount High School</t>
  </si>
  <si>
    <t>Regional</t>
  </si>
  <si>
    <t>Fall</t>
  </si>
  <si>
    <t>Los Angeles</t>
  </si>
  <si>
    <t>CA</t>
  </si>
  <si>
    <t>High</t>
  </si>
  <si>
    <t>Front of School</t>
  </si>
  <si>
    <t>Outside on School Property</t>
  </si>
  <si>
    <t>No</t>
  </si>
  <si>
    <t>After School</t>
  </si>
  <si>
    <t>Student walking to cheerleading practice was fatally shot</t>
  </si>
  <si>
    <t>Drive-by Shooting</t>
  </si>
  <si>
    <t>Both</t>
  </si>
  <si>
    <t>No</t>
  </si>
  <si>
    <t>19920930TXHOH</t>
  </si>
  <si>
    <t>Hollibrook Elementary School</t>
  </si>
  <si>
    <t>Fall</t>
  </si>
  <si>
    <t>Houston</t>
  </si>
  <si>
    <t>TX</t>
  </si>
  <si>
    <t>Elementary</t>
  </si>
  <si>
    <t>Outside on School Property</t>
  </si>
  <si>
    <t>No</t>
  </si>
  <si>
    <t>Night</t>
  </si>
  <si>
    <t>Gang fight at school during night</t>
  </si>
  <si>
    <t>Escalation of Dispute</t>
  </si>
  <si>
    <t>Victims Targeted</t>
  </si>
  <si>
    <t>No</t>
  </si>
  <si>
    <t>19920928CAHIS</t>
  </si>
  <si>
    <t>Hiram Johnson High School</t>
  </si>
  <si>
    <t>Fall</t>
  </si>
  <si>
    <t>Sacramento</t>
  </si>
  <si>
    <t>CA</t>
  </si>
  <si>
    <t>High</t>
  </si>
  <si>
    <t>Hallway</t>
  </si>
  <si>
    <t>Inside School Building</t>
  </si>
  <si>
    <t>Yes</t>
  </si>
  <si>
    <t>Dismissal</t>
  </si>
  <si>
    <t>Fight between Latino and Vietnamese students</t>
  </si>
  <si>
    <t>Racial</t>
  </si>
  <si>
    <t>Victims Targeted</t>
  </si>
  <si>
    <t>Yes</t>
  </si>
  <si>
    <t>No</t>
  </si>
  <si>
    <t>19920911TXPAA</t>
  </si>
  <si>
    <t>Palo Duro High School</t>
  </si>
  <si>
    <t>Fall</t>
  </si>
  <si>
    <t>Amarillo</t>
  </si>
  <si>
    <t>TX</t>
  </si>
  <si>
    <t>High</t>
  </si>
  <si>
    <t>Hallway</t>
  </si>
  <si>
    <t>Inside School Building</t>
  </si>
  <si>
    <t>Yes</t>
  </si>
  <si>
    <t>Morning Classes</t>
  </si>
  <si>
    <t>Shooting spurred from earlier fights</t>
  </si>
  <si>
    <t>Escalation of Dispute</t>
  </si>
  <si>
    <t>Both</t>
  </si>
  <si>
    <t>No</t>
  </si>
  <si>
    <t>19920606CAMEM</t>
  </si>
  <si>
    <t>Merced High School</t>
  </si>
  <si>
    <t>Summer</t>
  </si>
  <si>
    <t>Merced</t>
  </si>
  <si>
    <t>CA</t>
  </si>
  <si>
    <t>High</t>
  </si>
  <si>
    <t>Gym</t>
  </si>
  <si>
    <t>Inside School Building</t>
  </si>
  <si>
    <t>No</t>
  </si>
  <si>
    <t>School Event</t>
  </si>
  <si>
    <t>Fight at school dance escalated into shooting</t>
  </si>
  <si>
    <t>Escalation of Dispute</t>
  </si>
  <si>
    <t>Victims Targeted</t>
  </si>
  <si>
    <t>No</t>
  </si>
  <si>
    <t>19920530DCARW</t>
  </si>
  <si>
    <t>Archbishop Carroll High School</t>
  </si>
  <si>
    <t>Local</t>
  </si>
  <si>
    <t>Spring</t>
  </si>
  <si>
    <t>Washington</t>
  </si>
  <si>
    <t>DC</t>
  </si>
  <si>
    <t>High</t>
  </si>
  <si>
    <t>Beside Building</t>
  </si>
  <si>
    <t>Outside on School Property</t>
  </si>
  <si>
    <t>No</t>
  </si>
  <si>
    <t>School Event</t>
  </si>
  <si>
    <t>Five teens shot outside of school dance</t>
  </si>
  <si>
    <t>Escalation of Dispute</t>
  </si>
  <si>
    <t>Both</t>
  </si>
  <si>
    <t>No</t>
  </si>
  <si>
    <t>19920529CAVEL</t>
  </si>
  <si>
    <t>Venice High School</t>
  </si>
  <si>
    <t>Spring</t>
  </si>
  <si>
    <t>Los Angeles</t>
  </si>
  <si>
    <t>CA</t>
  </si>
  <si>
    <t>High</t>
  </si>
  <si>
    <t>Front of School</t>
  </si>
  <si>
    <t>Outside on School Property</t>
  </si>
  <si>
    <t>Yes</t>
  </si>
  <si>
    <t>Drive-by, students/shooter yelled gang names</t>
  </si>
  <si>
    <t>Drive-by Shooting</t>
  </si>
  <si>
    <t>Victims Targeted</t>
  </si>
  <si>
    <t>No</t>
  </si>
  <si>
    <t>19920514CASIN</t>
  </si>
  <si>
    <t>Silverado Middle School</t>
  </si>
  <si>
    <t>Spring</t>
  </si>
  <si>
    <t>Napa</t>
  </si>
  <si>
    <t>CA</t>
  </si>
  <si>
    <t>Junior High</t>
  </si>
  <si>
    <t>Classroom</t>
  </si>
  <si>
    <t>Inside School Building</t>
  </si>
  <si>
    <t>Yes</t>
  </si>
  <si>
    <t>Morning Classes</t>
  </si>
  <si>
    <t>Bullied - planned attacked - referred to himself as a "new Jack City Hustler."</t>
  </si>
  <si>
    <t>Bullying</t>
  </si>
  <si>
    <t>No</t>
  </si>
  <si>
    <t>Yes</t>
  </si>
  <si>
    <t>No</t>
  </si>
  <si>
    <t>Yes</t>
  </si>
  <si>
    <t>19920514TXHUH</t>
  </si>
  <si>
    <t>Huntsville Junior High School</t>
  </si>
  <si>
    <t>Spring</t>
  </si>
  <si>
    <t>Huntsville</t>
  </si>
  <si>
    <t>TX</t>
  </si>
  <si>
    <t>Junior High</t>
  </si>
  <si>
    <t>Courtyard</t>
  </si>
  <si>
    <t>Outside on School Property</t>
  </si>
  <si>
    <t>Yes</t>
  </si>
  <si>
    <t>School Start</t>
  </si>
  <si>
    <t>Ongoing fight, shooter told victim he was going to kill him tomorrow day prior</t>
  </si>
  <si>
    <t>Escalation of Dispute</t>
  </si>
  <si>
    <t>Victims Targeted</t>
  </si>
  <si>
    <t>No</t>
  </si>
  <si>
    <t>19920501CALIO</t>
  </si>
  <si>
    <t>Lindhurst High School</t>
  </si>
  <si>
    <t>Spring</t>
  </si>
  <si>
    <t>Olivehurst</t>
  </si>
  <si>
    <t>CA</t>
  </si>
  <si>
    <t>High</t>
  </si>
  <si>
    <t>Hallway</t>
  </si>
  <si>
    <t>Inside School Building</t>
  </si>
  <si>
    <t>Yes</t>
  </si>
  <si>
    <t>Afternoon Classes</t>
  </si>
  <si>
    <t>Planned attack, 80 hostages</t>
  </si>
  <si>
    <t>Hostage/Standoff</t>
  </si>
  <si>
    <t>Both</t>
  </si>
  <si>
    <t>No</t>
  </si>
  <si>
    <t>Yes</t>
  </si>
  <si>
    <t>No</t>
  </si>
  <si>
    <t>Yes</t>
  </si>
  <si>
    <t>19920417TXLID</t>
  </si>
  <si>
    <t>Lincoln High School</t>
  </si>
  <si>
    <t>Spring</t>
  </si>
  <si>
    <t>Dallas</t>
  </si>
  <si>
    <t>TX</t>
  </si>
  <si>
    <t>High</t>
  </si>
  <si>
    <t>Parking Lot</t>
  </si>
  <si>
    <t>Outside on School Property</t>
  </si>
  <si>
    <t>No</t>
  </si>
  <si>
    <t>Night</t>
  </si>
  <si>
    <t>Accidental, gun fired into air came down and struck 19YOM in head</t>
  </si>
  <si>
    <t>Accidental</t>
  </si>
  <si>
    <t>Random Shooting</t>
  </si>
  <si>
    <t>No</t>
  </si>
  <si>
    <t>19920409FLFOF</t>
  </si>
  <si>
    <t>Fort Myers High School</t>
  </si>
  <si>
    <t>Spring</t>
  </si>
  <si>
    <t>Fort Myers</t>
  </si>
  <si>
    <t>FL</t>
  </si>
  <si>
    <t>High</t>
  </si>
  <si>
    <t>Field (General)</t>
  </si>
  <si>
    <t>Outside on School Property</t>
  </si>
  <si>
    <t>Yes</t>
  </si>
  <si>
    <t>Morning Classes</t>
  </si>
  <si>
    <t>Shots fired during fight in school hallway</t>
  </si>
  <si>
    <t>Escalation of Dispute</t>
  </si>
  <si>
    <t>Victims Targeted</t>
  </si>
  <si>
    <t>No</t>
  </si>
  <si>
    <t>19920331LAOPA</t>
  </si>
  <si>
    <t>O Perry Walker High School</t>
  </si>
  <si>
    <t>Spring</t>
  </si>
  <si>
    <t>Algiers</t>
  </si>
  <si>
    <t>LA</t>
  </si>
  <si>
    <t>High</t>
  </si>
  <si>
    <t>Hallway</t>
  </si>
  <si>
    <t>Inside School Building</t>
  </si>
  <si>
    <t>Yes</t>
  </si>
  <si>
    <t>Morning Classes</t>
  </si>
  <si>
    <t>Fight escalated into shooting in the hallways</t>
  </si>
  <si>
    <t>Escalation of Dispute</t>
  </si>
  <si>
    <t>Victims Targeted</t>
  </si>
  <si>
    <t>No</t>
  </si>
  <si>
    <t>19920305OHHAO</t>
  </si>
  <si>
    <t>Hamilton Middle School</t>
  </si>
  <si>
    <t>Spring</t>
  </si>
  <si>
    <t>Obetz</t>
  </si>
  <si>
    <t>OH</t>
  </si>
  <si>
    <t>Middle</t>
  </si>
  <si>
    <t>Cafeteria</t>
  </si>
  <si>
    <t>Inside School Building</t>
  </si>
  <si>
    <t>Yes</t>
  </si>
  <si>
    <t>Lunch</t>
  </si>
  <si>
    <t>Shot specific victim in school cafeteria</t>
  </si>
  <si>
    <t>Escalation of Dispute</t>
  </si>
  <si>
    <t>Victims Targeted</t>
  </si>
  <si>
    <t>No</t>
  </si>
  <si>
    <t>19920226NYTHB</t>
  </si>
  <si>
    <t>Thomas Jefferson High School</t>
  </si>
  <si>
    <t>Winter</t>
  </si>
  <si>
    <t>Brooklyn</t>
  </si>
  <si>
    <t>NY</t>
  </si>
  <si>
    <t>High</t>
  </si>
  <si>
    <t>Hallway</t>
  </si>
  <si>
    <t>Inside School Building</t>
  </si>
  <si>
    <t>Yes</t>
  </si>
  <si>
    <t>Morning Classes</t>
  </si>
  <si>
    <t>Shots fired during fight in hallway</t>
  </si>
  <si>
    <t>Escalation of Dispute</t>
  </si>
  <si>
    <t>Victims Targeted</t>
  </si>
  <si>
    <t>No</t>
  </si>
  <si>
    <t>19920207VABON</t>
  </si>
  <si>
    <t>Booker T. Washington High School</t>
  </si>
  <si>
    <t>Winter</t>
  </si>
  <si>
    <t>Norfolk</t>
  </si>
  <si>
    <t>VA</t>
  </si>
  <si>
    <t>High</t>
  </si>
  <si>
    <t>Beside Building</t>
  </si>
  <si>
    <t>Outside on School Property</t>
  </si>
  <si>
    <t>Yes</t>
  </si>
  <si>
    <t>Lunch</t>
  </si>
  <si>
    <t>Argument over coat stolen in prior burglary</t>
  </si>
  <si>
    <t>Escalation of Dispute</t>
  </si>
  <si>
    <t>Victims Targeted</t>
  </si>
  <si>
    <t>No</t>
  </si>
  <si>
    <t>19920206OKDOO</t>
  </si>
  <si>
    <t>Douglass High School</t>
  </si>
  <si>
    <t>Winter</t>
  </si>
  <si>
    <t>Oklahoma City</t>
  </si>
  <si>
    <t>OK</t>
  </si>
  <si>
    <t>High</t>
  </si>
  <si>
    <t>Inside School Building</t>
  </si>
  <si>
    <t>Yes</t>
  </si>
  <si>
    <t>Afternoon Classes</t>
  </si>
  <si>
    <t>Shot victim due to jealousy over a girl</t>
  </si>
  <si>
    <t>Escalation of Dispute</t>
  </si>
  <si>
    <t>Victims Targeted</t>
  </si>
  <si>
    <t>No</t>
  </si>
  <si>
    <t>19920131LAFRG</t>
  </si>
  <si>
    <t>Francis W. Gregory Junior High School</t>
  </si>
  <si>
    <t>Winter</t>
  </si>
  <si>
    <t>Gentilly</t>
  </si>
  <si>
    <t>LA</t>
  </si>
  <si>
    <t>Junior High</t>
  </si>
  <si>
    <t>Hallway</t>
  </si>
  <si>
    <t>Inside School Building</t>
  </si>
  <si>
    <t>Yes</t>
  </si>
  <si>
    <t>Afternoon Classes</t>
  </si>
  <si>
    <t>Student shot in hallway during a fight with 3 other students</t>
  </si>
  <si>
    <t>Escalation of Dispute</t>
  </si>
  <si>
    <t>Victims Targeted</t>
  </si>
  <si>
    <t>Unknown</t>
  </si>
  <si>
    <t>No</t>
  </si>
  <si>
    <t>19920128LAFRG</t>
  </si>
  <si>
    <t>Francis W. Gregory Junior High School</t>
  </si>
  <si>
    <t>Winter</t>
  </si>
  <si>
    <t>Gentilly</t>
  </si>
  <si>
    <t>LA</t>
  </si>
  <si>
    <t>Junior High</t>
  </si>
  <si>
    <t>Beside Building</t>
  </si>
  <si>
    <t>Outside on School Property</t>
  </si>
  <si>
    <t>Shot during robbery behind school</t>
  </si>
  <si>
    <t>Illegal Activity</t>
  </si>
  <si>
    <t>Victims Targeted</t>
  </si>
  <si>
    <t>No</t>
  </si>
  <si>
    <t>19920117SCGRG</t>
  </si>
  <si>
    <t>Greenwood High School</t>
  </si>
  <si>
    <t>Regional</t>
  </si>
  <si>
    <t>Winter</t>
  </si>
  <si>
    <t>Greenwood</t>
  </si>
  <si>
    <t>SC</t>
  </si>
  <si>
    <t>High</t>
  </si>
  <si>
    <t>Cafeteria</t>
  </si>
  <si>
    <t>Inside School Building</t>
  </si>
  <si>
    <t>Yes</t>
  </si>
  <si>
    <t>Lunch</t>
  </si>
  <si>
    <t>Student shot another student during a dispute near the cafeteria</t>
  </si>
  <si>
    <t>Escalation of Dispute</t>
  </si>
  <si>
    <t>Victims Targeted</t>
  </si>
  <si>
    <t>No</t>
  </si>
  <si>
    <t>19911226NCWHW</t>
  </si>
  <si>
    <t>Whiteville High School</t>
  </si>
  <si>
    <t>Winter</t>
  </si>
  <si>
    <t>Whiteville</t>
  </si>
  <si>
    <t>NC</t>
  </si>
  <si>
    <t>High</t>
  </si>
  <si>
    <t>Beside Building</t>
  </si>
  <si>
    <t>Outside on School Property</t>
  </si>
  <si>
    <t>No</t>
  </si>
  <si>
    <t>Sport Event</t>
  </si>
  <si>
    <t>Two shot during basketball tournament outside of gym</t>
  </si>
  <si>
    <t>Escalation of Dispute</t>
  </si>
  <si>
    <t>Victims Targeted</t>
  </si>
  <si>
    <t>No</t>
  </si>
  <si>
    <t>19911125NYTHB</t>
  </si>
  <si>
    <t>Thomas Jefferson High School</t>
  </si>
  <si>
    <t>Fall</t>
  </si>
  <si>
    <t>Brooklyn</t>
  </si>
  <si>
    <t>NY</t>
  </si>
  <si>
    <t>High</t>
  </si>
  <si>
    <t>Hallway</t>
  </si>
  <si>
    <t>Inside School Building</t>
  </si>
  <si>
    <t>Yes</t>
  </si>
  <si>
    <t>Morning Classes</t>
  </si>
  <si>
    <t>Shots fired during fight in hallway</t>
  </si>
  <si>
    <t>Escalation of Dispute</t>
  </si>
  <si>
    <t>Both</t>
  </si>
  <si>
    <t>No</t>
  </si>
  <si>
    <t>19911114TXMIH</t>
  </si>
  <si>
    <t>Milby High School</t>
  </si>
  <si>
    <t>Fall</t>
  </si>
  <si>
    <t>Houston</t>
  </si>
  <si>
    <t>TX</t>
  </si>
  <si>
    <t>High</t>
  </si>
  <si>
    <t>Hallway</t>
  </si>
  <si>
    <t>Inside School Building</t>
  </si>
  <si>
    <t>Yes</t>
  </si>
  <si>
    <t>Lunch</t>
  </si>
  <si>
    <t>18 year old victim was shot 4 time in legs and feet by 16YO student</t>
  </si>
  <si>
    <t>Escalation of Dispute</t>
  </si>
  <si>
    <t>No</t>
  </si>
  <si>
    <t>19911111TXYSE</t>
  </si>
  <si>
    <t>Ysleta High School</t>
  </si>
  <si>
    <t>Fall</t>
  </si>
  <si>
    <t>El Paso</t>
  </si>
  <si>
    <t>TX</t>
  </si>
  <si>
    <t>High</t>
  </si>
  <si>
    <t>Front of School</t>
  </si>
  <si>
    <t>Outside on School Property</t>
  </si>
  <si>
    <t>Yes</t>
  </si>
  <si>
    <t>After School</t>
  </si>
  <si>
    <t>Gang related shooting at group outside of high school</t>
  </si>
  <si>
    <t>Drive-by Shooting</t>
  </si>
  <si>
    <t>Yes</t>
  </si>
  <si>
    <t>No</t>
  </si>
  <si>
    <t>19911106LAWAN</t>
  </si>
  <si>
    <t>Walter L. Cohen Senior High School</t>
  </si>
  <si>
    <t>Fall</t>
  </si>
  <si>
    <t>New Orleans</t>
  </si>
  <si>
    <t>LA</t>
  </si>
  <si>
    <t>High</t>
  </si>
  <si>
    <t>Parking Lot</t>
  </si>
  <si>
    <t>Outside on School Property</t>
  </si>
  <si>
    <t>No</t>
  </si>
  <si>
    <t>After School</t>
  </si>
  <si>
    <t>Fight between 8 students escalated into shooting outside school</t>
  </si>
  <si>
    <t>Drive-by Shooting</t>
  </si>
  <si>
    <t>Victims Targeted</t>
  </si>
  <si>
    <t>No</t>
  </si>
  <si>
    <t>19911023TXOAD</t>
  </si>
  <si>
    <t>Oak Cliff High School</t>
  </si>
  <si>
    <t>Fall</t>
  </si>
  <si>
    <t>Dallas</t>
  </si>
  <si>
    <t>TX</t>
  </si>
  <si>
    <t>High</t>
  </si>
  <si>
    <t>Hallway</t>
  </si>
  <si>
    <t>Inside School Building</t>
  </si>
  <si>
    <t>Yes</t>
  </si>
  <si>
    <t>School Start</t>
  </si>
  <si>
    <t>Shooter younger brother was bullied. Shot bully during confrontation.</t>
  </si>
  <si>
    <t>Bullying</t>
  </si>
  <si>
    <t>Victims Targeted</t>
  </si>
  <si>
    <t>No</t>
  </si>
  <si>
    <t>Yes</t>
  </si>
  <si>
    <t>No</t>
  </si>
  <si>
    <t>19911015TXGEP</t>
  </si>
  <si>
    <t>Genevieve Sparks Elementary School</t>
  </si>
  <si>
    <t>Fall</t>
  </si>
  <si>
    <t>Pasadena</t>
  </si>
  <si>
    <t>TX</t>
  </si>
  <si>
    <t>Elementary</t>
  </si>
  <si>
    <t>Field (General)</t>
  </si>
  <si>
    <t>Outside on School Property</t>
  </si>
  <si>
    <t>Yes</t>
  </si>
  <si>
    <t>Afternoon Classes</t>
  </si>
  <si>
    <t>Accidental. 13YO boy in woods nearby was shooting at squirrels, didn't realize how far bullets traveled.</t>
  </si>
  <si>
    <t>Accidental</t>
  </si>
  <si>
    <t>Random Shooting</t>
  </si>
  <si>
    <t>No</t>
  </si>
  <si>
    <t>19911015SCWOW</t>
  </si>
  <si>
    <t>Woodruff High School</t>
  </si>
  <si>
    <t>Fall</t>
  </si>
  <si>
    <t>Woodruff</t>
  </si>
  <si>
    <t>SC</t>
  </si>
  <si>
    <t>High</t>
  </si>
  <si>
    <t>Hallway</t>
  </si>
  <si>
    <t>Inside School Building</t>
  </si>
  <si>
    <t>Yes</t>
  </si>
  <si>
    <t>Lunch</t>
  </si>
  <si>
    <t>Shooter fired shots into the air while being harassed by two bullies. Fled scene after firing.</t>
  </si>
  <si>
    <t>Bullying</t>
  </si>
  <si>
    <t>Victims Targeted</t>
  </si>
  <si>
    <t>No</t>
  </si>
  <si>
    <t>Yes</t>
  </si>
  <si>
    <t>No</t>
  </si>
  <si>
    <t>19911015NHMOS</t>
  </si>
  <si>
    <t>Monadnock Regional High School</t>
  </si>
  <si>
    <t>Fall</t>
  </si>
  <si>
    <t>Swanzey</t>
  </si>
  <si>
    <t>NH</t>
  </si>
  <si>
    <t>High</t>
  </si>
  <si>
    <t>Hallway</t>
  </si>
  <si>
    <t>Inside School Building</t>
  </si>
  <si>
    <t>Yes</t>
  </si>
  <si>
    <t>Morning Classes</t>
  </si>
  <si>
    <t>Shooter fired rifle shot which broke into pieces and injured two students; subdued by police after 15 minute standoff</t>
  </si>
  <si>
    <t>Anger Over Grade/Suspension/Discipline</t>
  </si>
  <si>
    <t>Random Shooting</t>
  </si>
  <si>
    <t>No</t>
  </si>
  <si>
    <t>Yes</t>
  </si>
  <si>
    <t>No</t>
  </si>
  <si>
    <t>Yes</t>
  </si>
  <si>
    <t>19911011MAMAR</t>
  </si>
  <si>
    <t>Madison Park High School</t>
  </si>
  <si>
    <t>National</t>
  </si>
  <si>
    <t>Fall</t>
  </si>
  <si>
    <t>Roxbury</t>
  </si>
  <si>
    <t>MA</t>
  </si>
  <si>
    <t>High</t>
  </si>
  <si>
    <t>Football Field/Track</t>
  </si>
  <si>
    <t>Outside on School Property</t>
  </si>
  <si>
    <t>Yes</t>
  </si>
  <si>
    <t>After School</t>
  </si>
  <si>
    <t>Teen shot during halftime of football game</t>
  </si>
  <si>
    <t>Escalation of Dispute</t>
  </si>
  <si>
    <t>Victims Targeted</t>
  </si>
  <si>
    <t>Yes</t>
  </si>
  <si>
    <t>No</t>
  </si>
  <si>
    <t>19911009NYJAB</t>
  </si>
  <si>
    <t>James Monroe High School</t>
  </si>
  <si>
    <t>Fall</t>
  </si>
  <si>
    <t>Bronx</t>
  </si>
  <si>
    <t>NY</t>
  </si>
  <si>
    <t>High</t>
  </si>
  <si>
    <t>Outside on School Property</t>
  </si>
  <si>
    <t>Yes</t>
  </si>
  <si>
    <t>Morning Classes</t>
  </si>
  <si>
    <t>Planned fight outside of school</t>
  </si>
  <si>
    <t>Escalation of Dispute</t>
  </si>
  <si>
    <t>Victims Targeted</t>
  </si>
  <si>
    <t>No</t>
  </si>
  <si>
    <t>19911004CAROL</t>
  </si>
  <si>
    <t>Roosevelt High School</t>
  </si>
  <si>
    <t>Fall</t>
  </si>
  <si>
    <t>Los Angeles</t>
  </si>
  <si>
    <t>CA</t>
  </si>
  <si>
    <t>High</t>
  </si>
  <si>
    <t>Football Field/Track</t>
  </si>
  <si>
    <t>Outside on School Property</t>
  </si>
  <si>
    <t>No</t>
  </si>
  <si>
    <t>Sport Event</t>
  </si>
  <si>
    <t>Shooting at football game between rival teams</t>
  </si>
  <si>
    <t>Escalation of Dispute</t>
  </si>
  <si>
    <t>No</t>
  </si>
  <si>
    <t>19911004CADOL</t>
  </si>
  <si>
    <t>Dorsey High School</t>
  </si>
  <si>
    <t>Fall</t>
  </si>
  <si>
    <t>Los Angeles</t>
  </si>
  <si>
    <t>CA</t>
  </si>
  <si>
    <t>High</t>
  </si>
  <si>
    <t>Football Field/Track</t>
  </si>
  <si>
    <t>Outside on School Property</t>
  </si>
  <si>
    <t>No</t>
  </si>
  <si>
    <t>Sport Event</t>
  </si>
  <si>
    <t>Shooting between 15-20 rival gang members at football game</t>
  </si>
  <si>
    <t>Escalation of Dispute</t>
  </si>
  <si>
    <t>Random Shooting</t>
  </si>
  <si>
    <t>No</t>
  </si>
  <si>
    <t>19911002TXSPH</t>
  </si>
  <si>
    <t>Spring Woods High School (bus)</t>
  </si>
  <si>
    <t>Fall</t>
  </si>
  <si>
    <t>Houston</t>
  </si>
  <si>
    <t>TX</t>
  </si>
  <si>
    <t>High</t>
  </si>
  <si>
    <t>School Bus</t>
  </si>
  <si>
    <t>No</t>
  </si>
  <si>
    <t>Before School</t>
  </si>
  <si>
    <t>Accidental while showing off gun</t>
  </si>
  <si>
    <t>Accidental</t>
  </si>
  <si>
    <t>Random Shooting</t>
  </si>
  <si>
    <t>No</t>
  </si>
  <si>
    <t>19910918TXCRC</t>
  </si>
  <si>
    <t>Crosby High School</t>
  </si>
  <si>
    <t>Fall</t>
  </si>
  <si>
    <t>Crosby</t>
  </si>
  <si>
    <t>TX</t>
  </si>
  <si>
    <t>High</t>
  </si>
  <si>
    <t>Cafeteria</t>
  </si>
  <si>
    <t>Inside School Building</t>
  </si>
  <si>
    <t>Yes</t>
  </si>
  <si>
    <t>School Start</t>
  </si>
  <si>
    <t>Victim insulted shooter in cafeteria</t>
  </si>
  <si>
    <t>Escalation of Dispute</t>
  </si>
  <si>
    <t>Victims Targeted</t>
  </si>
  <si>
    <t>No</t>
  </si>
  <si>
    <t>19910917ILWOC</t>
  </si>
  <si>
    <t>Woodson High School</t>
  </si>
  <si>
    <t>Fall</t>
  </si>
  <si>
    <t>Chicago</t>
  </si>
  <si>
    <t>IL</t>
  </si>
  <si>
    <t>High</t>
  </si>
  <si>
    <t>Gym</t>
  </si>
  <si>
    <t>Inside School Building</t>
  </si>
  <si>
    <t>No</t>
  </si>
  <si>
    <t>After School</t>
  </si>
  <si>
    <t>Shooter fired crowd during basketball game in retaliation for previous gang shooting</t>
  </si>
  <si>
    <t>Indiscriminate Shooting</t>
  </si>
  <si>
    <t>Random Shooting</t>
  </si>
  <si>
    <t>No</t>
  </si>
  <si>
    <t>19910913TXMAH</t>
  </si>
  <si>
    <t>Madison High School</t>
  </si>
  <si>
    <t>Fall</t>
  </si>
  <si>
    <t>Houston</t>
  </si>
  <si>
    <t>TX</t>
  </si>
  <si>
    <t>High</t>
  </si>
  <si>
    <t>Parking Lot</t>
  </si>
  <si>
    <t>Outside on School Property</t>
  </si>
  <si>
    <t>No</t>
  </si>
  <si>
    <t>Sport Event</t>
  </si>
  <si>
    <t>Shots fired during large fighter between rival football teams</t>
  </si>
  <si>
    <t>Escalation of Dispute</t>
  </si>
  <si>
    <t>Random Shooting</t>
  </si>
  <si>
    <t>No</t>
  </si>
  <si>
    <t>19910730CAENC</t>
  </si>
  <si>
    <t>Enterprise Middle School</t>
  </si>
  <si>
    <t>Summer</t>
  </si>
  <si>
    <t>Compton</t>
  </si>
  <si>
    <t>CA</t>
  </si>
  <si>
    <t>Middle</t>
  </si>
  <si>
    <t>Hallway</t>
  </si>
  <si>
    <t>Inside School Building</t>
  </si>
  <si>
    <t>Yes</t>
  </si>
  <si>
    <t>Afternoon Classes</t>
  </si>
  <si>
    <t>Victim was beat and shot by two gang members in school</t>
  </si>
  <si>
    <t>Escalation of Dispute</t>
  </si>
  <si>
    <t>Victims Targeted</t>
  </si>
  <si>
    <t>No</t>
  </si>
  <si>
    <t>19910722CAWEL</t>
  </si>
  <si>
    <t>Westchester High School</t>
  </si>
  <si>
    <t>Summer</t>
  </si>
  <si>
    <t>Los Angeles</t>
  </si>
  <si>
    <t>CA</t>
  </si>
  <si>
    <t>High</t>
  </si>
  <si>
    <t>Front of School</t>
  </si>
  <si>
    <t>Outside on School Property</t>
  </si>
  <si>
    <t>Yes</t>
  </si>
  <si>
    <t>Morning Classes</t>
  </si>
  <si>
    <t>Gang members shot a student outside of school</t>
  </si>
  <si>
    <t>Drive-by Shooting</t>
  </si>
  <si>
    <t>Victims Targeted</t>
  </si>
  <si>
    <t>No</t>
  </si>
  <si>
    <t>19910521CAROS</t>
  </si>
  <si>
    <t>Robert A. Millikan Junior High School</t>
  </si>
  <si>
    <t>Spring</t>
  </si>
  <si>
    <t>Sherman Oaks</t>
  </si>
  <si>
    <t>CA</t>
  </si>
  <si>
    <t>Junior High</t>
  </si>
  <si>
    <t>Front of School</t>
  </si>
  <si>
    <t>Outside on School Property</t>
  </si>
  <si>
    <t>No</t>
  </si>
  <si>
    <t>After School</t>
  </si>
  <si>
    <t>Victim flashed gang signs at a male in a van outside of school, shooter fired multiple shots killing him</t>
  </si>
  <si>
    <t>Drive-by Shooting</t>
  </si>
  <si>
    <t>Victims Targeted</t>
  </si>
  <si>
    <t>No</t>
  </si>
  <si>
    <t>19910521FLSCP</t>
  </si>
  <si>
    <t>School of Choice</t>
  </si>
  <si>
    <t>Spring</t>
  </si>
  <si>
    <t>Pahokee</t>
  </si>
  <si>
    <t>FL</t>
  </si>
  <si>
    <t>Unknown</t>
  </si>
  <si>
    <t>Beside Building</t>
  </si>
  <si>
    <t>Outside on School Property</t>
  </si>
  <si>
    <t>Yes</t>
  </si>
  <si>
    <t>Morning Classes</t>
  </si>
  <si>
    <t>Three students shot following fight the prior night</t>
  </si>
  <si>
    <t>Escalation of Dispute</t>
  </si>
  <si>
    <t>Both</t>
  </si>
  <si>
    <t>No</t>
  </si>
  <si>
    <t>19910516KSCOK</t>
  </si>
  <si>
    <t>Coronado Middle School</t>
  </si>
  <si>
    <t>Spring</t>
  </si>
  <si>
    <t>Kansas City</t>
  </si>
  <si>
    <t>KS</t>
  </si>
  <si>
    <t>Middle</t>
  </si>
  <si>
    <t>Inside School Building</t>
  </si>
  <si>
    <t>Yes</t>
  </si>
  <si>
    <t>Gang-initiation shooting at school</t>
  </si>
  <si>
    <t>Illegal Activity</t>
  </si>
  <si>
    <t>Yes</t>
  </si>
  <si>
    <t>No</t>
  </si>
  <si>
    <t>19910510OHFRC</t>
  </si>
  <si>
    <t>Franklin Alternative Middle School</t>
  </si>
  <si>
    <t>Spring</t>
  </si>
  <si>
    <t>Columbus</t>
  </si>
  <si>
    <t>OH</t>
  </si>
  <si>
    <t>Middle</t>
  </si>
  <si>
    <t>Front of School</t>
  </si>
  <si>
    <t>Outside on School Property</t>
  </si>
  <si>
    <t>No</t>
  </si>
  <si>
    <t>After School</t>
  </si>
  <si>
    <t>Shooter fired at group of students standing outside the school, previous conflict with the group</t>
  </si>
  <si>
    <t>Escalation of Dispute</t>
  </si>
  <si>
    <t>Victims Targeted</t>
  </si>
  <si>
    <t>No</t>
  </si>
  <si>
    <t>19910423MSHUB</t>
  </si>
  <si>
    <t>Humphrey's County High School</t>
  </si>
  <si>
    <t>Spring</t>
  </si>
  <si>
    <t>Belzoni</t>
  </si>
  <si>
    <t>MS</t>
  </si>
  <si>
    <t>High</t>
  </si>
  <si>
    <t>Classroom</t>
  </si>
  <si>
    <t>Inside School Building</t>
  </si>
  <si>
    <t>Yes</t>
  </si>
  <si>
    <t>Afternoon Classes</t>
  </si>
  <si>
    <t>Accidental discharge playing with gun in classroom</t>
  </si>
  <si>
    <t>Accidental</t>
  </si>
  <si>
    <t>Random Shooting</t>
  </si>
  <si>
    <t>No</t>
  </si>
  <si>
    <t>19910423CARAC</t>
  </si>
  <si>
    <t>Ralph J. Bunche Middle School</t>
  </si>
  <si>
    <t>Spring</t>
  </si>
  <si>
    <t>Compton</t>
  </si>
  <si>
    <t>CA</t>
  </si>
  <si>
    <t>Middle</t>
  </si>
  <si>
    <t>Beside Building</t>
  </si>
  <si>
    <t>Outside on School Property</t>
  </si>
  <si>
    <t>Yes</t>
  </si>
  <si>
    <t>Gang-related shooting in school hallway</t>
  </si>
  <si>
    <t>Illegal Activity</t>
  </si>
  <si>
    <t>Random Shooting</t>
  </si>
  <si>
    <t>No</t>
  </si>
  <si>
    <t>19910411SCNOR</t>
  </si>
  <si>
    <t>Northwest High School</t>
  </si>
  <si>
    <t>Spring</t>
  </si>
  <si>
    <t>Rock Hill</t>
  </si>
  <si>
    <t>SC</t>
  </si>
  <si>
    <t>High</t>
  </si>
  <si>
    <t>Cafeteria</t>
  </si>
  <si>
    <t>Inside School Building</t>
  </si>
  <si>
    <t>Yes</t>
  </si>
  <si>
    <t>School Start</t>
  </si>
  <si>
    <t>Student commit suicide in school cafeteria after break-up with gf</t>
  </si>
  <si>
    <t>Suicide/Attempted</t>
  </si>
  <si>
    <t>Victims Targeted</t>
  </si>
  <si>
    <t>No</t>
  </si>
  <si>
    <t>19910325NCGAC</t>
  </si>
  <si>
    <t>Garinger High School</t>
  </si>
  <si>
    <t>Spring</t>
  </si>
  <si>
    <t>Charlotte</t>
  </si>
  <si>
    <t>NC</t>
  </si>
  <si>
    <t>High</t>
  </si>
  <si>
    <t>Front of School</t>
  </si>
  <si>
    <t>Outside on School Property</t>
  </si>
  <si>
    <t>No</t>
  </si>
  <si>
    <t>Dismissal</t>
  </si>
  <si>
    <t>Drive-by shooting at end of school day</t>
  </si>
  <si>
    <t>Drive-by Shooting</t>
  </si>
  <si>
    <t>Victims Targeted</t>
  </si>
  <si>
    <t>No</t>
  </si>
  <si>
    <t>19910314SCWOP</t>
  </si>
  <si>
    <t>Woodmont High School</t>
  </si>
  <si>
    <t>Spring</t>
  </si>
  <si>
    <t>Piedmont</t>
  </si>
  <si>
    <t>SC</t>
  </si>
  <si>
    <t>High</t>
  </si>
  <si>
    <t>Parking Lot</t>
  </si>
  <si>
    <t>Outside on School Property</t>
  </si>
  <si>
    <t>No</t>
  </si>
  <si>
    <t>School Event</t>
  </si>
  <si>
    <t>Following talent show, large fight broke out in school parking lot. 2 shooters fired during fight.</t>
  </si>
  <si>
    <t>Escalation of Dispute</t>
  </si>
  <si>
    <t>Both</t>
  </si>
  <si>
    <t>Yes</t>
  </si>
  <si>
    <t>No</t>
  </si>
  <si>
    <t>19910313ALSES</t>
  </si>
  <si>
    <t>Selma High School</t>
  </si>
  <si>
    <t>Spring</t>
  </si>
  <si>
    <t>Selma</t>
  </si>
  <si>
    <t>AL</t>
  </si>
  <si>
    <t>High</t>
  </si>
  <si>
    <t>Gym</t>
  </si>
  <si>
    <t>Inside School Building</t>
  </si>
  <si>
    <t>Yes</t>
  </si>
  <si>
    <t>Morning Classes</t>
  </si>
  <si>
    <t>Targeted victim after fight the prior weekend</t>
  </si>
  <si>
    <t>Escalation of Dispute</t>
  </si>
  <si>
    <t>Both</t>
  </si>
  <si>
    <t>No</t>
  </si>
  <si>
    <t>19910219LABON</t>
  </si>
  <si>
    <t>Booker T. Washington High School</t>
  </si>
  <si>
    <t>Local</t>
  </si>
  <si>
    <t>Winter</t>
  </si>
  <si>
    <t>New Orleans</t>
  </si>
  <si>
    <t>LA</t>
  </si>
  <si>
    <t>High</t>
  </si>
  <si>
    <t>Outside on School Property</t>
  </si>
  <si>
    <t>Yes</t>
  </si>
  <si>
    <t>Lunch</t>
  </si>
  <si>
    <t>Non-student killed on student and injured another in the parking lot. Student killed had 2 grams of crack cocaine in his pocket</t>
  </si>
  <si>
    <t>Illegal Activity</t>
  </si>
  <si>
    <t>Both</t>
  </si>
  <si>
    <t>No</t>
  </si>
  <si>
    <t>19910117TXHOD</t>
  </si>
  <si>
    <t>Hood Middle School</t>
  </si>
  <si>
    <t>Winter</t>
  </si>
  <si>
    <t>Dallas</t>
  </si>
  <si>
    <t>TX</t>
  </si>
  <si>
    <t>Middle</t>
  </si>
  <si>
    <t>Outside on School Property</t>
  </si>
  <si>
    <t>No</t>
  </si>
  <si>
    <t>Before School</t>
  </si>
  <si>
    <t>Large fight occurred between students from rival neighborhood. Shots fired by two students. One was injured.</t>
  </si>
  <si>
    <t>Escalation of Dispute</t>
  </si>
  <si>
    <t>Random Shooting</t>
  </si>
  <si>
    <t>Yes</t>
  </si>
  <si>
    <t>No</t>
  </si>
  <si>
    <t>19910108TXRIR</t>
  </si>
  <si>
    <t>Richardson High School</t>
  </si>
  <si>
    <t>Winter</t>
  </si>
  <si>
    <t>Richardson</t>
  </si>
  <si>
    <t>TX</t>
  </si>
  <si>
    <t>High</t>
  </si>
  <si>
    <t>Classroom</t>
  </si>
  <si>
    <t>Inside School Building</t>
  </si>
  <si>
    <t>Yes</t>
  </si>
  <si>
    <t>Morning Classes</t>
  </si>
  <si>
    <t>Student walked into class room, put .357 into mouth, and commit suicide</t>
  </si>
  <si>
    <t>Suicide/Attempted</t>
  </si>
  <si>
    <t>Victims Targeted</t>
  </si>
  <si>
    <t>No</t>
  </si>
  <si>
    <t>19901213LASAS</t>
  </si>
  <si>
    <t>Salmen High School</t>
  </si>
  <si>
    <t>Winter</t>
  </si>
  <si>
    <t>Slidell</t>
  </si>
  <si>
    <t>LA</t>
  </si>
  <si>
    <t>High</t>
  </si>
  <si>
    <t>Parking Lot</t>
  </si>
  <si>
    <t>Outside on School Property</t>
  </si>
  <si>
    <t>No</t>
  </si>
  <si>
    <t>Sport Event</t>
  </si>
  <si>
    <t>50 rounds fired in school parking lot outside of basketball game by gang members over a drug debt, no injuries</t>
  </si>
  <si>
    <t>Illegal Activity</t>
  </si>
  <si>
    <t>Victims Targeted</t>
  </si>
  <si>
    <t>No</t>
  </si>
  <si>
    <t>19901110TXJUD</t>
  </si>
  <si>
    <t>Justin Kimball High School</t>
  </si>
  <si>
    <t>Regional</t>
  </si>
  <si>
    <t>Fall</t>
  </si>
  <si>
    <t>Dallas</t>
  </si>
  <si>
    <t>TX</t>
  </si>
  <si>
    <t>High</t>
  </si>
  <si>
    <t>Football Field/Track</t>
  </si>
  <si>
    <t>Outside on School Property</t>
  </si>
  <si>
    <t>No</t>
  </si>
  <si>
    <t>Sport Event</t>
  </si>
  <si>
    <t>Teen shot in the neck in the stands during football game</t>
  </si>
  <si>
    <t>Unknown</t>
  </si>
  <si>
    <t>Both</t>
  </si>
  <si>
    <t>No</t>
  </si>
  <si>
    <t>19901030TXNAG</t>
  </si>
  <si>
    <t>Naaman Forest High School</t>
  </si>
  <si>
    <t>Fall</t>
  </si>
  <si>
    <t>Garland</t>
  </si>
  <si>
    <t>TX</t>
  </si>
  <si>
    <t>High</t>
  </si>
  <si>
    <t>Office</t>
  </si>
  <si>
    <t>Inside School Building</t>
  </si>
  <si>
    <t>No</t>
  </si>
  <si>
    <t>Morning Classes</t>
  </si>
  <si>
    <t>Mother of student shot principal for suspending son</t>
  </si>
  <si>
    <t>Anger Over Grade/Suspension/Discipline</t>
  </si>
  <si>
    <t>Victims Targeted</t>
  </si>
  <si>
    <t>No</t>
  </si>
  <si>
    <t>19901029INCHC</t>
  </si>
  <si>
    <t>Charlestown High School</t>
  </si>
  <si>
    <t>Local</t>
  </si>
  <si>
    <t>Fall</t>
  </si>
  <si>
    <t>Charlestown</t>
  </si>
  <si>
    <t>IN</t>
  </si>
  <si>
    <t>High</t>
  </si>
  <si>
    <t>Classroom</t>
  </si>
  <si>
    <t>Inside School Building</t>
  </si>
  <si>
    <t>Yes</t>
  </si>
  <si>
    <t>Morning Classes</t>
  </si>
  <si>
    <t>Armed student took teacher and 15 students hostage in classroom for 8 hours</t>
  </si>
  <si>
    <t>Hostage/Standoff</t>
  </si>
  <si>
    <t>Neither</t>
  </si>
  <si>
    <t>No</t>
  </si>
  <si>
    <t>Yes</t>
  </si>
  <si>
    <t>No</t>
  </si>
  <si>
    <t>Yes</t>
  </si>
  <si>
    <t>19901002TXWHD</t>
  </si>
  <si>
    <t>W H Adamson High School</t>
  </si>
  <si>
    <t>Fall</t>
  </si>
  <si>
    <t>Dallas</t>
  </si>
  <si>
    <t>TX</t>
  </si>
  <si>
    <t>High</t>
  </si>
  <si>
    <t>Parking Lot</t>
  </si>
  <si>
    <t>Outside on School Property</t>
  </si>
  <si>
    <t>No</t>
  </si>
  <si>
    <t>After School</t>
  </si>
  <si>
    <t>Drive-by in school parking lot, vehicle had covered license plate</t>
  </si>
  <si>
    <t>Drive-by Shooting</t>
  </si>
  <si>
    <t>Random Shooting</t>
  </si>
  <si>
    <t>Yes</t>
  </si>
  <si>
    <t>No</t>
  </si>
  <si>
    <t>19900922ALLEB</t>
  </si>
  <si>
    <t>Legion Field Statium (high school game)</t>
  </si>
  <si>
    <t>Fall</t>
  </si>
  <si>
    <t>Birmingham</t>
  </si>
  <si>
    <t>AL</t>
  </si>
  <si>
    <t>High</t>
  </si>
  <si>
    <t>Football Field/Track</t>
  </si>
  <si>
    <t>Outside on School Property</t>
  </si>
  <si>
    <t>No</t>
  </si>
  <si>
    <t>Sport Event</t>
  </si>
  <si>
    <t>Two teens shot during football game inside stadium, remainder of game cancelled.</t>
  </si>
  <si>
    <t>Escalation of Dispute</t>
  </si>
  <si>
    <t>No</t>
  </si>
  <si>
    <t>19900911TXSAS</t>
  </si>
  <si>
    <t>Sam Houston High School</t>
  </si>
  <si>
    <t>Fall</t>
  </si>
  <si>
    <t>San Antonio</t>
  </si>
  <si>
    <t>TX</t>
  </si>
  <si>
    <t>High</t>
  </si>
  <si>
    <t>Beside Building</t>
  </si>
  <si>
    <t>Outside on School Property</t>
  </si>
  <si>
    <t>Yes</t>
  </si>
  <si>
    <t>Lunch</t>
  </si>
  <si>
    <t>Bystander students shot during gang shooting outside of school</t>
  </si>
  <si>
    <t>Escalation of Dispute</t>
  </si>
  <si>
    <t>Victims Targeted</t>
  </si>
  <si>
    <t>Yes</t>
  </si>
  <si>
    <t>No</t>
  </si>
  <si>
    <t>19900906GASOC</t>
  </si>
  <si>
    <t>South Forsyth Middle School - High School</t>
  </si>
  <si>
    <t>National</t>
  </si>
  <si>
    <t>Fall</t>
  </si>
  <si>
    <t>Cumming</t>
  </si>
  <si>
    <t>GA</t>
  </si>
  <si>
    <t>6-12</t>
  </si>
  <si>
    <t>Classroom</t>
  </si>
  <si>
    <t>Inside School Building</t>
  </si>
  <si>
    <t>Yes</t>
  </si>
  <si>
    <t>Morning Classes</t>
  </si>
  <si>
    <t>Student took 53 students hostage at gunpoint in classroom for 5.5 hours</t>
  </si>
  <si>
    <t>Hostage/Standoff</t>
  </si>
  <si>
    <t>Both</t>
  </si>
  <si>
    <t>No</t>
  </si>
  <si>
    <t>Yes</t>
  </si>
  <si>
    <t>No</t>
  </si>
  <si>
    <t>Yes</t>
  </si>
  <si>
    <t>19900827NVELL</t>
  </si>
  <si>
    <t>Eldorado High School</t>
  </si>
  <si>
    <t>Summer</t>
  </si>
  <si>
    <t>Las Vegas</t>
  </si>
  <si>
    <t>NV</t>
  </si>
  <si>
    <t>High</t>
  </si>
  <si>
    <t>Hallway</t>
  </si>
  <si>
    <t>Inside School Building</t>
  </si>
  <si>
    <t>Yes</t>
  </si>
  <si>
    <t>Before School</t>
  </si>
  <si>
    <t>Gang related shooting involving large group of students</t>
  </si>
  <si>
    <t>Escalation of Dispute</t>
  </si>
  <si>
    <t>Victims Targeted</t>
  </si>
  <si>
    <t>No</t>
  </si>
  <si>
    <t>19900827TXWHD</t>
  </si>
  <si>
    <t>W H Adamson High School</t>
  </si>
  <si>
    <t>Summer</t>
  </si>
  <si>
    <t>Dallas</t>
  </si>
  <si>
    <t>TX</t>
  </si>
  <si>
    <t>High</t>
  </si>
  <si>
    <t>Outside on School Property</t>
  </si>
  <si>
    <t>Yes</t>
  </si>
  <si>
    <t>Morning Classes</t>
  </si>
  <si>
    <t>5 gang members fired shots at a student, all shots missed.</t>
  </si>
  <si>
    <t>Escalation of Dispute</t>
  </si>
  <si>
    <t>Victims Targeted</t>
  </si>
  <si>
    <t>Yes</t>
  </si>
  <si>
    <t>No</t>
  </si>
  <si>
    <t>19900824NCMYC</t>
  </si>
  <si>
    <t>Myers Park High School</t>
  </si>
  <si>
    <t>Summer</t>
  </si>
  <si>
    <t>Charlotte</t>
  </si>
  <si>
    <t>NC</t>
  </si>
  <si>
    <t>High</t>
  </si>
  <si>
    <t>Football Field/Track</t>
  </si>
  <si>
    <t>Outside on School Property</t>
  </si>
  <si>
    <t>No</t>
  </si>
  <si>
    <t>Sport Event</t>
  </si>
  <si>
    <t>Student shot during football game by unknown shooter who fled</t>
  </si>
  <si>
    <t>Unknown</t>
  </si>
  <si>
    <t>No</t>
  </si>
  <si>
    <t>19900531TXSUF</t>
  </si>
  <si>
    <t>Sunrise Elementary School</t>
  </si>
  <si>
    <t>Spring</t>
  </si>
  <si>
    <t>Fort Worth</t>
  </si>
  <si>
    <t>TX</t>
  </si>
  <si>
    <t>Elementary</t>
  </si>
  <si>
    <t>Playground</t>
  </si>
  <si>
    <t>Outside on School Property</t>
  </si>
  <si>
    <t>Yes</t>
  </si>
  <si>
    <t>Morning Classes</t>
  </si>
  <si>
    <t>Teenagers joyriding fired at two elementary school students on a school playground</t>
  </si>
  <si>
    <t>Indiscriminate Shooting</t>
  </si>
  <si>
    <t>Random Shooting</t>
  </si>
  <si>
    <t>No</t>
  </si>
  <si>
    <t>19900520TNHIC</t>
  </si>
  <si>
    <t>Hickman County High School</t>
  </si>
  <si>
    <t>Spring</t>
  </si>
  <si>
    <t>Centerville</t>
  </si>
  <si>
    <t>TN</t>
  </si>
  <si>
    <t>High</t>
  </si>
  <si>
    <t>Hallway</t>
  </si>
  <si>
    <t>Inside School Building</t>
  </si>
  <si>
    <t>No</t>
  </si>
  <si>
    <t>Not a School Day</t>
  </si>
  <si>
    <t>Caught trying to set fire to school</t>
  </si>
  <si>
    <t>Psychosis</t>
  </si>
  <si>
    <t>Victims Targeted</t>
  </si>
  <si>
    <t>No</t>
  </si>
  <si>
    <t>19900504CAMOE</t>
  </si>
  <si>
    <t>Mount Pleasant High School</t>
  </si>
  <si>
    <t>Spring</t>
  </si>
  <si>
    <t>San Jose</t>
  </si>
  <si>
    <t>CA</t>
  </si>
  <si>
    <t>High</t>
  </si>
  <si>
    <t>Hallway</t>
  </si>
  <si>
    <t>Inside School Building</t>
  </si>
  <si>
    <t>Yes</t>
  </si>
  <si>
    <t>Group of Vietnamese students had Ongoing argument with group of white students</t>
  </si>
  <si>
    <t>Racial</t>
  </si>
  <si>
    <t>Both</t>
  </si>
  <si>
    <t>Yes</t>
  </si>
  <si>
    <t>No</t>
  </si>
  <si>
    <t>19900403TXSKD</t>
  </si>
  <si>
    <t>Skyline High School</t>
  </si>
  <si>
    <t>Spring</t>
  </si>
  <si>
    <t>Dallas</t>
  </si>
  <si>
    <t>TX</t>
  </si>
  <si>
    <t>High</t>
  </si>
  <si>
    <t>Hallway</t>
  </si>
  <si>
    <t>Inside School Building</t>
  </si>
  <si>
    <t>Yes</t>
  </si>
  <si>
    <t>Earlier fight escalated into shooting in school hallway</t>
  </si>
  <si>
    <t>Escalation of Dispute</t>
  </si>
  <si>
    <t>Victims Targeted</t>
  </si>
  <si>
    <t>No</t>
  </si>
  <si>
    <t>19900327NYNEB</t>
  </si>
  <si>
    <t>New Utrecht High School</t>
  </si>
  <si>
    <t>Spring</t>
  </si>
  <si>
    <t>Brooklyn</t>
  </si>
  <si>
    <t>NY</t>
  </si>
  <si>
    <t>High</t>
  </si>
  <si>
    <t>Hallway</t>
  </si>
  <si>
    <t>Inside School Building</t>
  </si>
  <si>
    <t>Yes</t>
  </si>
  <si>
    <t>Morning Classes</t>
  </si>
  <si>
    <t>Racially motivated, three older white students confronted a black student and shot him</t>
  </si>
  <si>
    <t>Racial</t>
  </si>
  <si>
    <t>Victims Targeted</t>
  </si>
  <si>
    <t>Yes</t>
  </si>
  <si>
    <t>No</t>
  </si>
  <si>
    <t>19900220OHTAC</t>
  </si>
  <si>
    <t>Taft High School</t>
  </si>
  <si>
    <t>Winter</t>
  </si>
  <si>
    <t>Cincinnati</t>
  </si>
  <si>
    <t>OH</t>
  </si>
  <si>
    <t>High</t>
  </si>
  <si>
    <t>Outside on School Property</t>
  </si>
  <si>
    <t>No</t>
  </si>
  <si>
    <t>Dismissal</t>
  </si>
  <si>
    <t>Struck by bullet while watching fight at school</t>
  </si>
  <si>
    <t>Escalation of Dispute</t>
  </si>
  <si>
    <t>Both</t>
  </si>
  <si>
    <t>No</t>
  </si>
  <si>
    <t>19900116RICEP</t>
  </si>
  <si>
    <t>Central High School</t>
  </si>
  <si>
    <t>Winter</t>
  </si>
  <si>
    <t>Providence</t>
  </si>
  <si>
    <t>RI</t>
  </si>
  <si>
    <t>High</t>
  </si>
  <si>
    <t>Beside Building</t>
  </si>
  <si>
    <t>Outside on School Property</t>
  </si>
  <si>
    <t>Yes</t>
  </si>
  <si>
    <t>Lunch</t>
  </si>
  <si>
    <t>Racial shooting between Asian and White students</t>
  </si>
  <si>
    <t>Bullying</t>
  </si>
  <si>
    <t>Random Shooting</t>
  </si>
  <si>
    <t>No</t>
  </si>
  <si>
    <t>Yes</t>
  </si>
  <si>
    <t>No</t>
  </si>
  <si>
    <t>19891212SCCHC</t>
  </si>
  <si>
    <t>Chester High School</t>
  </si>
  <si>
    <t>Winter</t>
  </si>
  <si>
    <t>Chester</t>
  </si>
  <si>
    <t>SC</t>
  </si>
  <si>
    <t>High</t>
  </si>
  <si>
    <t>Courtyard</t>
  </si>
  <si>
    <t>Outside on School Property</t>
  </si>
  <si>
    <t>Yes</t>
  </si>
  <si>
    <t>Dismissal</t>
  </si>
  <si>
    <t>Targeted victim after fight</t>
  </si>
  <si>
    <t>Escalation of Dispute</t>
  </si>
  <si>
    <t>Victims Targeted</t>
  </si>
  <si>
    <t>No</t>
  </si>
  <si>
    <t>19891205PASEM</t>
  </si>
  <si>
    <t>Serra Catholic High School bus</t>
  </si>
  <si>
    <t>Local</t>
  </si>
  <si>
    <t>Winter</t>
  </si>
  <si>
    <t>McKeesport</t>
  </si>
  <si>
    <t>PA</t>
  </si>
  <si>
    <t>High</t>
  </si>
  <si>
    <t>School Bus</t>
  </si>
  <si>
    <t>No</t>
  </si>
  <si>
    <t>Before School</t>
  </si>
  <si>
    <t>Shot student in front of him on bus then killed self</t>
  </si>
  <si>
    <t>Murder/Suicide</t>
  </si>
  <si>
    <t>Victims Targeted</t>
  </si>
  <si>
    <t>No</t>
  </si>
  <si>
    <t>19891205TXWWD</t>
  </si>
  <si>
    <t>W W Samuell High School</t>
  </si>
  <si>
    <t>Winter</t>
  </si>
  <si>
    <t>Dallas</t>
  </si>
  <si>
    <t>TX</t>
  </si>
  <si>
    <t>High</t>
  </si>
  <si>
    <t>Hallway</t>
  </si>
  <si>
    <t>Inside School Building</t>
  </si>
  <si>
    <t>Yes</t>
  </si>
  <si>
    <t>Morning Classes</t>
  </si>
  <si>
    <t>Gang members fired shots, ricocheted and hit teacher</t>
  </si>
  <si>
    <t>Escalation of Dispute</t>
  </si>
  <si>
    <t>Both</t>
  </si>
  <si>
    <t>No</t>
  </si>
  <si>
    <t>19891204LACAS</t>
  </si>
  <si>
    <t>Caddo Magnet High School</t>
  </si>
  <si>
    <t>Winter</t>
  </si>
  <si>
    <t>Shreveport</t>
  </si>
  <si>
    <t>LA</t>
  </si>
  <si>
    <t>High</t>
  </si>
  <si>
    <t>School Bus</t>
  </si>
  <si>
    <t>No</t>
  </si>
  <si>
    <t>After School</t>
  </si>
  <si>
    <t>Fight on school bus</t>
  </si>
  <si>
    <t>Escalation of Dispute</t>
  </si>
  <si>
    <t>Victims Targeted</t>
  </si>
  <si>
    <t>No</t>
  </si>
  <si>
    <t>19891122CACHO</t>
  </si>
  <si>
    <t>Channel Islands High School</t>
  </si>
  <si>
    <t>Fall</t>
  </si>
  <si>
    <t>Oxnard</t>
  </si>
  <si>
    <t>CA</t>
  </si>
  <si>
    <t>High</t>
  </si>
  <si>
    <t>Beside Building</t>
  </si>
  <si>
    <t>Outside on School Property</t>
  </si>
  <si>
    <t>No</t>
  </si>
  <si>
    <t>After School</t>
  </si>
  <si>
    <t>Fight between rival gang members outside of school</t>
  </si>
  <si>
    <t>Escalation of Dispute</t>
  </si>
  <si>
    <t>Victims Targeted</t>
  </si>
  <si>
    <t>No</t>
  </si>
  <si>
    <t>19891115TXWOA</t>
  </si>
  <si>
    <t>Workman Junior High School</t>
  </si>
  <si>
    <t>Fall</t>
  </si>
  <si>
    <t>Arlington</t>
  </si>
  <si>
    <t>TX</t>
  </si>
  <si>
    <t>Junior High</t>
  </si>
  <si>
    <t>Parking Lot</t>
  </si>
  <si>
    <t>Outside on School Property</t>
  </si>
  <si>
    <t>Yes</t>
  </si>
  <si>
    <t>Dismissal</t>
  </si>
  <si>
    <t>Shot vice principal in back during dismissal</t>
  </si>
  <si>
    <t>Anger Over Grade/Suspension/Discipline</t>
  </si>
  <si>
    <t>Victims Targeted</t>
  </si>
  <si>
    <t>No</t>
  </si>
  <si>
    <t>19891113NYALN</t>
  </si>
  <si>
    <t>Alfred E. Smith High School</t>
  </si>
  <si>
    <t>Fall</t>
  </si>
  <si>
    <t>New York</t>
  </si>
  <si>
    <t>NY</t>
  </si>
  <si>
    <t>High</t>
  </si>
  <si>
    <t>Inside School Building</t>
  </si>
  <si>
    <t>Yes</t>
  </si>
  <si>
    <t>Afternoon Classes</t>
  </si>
  <si>
    <t>Showing off gun, accidental discharge struck victim in chest</t>
  </si>
  <si>
    <t>Accidental</t>
  </si>
  <si>
    <t>Random Shooting</t>
  </si>
  <si>
    <t>No</t>
  </si>
  <si>
    <t>19891031TXOLD</t>
  </si>
  <si>
    <t>Oliver Wendell Holmes Middle School</t>
  </si>
  <si>
    <t>Fall</t>
  </si>
  <si>
    <t>Dallas</t>
  </si>
  <si>
    <t>TX</t>
  </si>
  <si>
    <t>Middle</t>
  </si>
  <si>
    <t>Inside School Building</t>
  </si>
  <si>
    <t>Yes</t>
  </si>
  <si>
    <t>School Start</t>
  </si>
  <si>
    <t>Student shot with bb gun in spine</t>
  </si>
  <si>
    <t>Accidental</t>
  </si>
  <si>
    <t>Random Shooting</t>
  </si>
  <si>
    <t>No</t>
  </si>
  <si>
    <t>19891005CALOA</t>
  </si>
  <si>
    <t>Loara High School</t>
  </si>
  <si>
    <t>Fall</t>
  </si>
  <si>
    <t>Anaheim</t>
  </si>
  <si>
    <t>CA</t>
  </si>
  <si>
    <t>High</t>
  </si>
  <si>
    <t>Classroom</t>
  </si>
  <si>
    <t>Inside School Building</t>
  </si>
  <si>
    <t>Yes</t>
  </si>
  <si>
    <t>Morning Classes</t>
  </si>
  <si>
    <t>Suspect held 35 students in drama class hostage for 40 minutes before surrendering to police</t>
  </si>
  <si>
    <t>Hostage/Standoff</t>
  </si>
  <si>
    <t>Victims Targeted</t>
  </si>
  <si>
    <t>No</t>
  </si>
  <si>
    <t>Yes</t>
  </si>
  <si>
    <t>No</t>
  </si>
  <si>
    <t>Yes</t>
  </si>
  <si>
    <t>19890918KYJAM</t>
  </si>
  <si>
    <t>Jackson County High School</t>
  </si>
  <si>
    <t>Fall</t>
  </si>
  <si>
    <t>Berea</t>
  </si>
  <si>
    <t>KY</t>
  </si>
  <si>
    <t>High</t>
  </si>
  <si>
    <t>Classroom</t>
  </si>
  <si>
    <t>Inside School Building</t>
  </si>
  <si>
    <t>Yes</t>
  </si>
  <si>
    <t>Took class hostage, fired 2 shots, no injuries</t>
  </si>
  <si>
    <t>Hostage/Standoff</t>
  </si>
  <si>
    <t>Random Shooting</t>
  </si>
  <si>
    <t>Yes</t>
  </si>
  <si>
    <t>No</t>
  </si>
  <si>
    <t>Yes</t>
  </si>
  <si>
    <t>19890911AZDYE</t>
  </si>
  <si>
    <t>Dysart High School</t>
  </si>
  <si>
    <t>Fall</t>
  </si>
  <si>
    <t>El Mirage</t>
  </si>
  <si>
    <t>AZ</t>
  </si>
  <si>
    <t>High</t>
  </si>
  <si>
    <t>Inside School Building</t>
  </si>
  <si>
    <t>Yes</t>
  </si>
  <si>
    <t>Before School</t>
  </si>
  <si>
    <t>Accidental discharge while showing off gun in school</t>
  </si>
  <si>
    <t>Accidental</t>
  </si>
  <si>
    <t>Random Shooting</t>
  </si>
  <si>
    <t>No</t>
  </si>
  <si>
    <t>19890901VASAV</t>
  </si>
  <si>
    <t>Salem High School</t>
  </si>
  <si>
    <t>National</t>
  </si>
  <si>
    <t>Fall</t>
  </si>
  <si>
    <t>Virginia Beach</t>
  </si>
  <si>
    <t>VA</t>
  </si>
  <si>
    <t>High</t>
  </si>
  <si>
    <t>Parking Lot</t>
  </si>
  <si>
    <t>Outside on School Property</t>
  </si>
  <si>
    <t>No</t>
  </si>
  <si>
    <t>Sport Event</t>
  </si>
  <si>
    <t>Two teens shot during fight in the parking lot following football game</t>
  </si>
  <si>
    <t>Escalation of Dispute</t>
  </si>
  <si>
    <t>Victims Targeted</t>
  </si>
  <si>
    <t>Yes</t>
  </si>
  <si>
    <t>No</t>
  </si>
  <si>
    <t>19890426TXAMD</t>
  </si>
  <si>
    <t>A Maceo Smith High School</t>
  </si>
  <si>
    <t>Spring</t>
  </si>
  <si>
    <t>Dallas</t>
  </si>
  <si>
    <t>TX</t>
  </si>
  <si>
    <t>High</t>
  </si>
  <si>
    <t>Parking Lot</t>
  </si>
  <si>
    <t>Outside on School Property</t>
  </si>
  <si>
    <t>Yes</t>
  </si>
  <si>
    <t>School Start</t>
  </si>
  <si>
    <t>Argument about shooter female cousin, fired shots</t>
  </si>
  <si>
    <t>Escalation of Dispute</t>
  </si>
  <si>
    <t>Victims Targeted</t>
  </si>
  <si>
    <t>Yes</t>
  </si>
  <si>
    <t>No</t>
  </si>
  <si>
    <t>Yes</t>
  </si>
  <si>
    <t>19890303INWIG</t>
  </si>
  <si>
    <t>Wirt High School</t>
  </si>
  <si>
    <t>Spring</t>
  </si>
  <si>
    <t>Gary</t>
  </si>
  <si>
    <t>IN</t>
  </si>
  <si>
    <t>High</t>
  </si>
  <si>
    <t>Beside Building</t>
  </si>
  <si>
    <t>Outside on School Property</t>
  </si>
  <si>
    <t>Yes</t>
  </si>
  <si>
    <t>Lunch</t>
  </si>
  <si>
    <t>Dispute between students in gym class</t>
  </si>
  <si>
    <t>Escalation of Dispute</t>
  </si>
  <si>
    <t>Victims Targeted</t>
  </si>
  <si>
    <t>No</t>
  </si>
  <si>
    <t>19890210UTTHK</t>
  </si>
  <si>
    <t>Thomas Jefferson Junior High School</t>
  </si>
  <si>
    <t>Winter</t>
  </si>
  <si>
    <t>Kearns</t>
  </si>
  <si>
    <t>UT</t>
  </si>
  <si>
    <t>Junior High</t>
  </si>
  <si>
    <t>Parking Lot</t>
  </si>
  <si>
    <t>Outside on School Property</t>
  </si>
  <si>
    <t>Yes</t>
  </si>
  <si>
    <t>Shooter (12YM) fired twice at principal but missed.</t>
  </si>
  <si>
    <t>Anger Over Grade/Suspension/Discipline</t>
  </si>
  <si>
    <t>Neither</t>
  </si>
  <si>
    <t>No</t>
  </si>
  <si>
    <t>19890209IDRIR</t>
  </si>
  <si>
    <t>Rigby Junior High School</t>
  </si>
  <si>
    <t>Local</t>
  </si>
  <si>
    <t>Fall</t>
  </si>
  <si>
    <t>Rigby</t>
  </si>
  <si>
    <t>ID</t>
  </si>
  <si>
    <t>Student threatened class with gun then held female student hostage during 1 hour standoff</t>
  </si>
  <si>
    <t>Hostage/Standoff</t>
  </si>
  <si>
    <t>No</t>
  </si>
  <si>
    <t>Yes</t>
  </si>
  <si>
    <t>No</t>
  </si>
  <si>
    <t>Yes</t>
  </si>
  <si>
    <t>19890126DCWOW</t>
  </si>
  <si>
    <t>Woodrow Wilson HIgh School</t>
  </si>
  <si>
    <t>Winter</t>
  </si>
  <si>
    <t>Washington</t>
  </si>
  <si>
    <t>DC</t>
  </si>
  <si>
    <t>High</t>
  </si>
  <si>
    <t>Parking Lot</t>
  </si>
  <si>
    <t>Outside on School Property</t>
  </si>
  <si>
    <t>Yes</t>
  </si>
  <si>
    <t>Dismissal</t>
  </si>
  <si>
    <t>Escalation of on going fight about a girl</t>
  </si>
  <si>
    <t>Escalation of Dispute</t>
  </si>
  <si>
    <t>Victims Targeted</t>
  </si>
  <si>
    <t>No</t>
  </si>
  <si>
    <t>19890117CACLS</t>
  </si>
  <si>
    <t>Cleveland Elementary School</t>
  </si>
  <si>
    <t>National</t>
  </si>
  <si>
    <t>Winter</t>
  </si>
  <si>
    <t>Stockton</t>
  </si>
  <si>
    <t>CA</t>
  </si>
  <si>
    <t>Elementary</t>
  </si>
  <si>
    <t>Beside Building</t>
  </si>
  <si>
    <t>Outside on School Property</t>
  </si>
  <si>
    <t>Yes</t>
  </si>
  <si>
    <t>Planned attack, shooter had severe mental illness</t>
  </si>
  <si>
    <t>Indiscriminate Shooting</t>
  </si>
  <si>
    <t>Random Shooting</t>
  </si>
  <si>
    <t>No</t>
  </si>
  <si>
    <t>Yes</t>
  </si>
  <si>
    <t>19890105ARHEL</t>
  </si>
  <si>
    <t>Henderson Junior High School</t>
  </si>
  <si>
    <t>Winter</t>
  </si>
  <si>
    <t>Little Rock</t>
  </si>
  <si>
    <t>AR</t>
  </si>
  <si>
    <t>Middle</t>
  </si>
  <si>
    <t>Basketball Court</t>
  </si>
  <si>
    <t>Outside on School Property</t>
  </si>
  <si>
    <t>Yes</t>
  </si>
  <si>
    <t>School Start</t>
  </si>
  <si>
    <t>19-year-old male shot 16-year-old student on the basketball court as school was opening</t>
  </si>
  <si>
    <t>Escalation of Dispute</t>
  </si>
  <si>
    <t>Victims Targeted</t>
  </si>
  <si>
    <t>No</t>
  </si>
  <si>
    <t>19881216VAATV</t>
  </si>
  <si>
    <t>Atlantic Shores Christian School</t>
  </si>
  <si>
    <t>National</t>
  </si>
  <si>
    <t>Winter</t>
  </si>
  <si>
    <t>Virginia Beach</t>
  </si>
  <si>
    <t>VA</t>
  </si>
  <si>
    <t>K-12</t>
  </si>
  <si>
    <t>Classroom</t>
  </si>
  <si>
    <t>Inside School Building</t>
  </si>
  <si>
    <t>Yes</t>
  </si>
  <si>
    <t>Morning Classes</t>
  </si>
  <si>
    <t>Killed two teachers and pointed gun at class but it jammed; bullied extensively</t>
  </si>
  <si>
    <t>Bullying</t>
  </si>
  <si>
    <t>Both</t>
  </si>
  <si>
    <t>No</t>
  </si>
  <si>
    <t>Yes</t>
  </si>
  <si>
    <t>No</t>
  </si>
  <si>
    <t>Yes</t>
  </si>
  <si>
    <t>19881122TXABA</t>
  </si>
  <si>
    <t>Abilene Cooper High School</t>
  </si>
  <si>
    <t>Fall</t>
  </si>
  <si>
    <t>Abilene</t>
  </si>
  <si>
    <t>TX</t>
  </si>
  <si>
    <t>High</t>
  </si>
  <si>
    <t>Classroom</t>
  </si>
  <si>
    <t>Inside School Building</t>
  </si>
  <si>
    <t>Yes</t>
  </si>
  <si>
    <t>Morning Classes</t>
  </si>
  <si>
    <t>Student shot teacher in the face and walked out of classroom</t>
  </si>
  <si>
    <t>Anger Over Grade/Suspension/Discipline</t>
  </si>
  <si>
    <t>Victims Targeted</t>
  </si>
  <si>
    <t>No</t>
  </si>
  <si>
    <t>19881107UTGLS</t>
  </si>
  <si>
    <t>Glendale Intermediate School</t>
  </si>
  <si>
    <t>Fall</t>
  </si>
  <si>
    <t>Salt Lake City</t>
  </si>
  <si>
    <t>UT</t>
  </si>
  <si>
    <t>Middle</t>
  </si>
  <si>
    <t>Classroom</t>
  </si>
  <si>
    <t>Inside School Building</t>
  </si>
  <si>
    <t>Yes</t>
  </si>
  <si>
    <t>Accidental Discharge while showing the gun off in classroom</t>
  </si>
  <si>
    <t>Accidental</t>
  </si>
  <si>
    <t>No</t>
  </si>
  <si>
    <t>19881101FLPAJ</t>
  </si>
  <si>
    <t>Paxon High School</t>
  </si>
  <si>
    <t>Fall</t>
  </si>
  <si>
    <t>Jacksonville</t>
  </si>
  <si>
    <t>FL</t>
  </si>
  <si>
    <t>High</t>
  </si>
  <si>
    <t>Inside School Building</t>
  </si>
  <si>
    <t>Yes</t>
  </si>
  <si>
    <t>Escalation of ongoing argument</t>
  </si>
  <si>
    <t>Escalation of Dispute</t>
  </si>
  <si>
    <t>Victims Targeted</t>
  </si>
  <si>
    <t>No</t>
  </si>
  <si>
    <t>19881007TXDIP</t>
  </si>
  <si>
    <t>Dick Dowling Elementary School</t>
  </si>
  <si>
    <t>Fall</t>
  </si>
  <si>
    <t>Port Arthur</t>
  </si>
  <si>
    <t>TX</t>
  </si>
  <si>
    <t>Elementary</t>
  </si>
  <si>
    <t>School Bus</t>
  </si>
  <si>
    <t>Yes</t>
  </si>
  <si>
    <t>Before School</t>
  </si>
  <si>
    <t>Shot bus driver in back of head during trip to school</t>
  </si>
  <si>
    <t>Unknown</t>
  </si>
  <si>
    <t>Victims Targeted</t>
  </si>
  <si>
    <t>No</t>
  </si>
  <si>
    <t>19881007MDSOB</t>
  </si>
  <si>
    <t>Southwestern Senior High School</t>
  </si>
  <si>
    <t>Fall</t>
  </si>
  <si>
    <t>Baltimore</t>
  </si>
  <si>
    <t>MD</t>
  </si>
  <si>
    <t>High</t>
  </si>
  <si>
    <t>Inside School Building</t>
  </si>
  <si>
    <t>Yes</t>
  </si>
  <si>
    <t>Escalation of gang related dispute - victim accidentally shot - not intended target, but reports conflict</t>
  </si>
  <si>
    <t>Escalation of Dispute</t>
  </si>
  <si>
    <t>Random Shooting</t>
  </si>
  <si>
    <t>Yes</t>
  </si>
  <si>
    <t>No</t>
  </si>
  <si>
    <t>19881006ALMOM</t>
  </si>
  <si>
    <t>Most Pure Heart of Mary School</t>
  </si>
  <si>
    <t>Fall</t>
  </si>
  <si>
    <t>Mobile</t>
  </si>
  <si>
    <t>AL</t>
  </si>
  <si>
    <t>Elementary</t>
  </si>
  <si>
    <t>Classroom</t>
  </si>
  <si>
    <t>Inside School Building</t>
  </si>
  <si>
    <t>Yes</t>
  </si>
  <si>
    <t>Shot sister in class over dispute about money</t>
  </si>
  <si>
    <t>Domestic w/ Targeted Victim</t>
  </si>
  <si>
    <t>Victims Targeted</t>
  </si>
  <si>
    <t>No</t>
  </si>
  <si>
    <t>Yes</t>
  </si>
  <si>
    <t>19881005MDEDB</t>
  </si>
  <si>
    <t>Edmondson Westside Senior High School</t>
  </si>
  <si>
    <t>Fall</t>
  </si>
  <si>
    <t>Baltimore</t>
  </si>
  <si>
    <t>MD</t>
  </si>
  <si>
    <t>High</t>
  </si>
  <si>
    <t>Inside School Building</t>
  </si>
  <si>
    <t>Yes</t>
  </si>
  <si>
    <t>Lunch</t>
  </si>
  <si>
    <t>Victim was innocent bystander during argument between two boys in which shots were fired</t>
  </si>
  <si>
    <t>Escalation of Dispute</t>
  </si>
  <si>
    <t>Random Shooting</t>
  </si>
  <si>
    <t>No</t>
  </si>
  <si>
    <t>19881004FLJEJ</t>
  </si>
  <si>
    <t>J E B Stuart Junior High School (bus)</t>
  </si>
  <si>
    <t>Fall</t>
  </si>
  <si>
    <t>Jacksonville</t>
  </si>
  <si>
    <t>FL</t>
  </si>
  <si>
    <t>Junior High</t>
  </si>
  <si>
    <t>School Bus</t>
  </si>
  <si>
    <t>No</t>
  </si>
  <si>
    <t>Sport Event</t>
  </si>
  <si>
    <t>Shots fired a bus after football game</t>
  </si>
  <si>
    <t>Indiscriminate Shooting</t>
  </si>
  <si>
    <t>Both</t>
  </si>
  <si>
    <t>No</t>
  </si>
  <si>
    <t>19881004LAISB</t>
  </si>
  <si>
    <t>Istrouma Senior High School</t>
  </si>
  <si>
    <t>Fall</t>
  </si>
  <si>
    <t>Baton Rouge</t>
  </si>
  <si>
    <t>LA</t>
  </si>
  <si>
    <t>High</t>
  </si>
  <si>
    <t>Parking Lot</t>
  </si>
  <si>
    <t>Outside on School Property</t>
  </si>
  <si>
    <t>Teacher fired shots at cafeteria worker in parking lot</t>
  </si>
  <si>
    <t>Escalation of Dispute</t>
  </si>
  <si>
    <t>Victims Targeted</t>
  </si>
  <si>
    <t>No</t>
  </si>
  <si>
    <t>19881003FLMAM</t>
  </si>
  <si>
    <t>Mascotte Elementary School</t>
  </si>
  <si>
    <t>Local</t>
  </si>
  <si>
    <t>Fall</t>
  </si>
  <si>
    <t>Mascotte</t>
  </si>
  <si>
    <t>FL</t>
  </si>
  <si>
    <t>Elementary</t>
  </si>
  <si>
    <t>Playground</t>
  </si>
  <si>
    <t>Outside on School Property</t>
  </si>
  <si>
    <t>Yes</t>
  </si>
  <si>
    <t>Morning Classes</t>
  </si>
  <si>
    <t>Gunman in camo fired rifle from woods near school striking a girl on the playground</t>
  </si>
  <si>
    <t>Indiscriminate Shooting</t>
  </si>
  <si>
    <t>No</t>
  </si>
  <si>
    <t>Yes</t>
  </si>
  <si>
    <t>19880926SCOAG</t>
  </si>
  <si>
    <t>Oakland Elementary School</t>
  </si>
  <si>
    <t>National</t>
  </si>
  <si>
    <t>Fall</t>
  </si>
  <si>
    <t>Greenwood</t>
  </si>
  <si>
    <t>SC</t>
  </si>
  <si>
    <t>Elementary</t>
  </si>
  <si>
    <t>Cafeteria</t>
  </si>
  <si>
    <t>Inside School Building</t>
  </si>
  <si>
    <t>Yes</t>
  </si>
  <si>
    <t>Lunch</t>
  </si>
  <si>
    <t>Man with gun walked into cafeteria and started shooting</t>
  </si>
  <si>
    <t>Psychosis</t>
  </si>
  <si>
    <t>Random Shooting</t>
  </si>
  <si>
    <t>No</t>
  </si>
  <si>
    <t>Yes</t>
  </si>
  <si>
    <t>No</t>
  </si>
  <si>
    <t>Yes</t>
  </si>
  <si>
    <t>19880922ILMOC</t>
  </si>
  <si>
    <t>Moses Montefoire Public School</t>
  </si>
  <si>
    <t>Fall</t>
  </si>
  <si>
    <t>Chicago</t>
  </si>
  <si>
    <t>IL</t>
  </si>
  <si>
    <t>Elementary</t>
  </si>
  <si>
    <t>Front of School</t>
  </si>
  <si>
    <t>Outside on School Property</t>
  </si>
  <si>
    <t>Yes</t>
  </si>
  <si>
    <t>Morning Classes</t>
  </si>
  <si>
    <t>Shot 6 people (2 cops, 2 garbage workers, 2 school employees) outside school, killed by wounded officer</t>
  </si>
  <si>
    <t>Psychosis</t>
  </si>
  <si>
    <t>Random Shooting</t>
  </si>
  <si>
    <t>No</t>
  </si>
  <si>
    <t>Yes</t>
  </si>
  <si>
    <t>19880903TXLID</t>
  </si>
  <si>
    <t>Lincoln High School</t>
  </si>
  <si>
    <t>Fall</t>
  </si>
  <si>
    <t>Dallas</t>
  </si>
  <si>
    <t>TX</t>
  </si>
  <si>
    <t>High</t>
  </si>
  <si>
    <t>Parking Lot</t>
  </si>
  <si>
    <t>Outside on School Property</t>
  </si>
  <si>
    <t>No</t>
  </si>
  <si>
    <t>School Event</t>
  </si>
  <si>
    <t>Bystander students stuck during shooting at pep rally</t>
  </si>
  <si>
    <t>Illegal Activity</t>
  </si>
  <si>
    <t>Both</t>
  </si>
  <si>
    <t>Yes</t>
  </si>
  <si>
    <t>No</t>
  </si>
  <si>
    <t>19880902NCGAC</t>
  </si>
  <si>
    <t>Garinger High School</t>
  </si>
  <si>
    <t>National</t>
  </si>
  <si>
    <t>Fall</t>
  </si>
  <si>
    <t>Charlotte</t>
  </si>
  <si>
    <t>NC</t>
  </si>
  <si>
    <t>High</t>
  </si>
  <si>
    <t>Football Field/Track</t>
  </si>
  <si>
    <t>Outside on School Property</t>
  </si>
  <si>
    <t>No</t>
  </si>
  <si>
    <t>Sport Event</t>
  </si>
  <si>
    <t>4 shot at football game, Ongoing dispute with targets</t>
  </si>
  <si>
    <t>Escalation of Dispute</t>
  </si>
  <si>
    <t>Both</t>
  </si>
  <si>
    <t>No</t>
  </si>
  <si>
    <t>19880902GAGLA</t>
  </si>
  <si>
    <t>Glen Hills High School</t>
  </si>
  <si>
    <t>National</t>
  </si>
  <si>
    <t>Fall</t>
  </si>
  <si>
    <t>Augusta</t>
  </si>
  <si>
    <t>GA</t>
  </si>
  <si>
    <t>High</t>
  </si>
  <si>
    <t>Football Field/Track</t>
  </si>
  <si>
    <t>Outside on School Property</t>
  </si>
  <si>
    <t>No</t>
  </si>
  <si>
    <t>Sport Event</t>
  </si>
  <si>
    <t>Shot fired into air during fight, 2 football coaches struck in press box</t>
  </si>
  <si>
    <t>Escalation of Dispute</t>
  </si>
  <si>
    <t>Both</t>
  </si>
  <si>
    <t>No</t>
  </si>
  <si>
    <t>19880831MICED</t>
  </si>
  <si>
    <t>Central High School</t>
  </si>
  <si>
    <t>Summer</t>
  </si>
  <si>
    <t>Detroit</t>
  </si>
  <si>
    <t>MI</t>
  </si>
  <si>
    <t>High</t>
  </si>
  <si>
    <t>Hallway</t>
  </si>
  <si>
    <t>Inside School Building</t>
  </si>
  <si>
    <t>Yes</t>
  </si>
  <si>
    <t>Morning Classes</t>
  </si>
  <si>
    <t>Gang-related shooting in school hallway</t>
  </si>
  <si>
    <t>Escalation of Dispute</t>
  </si>
  <si>
    <t>Victims Targeted</t>
  </si>
  <si>
    <t>No</t>
  </si>
  <si>
    <t>19880831SCWEA</t>
  </si>
  <si>
    <t>West Franklin Elementary School</t>
  </si>
  <si>
    <t>Summer</t>
  </si>
  <si>
    <t>Anderson</t>
  </si>
  <si>
    <t>SC</t>
  </si>
  <si>
    <t>Elementary</t>
  </si>
  <si>
    <t>Beside Building</t>
  </si>
  <si>
    <t>Outside on School Property</t>
  </si>
  <si>
    <t>Yes</t>
  </si>
  <si>
    <t>Night</t>
  </si>
  <si>
    <t>Principal shot during robbery outside of school</t>
  </si>
  <si>
    <t>Illegal Activity</t>
  </si>
  <si>
    <t>Victims Targeted</t>
  </si>
  <si>
    <t>Yes</t>
  </si>
  <si>
    <t>No</t>
  </si>
  <si>
    <t>19880711MSLAJ</t>
  </si>
  <si>
    <t>Lanier High School</t>
  </si>
  <si>
    <t>Summer</t>
  </si>
  <si>
    <t>Jackson</t>
  </si>
  <si>
    <t>MS</t>
  </si>
  <si>
    <t>High</t>
  </si>
  <si>
    <t>Hallway</t>
  </si>
  <si>
    <t>Inside School Building</t>
  </si>
  <si>
    <t>Yes</t>
  </si>
  <si>
    <t>Morning Classes</t>
  </si>
  <si>
    <t>Gang-related targeted shooting at school</t>
  </si>
  <si>
    <t>Escalation of Dispute</t>
  </si>
  <si>
    <t>Victims Targeted</t>
  </si>
  <si>
    <t>No</t>
  </si>
  <si>
    <t>19880710WISIM</t>
  </si>
  <si>
    <t>Siefert Elementary School</t>
  </si>
  <si>
    <t>Local</t>
  </si>
  <si>
    <t>Summer</t>
  </si>
  <si>
    <t>Milwaukee</t>
  </si>
  <si>
    <t>WI</t>
  </si>
  <si>
    <t>Elementary</t>
  </si>
  <si>
    <t>Basketball Court</t>
  </si>
  <si>
    <t>Inside School Building</t>
  </si>
  <si>
    <t>No</t>
  </si>
  <si>
    <t>Evening</t>
  </si>
  <si>
    <t>Adult basketball game at Elementary school turned violent</t>
  </si>
  <si>
    <t>Escalation of Dispute</t>
  </si>
  <si>
    <t>Victims Targeted</t>
  </si>
  <si>
    <t>No</t>
  </si>
  <si>
    <t>19880630HIAIO</t>
  </si>
  <si>
    <t>Aiea High School</t>
  </si>
  <si>
    <t>Summer</t>
  </si>
  <si>
    <t>Aiea</t>
  </si>
  <si>
    <t>HI</t>
  </si>
  <si>
    <t>High</t>
  </si>
  <si>
    <t>Classroom</t>
  </si>
  <si>
    <t>Inside School Building</t>
  </si>
  <si>
    <t>Yes</t>
  </si>
  <si>
    <t>Morning Classes</t>
  </si>
  <si>
    <t>Argument with teacher, told students he planned to kill teacher</t>
  </si>
  <si>
    <t>Escalation of Dispute</t>
  </si>
  <si>
    <t>Victims Targeted</t>
  </si>
  <si>
    <t>No</t>
  </si>
  <si>
    <t>19880617MIJOD</t>
  </si>
  <si>
    <t>Joy Middle School</t>
  </si>
  <si>
    <t>Summer</t>
  </si>
  <si>
    <t>Detroit</t>
  </si>
  <si>
    <t>MI</t>
  </si>
  <si>
    <t>Middle</t>
  </si>
  <si>
    <t>Hallway</t>
  </si>
  <si>
    <t>Inside School Building</t>
  </si>
  <si>
    <t>Yes</t>
  </si>
  <si>
    <t>Morning Classes</t>
  </si>
  <si>
    <t>Escalation of ongoing argument</t>
  </si>
  <si>
    <t>Escalation of Dispute</t>
  </si>
  <si>
    <t>Victims Targeted</t>
  </si>
  <si>
    <t>No</t>
  </si>
  <si>
    <t>19880602MSWIJ</t>
  </si>
  <si>
    <t>Wingfield High School</t>
  </si>
  <si>
    <t>Summer</t>
  </si>
  <si>
    <t>Jackson</t>
  </si>
  <si>
    <t>MS</t>
  </si>
  <si>
    <t>High</t>
  </si>
  <si>
    <t>Outside on School Property</t>
  </si>
  <si>
    <t>Yes</t>
  </si>
  <si>
    <t>Dismissal</t>
  </si>
  <si>
    <t>Gang related shooting outside of school</t>
  </si>
  <si>
    <t>Escalation of Dispute</t>
  </si>
  <si>
    <t>Victims Targeted</t>
  </si>
  <si>
    <t>Yes</t>
  </si>
  <si>
    <t>No</t>
  </si>
  <si>
    <t>19880531NYPUB</t>
  </si>
  <si>
    <t>Public School 67</t>
  </si>
  <si>
    <t>Spring</t>
  </si>
  <si>
    <t>Bronx</t>
  </si>
  <si>
    <t>NY</t>
  </si>
  <si>
    <t>Elementary</t>
  </si>
  <si>
    <t>Beside Building</t>
  </si>
  <si>
    <t>Outside on School Property</t>
  </si>
  <si>
    <t>Yes</t>
  </si>
  <si>
    <t>Dismissal</t>
  </si>
  <si>
    <t>Bystander teacher shot during fight outside of school</t>
  </si>
  <si>
    <t>Escalation of Dispute</t>
  </si>
  <si>
    <t>Random Shooting</t>
  </si>
  <si>
    <t>No</t>
  </si>
  <si>
    <t>19880520ILHUW</t>
  </si>
  <si>
    <t>Hubbard Woods Elementary School</t>
  </si>
  <si>
    <t>Spring</t>
  </si>
  <si>
    <t>Winnetka</t>
  </si>
  <si>
    <t>IL</t>
  </si>
  <si>
    <t>Elementary</t>
  </si>
  <si>
    <t>Hallway; Beside Building</t>
  </si>
  <si>
    <t>Both Inside/Outside</t>
  </si>
  <si>
    <t>Yes</t>
  </si>
  <si>
    <t>School Start</t>
  </si>
  <si>
    <t>Babysitter attempted to burn down school and shot random students</t>
  </si>
  <si>
    <t>Psychosis</t>
  </si>
  <si>
    <t>Both</t>
  </si>
  <si>
    <t>No</t>
  </si>
  <si>
    <t>Yes</t>
  </si>
  <si>
    <t>19880516FLFOF</t>
  </si>
  <si>
    <t>Fort Myers Middle School</t>
  </si>
  <si>
    <t>Spring</t>
  </si>
  <si>
    <t>Fort Myers</t>
  </si>
  <si>
    <t>FL</t>
  </si>
  <si>
    <t>Middle</t>
  </si>
  <si>
    <t>School Bus</t>
  </si>
  <si>
    <t>Yes</t>
  </si>
  <si>
    <t>After School</t>
  </si>
  <si>
    <t>Targeted shooting of victim involved in prior fight</t>
  </si>
  <si>
    <t>Escalation of Dispute</t>
  </si>
  <si>
    <t>Victims Targeted</t>
  </si>
  <si>
    <t>No</t>
  </si>
  <si>
    <t>19880505ILMAC</t>
  </si>
  <si>
    <t>Martin Luther King High School</t>
  </si>
  <si>
    <t>Spring</t>
  </si>
  <si>
    <t>Chicago</t>
  </si>
  <si>
    <t>IL</t>
  </si>
  <si>
    <t>High</t>
  </si>
  <si>
    <t>Classroom</t>
  </si>
  <si>
    <t>Inside School Building</t>
  </si>
  <si>
    <t>Yes</t>
  </si>
  <si>
    <t>Playing with gun in art class</t>
  </si>
  <si>
    <t>Accidental</t>
  </si>
  <si>
    <t>Random Shooting</t>
  </si>
  <si>
    <t>No</t>
  </si>
  <si>
    <t>19880324TXTRA</t>
  </si>
  <si>
    <t>Travis High School</t>
  </si>
  <si>
    <t>Spring</t>
  </si>
  <si>
    <t>Austin</t>
  </si>
  <si>
    <t>TX</t>
  </si>
  <si>
    <t>High</t>
  </si>
  <si>
    <t>School Bus</t>
  </si>
  <si>
    <t>Yes</t>
  </si>
  <si>
    <t>After School</t>
  </si>
  <si>
    <t>Student shot at school bus with 9 students - no injuries.</t>
  </si>
  <si>
    <t>Drive-by Shooting</t>
  </si>
  <si>
    <t>Yes</t>
  </si>
  <si>
    <t>No</t>
  </si>
  <si>
    <t>19880323CACAS</t>
  </si>
  <si>
    <t>Cajon High School</t>
  </si>
  <si>
    <t>Spring</t>
  </si>
  <si>
    <t>San Bernardino</t>
  </si>
  <si>
    <t>CA</t>
  </si>
  <si>
    <t>High</t>
  </si>
  <si>
    <t>Parking Lot</t>
  </si>
  <si>
    <t>Outside on School Property</t>
  </si>
  <si>
    <t>Yes</t>
  </si>
  <si>
    <t>Afternoon Classes</t>
  </si>
  <si>
    <t>Shot multiple rounds into vice-principals' cars</t>
  </si>
  <si>
    <t>Intentional Property Damage</t>
  </si>
  <si>
    <t>No</t>
  </si>
  <si>
    <t>19880304MILED</t>
  </si>
  <si>
    <t>Lessenger Junior High</t>
  </si>
  <si>
    <t>Spring</t>
  </si>
  <si>
    <t>Detroit</t>
  </si>
  <si>
    <t>MI</t>
  </si>
  <si>
    <t>Junior High</t>
  </si>
  <si>
    <t>School Bus</t>
  </si>
  <si>
    <t>Yes</t>
  </si>
  <si>
    <t>Playing with gun on school bus</t>
  </si>
  <si>
    <t>Accidental</t>
  </si>
  <si>
    <t>Random Shooting</t>
  </si>
  <si>
    <t>No</t>
  </si>
  <si>
    <t>19880226RIBRB</t>
  </si>
  <si>
    <t>Bristol High School</t>
  </si>
  <si>
    <t>Winter</t>
  </si>
  <si>
    <t>Bristol</t>
  </si>
  <si>
    <t>RI</t>
  </si>
  <si>
    <t>High</t>
  </si>
  <si>
    <t>Courtyard</t>
  </si>
  <si>
    <t>Outside on School Property</t>
  </si>
  <si>
    <t>Yes</t>
  </si>
  <si>
    <t>Lunch</t>
  </si>
  <si>
    <t>Planned fight with victim, prior fights</t>
  </si>
  <si>
    <t>Escalation of Dispute</t>
  </si>
  <si>
    <t>Victims Targeted</t>
  </si>
  <si>
    <t>No</t>
  </si>
  <si>
    <t>19880211FLPIL</t>
  </si>
  <si>
    <t>Pinellas Park High School</t>
  </si>
  <si>
    <t>National</t>
  </si>
  <si>
    <t>Winter</t>
  </si>
  <si>
    <t>Largo</t>
  </si>
  <si>
    <t>FL</t>
  </si>
  <si>
    <t>High</t>
  </si>
  <si>
    <t>Cafeteria</t>
  </si>
  <si>
    <t>Inside School Building</t>
  </si>
  <si>
    <t>Yes</t>
  </si>
  <si>
    <t>Morning Classes</t>
  </si>
  <si>
    <t>Confronted by school administrator about weapons</t>
  </si>
  <si>
    <t>Anger Over Grade/Suspension/Discipline</t>
  </si>
  <si>
    <t>Neither</t>
  </si>
  <si>
    <t>Yes</t>
  </si>
  <si>
    <t>No</t>
  </si>
  <si>
    <t>Yes</t>
  </si>
  <si>
    <t>19880202ALWET</t>
  </si>
  <si>
    <t>West End Christian Elementary School</t>
  </si>
  <si>
    <t>Winter</t>
  </si>
  <si>
    <t>Tuscaloosa</t>
  </si>
  <si>
    <t>AL</t>
  </si>
  <si>
    <t>Elementary</t>
  </si>
  <si>
    <t>Classroom</t>
  </si>
  <si>
    <t>Inside School Building</t>
  </si>
  <si>
    <t>Yes</t>
  </si>
  <si>
    <t>Morning Classes</t>
  </si>
  <si>
    <t>2 men held 84 students and teacher hostage for 12 hours</t>
  </si>
  <si>
    <t>Psychosis</t>
  </si>
  <si>
    <t>Random Shooting</t>
  </si>
  <si>
    <t>Yes</t>
  </si>
  <si>
    <t>No</t>
  </si>
  <si>
    <t>Yes</t>
  </si>
  <si>
    <t>19880129TXREA</t>
  </si>
  <si>
    <t>Reagan High School</t>
  </si>
  <si>
    <t>Winter</t>
  </si>
  <si>
    <t>Austin</t>
  </si>
  <si>
    <t>TX</t>
  </si>
  <si>
    <t>High</t>
  </si>
  <si>
    <t>Field (General)</t>
  </si>
  <si>
    <t>Outside on School Property</t>
  </si>
  <si>
    <t>No</t>
  </si>
  <si>
    <t>Evening</t>
  </si>
  <si>
    <t>Dispute between boyfriend and girlfriend outside of school</t>
  </si>
  <si>
    <t>Domestic w/ Targeted Victim</t>
  </si>
  <si>
    <t>Victims Targeted</t>
  </si>
  <si>
    <t>No</t>
  </si>
  <si>
    <t>19880120LASIR</t>
  </si>
  <si>
    <t>Simsboro High School</t>
  </si>
  <si>
    <t>Winter</t>
  </si>
  <si>
    <t>Ruston</t>
  </si>
  <si>
    <t>LA</t>
  </si>
  <si>
    <t>High</t>
  </si>
  <si>
    <t>Parking Lot</t>
  </si>
  <si>
    <t>Outside on School Property</t>
  </si>
  <si>
    <t>Yes</t>
  </si>
  <si>
    <t>School Start</t>
  </si>
  <si>
    <t>Male student shot female student in parking lot</t>
  </si>
  <si>
    <t>Accidental</t>
  </si>
  <si>
    <t>Victims Targeted</t>
  </si>
  <si>
    <t>No</t>
  </si>
  <si>
    <t>19880108PACRM</t>
  </si>
  <si>
    <t>Crawford County Joint Vocational Technical School</t>
  </si>
  <si>
    <t>Winter</t>
  </si>
  <si>
    <t>Meadville</t>
  </si>
  <si>
    <t>PA</t>
  </si>
  <si>
    <t>High</t>
  </si>
  <si>
    <t>Inside School Building</t>
  </si>
  <si>
    <t>Yes</t>
  </si>
  <si>
    <t>Morning Classes</t>
  </si>
  <si>
    <t>Reports were unclear - police were not sure if victim was shot by someone else or if he shot himself</t>
  </si>
  <si>
    <t>Unknown</t>
  </si>
  <si>
    <t>No</t>
  </si>
  <si>
    <t>19880106FLGAT</t>
  </si>
  <si>
    <t>Gaither High School</t>
  </si>
  <si>
    <t>Winter</t>
  </si>
  <si>
    <t>Tampa</t>
  </si>
  <si>
    <t>FL</t>
  </si>
  <si>
    <t>High</t>
  </si>
  <si>
    <t>Parking Lot</t>
  </si>
  <si>
    <t>Outside on School Property</t>
  </si>
  <si>
    <t>Yes</t>
  </si>
  <si>
    <t>Morning Classes</t>
  </si>
  <si>
    <t>Suicide in school parking lot</t>
  </si>
  <si>
    <t>Suicide/Attempted</t>
  </si>
  <si>
    <t>Victims Targeted</t>
  </si>
  <si>
    <t>No</t>
  </si>
  <si>
    <t>19880105PASPS</t>
  </si>
  <si>
    <t>Springfield High School</t>
  </si>
  <si>
    <t>Winter</t>
  </si>
  <si>
    <t>Springfield</t>
  </si>
  <si>
    <t>PA</t>
  </si>
  <si>
    <t>High</t>
  </si>
  <si>
    <t>Basketball Court</t>
  </si>
  <si>
    <t>Outside on School Property</t>
  </si>
  <si>
    <t>No</t>
  </si>
  <si>
    <t>Sport Event</t>
  </si>
  <si>
    <t>Shots fired during basketball game</t>
  </si>
  <si>
    <t>Escalation of Dispute</t>
  </si>
  <si>
    <t>Victims Targeted</t>
  </si>
  <si>
    <t>No</t>
  </si>
  <si>
    <t>19871216TXMAK</t>
  </si>
  <si>
    <t>Mayde Creek High School</t>
  </si>
  <si>
    <t>Winter</t>
  </si>
  <si>
    <t>Katy</t>
  </si>
  <si>
    <t>TX</t>
  </si>
  <si>
    <t>High</t>
  </si>
  <si>
    <t>Classroom</t>
  </si>
  <si>
    <t>Inside School Building</t>
  </si>
  <si>
    <t>Yes</t>
  </si>
  <si>
    <t>Morning Classes</t>
  </si>
  <si>
    <t>Commit suicide in front of class after girl refused to date him</t>
  </si>
  <si>
    <t>Suicide/Attempted</t>
  </si>
  <si>
    <t>No</t>
  </si>
  <si>
    <t>19871215NYGRB</t>
  </si>
  <si>
    <t>Grady Vocational-Technical School</t>
  </si>
  <si>
    <t>Winter</t>
  </si>
  <si>
    <t>Brooklyn</t>
  </si>
  <si>
    <t>NY</t>
  </si>
  <si>
    <t>High</t>
  </si>
  <si>
    <t>Inside School Building</t>
  </si>
  <si>
    <t>Yes</t>
  </si>
  <si>
    <t>Morning Classes</t>
  </si>
  <si>
    <t>Accidental discharge showing off gun</t>
  </si>
  <si>
    <t>Accidental</t>
  </si>
  <si>
    <t>Random Shooting</t>
  </si>
  <si>
    <t>No</t>
  </si>
  <si>
    <t>19871204NYEAN</t>
  </si>
  <si>
    <t>East New York High School of Transit Technology</t>
  </si>
  <si>
    <t>Winter</t>
  </si>
  <si>
    <t>New York</t>
  </si>
  <si>
    <t>NY</t>
  </si>
  <si>
    <t>High</t>
  </si>
  <si>
    <t>Hallway</t>
  </si>
  <si>
    <t>Inside School Building</t>
  </si>
  <si>
    <t>Yes</t>
  </si>
  <si>
    <t>Afternoon Classes</t>
  </si>
  <si>
    <t>Shooter was hired by victim to kill her / failed attempt</t>
  </si>
  <si>
    <t>Domestic w/ Targeted Victim</t>
  </si>
  <si>
    <t>Victims Targeted</t>
  </si>
  <si>
    <t>No</t>
  </si>
  <si>
    <t>19871202FLENJ</t>
  </si>
  <si>
    <t>Englewood High School</t>
  </si>
  <si>
    <t>Winter</t>
  </si>
  <si>
    <t>Jacksonville</t>
  </si>
  <si>
    <t>FL</t>
  </si>
  <si>
    <t>High</t>
  </si>
  <si>
    <t>Parking Lot</t>
  </si>
  <si>
    <t>Outside on School Property</t>
  </si>
  <si>
    <t>Yes</t>
  </si>
  <si>
    <t>Shot principals car in parking lot</t>
  </si>
  <si>
    <t>Intentional Property Damage</t>
  </si>
  <si>
    <t>NA</t>
  </si>
  <si>
    <t>No</t>
  </si>
  <si>
    <t>19871130TXPES</t>
  </si>
  <si>
    <t>Perales Elementary School</t>
  </si>
  <si>
    <t>Fall</t>
  </si>
  <si>
    <t>San Antonio</t>
  </si>
  <si>
    <t>TX</t>
  </si>
  <si>
    <t>Elementary</t>
  </si>
  <si>
    <t>Parking Lot</t>
  </si>
  <si>
    <t>Outside on School Property</t>
  </si>
  <si>
    <t>Yes</t>
  </si>
  <si>
    <t>Dismissal</t>
  </si>
  <si>
    <t>Murder of wife, then shot/killed self in school parking lot</t>
  </si>
  <si>
    <t>Murder/Suicide</t>
  </si>
  <si>
    <t>Victims Targeted</t>
  </si>
  <si>
    <t>No</t>
  </si>
  <si>
    <t>Yes</t>
  </si>
  <si>
    <t>19871114FLCLC</t>
  </si>
  <si>
    <t>Clearwater High School</t>
  </si>
  <si>
    <t>Fall</t>
  </si>
  <si>
    <t>Clearwater</t>
  </si>
  <si>
    <t>FL</t>
  </si>
  <si>
    <t>High</t>
  </si>
  <si>
    <t>Outside on School Property</t>
  </si>
  <si>
    <t>No</t>
  </si>
  <si>
    <t>Suicide in school parking lot. Found Saturday by maintenance</t>
  </si>
  <si>
    <t>Suicide/Attempted</t>
  </si>
  <si>
    <t>Victims Targeted</t>
  </si>
  <si>
    <t>No</t>
  </si>
  <si>
    <t>19871104MISOD</t>
  </si>
  <si>
    <t>Southwestern High School</t>
  </si>
  <si>
    <t>Fall</t>
  </si>
  <si>
    <t>Detroit</t>
  </si>
  <si>
    <t>MI</t>
  </si>
  <si>
    <t>High</t>
  </si>
  <si>
    <t>Parking Lot</t>
  </si>
  <si>
    <t>Outside on School Property</t>
  </si>
  <si>
    <t>Yes</t>
  </si>
  <si>
    <t>Morning Classes</t>
  </si>
  <si>
    <t>Shot during robbery attempt</t>
  </si>
  <si>
    <t>Illegal Activity</t>
  </si>
  <si>
    <t>Victims Targeted</t>
  </si>
  <si>
    <t>No</t>
  </si>
  <si>
    <t>19871031SCANA</t>
  </si>
  <si>
    <t>Andrews High School</t>
  </si>
  <si>
    <t>National</t>
  </si>
  <si>
    <t>Fall</t>
  </si>
  <si>
    <t>Andrews</t>
  </si>
  <si>
    <t>SC</t>
  </si>
  <si>
    <t>High</t>
  </si>
  <si>
    <t>Football Field/Track</t>
  </si>
  <si>
    <t>Outside on School Property</t>
  </si>
  <si>
    <t>No</t>
  </si>
  <si>
    <t>Sport Event</t>
  </si>
  <si>
    <t>8 students wounded when someone fired shotgun into bleachers</t>
  </si>
  <si>
    <t>Indiscriminate Shooting</t>
  </si>
  <si>
    <t>Random Shooting</t>
  </si>
  <si>
    <t>No</t>
  </si>
  <si>
    <t>19871030NCSOK</t>
  </si>
  <si>
    <t>Southwood Elementary School</t>
  </si>
  <si>
    <t>Fall</t>
  </si>
  <si>
    <t>Kingston</t>
  </si>
  <si>
    <t>NC</t>
  </si>
  <si>
    <t>Elementary</t>
  </si>
  <si>
    <t>Parking Lot</t>
  </si>
  <si>
    <t>Outside on School Property</t>
  </si>
  <si>
    <t>No</t>
  </si>
  <si>
    <t>School Event</t>
  </si>
  <si>
    <t>Escalation of on going fight about a girl</t>
  </si>
  <si>
    <t>Escalation of Dispute</t>
  </si>
  <si>
    <t>Yes</t>
  </si>
  <si>
    <t>No</t>
  </si>
  <si>
    <t>19871014ILDUC</t>
  </si>
  <si>
    <t>DuSable High School</t>
  </si>
  <si>
    <t>Fall</t>
  </si>
  <si>
    <t>Chicago</t>
  </si>
  <si>
    <t>IL</t>
  </si>
  <si>
    <t>High</t>
  </si>
  <si>
    <t>Hallway</t>
  </si>
  <si>
    <t>Inside School Building</t>
  </si>
  <si>
    <t>Yes</t>
  </si>
  <si>
    <t>Morning Classes</t>
  </si>
  <si>
    <t>Shooting following ongoing dispute.</t>
  </si>
  <si>
    <t>Escalation of Dispute</t>
  </si>
  <si>
    <t>No</t>
  </si>
  <si>
    <t>19870928ILILL</t>
  </si>
  <si>
    <t>Illiana Christian High School</t>
  </si>
  <si>
    <t>Fall</t>
  </si>
  <si>
    <t>Lansing</t>
  </si>
  <si>
    <t>IL</t>
  </si>
  <si>
    <t>High</t>
  </si>
  <si>
    <t>Inside School Building</t>
  </si>
  <si>
    <t>Yes</t>
  </si>
  <si>
    <t>Afternoon Classes</t>
  </si>
  <si>
    <t>Anger at teacher for reporting him for smoking</t>
  </si>
  <si>
    <t>Anger Over Grade/Suspension/Discipline</t>
  </si>
  <si>
    <t>No</t>
  </si>
  <si>
    <t>19870513ILOAO</t>
  </si>
  <si>
    <t>Oak Lawn Community High School</t>
  </si>
  <si>
    <t>Spring</t>
  </si>
  <si>
    <t>Oak Lawn</t>
  </si>
  <si>
    <t>IL</t>
  </si>
  <si>
    <t>High</t>
  </si>
  <si>
    <t>Inside School Building</t>
  </si>
  <si>
    <t>Yes</t>
  </si>
  <si>
    <t>Morning Classes</t>
  </si>
  <si>
    <t>Suicide attempt after being turned down for prom</t>
  </si>
  <si>
    <t>Suicide/Attempted</t>
  </si>
  <si>
    <t>Victims Targeted</t>
  </si>
  <si>
    <t>No</t>
  </si>
  <si>
    <t>19870506FLLET</t>
  </si>
  <si>
    <t>Leto High School</t>
  </si>
  <si>
    <t>Spring</t>
  </si>
  <si>
    <t>Tampa</t>
  </si>
  <si>
    <t>FL</t>
  </si>
  <si>
    <t>High</t>
  </si>
  <si>
    <t>Classroom</t>
  </si>
  <si>
    <t>Inside School Building</t>
  </si>
  <si>
    <t>Yes</t>
  </si>
  <si>
    <t>Morning Classes</t>
  </si>
  <si>
    <t>Shooter shot self in English class for doing poorly in school</t>
  </si>
  <si>
    <t>Suicide/Attempted</t>
  </si>
  <si>
    <t>Victims Targeted</t>
  </si>
  <si>
    <t>No</t>
  </si>
  <si>
    <t>19870506ARMAJ</t>
  </si>
  <si>
    <t>MacAuthur Junior High</t>
  </si>
  <si>
    <t>Spring</t>
  </si>
  <si>
    <t>Jonesboro</t>
  </si>
  <si>
    <t>AR</t>
  </si>
  <si>
    <t>Junior High</t>
  </si>
  <si>
    <t>Classroom</t>
  </si>
  <si>
    <t>Inside School Building</t>
  </si>
  <si>
    <t>Yes</t>
  </si>
  <si>
    <t>Morning Classes</t>
  </si>
  <si>
    <t>Student shot self in front of class.</t>
  </si>
  <si>
    <t>Suicide/Attempted</t>
  </si>
  <si>
    <t>Victims Targeted</t>
  </si>
  <si>
    <t>No</t>
  </si>
  <si>
    <t>19870503INPII</t>
  </si>
  <si>
    <t>Pike Township High School</t>
  </si>
  <si>
    <t>Spring</t>
  </si>
  <si>
    <t>Indianapolis</t>
  </si>
  <si>
    <t>IN</t>
  </si>
  <si>
    <t>High</t>
  </si>
  <si>
    <t>Hallway</t>
  </si>
  <si>
    <t>Inside School Building</t>
  </si>
  <si>
    <t>No</t>
  </si>
  <si>
    <t>Not a School Day</t>
  </si>
  <si>
    <t>Shooter shot music teacher during foiled burglary at school over weekend</t>
  </si>
  <si>
    <t>Illegal Activity</t>
  </si>
  <si>
    <t>Random Shooting</t>
  </si>
  <si>
    <t>No</t>
  </si>
  <si>
    <t>19870430ORGRP</t>
  </si>
  <si>
    <t>Grant High School</t>
  </si>
  <si>
    <t>Spring</t>
  </si>
  <si>
    <t>Portland</t>
  </si>
  <si>
    <t>OR</t>
  </si>
  <si>
    <t>High</t>
  </si>
  <si>
    <t>Outside on School Property</t>
  </si>
  <si>
    <t>Yes</t>
  </si>
  <si>
    <t>Afternoon Classes</t>
  </si>
  <si>
    <t>Shooter shot victim during fight</t>
  </si>
  <si>
    <t>Escalation of Dispute</t>
  </si>
  <si>
    <t>Victims Targeted</t>
  </si>
  <si>
    <t>No</t>
  </si>
  <si>
    <t>19870416MIMUD</t>
  </si>
  <si>
    <t>Murray-Wright High School</t>
  </si>
  <si>
    <t>Spring</t>
  </si>
  <si>
    <t>Detroit</t>
  </si>
  <si>
    <t>MI</t>
  </si>
  <si>
    <t>High</t>
  </si>
  <si>
    <t>Inside School Building</t>
  </si>
  <si>
    <t>Yes</t>
  </si>
  <si>
    <t>Lunch</t>
  </si>
  <si>
    <t>Shooter had conflict with two victims a day prior - took gun to school and shot them both</t>
  </si>
  <si>
    <t>Escalation of Dispute</t>
  </si>
  <si>
    <t>Both</t>
  </si>
  <si>
    <t>No</t>
  </si>
  <si>
    <t>19870330CAPAS</t>
  </si>
  <si>
    <t>Panorama Elementary School</t>
  </si>
  <si>
    <t>Spring</t>
  </si>
  <si>
    <t>Santa Ana</t>
  </si>
  <si>
    <t>CA</t>
  </si>
  <si>
    <t>Elementary</t>
  </si>
  <si>
    <t>Classroom</t>
  </si>
  <si>
    <t>Inside School Building</t>
  </si>
  <si>
    <t>Yes</t>
  </si>
  <si>
    <t>Morning Classes</t>
  </si>
  <si>
    <t>Suicide in front of class, no relation to school</t>
  </si>
  <si>
    <t>Suicide/Attempted</t>
  </si>
  <si>
    <t>Victims Targeted</t>
  </si>
  <si>
    <t>No</t>
  </si>
  <si>
    <t>19870306TXRIE</t>
  </si>
  <si>
    <t>Riverside High School</t>
  </si>
  <si>
    <t>Spring</t>
  </si>
  <si>
    <t>El Paso</t>
  </si>
  <si>
    <t>TX</t>
  </si>
  <si>
    <t>High</t>
  </si>
  <si>
    <t>Parking Lot</t>
  </si>
  <si>
    <t>Outside on School Property</t>
  </si>
  <si>
    <t>Yes</t>
  </si>
  <si>
    <t>Lunch</t>
  </si>
  <si>
    <t>Bystander shot during fight that escalated</t>
  </si>
  <si>
    <t>Escalation of Dispute</t>
  </si>
  <si>
    <t>Random Shooting</t>
  </si>
  <si>
    <t>No</t>
  </si>
  <si>
    <t>19870302MODED</t>
  </si>
  <si>
    <t>Dekalb High School</t>
  </si>
  <si>
    <t>Spring</t>
  </si>
  <si>
    <t>De Kalb</t>
  </si>
  <si>
    <t>MO</t>
  </si>
  <si>
    <t>High</t>
  </si>
  <si>
    <t>Classroom</t>
  </si>
  <si>
    <t>Inside School Building</t>
  </si>
  <si>
    <t>Yes</t>
  </si>
  <si>
    <t>Morning Classes</t>
  </si>
  <si>
    <t>Shooter bullied, took out gun in class, shot friend then self</t>
  </si>
  <si>
    <t>Bullying</t>
  </si>
  <si>
    <t>Neither</t>
  </si>
  <si>
    <t>No</t>
  </si>
  <si>
    <t>Yes</t>
  </si>
  <si>
    <t>No</t>
  </si>
  <si>
    <t>19870224NYMON</t>
  </si>
  <si>
    <t>Mount Tom Country Day School</t>
  </si>
  <si>
    <t>Winter</t>
  </si>
  <si>
    <t>New Rochelle</t>
  </si>
  <si>
    <t>NY</t>
  </si>
  <si>
    <t>Other</t>
  </si>
  <si>
    <t>Parking Lot</t>
  </si>
  <si>
    <t>Outside on School Property</t>
  </si>
  <si>
    <t>Yes</t>
  </si>
  <si>
    <t>School Start</t>
  </si>
  <si>
    <t>Parent was target in assassination attempt after dropping daughter off at school</t>
  </si>
  <si>
    <t>Escalation of Dispute</t>
  </si>
  <si>
    <t>Victims Targeted</t>
  </si>
  <si>
    <t>No</t>
  </si>
  <si>
    <t>19870213AZORM</t>
  </si>
  <si>
    <t>Orme School</t>
  </si>
  <si>
    <t>Winter</t>
  </si>
  <si>
    <t>Mayer</t>
  </si>
  <si>
    <t>AZ</t>
  </si>
  <si>
    <t>Other</t>
  </si>
  <si>
    <t>Field (General)</t>
  </si>
  <si>
    <t>Outside on School Property</t>
  </si>
  <si>
    <t>No</t>
  </si>
  <si>
    <t>Night</t>
  </si>
  <si>
    <t>Anger over possibly being suspended from school</t>
  </si>
  <si>
    <t>Anger Over Grade/Suspension/Discipline</t>
  </si>
  <si>
    <t>Victims Targeted</t>
  </si>
  <si>
    <t>No</t>
  </si>
  <si>
    <t>Yes</t>
  </si>
  <si>
    <t>19870210ARDAD</t>
  </si>
  <si>
    <t>Dardanelle High School</t>
  </si>
  <si>
    <t>Winter</t>
  </si>
  <si>
    <t>Dardanelle</t>
  </si>
  <si>
    <t>AR</t>
  </si>
  <si>
    <t>High</t>
  </si>
  <si>
    <t>Courtyard</t>
  </si>
  <si>
    <t>Outside on School Property</t>
  </si>
  <si>
    <t>Yes</t>
  </si>
  <si>
    <t>Lunch</t>
  </si>
  <si>
    <t>Shooter shot himself outside during lunch after fight with girlfriend</t>
  </si>
  <si>
    <t>Suicide/Attempted</t>
  </si>
  <si>
    <t>Victims Targeted</t>
  </si>
  <si>
    <t>No</t>
  </si>
  <si>
    <t>19870123MIRED</t>
  </si>
  <si>
    <t>Redford High School</t>
  </si>
  <si>
    <t>Winter</t>
  </si>
  <si>
    <t>Detroit</t>
  </si>
  <si>
    <t>MI</t>
  </si>
  <si>
    <t>High</t>
  </si>
  <si>
    <t>Inside School Building</t>
  </si>
  <si>
    <t>Yes</t>
  </si>
  <si>
    <t>Morning Classes</t>
  </si>
  <si>
    <t>Ongoing conflict between two students resulted in victim being shot</t>
  </si>
  <si>
    <t>Escalation of Dispute</t>
  </si>
  <si>
    <t>Victims Targeted</t>
  </si>
  <si>
    <t>No</t>
  </si>
  <si>
    <t>19870114CALOL</t>
  </si>
  <si>
    <t>Los Angeles High School</t>
  </si>
  <si>
    <t>Winter</t>
  </si>
  <si>
    <t>Los Angeles</t>
  </si>
  <si>
    <t>CA</t>
  </si>
  <si>
    <t>High</t>
  </si>
  <si>
    <t>Classroom</t>
  </si>
  <si>
    <t>Inside School Building</t>
  </si>
  <si>
    <t>Yes</t>
  </si>
  <si>
    <t>Shooter shot self in head during English class.</t>
  </si>
  <si>
    <t>Suicide/Attempted</t>
  </si>
  <si>
    <t>Victims Targeted</t>
  </si>
  <si>
    <t>No</t>
  </si>
  <si>
    <t>19861204MTFEL</t>
  </si>
  <si>
    <t>Fergus High School</t>
  </si>
  <si>
    <t>Winter</t>
  </si>
  <si>
    <t>Lewistown</t>
  </si>
  <si>
    <t>MT</t>
  </si>
  <si>
    <t>High</t>
  </si>
  <si>
    <t>Classroom; Field</t>
  </si>
  <si>
    <t>Both Inside/Outside</t>
  </si>
  <si>
    <t>Yes</t>
  </si>
  <si>
    <t>Shooter shot French teacher for failing grade</t>
  </si>
  <si>
    <t>Anger Over Grade/Suspension/Discipline</t>
  </si>
  <si>
    <t>Victims Targeted</t>
  </si>
  <si>
    <t>No</t>
  </si>
  <si>
    <t>19861008TXSOD</t>
  </si>
  <si>
    <t>South Oak Cliff High School</t>
  </si>
  <si>
    <t>Fall</t>
  </si>
  <si>
    <t>Dallas</t>
  </si>
  <si>
    <t>TX</t>
  </si>
  <si>
    <t>High</t>
  </si>
  <si>
    <t>School Bus</t>
  </si>
  <si>
    <t>Yes</t>
  </si>
  <si>
    <t>After School</t>
  </si>
  <si>
    <t>Fight on bus, older brother of one of the fighters shot the other fighter</t>
  </si>
  <si>
    <t>Escalation of Dispute</t>
  </si>
  <si>
    <t>Victims Targeted</t>
  </si>
  <si>
    <t>Yes</t>
  </si>
  <si>
    <t>No</t>
  </si>
  <si>
    <t>19861003CAMOM</t>
  </si>
  <si>
    <t>Monrovia High School</t>
  </si>
  <si>
    <t>Fall</t>
  </si>
  <si>
    <t>Monrovia</t>
  </si>
  <si>
    <t>CA</t>
  </si>
  <si>
    <t>High</t>
  </si>
  <si>
    <t>Football Field/Track</t>
  </si>
  <si>
    <t>Outside on School Property</t>
  </si>
  <si>
    <t>No</t>
  </si>
  <si>
    <t>Sport Event</t>
  </si>
  <si>
    <t>Rival gang fight during football game</t>
  </si>
  <si>
    <t>Escalation of Dispute</t>
  </si>
  <si>
    <t>Both</t>
  </si>
  <si>
    <t>Yes</t>
  </si>
  <si>
    <t>No</t>
  </si>
  <si>
    <t>19860918CABEB</t>
  </si>
  <si>
    <t>Benicia High School</t>
  </si>
  <si>
    <t>Fall</t>
  </si>
  <si>
    <t>Benicia</t>
  </si>
  <si>
    <t>CA</t>
  </si>
  <si>
    <t>High</t>
  </si>
  <si>
    <t>Outside on School Property</t>
  </si>
  <si>
    <t>Yes</t>
  </si>
  <si>
    <t>Afternoon Classes</t>
  </si>
  <si>
    <t>Victim broke up with boyfriend after school so he shot her in school parking lot</t>
  </si>
  <si>
    <t>Domestic w/ Targeted Victim</t>
  </si>
  <si>
    <t>Victims Targeted</t>
  </si>
  <si>
    <t>No</t>
  </si>
  <si>
    <t>Yes</t>
  </si>
  <si>
    <t>19860912CAFAL</t>
  </si>
  <si>
    <t>Fairfax High School</t>
  </si>
  <si>
    <t>Fall</t>
  </si>
  <si>
    <t>Los Angeles</t>
  </si>
  <si>
    <t>CA</t>
  </si>
  <si>
    <t>High</t>
  </si>
  <si>
    <t>Hallway</t>
  </si>
  <si>
    <t>Inside School Building</t>
  </si>
  <si>
    <t>Yes</t>
  </si>
  <si>
    <t>Afternoon Classes</t>
  </si>
  <si>
    <t>Fight broke out in hallway, victim was inadvertently shot in back and killed</t>
  </si>
  <si>
    <t>Escalation of Dispute</t>
  </si>
  <si>
    <t>Both</t>
  </si>
  <si>
    <t>Yes</t>
  </si>
  <si>
    <t>No</t>
  </si>
  <si>
    <t>19860517TNMAN</t>
  </si>
  <si>
    <t>Maplewood High School</t>
  </si>
  <si>
    <t>Spring</t>
  </si>
  <si>
    <t>Nashville</t>
  </si>
  <si>
    <t>TN</t>
  </si>
  <si>
    <t>High</t>
  </si>
  <si>
    <t>Classroom</t>
  </si>
  <si>
    <t>Inside School Building</t>
  </si>
  <si>
    <t>Yes</t>
  </si>
  <si>
    <t>Before School</t>
  </si>
  <si>
    <t>Angry at teacher for kicking him out of class</t>
  </si>
  <si>
    <t>Anger Over Grade/Suspension/Discipline</t>
  </si>
  <si>
    <t>Victims Targeted</t>
  </si>
  <si>
    <t>No</t>
  </si>
  <si>
    <t>19860516WYCOC</t>
  </si>
  <si>
    <t>Cokeville Elementary School</t>
  </si>
  <si>
    <t>Spring</t>
  </si>
  <si>
    <t>Cokeville</t>
  </si>
  <si>
    <t>WY</t>
  </si>
  <si>
    <t>Elementary</t>
  </si>
  <si>
    <t>Cafeteria</t>
  </si>
  <si>
    <t>Inside School Building</t>
  </si>
  <si>
    <t>Yes</t>
  </si>
  <si>
    <t>Afternoon Classes</t>
  </si>
  <si>
    <t>Adult couple held 150 students and teacher hostage, detonated firebomb in cafeteria</t>
  </si>
  <si>
    <t>Hostage/Standoff</t>
  </si>
  <si>
    <t>Neither</t>
  </si>
  <si>
    <t>Yes</t>
  </si>
  <si>
    <t>No</t>
  </si>
  <si>
    <t>Yes</t>
  </si>
  <si>
    <t>19860515GACAA</t>
  </si>
  <si>
    <t>Carver High School</t>
  </si>
  <si>
    <t>Spring</t>
  </si>
  <si>
    <t>Atlanta</t>
  </si>
  <si>
    <t>GA</t>
  </si>
  <si>
    <t>High</t>
  </si>
  <si>
    <t>Field (General)</t>
  </si>
  <si>
    <t>Outside on School Property</t>
  </si>
  <si>
    <t>Yes</t>
  </si>
  <si>
    <t>Accidental - during ROTC rifle practice</t>
  </si>
  <si>
    <t>Accidental</t>
  </si>
  <si>
    <t>Random Shooting</t>
  </si>
  <si>
    <t>No</t>
  </si>
  <si>
    <t>19860509NCPIF</t>
  </si>
  <si>
    <t>Pine Forest High School</t>
  </si>
  <si>
    <t>Spring</t>
  </si>
  <si>
    <t>Fayetteville</t>
  </si>
  <si>
    <t>NC</t>
  </si>
  <si>
    <t>High</t>
  </si>
  <si>
    <t>Inside School Building</t>
  </si>
  <si>
    <t>Yes</t>
  </si>
  <si>
    <t>Morning Classes</t>
  </si>
  <si>
    <t>Threats to shooter by one of the victims he shot</t>
  </si>
  <si>
    <t>Escalation of Dispute</t>
  </si>
  <si>
    <t>Both</t>
  </si>
  <si>
    <t>No</t>
  </si>
  <si>
    <t>Yes</t>
  </si>
  <si>
    <t>No</t>
  </si>
  <si>
    <t>19860429MOSES</t>
  </si>
  <si>
    <t>Senath-Hornersville High School</t>
  </si>
  <si>
    <t>Spring</t>
  </si>
  <si>
    <t>Senath</t>
  </si>
  <si>
    <t>MO</t>
  </si>
  <si>
    <t>High</t>
  </si>
  <si>
    <t>Inside School Building</t>
  </si>
  <si>
    <t>Yes</t>
  </si>
  <si>
    <t>Morning Classes</t>
  </si>
  <si>
    <t>Shooter had been previously bullied by victim before shooting her.</t>
  </si>
  <si>
    <t>Bullying</t>
  </si>
  <si>
    <t>Victims Targeted</t>
  </si>
  <si>
    <t>No</t>
  </si>
  <si>
    <t>19860423FLCHM</t>
  </si>
  <si>
    <t>Charles Drew Middle School</t>
  </si>
  <si>
    <t>Spring</t>
  </si>
  <si>
    <t>Miami</t>
  </si>
  <si>
    <t>FL</t>
  </si>
  <si>
    <t>Middle</t>
  </si>
  <si>
    <t>Basketball Court</t>
  </si>
  <si>
    <t>Outside on School Property</t>
  </si>
  <si>
    <t>Yes</t>
  </si>
  <si>
    <t>Before School</t>
  </si>
  <si>
    <t>Long standing feud over a girl</t>
  </si>
  <si>
    <t>Escalation of Dispute</t>
  </si>
  <si>
    <t>Victims Targeted</t>
  </si>
  <si>
    <t>No</t>
  </si>
  <si>
    <t>19860306ILTHD</t>
  </si>
  <si>
    <t>Thornridge High School</t>
  </si>
  <si>
    <t>Spring</t>
  </si>
  <si>
    <t>Dolton</t>
  </si>
  <si>
    <t>IL</t>
  </si>
  <si>
    <t>High</t>
  </si>
  <si>
    <t>Classroom</t>
  </si>
  <si>
    <t>Inside School Building</t>
  </si>
  <si>
    <t>Yes</t>
  </si>
  <si>
    <t>Shot teacher after argument over grades</t>
  </si>
  <si>
    <t>Anger Over Grade/Suspension/Discipline</t>
  </si>
  <si>
    <t>Victims Targeted</t>
  </si>
  <si>
    <t>No</t>
  </si>
  <si>
    <t>19860224LABOS</t>
  </si>
  <si>
    <t>Boyet Junior High School</t>
  </si>
  <si>
    <t>Winter</t>
  </si>
  <si>
    <t>Slidell</t>
  </si>
  <si>
    <t>LA</t>
  </si>
  <si>
    <t>Junior High</t>
  </si>
  <si>
    <t>Classroom</t>
  </si>
  <si>
    <t>Inside School Building</t>
  </si>
  <si>
    <t>Yes</t>
  </si>
  <si>
    <t>Shot himself in head in front of class</t>
  </si>
  <si>
    <t>Suicide/Attempted</t>
  </si>
  <si>
    <t>Victims Targeted</t>
  </si>
  <si>
    <t>No</t>
  </si>
  <si>
    <t>19860129MDLAB</t>
  </si>
  <si>
    <t>Lake Clifton High School</t>
  </si>
  <si>
    <t>Winter</t>
  </si>
  <si>
    <t>Baltimore</t>
  </si>
  <si>
    <t>MD</t>
  </si>
  <si>
    <t>High</t>
  </si>
  <si>
    <t>Inside School Building</t>
  </si>
  <si>
    <t>Yes</t>
  </si>
  <si>
    <t>Shooter had been beat up multiple times, shot victim during attack</t>
  </si>
  <si>
    <t>Bullying</t>
  </si>
  <si>
    <t>Victims Targeted</t>
  </si>
  <si>
    <t>No</t>
  </si>
  <si>
    <t>Yes</t>
  </si>
  <si>
    <t>No</t>
  </si>
  <si>
    <t>19860117CAVAL</t>
  </si>
  <si>
    <t>Vanguard Junior High School</t>
  </si>
  <si>
    <t>Winter</t>
  </si>
  <si>
    <t>Los Angeles</t>
  </si>
  <si>
    <t>CA</t>
  </si>
  <si>
    <t>Junior High</t>
  </si>
  <si>
    <t>Outside on School Property</t>
  </si>
  <si>
    <t>Yes</t>
  </si>
  <si>
    <t>Morning Classes</t>
  </si>
  <si>
    <t>Fight between students turned into shooting</t>
  </si>
  <si>
    <t>Escalation of Dispute</t>
  </si>
  <si>
    <t>Victims Targeted</t>
  </si>
  <si>
    <t>No</t>
  </si>
  <si>
    <t>19860109NCNOD</t>
  </si>
  <si>
    <t>Northern High School</t>
  </si>
  <si>
    <t>Winter</t>
  </si>
  <si>
    <t>Durham</t>
  </si>
  <si>
    <t>NC</t>
  </si>
  <si>
    <t>High</t>
  </si>
  <si>
    <t>Parking Lot</t>
  </si>
  <si>
    <t>Outside on School Property</t>
  </si>
  <si>
    <t>No</t>
  </si>
  <si>
    <t>After School</t>
  </si>
  <si>
    <t>Boy infatuated with female classmate kills her in school parking lot</t>
  </si>
  <si>
    <t>Domestic w/ Targeted Victim</t>
  </si>
  <si>
    <t>Victims Targeted</t>
  </si>
  <si>
    <t>No</t>
  </si>
  <si>
    <t>Yes</t>
  </si>
  <si>
    <t>19851210CTPOP</t>
  </si>
  <si>
    <t>Portland Junior High School</t>
  </si>
  <si>
    <t>Winter</t>
  </si>
  <si>
    <t>Portland</t>
  </si>
  <si>
    <t>CT</t>
  </si>
  <si>
    <t>Junior High</t>
  </si>
  <si>
    <t>Classroom</t>
  </si>
  <si>
    <t>Inside School Building</t>
  </si>
  <si>
    <t>Yes</t>
  </si>
  <si>
    <t>Lunch</t>
  </si>
  <si>
    <t>Shooter shot principal after being disciplined for dress code.</t>
  </si>
  <si>
    <t>Anger Over Grade/Suspension/Discipline</t>
  </si>
  <si>
    <t>Both</t>
  </si>
  <si>
    <t>Yes</t>
  </si>
  <si>
    <t>No</t>
  </si>
  <si>
    <t>Yes</t>
  </si>
  <si>
    <t>19851209PAARP</t>
  </si>
  <si>
    <t>Archbishop Ryan High School</t>
  </si>
  <si>
    <t>Winter</t>
  </si>
  <si>
    <t>Philadelphia</t>
  </si>
  <si>
    <t>PA</t>
  </si>
  <si>
    <t>High</t>
  </si>
  <si>
    <t>Classroom</t>
  </si>
  <si>
    <t>Inside School Building</t>
  </si>
  <si>
    <t>Yes</t>
  </si>
  <si>
    <t>Morning Classes</t>
  </si>
  <si>
    <t>Mental patient took 6 people hostage using a starter pistol</t>
  </si>
  <si>
    <t>Psychosis</t>
  </si>
  <si>
    <t>Neither</t>
  </si>
  <si>
    <t>No</t>
  </si>
  <si>
    <t>Yes</t>
  </si>
  <si>
    <t>No</t>
  </si>
  <si>
    <t>Yes</t>
  </si>
  <si>
    <t>19851203NHCOC</t>
  </si>
  <si>
    <t>Concord High School</t>
  </si>
  <si>
    <t>Winter</t>
  </si>
  <si>
    <t>Concord</t>
  </si>
  <si>
    <t>NH</t>
  </si>
  <si>
    <t>High</t>
  </si>
  <si>
    <t>Hallway</t>
  </si>
  <si>
    <t>Inside School Building</t>
  </si>
  <si>
    <t>Yes</t>
  </si>
  <si>
    <t>Morning Classes</t>
  </si>
  <si>
    <t>Dropout, Teased by other students, took two hostages</t>
  </si>
  <si>
    <t>Hostage/Standoff</t>
  </si>
  <si>
    <t>Victims Targeted</t>
  </si>
  <si>
    <t>No</t>
  </si>
  <si>
    <t>Yes</t>
  </si>
  <si>
    <t>No</t>
  </si>
  <si>
    <t>Yes</t>
  </si>
  <si>
    <t>19851127ALCHB</t>
  </si>
  <si>
    <t>Chelsea School</t>
  </si>
  <si>
    <t>Fall</t>
  </si>
  <si>
    <t>Birmingham</t>
  </si>
  <si>
    <t>AL</t>
  </si>
  <si>
    <t>High</t>
  </si>
  <si>
    <t>Parking Lot</t>
  </si>
  <si>
    <t>Outside on School Property</t>
  </si>
  <si>
    <t>Yes</t>
  </si>
  <si>
    <t>Dismissal</t>
  </si>
  <si>
    <t>Friend accidentally shoots friend in school parking lot - feels so bad he then shoots himself</t>
  </si>
  <si>
    <t>Accidental</t>
  </si>
  <si>
    <t>Both</t>
  </si>
  <si>
    <t>No</t>
  </si>
  <si>
    <t>19851126WASPS</t>
  </si>
  <si>
    <t>Spanaway Junior High School</t>
  </si>
  <si>
    <t>Fall</t>
  </si>
  <si>
    <t>Spanaway</t>
  </si>
  <si>
    <t>WA</t>
  </si>
  <si>
    <t>Junior High</t>
  </si>
  <si>
    <t>Gym</t>
  </si>
  <si>
    <t>Outside on School Property</t>
  </si>
  <si>
    <t>Yes</t>
  </si>
  <si>
    <t>After School</t>
  </si>
  <si>
    <t>Break up with boyfriend - 1 of the victims</t>
  </si>
  <si>
    <t>Murder/Suicide</t>
  </si>
  <si>
    <t>Both</t>
  </si>
  <si>
    <t>No</t>
  </si>
  <si>
    <t>19851022OHSOG</t>
  </si>
  <si>
    <t>Southern Hills Joint Vocational High School</t>
  </si>
  <si>
    <t>Fall</t>
  </si>
  <si>
    <t>Georgetown</t>
  </si>
  <si>
    <t>OH</t>
  </si>
  <si>
    <t>High</t>
  </si>
  <si>
    <t>Classroom</t>
  </si>
  <si>
    <t>Inside School Building</t>
  </si>
  <si>
    <t>Yes</t>
  </si>
  <si>
    <t>Afternoon Classes</t>
  </si>
  <si>
    <t>Accidental - Police Officer showing students his weapon - accidental discharge</t>
  </si>
  <si>
    <t>Accidental</t>
  </si>
  <si>
    <t>Random Shooting</t>
  </si>
  <si>
    <t>No</t>
  </si>
  <si>
    <t>N/A</t>
  </si>
  <si>
    <t>19851018MIMUD</t>
  </si>
  <si>
    <t>Murray-Wright High School</t>
  </si>
  <si>
    <t>Fall</t>
  </si>
  <si>
    <t>Detroit</t>
  </si>
  <si>
    <t>MI</t>
  </si>
  <si>
    <t>High</t>
  </si>
  <si>
    <t>Parking Lot</t>
  </si>
  <si>
    <t>Outside on School Property</t>
  </si>
  <si>
    <t>No</t>
  </si>
  <si>
    <t>Sport Event</t>
  </si>
  <si>
    <t>Fired shotgun into crowd after football game, involved in earlier fight</t>
  </si>
  <si>
    <t>Escalation of Dispute</t>
  </si>
  <si>
    <t>Yes</t>
  </si>
  <si>
    <t>No</t>
  </si>
  <si>
    <t>Yes</t>
  </si>
  <si>
    <t>19851008MDLAB</t>
  </si>
  <si>
    <t>Lake Clifton High School</t>
  </si>
  <si>
    <t>Fall</t>
  </si>
  <si>
    <t>Baltimore</t>
  </si>
  <si>
    <t>MD</t>
  </si>
  <si>
    <t>High</t>
  </si>
  <si>
    <t>Outside on School Property</t>
  </si>
  <si>
    <t>No</t>
  </si>
  <si>
    <t>Dismissal</t>
  </si>
  <si>
    <t>Argument with shooter, victim may have pulled pistol</t>
  </si>
  <si>
    <t>Escalation of Dispute</t>
  </si>
  <si>
    <t>Victims Targeted</t>
  </si>
  <si>
    <t>No</t>
  </si>
  <si>
    <t>19850925OHTRT</t>
  </si>
  <si>
    <t>Trotwood-Madison Senior High</t>
  </si>
  <si>
    <t>Fall</t>
  </si>
  <si>
    <t>Trotwood</t>
  </si>
  <si>
    <t>OH</t>
  </si>
  <si>
    <t>High</t>
  </si>
  <si>
    <t>Inside School Building</t>
  </si>
  <si>
    <t>Yes</t>
  </si>
  <si>
    <t>Afternoon Classes</t>
  </si>
  <si>
    <t>Shooter accidentally shot two students while showing off gun.</t>
  </si>
  <si>
    <t>Accidental</t>
  </si>
  <si>
    <t>Random Shooting</t>
  </si>
  <si>
    <t>No</t>
  </si>
  <si>
    <t>19850920TXLAC</t>
  </si>
  <si>
    <t>Langham Creek High School</t>
  </si>
  <si>
    <t>Fall</t>
  </si>
  <si>
    <t>Cypress</t>
  </si>
  <si>
    <t>TX</t>
  </si>
  <si>
    <t>High</t>
  </si>
  <si>
    <t>Cafeteria</t>
  </si>
  <si>
    <t>Inside School Building</t>
  </si>
  <si>
    <t>Yes</t>
  </si>
  <si>
    <t>Lunch</t>
  </si>
  <si>
    <t>Student fired at principal and another student in cafeteria, bystander struck</t>
  </si>
  <si>
    <t>Anger Over Grade/Suspension/Discipline</t>
  </si>
  <si>
    <t>Both</t>
  </si>
  <si>
    <t>No</t>
  </si>
  <si>
    <t>19850909TXWHH</t>
  </si>
  <si>
    <t>Wheatley High School</t>
  </si>
  <si>
    <t>Fall</t>
  </si>
  <si>
    <t>Houston</t>
  </si>
  <si>
    <t>TX</t>
  </si>
  <si>
    <t>High</t>
  </si>
  <si>
    <t>Cafeteria</t>
  </si>
  <si>
    <t>Inside School Building</t>
  </si>
  <si>
    <t>Yes</t>
  </si>
  <si>
    <t>After School</t>
  </si>
  <si>
    <t>Teacher was shot during confrontation with 3 non-students in cafeteria</t>
  </si>
  <si>
    <t>Escalation of Dispute</t>
  </si>
  <si>
    <t>Victims Targeted</t>
  </si>
  <si>
    <t>Yes</t>
  </si>
  <si>
    <t>No</t>
  </si>
  <si>
    <t>19850904VAEAR</t>
  </si>
  <si>
    <t>East End Middle School (bus)</t>
  </si>
  <si>
    <t>Local</t>
  </si>
  <si>
    <t>Fall</t>
  </si>
  <si>
    <t>Richmond</t>
  </si>
  <si>
    <t>VA</t>
  </si>
  <si>
    <t>Middle</t>
  </si>
  <si>
    <t>School Bus</t>
  </si>
  <si>
    <t>No</t>
  </si>
  <si>
    <t>After School</t>
  </si>
  <si>
    <t>Student pointed empty gun at multiple students on the bus; they taunted him and said he wouldn't shoot for real; shooter loaded the gun and fired one shot striking a female student</t>
  </si>
  <si>
    <t>Psychosis</t>
  </si>
  <si>
    <t>Random Shooting</t>
  </si>
  <si>
    <t>No</t>
  </si>
  <si>
    <t>19850724TXHIH</t>
  </si>
  <si>
    <t>Highland Park High School</t>
  </si>
  <si>
    <t>Summer</t>
  </si>
  <si>
    <t>Highland Park</t>
  </si>
  <si>
    <t>TX</t>
  </si>
  <si>
    <t>High</t>
  </si>
  <si>
    <t>Parking Lot</t>
  </si>
  <si>
    <t>Outside on School Property</t>
  </si>
  <si>
    <t>Yes</t>
  </si>
  <si>
    <t>Morning Classes</t>
  </si>
  <si>
    <t>Neighbor was angry about students driving too fast by her house</t>
  </si>
  <si>
    <t>Escalation of Dispute</t>
  </si>
  <si>
    <t>Victims Targeted</t>
  </si>
  <si>
    <t>No</t>
  </si>
  <si>
    <t>19850516FLPAB</t>
  </si>
  <si>
    <t>Parrott Junior High School</t>
  </si>
  <si>
    <t>Spring</t>
  </si>
  <si>
    <t>Brookville</t>
  </si>
  <si>
    <t>FL</t>
  </si>
  <si>
    <t>Junior High</t>
  </si>
  <si>
    <t>Classroom</t>
  </si>
  <si>
    <t>Inside School Building</t>
  </si>
  <si>
    <t>Yes</t>
  </si>
  <si>
    <t>Morning Classes</t>
  </si>
  <si>
    <t>Shooter shot herself in classroom, upset by breakup with boyfriend</t>
  </si>
  <si>
    <t>Suicide/Attempted</t>
  </si>
  <si>
    <t>Victims Targeted</t>
  </si>
  <si>
    <t>No</t>
  </si>
  <si>
    <t>19850418TNSOS</t>
  </si>
  <si>
    <t>South Pittsburg High School</t>
  </si>
  <si>
    <t>National</t>
  </si>
  <si>
    <t>Spring</t>
  </si>
  <si>
    <t>South Pittsburg</t>
  </si>
  <si>
    <t>TN</t>
  </si>
  <si>
    <t>High</t>
  </si>
  <si>
    <t>Office</t>
  </si>
  <si>
    <t>Inside School Building</t>
  </si>
  <si>
    <t>Yes</t>
  </si>
  <si>
    <t>Morning Classes</t>
  </si>
  <si>
    <t>Student shot teacher (ex-girlfriend) three times in the school office</t>
  </si>
  <si>
    <t>Domestic w/ Targeted Victim</t>
  </si>
  <si>
    <t>Victims Targeted</t>
  </si>
  <si>
    <t>No</t>
  </si>
  <si>
    <t>Yes</t>
  </si>
  <si>
    <t>No</t>
  </si>
  <si>
    <t>19850416TXMAA</t>
  </si>
  <si>
    <t>MacArthur Senior High School</t>
  </si>
  <si>
    <t>Spring</t>
  </si>
  <si>
    <t>Aldine</t>
  </si>
  <si>
    <t>TX</t>
  </si>
  <si>
    <t>High</t>
  </si>
  <si>
    <t>Parking Lot</t>
  </si>
  <si>
    <t>Outside on School Property</t>
  </si>
  <si>
    <t>Yes</t>
  </si>
  <si>
    <t>Dismissal</t>
  </si>
  <si>
    <t>Off duty officer fired at student in dispute over towed car</t>
  </si>
  <si>
    <t>Officer-Involved Shooting</t>
  </si>
  <si>
    <t>Victims Targeted</t>
  </si>
  <si>
    <t>No</t>
  </si>
  <si>
    <t>19850205CTAIH</t>
  </si>
  <si>
    <t>A I Prince Technical High School</t>
  </si>
  <si>
    <t>Winter</t>
  </si>
  <si>
    <t>Hartford</t>
  </si>
  <si>
    <t>CT</t>
  </si>
  <si>
    <t>High</t>
  </si>
  <si>
    <t>Beside Building</t>
  </si>
  <si>
    <t>Outside on School Property</t>
  </si>
  <si>
    <t>Yes</t>
  </si>
  <si>
    <t>Afternoon Classes</t>
  </si>
  <si>
    <t>Shooting stemmed from ongoing conflict over a girl</t>
  </si>
  <si>
    <t>Escalation of Dispute</t>
  </si>
  <si>
    <t>Victims Targeted</t>
  </si>
  <si>
    <t>No</t>
  </si>
  <si>
    <t>19850126MASTB</t>
  </si>
  <si>
    <t>St. Gregory's High School</t>
  </si>
  <si>
    <t>Winter</t>
  </si>
  <si>
    <t>Boston</t>
  </si>
  <si>
    <t>MA</t>
  </si>
  <si>
    <t>High</t>
  </si>
  <si>
    <t>Beside Building</t>
  </si>
  <si>
    <t>Outside on School Property</t>
  </si>
  <si>
    <t>No</t>
  </si>
  <si>
    <t>School Event</t>
  </si>
  <si>
    <t>Shots during fight between dozen black and white students outside dance</t>
  </si>
  <si>
    <t>Racial</t>
  </si>
  <si>
    <t>Both</t>
  </si>
  <si>
    <t>No</t>
  </si>
  <si>
    <t>19850121KSGOG</t>
  </si>
  <si>
    <t>Goddard Junior High School</t>
  </si>
  <si>
    <t>Winter</t>
  </si>
  <si>
    <t>Goddard</t>
  </si>
  <si>
    <t>KS</t>
  </si>
  <si>
    <t>Junior High</t>
  </si>
  <si>
    <t>Hallway</t>
  </si>
  <si>
    <t>Inside School Building</t>
  </si>
  <si>
    <t>Yes</t>
  </si>
  <si>
    <t>Morning Classes</t>
  </si>
  <si>
    <t>Ongoing conflicts with fellow students</t>
  </si>
  <si>
    <t>Indiscriminate Shooting</t>
  </si>
  <si>
    <t>Both</t>
  </si>
  <si>
    <t>No</t>
  </si>
  <si>
    <t>Yes</t>
  </si>
  <si>
    <t>No</t>
  </si>
  <si>
    <t>Yes</t>
  </si>
  <si>
    <t>19850118TXARA</t>
  </si>
  <si>
    <t>Arlington High School</t>
  </si>
  <si>
    <t>Winter</t>
  </si>
  <si>
    <t>Arlington</t>
  </si>
  <si>
    <t>TX</t>
  </si>
  <si>
    <t>High</t>
  </si>
  <si>
    <t>Auditorium</t>
  </si>
  <si>
    <t>Inside School Building</t>
  </si>
  <si>
    <t>Yes</t>
  </si>
  <si>
    <t>Shot self on stage in front of drama students and teacher</t>
  </si>
  <si>
    <t>Suicide/Attempted</t>
  </si>
  <si>
    <t>Victims Targeted</t>
  </si>
  <si>
    <t>No</t>
  </si>
  <si>
    <t>19841207MOEDS</t>
  </si>
  <si>
    <t>Edwardsville High School</t>
  </si>
  <si>
    <t>Winter</t>
  </si>
  <si>
    <t>St. Louis</t>
  </si>
  <si>
    <t>MO</t>
  </si>
  <si>
    <t>High</t>
  </si>
  <si>
    <t>Hallway</t>
  </si>
  <si>
    <t>Inside School Building</t>
  </si>
  <si>
    <t>Yes</t>
  </si>
  <si>
    <t>Before School</t>
  </si>
  <si>
    <t>Barricaded inside janitors closet for 7 hours</t>
  </si>
  <si>
    <t>Psychosis</t>
  </si>
  <si>
    <t>Random Shooting</t>
  </si>
  <si>
    <t>No</t>
  </si>
  <si>
    <t>Yes</t>
  </si>
  <si>
    <t>No</t>
  </si>
  <si>
    <t>Yes</t>
  </si>
  <si>
    <t>19841126MDMIR</t>
  </si>
  <si>
    <t>Millford Mill High School</t>
  </si>
  <si>
    <t>Fall</t>
  </si>
  <si>
    <t>Rockdale</t>
  </si>
  <si>
    <t>MD</t>
  </si>
  <si>
    <t>High</t>
  </si>
  <si>
    <t>Outside on School Property</t>
  </si>
  <si>
    <t>Yes</t>
  </si>
  <si>
    <t>Lunch</t>
  </si>
  <si>
    <t>Attempted robbery of victim during lunch break</t>
  </si>
  <si>
    <t>Illegal Activity</t>
  </si>
  <si>
    <t>Victims Targeted</t>
  </si>
  <si>
    <t>No</t>
  </si>
  <si>
    <t>19841109CTWIN</t>
  </si>
  <si>
    <t>Wilbur Cross High School</t>
  </si>
  <si>
    <t>Fall</t>
  </si>
  <si>
    <t>New Haven</t>
  </si>
  <si>
    <t>CT</t>
  </si>
  <si>
    <t>High</t>
  </si>
  <si>
    <t>Hallway</t>
  </si>
  <si>
    <t>Inside School Building</t>
  </si>
  <si>
    <t>Yes</t>
  </si>
  <si>
    <t>School Start</t>
  </si>
  <si>
    <t>Student shot during argument with 4 students</t>
  </si>
  <si>
    <t>Escalation of Dispute</t>
  </si>
  <si>
    <t>Victims Targeted</t>
  </si>
  <si>
    <t>Yes</t>
  </si>
  <si>
    <t>No</t>
  </si>
  <si>
    <t>19841031LAEAG</t>
  </si>
  <si>
    <t>East Ascension High School</t>
  </si>
  <si>
    <t>Fall</t>
  </si>
  <si>
    <t>Gonzales</t>
  </si>
  <si>
    <t>LA</t>
  </si>
  <si>
    <t>High</t>
  </si>
  <si>
    <t>Outside on School Property</t>
  </si>
  <si>
    <t>Yes</t>
  </si>
  <si>
    <t>Before School</t>
  </si>
  <si>
    <t>Ongoing conflicts with fellow students</t>
  </si>
  <si>
    <t>Escalation of Dispute</t>
  </si>
  <si>
    <t>Victims Targeted</t>
  </si>
  <si>
    <t>No</t>
  </si>
  <si>
    <t>19841030SCPEP</t>
  </si>
  <si>
    <t>Pendleton High School</t>
  </si>
  <si>
    <t>Fall</t>
  </si>
  <si>
    <t>Pendleton</t>
  </si>
  <si>
    <t>SC</t>
  </si>
  <si>
    <t>High</t>
  </si>
  <si>
    <t>Hallway</t>
  </si>
  <si>
    <t>Inside School Building</t>
  </si>
  <si>
    <t>Yes</t>
  </si>
  <si>
    <t>Lunch</t>
  </si>
  <si>
    <t>Shooter at school to see girlfriend - was told to leave, detained, during fight with teachers he shot gun</t>
  </si>
  <si>
    <t>Escalation of Dispute</t>
  </si>
  <si>
    <t>Both</t>
  </si>
  <si>
    <t>No</t>
  </si>
  <si>
    <t>19841024OHWEC</t>
  </si>
  <si>
    <t>West Elementary School Bus</t>
  </si>
  <si>
    <t>Local</t>
  </si>
  <si>
    <t>Fall</t>
  </si>
  <si>
    <t>Celina</t>
  </si>
  <si>
    <t>OH</t>
  </si>
  <si>
    <t>Elementary</t>
  </si>
  <si>
    <t>School Bus</t>
  </si>
  <si>
    <t>No</t>
  </si>
  <si>
    <t>Before School</t>
  </si>
  <si>
    <t>Female shooter killed bus driver, fired multiple shots at the bus, and rammed the bus with her car multiple times as a result of a custody dispute</t>
  </si>
  <si>
    <t>Domestic w/ Targeted Victim</t>
  </si>
  <si>
    <t>Victims Targeted</t>
  </si>
  <si>
    <t>No</t>
  </si>
  <si>
    <t>Yes</t>
  </si>
  <si>
    <t>19841024MISOD</t>
  </si>
  <si>
    <t>Southeastern High School</t>
  </si>
  <si>
    <t>Fall</t>
  </si>
  <si>
    <t>Detroit</t>
  </si>
  <si>
    <t>MI</t>
  </si>
  <si>
    <t>High</t>
  </si>
  <si>
    <t>Hallway</t>
  </si>
  <si>
    <t>Inside School Building</t>
  </si>
  <si>
    <t>Yes</t>
  </si>
  <si>
    <t>Morning Classes</t>
  </si>
  <si>
    <t>Victim and shooter involved in fight  - gun falls from pants - accidental discharge - strikes victim in leg</t>
  </si>
  <si>
    <t>Accidental</t>
  </si>
  <si>
    <t>Random Shooting</t>
  </si>
  <si>
    <t>No</t>
  </si>
  <si>
    <t>19841022MICED</t>
  </si>
  <si>
    <t>Central High School</t>
  </si>
  <si>
    <t>Fall</t>
  </si>
  <si>
    <t>Detroit</t>
  </si>
  <si>
    <t>MI</t>
  </si>
  <si>
    <t>High</t>
  </si>
  <si>
    <t>Hallway</t>
  </si>
  <si>
    <t>Inside School Building</t>
  </si>
  <si>
    <t>Yes</t>
  </si>
  <si>
    <t>Afternoon Classes</t>
  </si>
  <si>
    <t>Victims accidentally shot while watching fight at school</t>
  </si>
  <si>
    <t>Escalation of Dispute</t>
  </si>
  <si>
    <t>Random Shooting</t>
  </si>
  <si>
    <t>No</t>
  </si>
  <si>
    <t>19841021PAWYE</t>
  </si>
  <si>
    <t>Wyoming Area High School</t>
  </si>
  <si>
    <t>Fall</t>
  </si>
  <si>
    <t>Exeter</t>
  </si>
  <si>
    <t>PA</t>
  </si>
  <si>
    <t>High</t>
  </si>
  <si>
    <t>Field (General)</t>
  </si>
  <si>
    <t>Outside on School Property</t>
  </si>
  <si>
    <t>No</t>
  </si>
  <si>
    <t>Sport Event</t>
  </si>
  <si>
    <t>Victim shot with pellet gun while practicing with drill team on high school field</t>
  </si>
  <si>
    <t>Unknown</t>
  </si>
  <si>
    <t>No</t>
  </si>
  <si>
    <t>19840928TXMIH</t>
  </si>
  <si>
    <t>Millsap Elementary School</t>
  </si>
  <si>
    <t>Fall</t>
  </si>
  <si>
    <t>Houston</t>
  </si>
  <si>
    <t>TX</t>
  </si>
  <si>
    <t>Elementary</t>
  </si>
  <si>
    <t>Front of School</t>
  </si>
  <si>
    <t>Outside on School Property</t>
  </si>
  <si>
    <t>Yes</t>
  </si>
  <si>
    <t>Before School</t>
  </si>
  <si>
    <t>Unknown shooter shot 5 grader raising flag at school</t>
  </si>
  <si>
    <t>Indiscriminate Shooting</t>
  </si>
  <si>
    <t>Random Shooting</t>
  </si>
  <si>
    <t>No</t>
  </si>
  <si>
    <t>Yes</t>
  </si>
  <si>
    <t>19840928TXRIN</t>
  </si>
  <si>
    <t>Richland High School</t>
  </si>
  <si>
    <t>Local</t>
  </si>
  <si>
    <t>Fall</t>
  </si>
  <si>
    <t>North Richland Hills</t>
  </si>
  <si>
    <t>TX</t>
  </si>
  <si>
    <t>High</t>
  </si>
  <si>
    <t>Classroom</t>
  </si>
  <si>
    <t>Inside School Building</t>
  </si>
  <si>
    <t>Yes</t>
  </si>
  <si>
    <t>Heavily armed former student fired 30 shots in the school's foyer then surrendered to principal</t>
  </si>
  <si>
    <t>Indiscriminate Shooting</t>
  </si>
  <si>
    <t>Both</t>
  </si>
  <si>
    <t>No</t>
  </si>
  <si>
    <t>Yes</t>
  </si>
  <si>
    <t>19840831LABOS</t>
  </si>
  <si>
    <t>Booker T. Washington High School</t>
  </si>
  <si>
    <t>Summer</t>
  </si>
  <si>
    <t>Shreveport</t>
  </si>
  <si>
    <t>LA</t>
  </si>
  <si>
    <t>High</t>
  </si>
  <si>
    <t>Football Field/Track</t>
  </si>
  <si>
    <t>Outside on School Property</t>
  </si>
  <si>
    <t>No</t>
  </si>
  <si>
    <t>Sport Event</t>
  </si>
  <si>
    <t>Shooting occurred after football game between gang members and students</t>
  </si>
  <si>
    <t>Escalation of Dispute</t>
  </si>
  <si>
    <t>Random Shooting</t>
  </si>
  <si>
    <t>No</t>
  </si>
  <si>
    <t>19840710MIMUD</t>
  </si>
  <si>
    <t>Mumford High School</t>
  </si>
  <si>
    <t>Summer</t>
  </si>
  <si>
    <t>Detroit</t>
  </si>
  <si>
    <t>MI</t>
  </si>
  <si>
    <t>High</t>
  </si>
  <si>
    <t>Beside Building</t>
  </si>
  <si>
    <t>Outside on School Property</t>
  </si>
  <si>
    <t>Yes</t>
  </si>
  <si>
    <t>Lunch</t>
  </si>
  <si>
    <t>Mistaken identity related to gang violence</t>
  </si>
  <si>
    <t>Escalation of Dispute</t>
  </si>
  <si>
    <t>Random Shooting</t>
  </si>
  <si>
    <t>No</t>
  </si>
  <si>
    <t>19840522OHCLC</t>
  </si>
  <si>
    <t>Cleveland Heights High School</t>
  </si>
  <si>
    <t>Spring</t>
  </si>
  <si>
    <t>Cleveland Heights</t>
  </si>
  <si>
    <t>OH</t>
  </si>
  <si>
    <t>High</t>
  </si>
  <si>
    <t>Classroom</t>
  </si>
  <si>
    <t>Inside School Building</t>
  </si>
  <si>
    <t>Yes</t>
  </si>
  <si>
    <t>Shooter dropped bag with gun inside. Gun went off striking victim</t>
  </si>
  <si>
    <t>Accidental</t>
  </si>
  <si>
    <t>Random Shooting</t>
  </si>
  <si>
    <t>No</t>
  </si>
  <si>
    <t>19840518CANON</t>
  </si>
  <si>
    <t>Norco High School</t>
  </si>
  <si>
    <t>Spring</t>
  </si>
  <si>
    <t>Norco</t>
  </si>
  <si>
    <t>CA</t>
  </si>
  <si>
    <t>High</t>
  </si>
  <si>
    <t>Hallway</t>
  </si>
  <si>
    <t>Inside School Building</t>
  </si>
  <si>
    <t>Yes</t>
  </si>
  <si>
    <t>Morning Classes</t>
  </si>
  <si>
    <t>Shooter was trying to settle argument, tackled by students</t>
  </si>
  <si>
    <t>Escalation of Dispute</t>
  </si>
  <si>
    <t>Both</t>
  </si>
  <si>
    <t>No</t>
  </si>
  <si>
    <t>19840517TXBOH</t>
  </si>
  <si>
    <t>Booker T. Washington High School</t>
  </si>
  <si>
    <t>Spring</t>
  </si>
  <si>
    <t>Houston</t>
  </si>
  <si>
    <t>TX</t>
  </si>
  <si>
    <t>High</t>
  </si>
  <si>
    <t>Classroom</t>
  </si>
  <si>
    <t>Inside School Building</t>
  </si>
  <si>
    <t>Yes</t>
  </si>
  <si>
    <t>Morning Classes</t>
  </si>
  <si>
    <t>Anger over suspension / fight with girlfriend</t>
  </si>
  <si>
    <t>Domestic w/ Targeted Victim</t>
  </si>
  <si>
    <t>Victims Targeted</t>
  </si>
  <si>
    <t>No</t>
  </si>
  <si>
    <t>Yes</t>
  </si>
  <si>
    <t>19840517IASOP</t>
  </si>
  <si>
    <t>Southeast Polk High School</t>
  </si>
  <si>
    <t>Spring</t>
  </si>
  <si>
    <t>Pleasant Hill</t>
  </si>
  <si>
    <t>IA</t>
  </si>
  <si>
    <t>High</t>
  </si>
  <si>
    <t>Classroom</t>
  </si>
  <si>
    <t>Inside School Building</t>
  </si>
  <si>
    <t>Yes</t>
  </si>
  <si>
    <t>Morning Classes</t>
  </si>
  <si>
    <t>Shot girlfriend and then self after break-up</t>
  </si>
  <si>
    <t>Murder/Suicide</t>
  </si>
  <si>
    <t>Victims Targeted</t>
  </si>
  <si>
    <t>No</t>
  </si>
  <si>
    <t>19840515MTCMG</t>
  </si>
  <si>
    <t>C M Russell High School</t>
  </si>
  <si>
    <t>Spring</t>
  </si>
  <si>
    <t>Great Falls</t>
  </si>
  <si>
    <t>MT</t>
  </si>
  <si>
    <t>High</t>
  </si>
  <si>
    <t>Parking Lot</t>
  </si>
  <si>
    <t>Outside on School Property</t>
  </si>
  <si>
    <t>Yes</t>
  </si>
  <si>
    <t>After School</t>
  </si>
  <si>
    <t>Student shot self in chest in school parking lot</t>
  </si>
  <si>
    <t>Suicide/Attempted</t>
  </si>
  <si>
    <t>Victims Targeted</t>
  </si>
  <si>
    <t>No</t>
  </si>
  <si>
    <t>19840426NCROW</t>
  </si>
  <si>
    <t>Rose Hill Magnolia Elementary School</t>
  </si>
  <si>
    <t>Spring</t>
  </si>
  <si>
    <t>Wallace</t>
  </si>
  <si>
    <t>NC</t>
  </si>
  <si>
    <t>Elementary</t>
  </si>
  <si>
    <t>Classroom</t>
  </si>
  <si>
    <t>Inside School Building</t>
  </si>
  <si>
    <t>Yes</t>
  </si>
  <si>
    <t>Suicide attempt in front of classroom</t>
  </si>
  <si>
    <t>Suicide/Attempted</t>
  </si>
  <si>
    <t>Victims Targeted</t>
  </si>
  <si>
    <t>No</t>
  </si>
  <si>
    <t>19840420MIPRD</t>
  </si>
  <si>
    <t>Precious Blood School</t>
  </si>
  <si>
    <t>Spring</t>
  </si>
  <si>
    <t>Detroit</t>
  </si>
  <si>
    <t>MI</t>
  </si>
  <si>
    <t>K-12</t>
  </si>
  <si>
    <t>Classroom</t>
  </si>
  <si>
    <t>Inside School Building</t>
  </si>
  <si>
    <t>Yes</t>
  </si>
  <si>
    <t>Accidental while showing off gun</t>
  </si>
  <si>
    <t>Accidental</t>
  </si>
  <si>
    <t>Random Shooting</t>
  </si>
  <si>
    <t>No</t>
  </si>
  <si>
    <t>19840405LACLC</t>
  </si>
  <si>
    <t>Clinton High School</t>
  </si>
  <si>
    <t>Spring</t>
  </si>
  <si>
    <t>Clinton</t>
  </si>
  <si>
    <t>LA</t>
  </si>
  <si>
    <t>High</t>
  </si>
  <si>
    <t>Auditorium</t>
  </si>
  <si>
    <t>Inside School Building</t>
  </si>
  <si>
    <t>Yes</t>
  </si>
  <si>
    <t>Ongoing conflicts with fellow students</t>
  </si>
  <si>
    <t>Escalation of Dispute</t>
  </si>
  <si>
    <t>Victims Targeted</t>
  </si>
  <si>
    <t>No</t>
  </si>
  <si>
    <t>19840224CA49L</t>
  </si>
  <si>
    <t>49th Street Elementary School</t>
  </si>
  <si>
    <t>Winter</t>
  </si>
  <si>
    <t>Los Angeles</t>
  </si>
  <si>
    <t>CA</t>
  </si>
  <si>
    <t>Elementary</t>
  </si>
  <si>
    <t>Playground</t>
  </si>
  <si>
    <t>Off School Property</t>
  </si>
  <si>
    <t>Yes</t>
  </si>
  <si>
    <t>After School</t>
  </si>
  <si>
    <t>Shot multiple students from house across the street during mental breakdown</t>
  </si>
  <si>
    <t>Psychosis</t>
  </si>
  <si>
    <t>Random Shooting</t>
  </si>
  <si>
    <t>No</t>
  </si>
  <si>
    <t>Yes</t>
  </si>
  <si>
    <t>19840221TXSHH</t>
  </si>
  <si>
    <t>Sharpstown High School</t>
  </si>
  <si>
    <t>Winter</t>
  </si>
  <si>
    <t>Houston</t>
  </si>
  <si>
    <t>TX</t>
  </si>
  <si>
    <t>High</t>
  </si>
  <si>
    <t>Classroom</t>
  </si>
  <si>
    <t>Inside School Building</t>
  </si>
  <si>
    <t>Yes</t>
  </si>
  <si>
    <t>Lunch</t>
  </si>
  <si>
    <t>Shooter shot teacher twice during lunch</t>
  </si>
  <si>
    <t>Anger Over Grade/Suspension/Discipline</t>
  </si>
  <si>
    <t>Victims Targeted</t>
  </si>
  <si>
    <t>No</t>
  </si>
  <si>
    <t>19840206KYCEL</t>
  </si>
  <si>
    <t>Central High School</t>
  </si>
  <si>
    <t>Winter</t>
  </si>
  <si>
    <t>Louisville</t>
  </si>
  <si>
    <t>KY</t>
  </si>
  <si>
    <t>High</t>
  </si>
  <si>
    <t>Outside on School Property</t>
  </si>
  <si>
    <t>Yes</t>
  </si>
  <si>
    <t>Lunch</t>
  </si>
  <si>
    <t>Argument in school hallway led to victim being shot</t>
  </si>
  <si>
    <t>Escalation of Dispute</t>
  </si>
  <si>
    <t>Victims Targeted</t>
  </si>
  <si>
    <t>Yes</t>
  </si>
  <si>
    <t>No</t>
  </si>
  <si>
    <t>19840105MDLAB</t>
  </si>
  <si>
    <t>Lake Clifton Senior HIgh School</t>
  </si>
  <si>
    <t>Winter</t>
  </si>
  <si>
    <t>Baltimore</t>
  </si>
  <si>
    <t>MD</t>
  </si>
  <si>
    <t>High</t>
  </si>
  <si>
    <t>Parking Lot</t>
  </si>
  <si>
    <t>Outside on School Property</t>
  </si>
  <si>
    <t>No</t>
  </si>
  <si>
    <t>After School</t>
  </si>
  <si>
    <t>Victim argued with 4 other youths on parking lot before being shot</t>
  </si>
  <si>
    <t>Escalation of Dispute</t>
  </si>
  <si>
    <t>Victims Targeted</t>
  </si>
  <si>
    <t>No</t>
  </si>
  <si>
    <t>19831216ILBOR</t>
  </si>
  <si>
    <t>Boylan Central Catholic High School</t>
  </si>
  <si>
    <t>Winter</t>
  </si>
  <si>
    <t>Rockford</t>
  </si>
  <si>
    <t>IL</t>
  </si>
  <si>
    <t>High</t>
  </si>
  <si>
    <t>Classroom</t>
  </si>
  <si>
    <t>Inside School Building</t>
  </si>
  <si>
    <t>Yes</t>
  </si>
  <si>
    <t>Morning Classes</t>
  </si>
  <si>
    <t>Suspect shot German teacher due to previously being disciplined by her.</t>
  </si>
  <si>
    <t>Anger Over Grade/Suspension/Discipline</t>
  </si>
  <si>
    <t>Victims Targeted</t>
  </si>
  <si>
    <t>No</t>
  </si>
  <si>
    <t>19831202INCRC</t>
  </si>
  <si>
    <t>Crawfordsville High School</t>
  </si>
  <si>
    <t>Winter</t>
  </si>
  <si>
    <t>Crawfordsville</t>
  </si>
  <si>
    <t>IN</t>
  </si>
  <si>
    <t>High</t>
  </si>
  <si>
    <t>Cafeteria</t>
  </si>
  <si>
    <t>Inside School Building</t>
  </si>
  <si>
    <t>Yes</t>
  </si>
  <si>
    <t>Lunch</t>
  </si>
  <si>
    <t>Shooter shot victim while in cafeteria taking test.</t>
  </si>
  <si>
    <t>Escalation of Dispute</t>
  </si>
  <si>
    <t>Victims Targeted</t>
  </si>
  <si>
    <t>No</t>
  </si>
  <si>
    <t>19831118MDHAB</t>
  </si>
  <si>
    <t>Harlem Park Junior High School</t>
  </si>
  <si>
    <t>Fall</t>
  </si>
  <si>
    <t>Baltimore</t>
  </si>
  <si>
    <t>MD</t>
  </si>
  <si>
    <t>Junior High</t>
  </si>
  <si>
    <t>Hallway</t>
  </si>
  <si>
    <t>Inside School Building</t>
  </si>
  <si>
    <t>Yes</t>
  </si>
  <si>
    <t>Afternoon Classes</t>
  </si>
  <si>
    <t>Robbery of Georgetown jacket in school hallway</t>
  </si>
  <si>
    <t>Illegal Activity</t>
  </si>
  <si>
    <t>Victims Targeted</t>
  </si>
  <si>
    <t>No</t>
  </si>
  <si>
    <t>19831117ILJAC</t>
  </si>
  <si>
    <t>James G. Blaine Elementary School</t>
  </si>
  <si>
    <t>Fall</t>
  </si>
  <si>
    <t>Chicago</t>
  </si>
  <si>
    <t>IL</t>
  </si>
  <si>
    <t>Elementary</t>
  </si>
  <si>
    <t>Outside on School Property</t>
  </si>
  <si>
    <t>Yes</t>
  </si>
  <si>
    <t>After School</t>
  </si>
  <si>
    <t>Shooter shot rival gang members during argument over a girl's sweater</t>
  </si>
  <si>
    <t>Escalation of Dispute</t>
  </si>
  <si>
    <t>Victims Targeted</t>
  </si>
  <si>
    <t>No</t>
  </si>
  <si>
    <t>19831108MIHIH</t>
  </si>
  <si>
    <t>Highland Park High School</t>
  </si>
  <si>
    <t>Fall</t>
  </si>
  <si>
    <t>Highland Park</t>
  </si>
  <si>
    <t>MI</t>
  </si>
  <si>
    <t>High</t>
  </si>
  <si>
    <t>Inside School Building</t>
  </si>
  <si>
    <t>Yes</t>
  </si>
  <si>
    <t>Before School</t>
  </si>
  <si>
    <t>Shooter killed victim with gun after being punched</t>
  </si>
  <si>
    <t>Escalation of Dispute</t>
  </si>
  <si>
    <t>Victims Targeted</t>
  </si>
  <si>
    <t>No</t>
  </si>
  <si>
    <t>19831022MDCAB</t>
  </si>
  <si>
    <t>Carver Vocational-Technical Senior High</t>
  </si>
  <si>
    <t>Fall</t>
  </si>
  <si>
    <t>Baltimore</t>
  </si>
  <si>
    <t>MD</t>
  </si>
  <si>
    <t>High</t>
  </si>
  <si>
    <t>Beside Building</t>
  </si>
  <si>
    <t>Outside on School Property</t>
  </si>
  <si>
    <t>No</t>
  </si>
  <si>
    <t>School Event</t>
  </si>
  <si>
    <t>Victim purposely shot with starter pistol outside school dance.</t>
  </si>
  <si>
    <t>Illegal Activity</t>
  </si>
  <si>
    <t>Victims Targeted</t>
  </si>
  <si>
    <t>No</t>
  </si>
  <si>
    <t>19831007CACOL</t>
  </si>
  <si>
    <t>Compton High School</t>
  </si>
  <si>
    <t>Fall</t>
  </si>
  <si>
    <t>Los Angeles</t>
  </si>
  <si>
    <t>CA</t>
  </si>
  <si>
    <t>High</t>
  </si>
  <si>
    <t>Hallway</t>
  </si>
  <si>
    <t>Inside School Building</t>
  </si>
  <si>
    <t>Yes</t>
  </si>
  <si>
    <t>Victim hit in cross fire of gang shooting</t>
  </si>
  <si>
    <t>Escalation of Dispute</t>
  </si>
  <si>
    <t>Random Shooting</t>
  </si>
  <si>
    <t>No</t>
  </si>
  <si>
    <t>19830930TXTET</t>
  </si>
  <si>
    <t>Temple High School</t>
  </si>
  <si>
    <t>Fall</t>
  </si>
  <si>
    <t>Temple</t>
  </si>
  <si>
    <t>TX</t>
  </si>
  <si>
    <t>High</t>
  </si>
  <si>
    <t>Football Field/Track</t>
  </si>
  <si>
    <t>Outside on School Property</t>
  </si>
  <si>
    <t>No</t>
  </si>
  <si>
    <t>Sport Event</t>
  </si>
  <si>
    <t>Ongoing conflict for multiple days with victims</t>
  </si>
  <si>
    <t>Escalation of Dispute</t>
  </si>
  <si>
    <t>Victims Targeted</t>
  </si>
  <si>
    <t>No</t>
  </si>
  <si>
    <t>19830921MDWAB</t>
  </si>
  <si>
    <t>Walbrook High School</t>
  </si>
  <si>
    <t>Fall</t>
  </si>
  <si>
    <t>Baltimore</t>
  </si>
  <si>
    <t>MD</t>
  </si>
  <si>
    <t>High</t>
  </si>
  <si>
    <t>Classroom</t>
  </si>
  <si>
    <t>Inside School Building</t>
  </si>
  <si>
    <t>Yes</t>
  </si>
  <si>
    <t>Morning Classes</t>
  </si>
  <si>
    <t>Student accidentally shot self in leg while in class</t>
  </si>
  <si>
    <t>Accidental</t>
  </si>
  <si>
    <t>Random Shooting</t>
  </si>
  <si>
    <t>No</t>
  </si>
  <si>
    <t>19830912CAMAC</t>
  </si>
  <si>
    <t>Manuel Dominguez High School</t>
  </si>
  <si>
    <t>Fall</t>
  </si>
  <si>
    <t>Compton</t>
  </si>
  <si>
    <t>CA</t>
  </si>
  <si>
    <t>High</t>
  </si>
  <si>
    <t>Hallway</t>
  </si>
  <si>
    <t>Inside School Building</t>
  </si>
  <si>
    <t>Yes</t>
  </si>
  <si>
    <t>Morning Classes</t>
  </si>
  <si>
    <t>Gang fight stemming from weekend fight</t>
  </si>
  <si>
    <t>Escalation of Dispute</t>
  </si>
  <si>
    <t>Both</t>
  </si>
  <si>
    <t>Yes</t>
  </si>
  <si>
    <t>No</t>
  </si>
  <si>
    <t>19830912MIHED</t>
  </si>
  <si>
    <t>Henry Ford High School</t>
  </si>
  <si>
    <t>Fall</t>
  </si>
  <si>
    <t>Detroit</t>
  </si>
  <si>
    <t>MI</t>
  </si>
  <si>
    <t>High</t>
  </si>
  <si>
    <t>Beside Building</t>
  </si>
  <si>
    <t>Outside on School Property</t>
  </si>
  <si>
    <t>Yes</t>
  </si>
  <si>
    <t>School Start</t>
  </si>
  <si>
    <t>Fight outside on school grounds turned into shooting.</t>
  </si>
  <si>
    <t>Escalation of Dispute</t>
  </si>
  <si>
    <t>Victims Targeted</t>
  </si>
  <si>
    <t>No</t>
  </si>
  <si>
    <t>19830526PAGRJ</t>
  </si>
  <si>
    <t>Greater Johnstown High School</t>
  </si>
  <si>
    <t>Spring</t>
  </si>
  <si>
    <t>Johnstown</t>
  </si>
  <si>
    <t>PA</t>
  </si>
  <si>
    <t>High</t>
  </si>
  <si>
    <t>Other</t>
  </si>
  <si>
    <t>Inside School Building</t>
  </si>
  <si>
    <t>Yes</t>
  </si>
  <si>
    <t>Accidentally shot self during game of Russian Roulette</t>
  </si>
  <si>
    <t>Accidental</t>
  </si>
  <si>
    <t>Neither</t>
  </si>
  <si>
    <t>No</t>
  </si>
  <si>
    <t>19830523OHMAM</t>
  </si>
  <si>
    <t>Mansfield Senior High School</t>
  </si>
  <si>
    <t>Spring</t>
  </si>
  <si>
    <t>Mansfield</t>
  </si>
  <si>
    <t>OH</t>
  </si>
  <si>
    <t>High</t>
  </si>
  <si>
    <t>Beside Building</t>
  </si>
  <si>
    <t>Outside on School Property</t>
  </si>
  <si>
    <t>Yes</t>
  </si>
  <si>
    <t>Before School</t>
  </si>
  <si>
    <t>Ongoing conflict over a girl ended with victim shot</t>
  </si>
  <si>
    <t>Escalation of Dispute</t>
  </si>
  <si>
    <t>Victims Targeted</t>
  </si>
  <si>
    <t>No</t>
  </si>
  <si>
    <t>19830518FLNOM</t>
  </si>
  <si>
    <t>North Miami Senior High School</t>
  </si>
  <si>
    <t>Spring</t>
  </si>
  <si>
    <t>Miami</t>
  </si>
  <si>
    <t>FL</t>
  </si>
  <si>
    <t>High</t>
  </si>
  <si>
    <t>Hallway</t>
  </si>
  <si>
    <t>Inside School Building</t>
  </si>
  <si>
    <t>Yes</t>
  </si>
  <si>
    <t>Afternoon Classes</t>
  </si>
  <si>
    <t>Shooter confronted victim about a girl, fight ensued, victim shot.</t>
  </si>
  <si>
    <t>Escalation of Dispute</t>
  </si>
  <si>
    <t>Victims Targeted</t>
  </si>
  <si>
    <t>No</t>
  </si>
  <si>
    <t>19830516TXLAD</t>
  </si>
  <si>
    <t>Lake Highland High School</t>
  </si>
  <si>
    <t>Local</t>
  </si>
  <si>
    <t>Spring</t>
  </si>
  <si>
    <t>Dallas</t>
  </si>
  <si>
    <t>TX</t>
  </si>
  <si>
    <t>High</t>
  </si>
  <si>
    <t>Cafeteria</t>
  </si>
  <si>
    <t>Inside School Building</t>
  </si>
  <si>
    <t>No</t>
  </si>
  <si>
    <t>After School</t>
  </si>
  <si>
    <t>Shot and killed cafeteria worker during robbery</t>
  </si>
  <si>
    <t>Illegal Activity</t>
  </si>
  <si>
    <t>Neither</t>
  </si>
  <si>
    <t>No</t>
  </si>
  <si>
    <t>19830516NYBRN</t>
  </si>
  <si>
    <t>Brentwood High School</t>
  </si>
  <si>
    <t>Spring</t>
  </si>
  <si>
    <t>New York</t>
  </si>
  <si>
    <t>NY</t>
  </si>
  <si>
    <t>High</t>
  </si>
  <si>
    <t>Classroom</t>
  </si>
  <si>
    <t>Inside School Building</t>
  </si>
  <si>
    <t>Yes</t>
  </si>
  <si>
    <t>Lunch</t>
  </si>
  <si>
    <t>Shooter was former teacher, came back to school, took class hostage, shot victim then self.</t>
  </si>
  <si>
    <t>Hostage/Standoff</t>
  </si>
  <si>
    <t>Both</t>
  </si>
  <si>
    <t>No</t>
  </si>
  <si>
    <t>Yes</t>
  </si>
  <si>
    <t>No</t>
  </si>
  <si>
    <t>Yes</t>
  </si>
  <si>
    <t>19830421MOBES</t>
  </si>
  <si>
    <t>Beaumont High School</t>
  </si>
  <si>
    <t>Spring</t>
  </si>
  <si>
    <t>St. Louis</t>
  </si>
  <si>
    <t>MO</t>
  </si>
  <si>
    <t>High</t>
  </si>
  <si>
    <t>Hallway</t>
  </si>
  <si>
    <t>Inside School Building</t>
  </si>
  <si>
    <t>Yes</t>
  </si>
  <si>
    <t>Morning Classes</t>
  </si>
  <si>
    <t>Victim accidentally shot after stepping between two quarreling teens in school basement restroom</t>
  </si>
  <si>
    <t>Escalation of Dispute</t>
  </si>
  <si>
    <t>Random Shooting</t>
  </si>
  <si>
    <t>No</t>
  </si>
  <si>
    <t>19830331ILSAC</t>
  </si>
  <si>
    <t>Santa Maria InCornata-Santa Lucia School</t>
  </si>
  <si>
    <t>Spring</t>
  </si>
  <si>
    <t>Chicago</t>
  </si>
  <si>
    <t>IL</t>
  </si>
  <si>
    <t>Other</t>
  </si>
  <si>
    <t>Classroom</t>
  </si>
  <si>
    <t>Inside School Building</t>
  </si>
  <si>
    <t>Yes</t>
  </si>
  <si>
    <t>Morning Classes</t>
  </si>
  <si>
    <t>Shot at teacher in class and missed, angry about discipline</t>
  </si>
  <si>
    <t>Anger Over Grade/Suspension/Discipline</t>
  </si>
  <si>
    <t>Victims Targeted</t>
  </si>
  <si>
    <t>No</t>
  </si>
  <si>
    <t>19830202NMALA</t>
  </si>
  <si>
    <t>Albuquerque High School</t>
  </si>
  <si>
    <t>Winter</t>
  </si>
  <si>
    <t>Albuquerque</t>
  </si>
  <si>
    <t>NM</t>
  </si>
  <si>
    <t>High</t>
  </si>
  <si>
    <t>Field (General)</t>
  </si>
  <si>
    <t>Outside on School Property</t>
  </si>
  <si>
    <t>Yes</t>
  </si>
  <si>
    <t>Dismissal</t>
  </si>
  <si>
    <t>Victim shot by unknown assailant while on football field</t>
  </si>
  <si>
    <t>Unknown</t>
  </si>
  <si>
    <t>No</t>
  </si>
  <si>
    <t>19830201TNRIM</t>
  </si>
  <si>
    <t>Riverdale High School</t>
  </si>
  <si>
    <t>Winter</t>
  </si>
  <si>
    <t>Murfreesboro</t>
  </si>
  <si>
    <t>TN</t>
  </si>
  <si>
    <t>High</t>
  </si>
  <si>
    <t>School Bus</t>
  </si>
  <si>
    <t>No</t>
  </si>
  <si>
    <t>After School</t>
  </si>
  <si>
    <t>Shooter on school bus showing off gun when he accidentally shot self</t>
  </si>
  <si>
    <t>Accidental</t>
  </si>
  <si>
    <t>Random Shooting</t>
  </si>
  <si>
    <t>No</t>
  </si>
  <si>
    <t>19830131FLDED</t>
  </si>
  <si>
    <t>DeLand High School</t>
  </si>
  <si>
    <t>Winter</t>
  </si>
  <si>
    <t>DeLand</t>
  </si>
  <si>
    <t>FL</t>
  </si>
  <si>
    <t>High</t>
  </si>
  <si>
    <t>Bathroom</t>
  </si>
  <si>
    <t>Inside School Building</t>
  </si>
  <si>
    <t>Yes</t>
  </si>
  <si>
    <t>Suicidal due to known drug problem</t>
  </si>
  <si>
    <t>Suicide/Attempted</t>
  </si>
  <si>
    <t>Victims Targeted</t>
  </si>
  <si>
    <t>No</t>
  </si>
  <si>
    <t>19830130TXWEC</t>
  </si>
  <si>
    <t>West Ward School</t>
  </si>
  <si>
    <t>Winter</t>
  </si>
  <si>
    <t>Coleman</t>
  </si>
  <si>
    <t>TX</t>
  </si>
  <si>
    <t>High</t>
  </si>
  <si>
    <t>Basketball Court</t>
  </si>
  <si>
    <t>No</t>
  </si>
  <si>
    <t>Not a School Day</t>
  </si>
  <si>
    <t>Two students were playing basketball at school on Sunday - get in argument - shooter kills victim</t>
  </si>
  <si>
    <t>Escalation of Dispute</t>
  </si>
  <si>
    <t>Victims Targeted</t>
  </si>
  <si>
    <t>No</t>
  </si>
  <si>
    <t>19830128MDWIB</t>
  </si>
  <si>
    <t>William H. Lemmel Middle School</t>
  </si>
  <si>
    <t>Winter</t>
  </si>
  <si>
    <t>Baltimore</t>
  </si>
  <si>
    <t>MD</t>
  </si>
  <si>
    <t>Middle</t>
  </si>
  <si>
    <t>Classroom</t>
  </si>
  <si>
    <t>Inside School Building</t>
  </si>
  <si>
    <t>Yes</t>
  </si>
  <si>
    <t>Morning Classes</t>
  </si>
  <si>
    <t>Shooter checked safety on gun in class and accidentally shot self</t>
  </si>
  <si>
    <t>Accidental</t>
  </si>
  <si>
    <t>Random Shooting</t>
  </si>
  <si>
    <t>No</t>
  </si>
  <si>
    <t>19830120MOPAB</t>
  </si>
  <si>
    <t>Parkway South Middle School</t>
  </si>
  <si>
    <t>Winter</t>
  </si>
  <si>
    <t>Baldwin</t>
  </si>
  <si>
    <t>MO</t>
  </si>
  <si>
    <t>Middle</t>
  </si>
  <si>
    <t>Inside School Building</t>
  </si>
  <si>
    <t>Yes</t>
  </si>
  <si>
    <t>Morning Classes</t>
  </si>
  <si>
    <t>Previous fight with victim; brother was bullied by victims</t>
  </si>
  <si>
    <t>Bullying</t>
  </si>
  <si>
    <t>Victims Targeted</t>
  </si>
  <si>
    <t>No</t>
  </si>
  <si>
    <t>Yes</t>
  </si>
  <si>
    <t>No</t>
  </si>
  <si>
    <t>Yes</t>
  </si>
  <si>
    <t>19830118TXJOH</t>
  </si>
  <si>
    <t>John H. Reagan High School</t>
  </si>
  <si>
    <t>Winter</t>
  </si>
  <si>
    <t>Houston</t>
  </si>
  <si>
    <t>TX</t>
  </si>
  <si>
    <t>High</t>
  </si>
  <si>
    <t>Office</t>
  </si>
  <si>
    <t>Inside School Building</t>
  </si>
  <si>
    <t>Yes</t>
  </si>
  <si>
    <t>Morning Classes</t>
  </si>
  <si>
    <t>Shooter killed wife and shot self in counselor's office</t>
  </si>
  <si>
    <t>Murder/Suicide</t>
  </si>
  <si>
    <t>Victims Targeted</t>
  </si>
  <si>
    <t>No</t>
  </si>
  <si>
    <t>Yes</t>
  </si>
  <si>
    <t>19821220MIFID</t>
  </si>
  <si>
    <t>Finney High School</t>
  </si>
  <si>
    <t>Winter</t>
  </si>
  <si>
    <t>Detroit</t>
  </si>
  <si>
    <t>MI</t>
  </si>
  <si>
    <t>High</t>
  </si>
  <si>
    <t>Hallway</t>
  </si>
  <si>
    <t>Inside School Building</t>
  </si>
  <si>
    <t>Yes</t>
  </si>
  <si>
    <t>School Start</t>
  </si>
  <si>
    <t>Robbery for a jacket</t>
  </si>
  <si>
    <t>Illegal Activity</t>
  </si>
  <si>
    <t>Victims Targeted</t>
  </si>
  <si>
    <t>Yes</t>
  </si>
  <si>
    <t>No</t>
  </si>
  <si>
    <t>19821206ALHUH</t>
  </si>
  <si>
    <t>Huntsville High School</t>
  </si>
  <si>
    <t>Winter</t>
  </si>
  <si>
    <t>Huntsville</t>
  </si>
  <si>
    <t>AL</t>
  </si>
  <si>
    <t>High</t>
  </si>
  <si>
    <t>Classroom</t>
  </si>
  <si>
    <t>Inside School Building</t>
  </si>
  <si>
    <t>Yes</t>
  </si>
  <si>
    <t>Morning Classes</t>
  </si>
  <si>
    <t>Shooter took teacher hostage then shot self in head</t>
  </si>
  <si>
    <t>Suicide/Attempted</t>
  </si>
  <si>
    <t>Victims Targeted</t>
  </si>
  <si>
    <t>No</t>
  </si>
  <si>
    <t>Yes</t>
  </si>
  <si>
    <t>No</t>
  </si>
  <si>
    <t>19821112MSWIJ</t>
  </si>
  <si>
    <t>Wingfield High School</t>
  </si>
  <si>
    <t>Fall</t>
  </si>
  <si>
    <t>Jackson</t>
  </si>
  <si>
    <t>MS</t>
  </si>
  <si>
    <t>High</t>
  </si>
  <si>
    <t>Classroom</t>
  </si>
  <si>
    <t>Inside School Building</t>
  </si>
  <si>
    <t>Yes</t>
  </si>
  <si>
    <t>Afternoon Classes</t>
  </si>
  <si>
    <t>Boyfriend came into girlfriend's algebra class, shot her with shotgun and killed self</t>
  </si>
  <si>
    <t>Murder/Suicide</t>
  </si>
  <si>
    <t>Victims Targeted</t>
  </si>
  <si>
    <t>No</t>
  </si>
  <si>
    <t>Yes</t>
  </si>
  <si>
    <t>19821108MICOD</t>
  </si>
  <si>
    <t>Cooley High School</t>
  </si>
  <si>
    <t>Fall</t>
  </si>
  <si>
    <t>Detroit</t>
  </si>
  <si>
    <t>MI</t>
  </si>
  <si>
    <t>High</t>
  </si>
  <si>
    <t>Inside School Building</t>
  </si>
  <si>
    <t>Yes</t>
  </si>
  <si>
    <t>Morning Classes</t>
  </si>
  <si>
    <t>Shooter showing gun to friends accidentally goes off striking two students</t>
  </si>
  <si>
    <t>Accidental</t>
  </si>
  <si>
    <t>Random Shooting</t>
  </si>
  <si>
    <t>No</t>
  </si>
  <si>
    <t>19821101NYELE</t>
  </si>
  <si>
    <t>Elmont Memorial High School</t>
  </si>
  <si>
    <t>Fall</t>
  </si>
  <si>
    <t>Elmont</t>
  </si>
  <si>
    <t>NY</t>
  </si>
  <si>
    <t>High</t>
  </si>
  <si>
    <t>Inside School Building</t>
  </si>
  <si>
    <t>Yes</t>
  </si>
  <si>
    <t>Afternoon Classes</t>
  </si>
  <si>
    <t>Ongoing conflicts with fellow students</t>
  </si>
  <si>
    <t>Escalation of Dispute</t>
  </si>
  <si>
    <t>Victims Targeted</t>
  </si>
  <si>
    <t>No</t>
  </si>
  <si>
    <t>19820915ARSOP</t>
  </si>
  <si>
    <t>South West Middle School</t>
  </si>
  <si>
    <t>Fall</t>
  </si>
  <si>
    <t>Pine Bluff</t>
  </si>
  <si>
    <t>AR</t>
  </si>
  <si>
    <t>Middle</t>
  </si>
  <si>
    <t>Cafeteria</t>
  </si>
  <si>
    <t>Inside School Building</t>
  </si>
  <si>
    <t>Yes</t>
  </si>
  <si>
    <t>Lunch</t>
  </si>
  <si>
    <t>Student intentionally shot self in head during lunch</t>
  </si>
  <si>
    <t>Suicide/Attempted</t>
  </si>
  <si>
    <t>Victims Targeted</t>
  </si>
  <si>
    <t>No</t>
  </si>
  <si>
    <t>19820910VALAB</t>
  </si>
  <si>
    <t>Lake Braddock Secondary School</t>
  </si>
  <si>
    <t>Fall</t>
  </si>
  <si>
    <t>Burke</t>
  </si>
  <si>
    <t>VA</t>
  </si>
  <si>
    <t>Other</t>
  </si>
  <si>
    <t>Inside School Building</t>
  </si>
  <si>
    <t>Yes</t>
  </si>
  <si>
    <t>Afternoon Classes</t>
  </si>
  <si>
    <t>Held 9 students hostage for 21 hours</t>
  </si>
  <si>
    <t>Domestic w/ Targeted Victim</t>
  </si>
  <si>
    <t>Random Shooting</t>
  </si>
  <si>
    <t>No</t>
  </si>
  <si>
    <t>Yes</t>
  </si>
  <si>
    <t>No</t>
  </si>
  <si>
    <t>Yes</t>
  </si>
  <si>
    <t>19820527NVGAL</t>
  </si>
  <si>
    <t>Garside Junior High School</t>
  </si>
  <si>
    <t>Spring</t>
  </si>
  <si>
    <t>Las Vegas</t>
  </si>
  <si>
    <t>NV</t>
  </si>
  <si>
    <t>Junior High</t>
  </si>
  <si>
    <t>Beside Building</t>
  </si>
  <si>
    <t>Outside on School Property</t>
  </si>
  <si>
    <t>Yes</t>
  </si>
  <si>
    <t>Dismissal</t>
  </si>
  <si>
    <t>Two students shot by three males with high powered bb or pellet guns</t>
  </si>
  <si>
    <t>Drive-by Shooting</t>
  </si>
  <si>
    <t>Yes</t>
  </si>
  <si>
    <t>No</t>
  </si>
  <si>
    <t>19820430FLANA</t>
  </si>
  <si>
    <t>Anniston High School</t>
  </si>
  <si>
    <t>Spring</t>
  </si>
  <si>
    <t>Anniston</t>
  </si>
  <si>
    <t>FL</t>
  </si>
  <si>
    <t>High</t>
  </si>
  <si>
    <t>Parking Lot</t>
  </si>
  <si>
    <t>Outside on School Property</t>
  </si>
  <si>
    <t>Yes</t>
  </si>
  <si>
    <t>Before School</t>
  </si>
  <si>
    <t>Shooting resulted from escalation of ongoing conflict in school parking lot</t>
  </si>
  <si>
    <t>Escalation of Dispute</t>
  </si>
  <si>
    <t>Victims Targeted</t>
  </si>
  <si>
    <t>No</t>
  </si>
  <si>
    <t>19820429GARUE</t>
  </si>
  <si>
    <t>Russell High School</t>
  </si>
  <si>
    <t>Spring</t>
  </si>
  <si>
    <t>East Point</t>
  </si>
  <si>
    <t>GA</t>
  </si>
  <si>
    <t>High</t>
  </si>
  <si>
    <t>Inside School Building</t>
  </si>
  <si>
    <t>Yes</t>
  </si>
  <si>
    <t>Morning Classes</t>
  </si>
  <si>
    <t>ROTC Student cleaning rifle presumed unloaded - accidental shooting of self</t>
  </si>
  <si>
    <t>Accidental</t>
  </si>
  <si>
    <t>Random Shooting</t>
  </si>
  <si>
    <t>No</t>
  </si>
  <si>
    <t>19820415MDFOB</t>
  </si>
  <si>
    <t>Forest Park Senior High School</t>
  </si>
  <si>
    <t>Spring</t>
  </si>
  <si>
    <t>Baltimore</t>
  </si>
  <si>
    <t>MD</t>
  </si>
  <si>
    <t>High</t>
  </si>
  <si>
    <t>Hallway</t>
  </si>
  <si>
    <t>Inside School Building</t>
  </si>
  <si>
    <t>Yes</t>
  </si>
  <si>
    <t>After School</t>
  </si>
  <si>
    <t>Youth intruder chased through school shoots teacher before escaping</t>
  </si>
  <si>
    <t>Illegal Activity</t>
  </si>
  <si>
    <t>Random Shooting</t>
  </si>
  <si>
    <t>No</t>
  </si>
  <si>
    <t>19820407CODEL</t>
  </si>
  <si>
    <t>Deer Creek Junior High School</t>
  </si>
  <si>
    <t>Local</t>
  </si>
  <si>
    <t>Spring</t>
  </si>
  <si>
    <t>Littleton</t>
  </si>
  <si>
    <t>CO</t>
  </si>
  <si>
    <t>High</t>
  </si>
  <si>
    <t>Field (General)</t>
  </si>
  <si>
    <t>Outside on School Property</t>
  </si>
  <si>
    <t>No</t>
  </si>
  <si>
    <t>Lunch</t>
  </si>
  <si>
    <t>Two students were shooting prairie dogs, one suddenly turned the gun and fatally shot the other</t>
  </si>
  <si>
    <t>Psychosis</t>
  </si>
  <si>
    <t>Victims Targeted</t>
  </si>
  <si>
    <t>No</t>
  </si>
  <si>
    <t>19820319NVVAL</t>
  </si>
  <si>
    <t>Valley High School</t>
  </si>
  <si>
    <t>Spring</t>
  </si>
  <si>
    <t>Las Vegas</t>
  </si>
  <si>
    <t>NV</t>
  </si>
  <si>
    <t>High</t>
  </si>
  <si>
    <t>Classroom</t>
  </si>
  <si>
    <t>Inside School Building</t>
  </si>
  <si>
    <t>Yes</t>
  </si>
  <si>
    <t>Morning Classes</t>
  </si>
  <si>
    <t>Thought teacher - victim - wanted him committed to mental hospital</t>
  </si>
  <si>
    <t>Psychosis</t>
  </si>
  <si>
    <t>Both</t>
  </si>
  <si>
    <t>No</t>
  </si>
  <si>
    <t>Yes</t>
  </si>
  <si>
    <t>19820317OHLOL</t>
  </si>
  <si>
    <t>Lorain High School</t>
  </si>
  <si>
    <t>Spring</t>
  </si>
  <si>
    <t>Lorain</t>
  </si>
  <si>
    <t>OH</t>
  </si>
  <si>
    <t>High</t>
  </si>
  <si>
    <t>Cafeteria</t>
  </si>
  <si>
    <t>Inside School Building</t>
  </si>
  <si>
    <t>Yes</t>
  </si>
  <si>
    <t>Lunch</t>
  </si>
  <si>
    <t>Student carrying bible, pulled out gun during lunch and shot self in stomach</t>
  </si>
  <si>
    <t>Suicide/Attempted</t>
  </si>
  <si>
    <t>Victims Targeted</t>
  </si>
  <si>
    <t>No</t>
  </si>
  <si>
    <t>19820315ORSPS</t>
  </si>
  <si>
    <t>Springfield High School</t>
  </si>
  <si>
    <t>Spring</t>
  </si>
  <si>
    <t>Springfield</t>
  </si>
  <si>
    <t>OR</t>
  </si>
  <si>
    <t>High</t>
  </si>
  <si>
    <t>Classroom</t>
  </si>
  <si>
    <t>Inside School Building</t>
  </si>
  <si>
    <t>Yes</t>
  </si>
  <si>
    <t>Morning Classes</t>
  </si>
  <si>
    <t>Shooter pulled gun in English class - teachers police tried to talk him out of it - later shot self in bathroom</t>
  </si>
  <si>
    <t>Suicide/Attempted</t>
  </si>
  <si>
    <t>Victims Targeted</t>
  </si>
  <si>
    <t>No</t>
  </si>
  <si>
    <t>19820209LAJON</t>
  </si>
  <si>
    <t>John McDonough Senior High</t>
  </si>
  <si>
    <t>Winter</t>
  </si>
  <si>
    <t>New Orleans</t>
  </si>
  <si>
    <t>LA</t>
  </si>
  <si>
    <t>High</t>
  </si>
  <si>
    <t>Hallway</t>
  </si>
  <si>
    <t>Inside School Building</t>
  </si>
  <si>
    <t>Yes</t>
  </si>
  <si>
    <t>Lunch</t>
  </si>
  <si>
    <t>Escalating argument between students - they shot each other</t>
  </si>
  <si>
    <t>Escalation of Dispute</t>
  </si>
  <si>
    <t>Victims Targeted</t>
  </si>
  <si>
    <t>No</t>
  </si>
  <si>
    <t>19820208MADOD</t>
  </si>
  <si>
    <t>Dorchester High School</t>
  </si>
  <si>
    <t>Winter</t>
  </si>
  <si>
    <t>Dorchester</t>
  </si>
  <si>
    <t>MA</t>
  </si>
  <si>
    <t>High</t>
  </si>
  <si>
    <t>Inside School Building</t>
  </si>
  <si>
    <t>Yes</t>
  </si>
  <si>
    <t>Dismissal</t>
  </si>
  <si>
    <t>Shooter was showing off gun in class and accidentally shot victim</t>
  </si>
  <si>
    <t>Accidental</t>
  </si>
  <si>
    <t>Random Shooting</t>
  </si>
  <si>
    <t>No</t>
  </si>
  <si>
    <t>19820205TNHAM</t>
  </si>
  <si>
    <t>Hamilton High School</t>
  </si>
  <si>
    <t>Winter</t>
  </si>
  <si>
    <t>Memphis</t>
  </si>
  <si>
    <t>TN</t>
  </si>
  <si>
    <t>High</t>
  </si>
  <si>
    <t>Gym</t>
  </si>
  <si>
    <t>Inside School Building</t>
  </si>
  <si>
    <t>No</t>
  </si>
  <si>
    <t>Sport Event</t>
  </si>
  <si>
    <t>Robbery of teacher who was collecting money outside HS basketball game</t>
  </si>
  <si>
    <t>Illegal Activity</t>
  </si>
  <si>
    <t>Victims Targeted</t>
  </si>
  <si>
    <t>No</t>
  </si>
  <si>
    <t>19811223NYJAB</t>
  </si>
  <si>
    <t>James Madison High School</t>
  </si>
  <si>
    <t>Winter</t>
  </si>
  <si>
    <t>Brooklyn</t>
  </si>
  <si>
    <t>NY</t>
  </si>
  <si>
    <t>High</t>
  </si>
  <si>
    <t>Hallway</t>
  </si>
  <si>
    <t>Inside School Building</t>
  </si>
  <si>
    <t>Yes</t>
  </si>
  <si>
    <t>Morning Classes</t>
  </si>
  <si>
    <t>Fight between a group of students - victim was bystander</t>
  </si>
  <si>
    <t>Illegal Activity</t>
  </si>
  <si>
    <t>Random Shooting</t>
  </si>
  <si>
    <t>No</t>
  </si>
  <si>
    <t>19811216TXUNH</t>
  </si>
  <si>
    <t>Unnamed school</t>
  </si>
  <si>
    <t>Winter</t>
  </si>
  <si>
    <t>Houston</t>
  </si>
  <si>
    <t>TX</t>
  </si>
  <si>
    <t>High</t>
  </si>
  <si>
    <t>Hallway</t>
  </si>
  <si>
    <t>Inside School Building</t>
  </si>
  <si>
    <t>Yes</t>
  </si>
  <si>
    <t>Morning Classes</t>
  </si>
  <si>
    <t>Shooting followed two day argument over a girl</t>
  </si>
  <si>
    <t>Escalation of Dispute</t>
  </si>
  <si>
    <t>Victims Targeted</t>
  </si>
  <si>
    <t>No</t>
  </si>
  <si>
    <t>19811209NYGEB</t>
  </si>
  <si>
    <t>George W. Wingate High School</t>
  </si>
  <si>
    <t>Winter</t>
  </si>
  <si>
    <t>Brooklyn</t>
  </si>
  <si>
    <t>NY</t>
  </si>
  <si>
    <t>High</t>
  </si>
  <si>
    <t>Outside on School Property</t>
  </si>
  <si>
    <t>Attempted robbery - shot for gold ring</t>
  </si>
  <si>
    <t>Illegal Activity</t>
  </si>
  <si>
    <t>Victims Targeted</t>
  </si>
  <si>
    <t>No</t>
  </si>
  <si>
    <t>19811013CTHAH</t>
  </si>
  <si>
    <t>Hartford Public High School</t>
  </si>
  <si>
    <t>Fall</t>
  </si>
  <si>
    <t>Hartford</t>
  </si>
  <si>
    <t>CT</t>
  </si>
  <si>
    <t>High</t>
  </si>
  <si>
    <t>Inside School Building</t>
  </si>
  <si>
    <t>Yes</t>
  </si>
  <si>
    <t>Morning Classes</t>
  </si>
  <si>
    <t>Students arguing over $1 gambling debt</t>
  </si>
  <si>
    <t>Escalation of Dispute</t>
  </si>
  <si>
    <t>Victims Targeted</t>
  </si>
  <si>
    <t>No</t>
  </si>
  <si>
    <t>19810913MDABA</t>
  </si>
  <si>
    <t>Aberdeen High School</t>
  </si>
  <si>
    <t>Fall</t>
  </si>
  <si>
    <t>Aberdeen</t>
  </si>
  <si>
    <t>MD</t>
  </si>
  <si>
    <t>High</t>
  </si>
  <si>
    <t>No</t>
  </si>
  <si>
    <t>Not a School Day</t>
  </si>
  <si>
    <t>Shot by officer, situation unclear, may have been vandalizing school</t>
  </si>
  <si>
    <t>Illegal Activity</t>
  </si>
  <si>
    <t>Victims Targeted</t>
  </si>
  <si>
    <t>No</t>
  </si>
  <si>
    <t>N/A</t>
  </si>
  <si>
    <t>19810908FLSTW</t>
  </si>
  <si>
    <t>Stuart Middle School</t>
  </si>
  <si>
    <t>Fall</t>
  </si>
  <si>
    <t>West Palm Beach</t>
  </si>
  <si>
    <t>FL</t>
  </si>
  <si>
    <t>Middle</t>
  </si>
  <si>
    <t>Classroom</t>
  </si>
  <si>
    <t>Inside School Building</t>
  </si>
  <si>
    <t>Yes</t>
  </si>
  <si>
    <t>12 year old boy shot .22 caliber handgun into classroom wall then went outside and shot himself in stomach</t>
  </si>
  <si>
    <t>Accidental</t>
  </si>
  <si>
    <t>Victims Targeted</t>
  </si>
  <si>
    <t>No</t>
  </si>
  <si>
    <t>19810904NMHOS</t>
  </si>
  <si>
    <t>Hobbs High School</t>
  </si>
  <si>
    <t>Fall</t>
  </si>
  <si>
    <t>Santa Fe</t>
  </si>
  <si>
    <t>NM</t>
  </si>
  <si>
    <t>High</t>
  </si>
  <si>
    <t>Beside Building</t>
  </si>
  <si>
    <t>Outside on School Property</t>
  </si>
  <si>
    <t>Yes</t>
  </si>
  <si>
    <t>Morning Classes</t>
  </si>
  <si>
    <t>2 student shot outside of school, shooter fled</t>
  </si>
  <si>
    <t>Unknown</t>
  </si>
  <si>
    <t>Victims Targeted</t>
  </si>
  <si>
    <t>No</t>
  </si>
  <si>
    <t>19810901PAWIP</t>
  </si>
  <si>
    <t>William Longstreth Elementary School</t>
  </si>
  <si>
    <t>Fall</t>
  </si>
  <si>
    <t>Philadelphia</t>
  </si>
  <si>
    <t>PA</t>
  </si>
  <si>
    <t>Elementary</t>
  </si>
  <si>
    <t>Basketball Court</t>
  </si>
  <si>
    <t>Outside on School Property</t>
  </si>
  <si>
    <t>No</t>
  </si>
  <si>
    <t>Evening</t>
  </si>
  <si>
    <t>Fight between rival gang members on basketball court, 2 bystanders stuck</t>
  </si>
  <si>
    <t>Escalation of Dispute</t>
  </si>
  <si>
    <t>Both</t>
  </si>
  <si>
    <t>Yes</t>
  </si>
  <si>
    <t>No</t>
  </si>
  <si>
    <t>19810515LANEN</t>
  </si>
  <si>
    <t>New Iberia Junior HIgh School</t>
  </si>
  <si>
    <t>Spring</t>
  </si>
  <si>
    <t>New Iberia</t>
  </si>
  <si>
    <t>LA</t>
  </si>
  <si>
    <t>Junior High</t>
  </si>
  <si>
    <t>Inside School Building</t>
  </si>
  <si>
    <t>Yes</t>
  </si>
  <si>
    <t>Before School</t>
  </si>
  <si>
    <t>Vice Principal shoots teacher in language arts class before school</t>
  </si>
  <si>
    <t>Domestic w/ Targeted Victim</t>
  </si>
  <si>
    <t>Victims Targeted</t>
  </si>
  <si>
    <t>No</t>
  </si>
  <si>
    <t>Yes</t>
  </si>
  <si>
    <t>19810407MSPOP</t>
  </si>
  <si>
    <t>Poplarville High School</t>
  </si>
  <si>
    <t>Spring</t>
  </si>
  <si>
    <t>Poplarville</t>
  </si>
  <si>
    <t>MS</t>
  </si>
  <si>
    <t>High</t>
  </si>
  <si>
    <t>Beside Building</t>
  </si>
  <si>
    <t>Outside on School Property</t>
  </si>
  <si>
    <t>Yes</t>
  </si>
  <si>
    <t>Sport Event</t>
  </si>
  <si>
    <t>Victim shot by unknown assailant while standing next to school building</t>
  </si>
  <si>
    <t>Unknown</t>
  </si>
  <si>
    <t>No</t>
  </si>
  <si>
    <t>19810402OHALC</t>
  </si>
  <si>
    <t>Alexander Hamilton Junior High School</t>
  </si>
  <si>
    <t>Spring</t>
  </si>
  <si>
    <t>Cleveland</t>
  </si>
  <si>
    <t>OH</t>
  </si>
  <si>
    <t>Junior High</t>
  </si>
  <si>
    <t>Bathroom</t>
  </si>
  <si>
    <t>Inside School Building</t>
  </si>
  <si>
    <t>Yes</t>
  </si>
  <si>
    <t>Before School</t>
  </si>
  <si>
    <t>Shooter tried to talk victim out of testifying</t>
  </si>
  <si>
    <t>Escalation of Dispute</t>
  </si>
  <si>
    <t>Victims Targeted</t>
  </si>
  <si>
    <t>No</t>
  </si>
  <si>
    <t>19810328FLDIF</t>
  </si>
  <si>
    <t>Dillard High School</t>
  </si>
  <si>
    <t>Spring</t>
  </si>
  <si>
    <t>Fort Lauderdale</t>
  </si>
  <si>
    <t>FL</t>
  </si>
  <si>
    <t>High</t>
  </si>
  <si>
    <t>Beside Building</t>
  </si>
  <si>
    <t>Outside on School Property</t>
  </si>
  <si>
    <t>No</t>
  </si>
  <si>
    <t>School Event</t>
  </si>
  <si>
    <t>Shot outside the school dance following an argument with suspects</t>
  </si>
  <si>
    <t>Escalation of Dispute</t>
  </si>
  <si>
    <t>Victims Targeted</t>
  </si>
  <si>
    <t>Yes</t>
  </si>
  <si>
    <t>No</t>
  </si>
  <si>
    <t>19810303INMAI</t>
  </si>
  <si>
    <t>Marshall High School</t>
  </si>
  <si>
    <t>Spring</t>
  </si>
  <si>
    <t>Indianapolis</t>
  </si>
  <si>
    <t>IN</t>
  </si>
  <si>
    <t>High</t>
  </si>
  <si>
    <t>Hallway</t>
  </si>
  <si>
    <t>Inside School Building</t>
  </si>
  <si>
    <t>Yes</t>
  </si>
  <si>
    <t>Morning Classes</t>
  </si>
  <si>
    <t>Ongoing conflicts with fellow students</t>
  </si>
  <si>
    <t>Escalation of Dispute</t>
  </si>
  <si>
    <t>Victims Targeted</t>
  </si>
  <si>
    <t>No</t>
  </si>
  <si>
    <t>19810210ARLIL</t>
  </si>
  <si>
    <t>Little Rock Hall High School</t>
  </si>
  <si>
    <t>Winter</t>
  </si>
  <si>
    <t>Little Rock</t>
  </si>
  <si>
    <t>AR</t>
  </si>
  <si>
    <t>High</t>
  </si>
  <si>
    <t>Parking Lot</t>
  </si>
  <si>
    <t>Outside on School Property</t>
  </si>
  <si>
    <t>Yes</t>
  </si>
  <si>
    <t>Before School</t>
  </si>
  <si>
    <t>Shooter and victim get into argument on bus - shooter shoots victim once they arrive to school</t>
  </si>
  <si>
    <t>Escalation of Dispute</t>
  </si>
  <si>
    <t>Victims Targeted</t>
  </si>
  <si>
    <t>No</t>
  </si>
  <si>
    <t>19810210CAMAL</t>
  </si>
  <si>
    <t>Manuel Arts High School</t>
  </si>
  <si>
    <t>Winter</t>
  </si>
  <si>
    <t>Los Angeles</t>
  </si>
  <si>
    <t>CA</t>
  </si>
  <si>
    <t>High</t>
  </si>
  <si>
    <t>Courtyard</t>
  </si>
  <si>
    <t>Outside on School Property</t>
  </si>
  <si>
    <t>Yes</t>
  </si>
  <si>
    <t>Lunch</t>
  </si>
  <si>
    <t>Gang shooting in outdoor courtyard</t>
  </si>
  <si>
    <t>Escalation of Dispute</t>
  </si>
  <si>
    <t>Victims Targeted</t>
  </si>
  <si>
    <t>Yes</t>
  </si>
  <si>
    <t>No</t>
  </si>
  <si>
    <t>19810122MDFRB</t>
  </si>
  <si>
    <t>Francis M. Wood Senior High School</t>
  </si>
  <si>
    <t>Winter</t>
  </si>
  <si>
    <t>Baltimore</t>
  </si>
  <si>
    <t>MD</t>
  </si>
  <si>
    <t>High</t>
  </si>
  <si>
    <t>Inside School Building</t>
  </si>
  <si>
    <t>Yes</t>
  </si>
  <si>
    <t>Afternoon Classes</t>
  </si>
  <si>
    <t>Shooter and victim fought earlier, when challenged again, shooter pull gun and shot victim</t>
  </si>
  <si>
    <t>Escalation of Dispute</t>
  </si>
  <si>
    <t>Victims Targeted</t>
  </si>
  <si>
    <t>No</t>
  </si>
  <si>
    <t>19810121OHWIB</t>
  </si>
  <si>
    <t>Willetts Middle School</t>
  </si>
  <si>
    <t>Winter</t>
  </si>
  <si>
    <t>Brunswick</t>
  </si>
  <si>
    <t>OH</t>
  </si>
  <si>
    <t>Junior High</t>
  </si>
  <si>
    <t>Classroom</t>
  </si>
  <si>
    <t>Inside School Building</t>
  </si>
  <si>
    <t>Yes</t>
  </si>
  <si>
    <t>Before School</t>
  </si>
  <si>
    <t>14-year old student walks into class before school and shoots teacher in hip</t>
  </si>
  <si>
    <t>Anger Over Grade/Suspension/Discipline</t>
  </si>
  <si>
    <t>Victims Targeted</t>
  </si>
  <si>
    <t>No</t>
  </si>
  <si>
    <t>19801212ALPAB</t>
  </si>
  <si>
    <t>Parker High School</t>
  </si>
  <si>
    <t>Winter</t>
  </si>
  <si>
    <t>Birmingham</t>
  </si>
  <si>
    <t>AL</t>
  </si>
  <si>
    <t>High</t>
  </si>
  <si>
    <t>Hallway</t>
  </si>
  <si>
    <t>Inside School Building</t>
  </si>
  <si>
    <t>Yes</t>
  </si>
  <si>
    <t>Dismissal</t>
  </si>
  <si>
    <t>Coach was escorting 4 non-students out of school, one pulled a gun and fired striking a female student then the group fled</t>
  </si>
  <si>
    <t>Illegal Activity</t>
  </si>
  <si>
    <t>Both</t>
  </si>
  <si>
    <t>Yes</t>
  </si>
  <si>
    <t>No</t>
  </si>
  <si>
    <t>19801212OHLOL</t>
  </si>
  <si>
    <t>Longfellow Junior HIgh School</t>
  </si>
  <si>
    <t>Winter</t>
  </si>
  <si>
    <t>Lorain</t>
  </si>
  <si>
    <t>OH</t>
  </si>
  <si>
    <t>Junior High</t>
  </si>
  <si>
    <t>Classroom</t>
  </si>
  <si>
    <t>Inside School Building</t>
  </si>
  <si>
    <t>Yes</t>
  </si>
  <si>
    <t>School Start</t>
  </si>
  <si>
    <t>Shot school counselor - held 30 hostages until surrendered to police</t>
  </si>
  <si>
    <t>Hostage/Standoff</t>
  </si>
  <si>
    <t>Random Shooting</t>
  </si>
  <si>
    <t>No</t>
  </si>
  <si>
    <t>Yes</t>
  </si>
  <si>
    <t>No</t>
  </si>
  <si>
    <t>Yes</t>
  </si>
  <si>
    <t>19801117TXEAF</t>
  </si>
  <si>
    <t>Eastern Hills High School</t>
  </si>
  <si>
    <t>Fall</t>
  </si>
  <si>
    <t>Fort Worth</t>
  </si>
  <si>
    <t>TX</t>
  </si>
  <si>
    <t>High</t>
  </si>
  <si>
    <t>Parking Lot</t>
  </si>
  <si>
    <t>Outside on School Property</t>
  </si>
  <si>
    <t>Yes</t>
  </si>
  <si>
    <t>Lunch</t>
  </si>
  <si>
    <t>Occurred in school parking lot - on going argument</t>
  </si>
  <si>
    <t>Escalation of Dispute</t>
  </si>
  <si>
    <t>Victims Targeted</t>
  </si>
  <si>
    <t>No</t>
  </si>
  <si>
    <t>19801031ALHUH</t>
  </si>
  <si>
    <t>Hueytown High School</t>
  </si>
  <si>
    <t>Fall</t>
  </si>
  <si>
    <t>Hueytown</t>
  </si>
  <si>
    <t>AL</t>
  </si>
  <si>
    <t>High</t>
  </si>
  <si>
    <t>Classroom</t>
  </si>
  <si>
    <t>Inside School Building</t>
  </si>
  <si>
    <t>Yes</t>
  </si>
  <si>
    <t>Shooter pulled out a .22 caliber pistol and wounded a fellow student in the art room then shot himself</t>
  </si>
  <si>
    <t>Escalation of Dispute</t>
  </si>
  <si>
    <t>Victims Targeted</t>
  </si>
  <si>
    <t>No</t>
  </si>
  <si>
    <t>19801013ALCET</t>
  </si>
  <si>
    <t>Central High School</t>
  </si>
  <si>
    <t>Fall</t>
  </si>
  <si>
    <t>Tuscaloosa</t>
  </si>
  <si>
    <t>AL</t>
  </si>
  <si>
    <t>High</t>
  </si>
  <si>
    <t>ND</t>
  </si>
  <si>
    <t>No</t>
  </si>
  <si>
    <t>After School</t>
  </si>
  <si>
    <t>Student shot another student in the back after school, motive unknown</t>
  </si>
  <si>
    <t>Escalation of Dispute</t>
  </si>
  <si>
    <t>Victims Targeted</t>
  </si>
  <si>
    <t>No</t>
  </si>
  <si>
    <t>19800926CTBRB</t>
  </si>
  <si>
    <t>Bridgeport Central High School</t>
  </si>
  <si>
    <t>Fall</t>
  </si>
  <si>
    <t>Bridgeport</t>
  </si>
  <si>
    <t>CT</t>
  </si>
  <si>
    <t>High</t>
  </si>
  <si>
    <t>Beside Building</t>
  </si>
  <si>
    <t>Outside on School Property</t>
  </si>
  <si>
    <t>Yes</t>
  </si>
  <si>
    <t>School Start</t>
  </si>
  <si>
    <t>Looking for ex-girlfriend, fired indiscriminately when he could not find her</t>
  </si>
  <si>
    <t>Indiscriminate Shooting</t>
  </si>
  <si>
    <t>Both</t>
  </si>
  <si>
    <t>No</t>
  </si>
  <si>
    <t>Yes</t>
  </si>
  <si>
    <t>19800911ALJOM</t>
  </si>
  <si>
    <t>John S. Shaw High School</t>
  </si>
  <si>
    <t>Fall</t>
  </si>
  <si>
    <t>Mobile</t>
  </si>
  <si>
    <t>AL</t>
  </si>
  <si>
    <t>High</t>
  </si>
  <si>
    <t>Office</t>
  </si>
  <si>
    <t>Inside School Building</t>
  </si>
  <si>
    <t>Yes</t>
  </si>
  <si>
    <t>Ongoing fight between teachers</t>
  </si>
  <si>
    <t>Escalation of Dispute</t>
  </si>
  <si>
    <t>Victims Targeted</t>
  </si>
  <si>
    <t>No</t>
  </si>
  <si>
    <t>19800910DCSPW</t>
  </si>
  <si>
    <t>Springarn High School</t>
  </si>
  <si>
    <t>Fall</t>
  </si>
  <si>
    <t>Washington</t>
  </si>
  <si>
    <t>DC</t>
  </si>
  <si>
    <t>High</t>
  </si>
  <si>
    <t>Auditorium</t>
  </si>
  <si>
    <t>Inside School Building</t>
  </si>
  <si>
    <t>Yes</t>
  </si>
  <si>
    <t>Morning Classes</t>
  </si>
  <si>
    <t>Playing with gun during assembly, shot friend</t>
  </si>
  <si>
    <t>Accidental</t>
  </si>
  <si>
    <t>Random Shooting</t>
  </si>
  <si>
    <t>Yes</t>
  </si>
  <si>
    <t>No</t>
  </si>
  <si>
    <t>19800908FLFOJ</t>
  </si>
  <si>
    <t>Forrest High School</t>
  </si>
  <si>
    <t>Fall</t>
  </si>
  <si>
    <t>Jacksonville</t>
  </si>
  <si>
    <t>FL</t>
  </si>
  <si>
    <t>High</t>
  </si>
  <si>
    <t>Parking Lot</t>
  </si>
  <si>
    <t>Outside on School Property</t>
  </si>
  <si>
    <t>Yes</t>
  </si>
  <si>
    <t>Shots fired during fight in parking lot</t>
  </si>
  <si>
    <t>Escalation of Dispute</t>
  </si>
  <si>
    <t>Victims Targeted</t>
  </si>
  <si>
    <t>No</t>
  </si>
  <si>
    <t>19800902CAWHL</t>
  </si>
  <si>
    <t>Whittier High School</t>
  </si>
  <si>
    <t>Fall</t>
  </si>
  <si>
    <t>Los Angeles</t>
  </si>
  <si>
    <t>CA</t>
  </si>
  <si>
    <t>High</t>
  </si>
  <si>
    <t>Football Field/Track</t>
  </si>
  <si>
    <t>Outside on School Property</t>
  </si>
  <si>
    <t>No</t>
  </si>
  <si>
    <t>After School</t>
  </si>
  <si>
    <t>Fired shotgun at football team during practice</t>
  </si>
  <si>
    <t>Indiscriminate Shooting</t>
  </si>
  <si>
    <t>Both</t>
  </si>
  <si>
    <t>Yes</t>
  </si>
  <si>
    <t>No</t>
  </si>
  <si>
    <t>Yes</t>
  </si>
  <si>
    <t>19800530NYCLB</t>
  </si>
  <si>
    <t>Clara Barton High School</t>
  </si>
  <si>
    <t>Spring</t>
  </si>
  <si>
    <t>Brooklyn</t>
  </si>
  <si>
    <t>NY</t>
  </si>
  <si>
    <t>High</t>
  </si>
  <si>
    <t>Classroom</t>
  </si>
  <si>
    <t>Inside School Building</t>
  </si>
  <si>
    <t>Yes</t>
  </si>
  <si>
    <t>Morning Classes</t>
  </si>
  <si>
    <t>Student playing with gun in class accidentally shot self</t>
  </si>
  <si>
    <t>Accidental</t>
  </si>
  <si>
    <t>Random Shooting</t>
  </si>
  <si>
    <t>No</t>
  </si>
  <si>
    <t>19800417VACAC</t>
  </si>
  <si>
    <t>Capeville Elementary School</t>
  </si>
  <si>
    <t>Spring</t>
  </si>
  <si>
    <t>Cape Charles</t>
  </si>
  <si>
    <t>VA</t>
  </si>
  <si>
    <t>Elementary</t>
  </si>
  <si>
    <t>Office</t>
  </si>
  <si>
    <t>Inside School Building</t>
  </si>
  <si>
    <t>Yes</t>
  </si>
  <si>
    <t>Morning Classes</t>
  </si>
  <si>
    <t>Killed estranged wife (school employee) and school principal in their office</t>
  </si>
  <si>
    <t>Domestic w/ Targeted Victim</t>
  </si>
  <si>
    <t>Victims Targeted</t>
  </si>
  <si>
    <t>No</t>
  </si>
  <si>
    <t>Yes</t>
  </si>
  <si>
    <t>19800331MDFRB</t>
  </si>
  <si>
    <t>Frederick Douglass Senior High School</t>
  </si>
  <si>
    <t>Spring</t>
  </si>
  <si>
    <t>Baltimore</t>
  </si>
  <si>
    <t>MD</t>
  </si>
  <si>
    <t>High</t>
  </si>
  <si>
    <t>Hallway</t>
  </si>
  <si>
    <t>Inside School Building</t>
  </si>
  <si>
    <t>Yes</t>
  </si>
  <si>
    <t>School Start</t>
  </si>
  <si>
    <t>Shot fired during fight in hallway between students with Ongoing dispute</t>
  </si>
  <si>
    <t>Escalation of Dispute</t>
  </si>
  <si>
    <t>Victims Targeted</t>
  </si>
  <si>
    <t>Yes</t>
  </si>
  <si>
    <t>No</t>
  </si>
  <si>
    <t>19800320TXJLD</t>
  </si>
  <si>
    <t>J Leslie Patton School</t>
  </si>
  <si>
    <t>Spring</t>
  </si>
  <si>
    <t>Dallas</t>
  </si>
  <si>
    <t>TX</t>
  </si>
  <si>
    <t>High</t>
  </si>
  <si>
    <t>Entryway</t>
  </si>
  <si>
    <t>Inside School Building</t>
  </si>
  <si>
    <t>No</t>
  </si>
  <si>
    <t>After School</t>
  </si>
  <si>
    <t>Unknown suspect targeted teacher shot after school</t>
  </si>
  <si>
    <t>Domestic w/ Targeted Victim</t>
  </si>
  <si>
    <t>Victims Targeted</t>
  </si>
  <si>
    <t>No</t>
  </si>
  <si>
    <t>Yes</t>
  </si>
  <si>
    <t>19800215MSHUM</t>
  </si>
  <si>
    <t>Hughes School</t>
  </si>
  <si>
    <t>Winter</t>
  </si>
  <si>
    <t>McComb</t>
  </si>
  <si>
    <t>MS</t>
  </si>
  <si>
    <t>Other</t>
  </si>
  <si>
    <t>Outside on School Property</t>
  </si>
  <si>
    <t>Yes</t>
  </si>
  <si>
    <t>Afternoon Classes</t>
  </si>
  <si>
    <t>School teacher was shot be her husband outside school building</t>
  </si>
  <si>
    <t>Domestic w/ Targeted Victim</t>
  </si>
  <si>
    <t>Victims Targeted</t>
  </si>
  <si>
    <t>No</t>
  </si>
  <si>
    <t>Yes</t>
  </si>
  <si>
    <t>19800211INARI</t>
  </si>
  <si>
    <t>Arsenal Technical High School</t>
  </si>
  <si>
    <t>Winter</t>
  </si>
  <si>
    <t>Indianapolis</t>
  </si>
  <si>
    <t>IN</t>
  </si>
  <si>
    <t>High</t>
  </si>
  <si>
    <t>Outside on School Property</t>
  </si>
  <si>
    <t>Yes</t>
  </si>
  <si>
    <t>Lunch</t>
  </si>
  <si>
    <t>Robbery or a drug deal gone bad</t>
  </si>
  <si>
    <t>Illegal Activity</t>
  </si>
  <si>
    <t>Victims Targeted</t>
  </si>
  <si>
    <t>No</t>
  </si>
  <si>
    <t>19800207TXVAL</t>
  </si>
  <si>
    <t>Valley View Elementary School</t>
  </si>
  <si>
    <t>Winter</t>
  </si>
  <si>
    <t>Longview</t>
  </si>
  <si>
    <t>TX</t>
  </si>
  <si>
    <t>Elementary</t>
  </si>
  <si>
    <t>Inside School Building</t>
  </si>
  <si>
    <t>Yes</t>
  </si>
  <si>
    <t>Morning Classes</t>
  </si>
  <si>
    <t>Youth showing gun off at school - accidentally went off striking student</t>
  </si>
  <si>
    <t>Accidental</t>
  </si>
  <si>
    <t>Random Shooting</t>
  </si>
  <si>
    <t>No</t>
  </si>
  <si>
    <t>19800201DCLAW</t>
  </si>
  <si>
    <t>Langdon Elementary School</t>
  </si>
  <si>
    <t>Winter</t>
  </si>
  <si>
    <t>Washington</t>
  </si>
  <si>
    <t>DC</t>
  </si>
  <si>
    <t>Elementary</t>
  </si>
  <si>
    <t>Bathroom</t>
  </si>
  <si>
    <t>Inside School Building</t>
  </si>
  <si>
    <t>Yes</t>
  </si>
  <si>
    <t>Morning Classes</t>
  </si>
  <si>
    <t>Showing off gun in bathroom, pulled trigger to prove it was real</t>
  </si>
  <si>
    <t>Accidental</t>
  </si>
  <si>
    <t>Neither</t>
  </si>
  <si>
    <t>No</t>
  </si>
  <si>
    <t>19800129VALAW</t>
  </si>
  <si>
    <t>Lafayette High School</t>
  </si>
  <si>
    <t>Winter</t>
  </si>
  <si>
    <t>Williamsburg</t>
  </si>
  <si>
    <t>VA</t>
  </si>
  <si>
    <t>High</t>
  </si>
  <si>
    <t>Other</t>
  </si>
  <si>
    <t>Inside School Building</t>
  </si>
  <si>
    <t>Yes</t>
  </si>
  <si>
    <t>Morning Classes</t>
  </si>
  <si>
    <t>Shooter shot self in chest in school library</t>
  </si>
  <si>
    <t>Suicide/Attempted</t>
  </si>
  <si>
    <t>Victims Targeted</t>
  </si>
  <si>
    <t>No</t>
  </si>
  <si>
    <t>19800107ARSTS</t>
  </si>
  <si>
    <t>Stamps High School</t>
  </si>
  <si>
    <t>Winter</t>
  </si>
  <si>
    <t>Stamps</t>
  </si>
  <si>
    <t>AR</t>
  </si>
  <si>
    <t>High</t>
  </si>
  <si>
    <t>Classroom</t>
  </si>
  <si>
    <t>Inside School Building</t>
  </si>
  <si>
    <t>Yes</t>
  </si>
  <si>
    <t>Morning Classes</t>
  </si>
  <si>
    <t>Student shot other student 3 times in class then walked to principals office and handed over gun</t>
  </si>
  <si>
    <t>Psychosis</t>
  </si>
  <si>
    <t>Victims Targeted</t>
  </si>
  <si>
    <t>No</t>
  </si>
  <si>
    <t>19791221MOBLS</t>
  </si>
  <si>
    <t>Blewett Middle School</t>
  </si>
  <si>
    <t>Winter</t>
  </si>
  <si>
    <t>St. Louis</t>
  </si>
  <si>
    <t>MO</t>
  </si>
  <si>
    <t>Middle</t>
  </si>
  <si>
    <t>Hallway</t>
  </si>
  <si>
    <t>Inside School Building</t>
  </si>
  <si>
    <t>Yes</t>
  </si>
  <si>
    <t>Morning Classes</t>
  </si>
  <si>
    <t>Fight during dispute over money resulted in shooting</t>
  </si>
  <si>
    <t>Escalation of Dispute</t>
  </si>
  <si>
    <t>Victims Targeted</t>
  </si>
  <si>
    <t>No</t>
  </si>
  <si>
    <t>19791203MDEAB</t>
  </si>
  <si>
    <t>Eastern High School</t>
  </si>
  <si>
    <t>Winter</t>
  </si>
  <si>
    <t>Baltimore</t>
  </si>
  <si>
    <t>MD</t>
  </si>
  <si>
    <t>High</t>
  </si>
  <si>
    <t>Cafeteria</t>
  </si>
  <si>
    <t>Inside School Building</t>
  </si>
  <si>
    <t>Yes</t>
  </si>
  <si>
    <t>Lunch</t>
  </si>
  <si>
    <t>Three student gang members fired at rival gang members who fired back in cafeteria</t>
  </si>
  <si>
    <t>Escalation of Dispute</t>
  </si>
  <si>
    <t>Both</t>
  </si>
  <si>
    <t>Yes</t>
  </si>
  <si>
    <t>No</t>
  </si>
  <si>
    <t>19791130TXUNL</t>
  </si>
  <si>
    <t>Unknown School</t>
  </si>
  <si>
    <t>Fall</t>
  </si>
  <si>
    <t>Lewisville</t>
  </si>
  <si>
    <t>TX</t>
  </si>
  <si>
    <t>Inside School Building</t>
  </si>
  <si>
    <t>Yes</t>
  </si>
  <si>
    <t>14 year old student shot 11 year old girl in school hallway - unknown motive</t>
  </si>
  <si>
    <t>Accidental</t>
  </si>
  <si>
    <t>Random Shooting</t>
  </si>
  <si>
    <t>No</t>
  </si>
  <si>
    <t>19791105INWAI</t>
  </si>
  <si>
    <t>Washington High School</t>
  </si>
  <si>
    <t>Fall</t>
  </si>
  <si>
    <t>Indianapolis</t>
  </si>
  <si>
    <t>IN</t>
  </si>
  <si>
    <t>High</t>
  </si>
  <si>
    <t>Beside Building</t>
  </si>
  <si>
    <t>Outside on School Property</t>
  </si>
  <si>
    <t>Yes</t>
  </si>
  <si>
    <t>Dismissal</t>
  </si>
  <si>
    <t>Student shot other student exiting school</t>
  </si>
  <si>
    <t>Escalation of Dispute</t>
  </si>
  <si>
    <t>Victims Targeted</t>
  </si>
  <si>
    <t>No</t>
  </si>
  <si>
    <t>19791023MOOFS</t>
  </si>
  <si>
    <t>O Fallen Technical High School</t>
  </si>
  <si>
    <t>Fall</t>
  </si>
  <si>
    <t>St. Louis</t>
  </si>
  <si>
    <t>MO</t>
  </si>
  <si>
    <t>High</t>
  </si>
  <si>
    <t>Inside School Building</t>
  </si>
  <si>
    <t>Yes</t>
  </si>
  <si>
    <t>Morning Classes</t>
  </si>
  <si>
    <t>Argument over stolen watch</t>
  </si>
  <si>
    <t>Illegal Activity</t>
  </si>
  <si>
    <t>Victims Targeted</t>
  </si>
  <si>
    <t>No</t>
  </si>
  <si>
    <t>19790928MACHC</t>
  </si>
  <si>
    <t>Charlestown High School</t>
  </si>
  <si>
    <t>Fall</t>
  </si>
  <si>
    <t>Charlestown</t>
  </si>
  <si>
    <t>MA</t>
  </si>
  <si>
    <t>High</t>
  </si>
  <si>
    <t>Football Field/Track</t>
  </si>
  <si>
    <t>Outside on School Property</t>
  </si>
  <si>
    <t>No</t>
  </si>
  <si>
    <t>Sport Event</t>
  </si>
  <si>
    <t>Racial Tension in Neighborhood</t>
  </si>
  <si>
    <t>Racial</t>
  </si>
  <si>
    <t>Victims Targeted</t>
  </si>
  <si>
    <t>Yes</t>
  </si>
  <si>
    <t>No</t>
  </si>
  <si>
    <t>19790926LACAN</t>
  </si>
  <si>
    <t>Carter G. Woodson Middle School</t>
  </si>
  <si>
    <t>Fall</t>
  </si>
  <si>
    <t>New Orleans</t>
  </si>
  <si>
    <t>LA</t>
  </si>
  <si>
    <t>Middle</t>
  </si>
  <si>
    <t>Field (General)</t>
  </si>
  <si>
    <t>Inside School Building</t>
  </si>
  <si>
    <t>Yes</t>
  </si>
  <si>
    <t>Lunch</t>
  </si>
  <si>
    <t>Two students shot each other with same gun during fight</t>
  </si>
  <si>
    <t>Escalation of Dispute</t>
  </si>
  <si>
    <t>Victims Targeted</t>
  </si>
  <si>
    <t>Yes</t>
  </si>
  <si>
    <t>No</t>
  </si>
  <si>
    <t>19790614OHNEN</t>
  </si>
  <si>
    <t>New Carlisle Elementary School</t>
  </si>
  <si>
    <t>Summer</t>
  </si>
  <si>
    <t>New Carlisle</t>
  </si>
  <si>
    <t>OH</t>
  </si>
  <si>
    <t>Elementary</t>
  </si>
  <si>
    <t>Outside on School Property</t>
  </si>
  <si>
    <t>No</t>
  </si>
  <si>
    <t>After School</t>
  </si>
  <si>
    <t>Youths playing with gun when accidentally went off killing student</t>
  </si>
  <si>
    <t>Accidental</t>
  </si>
  <si>
    <t>Neither</t>
  </si>
  <si>
    <t>No</t>
  </si>
  <si>
    <t>19790426TXAZA</t>
  </si>
  <si>
    <t>Azle Junior High School</t>
  </si>
  <si>
    <t>Spring</t>
  </si>
  <si>
    <t>Azle</t>
  </si>
  <si>
    <t>TX</t>
  </si>
  <si>
    <t>High</t>
  </si>
  <si>
    <t>Beside Building</t>
  </si>
  <si>
    <t>Outside on School Property</t>
  </si>
  <si>
    <t>Yes</t>
  </si>
  <si>
    <t>After School</t>
  </si>
  <si>
    <t>Ongoing dispute for months escalated into shooting</t>
  </si>
  <si>
    <t>Escalation of Dispute</t>
  </si>
  <si>
    <t>Victims Targeted</t>
  </si>
  <si>
    <t>No</t>
  </si>
  <si>
    <t>19790425PAMAH</t>
  </si>
  <si>
    <t>Martin L. Mattei Junior High School</t>
  </si>
  <si>
    <t>Spring</t>
  </si>
  <si>
    <t>Hughestown</t>
  </si>
  <si>
    <t>PA</t>
  </si>
  <si>
    <t>Junior High</t>
  </si>
  <si>
    <t>Field (General)</t>
  </si>
  <si>
    <t>Outside on School Property</t>
  </si>
  <si>
    <t>Yes</t>
  </si>
  <si>
    <t>Afternoon Classes</t>
  </si>
  <si>
    <t>Teacher shot in head by stray bullet fired from 3/4 mile away</t>
  </si>
  <si>
    <t>Accidental</t>
  </si>
  <si>
    <t>Random Shooting</t>
  </si>
  <si>
    <t>No</t>
  </si>
  <si>
    <t>19790416WIWIM</t>
  </si>
  <si>
    <t>Wisconsin Lutheran High School</t>
  </si>
  <si>
    <t>Spring</t>
  </si>
  <si>
    <t>Milwaukee</t>
  </si>
  <si>
    <t>WI</t>
  </si>
  <si>
    <t>High</t>
  </si>
  <si>
    <t>Beside Building</t>
  </si>
  <si>
    <t>Outside on School Property</t>
  </si>
  <si>
    <t>No</t>
  </si>
  <si>
    <t>Night</t>
  </si>
  <si>
    <t>Janitor shot student for throwing rocks at the school</t>
  </si>
  <si>
    <t>Self-defense</t>
  </si>
  <si>
    <t>Victims Targeted</t>
  </si>
  <si>
    <t>No</t>
  </si>
  <si>
    <t>19790328CALOL</t>
  </si>
  <si>
    <t>Los Angeles High School</t>
  </si>
  <si>
    <t>Spring</t>
  </si>
  <si>
    <t>Los Angeles</t>
  </si>
  <si>
    <t>CA</t>
  </si>
  <si>
    <t>High</t>
  </si>
  <si>
    <t>Classroom</t>
  </si>
  <si>
    <t>Inside School Building</t>
  </si>
  <si>
    <t>Yes</t>
  </si>
  <si>
    <t>Dismissal</t>
  </si>
  <si>
    <t>Attempted robbery and rape of teacher in classroom</t>
  </si>
  <si>
    <t>Illegal Activity</t>
  </si>
  <si>
    <t>Victims Targeted</t>
  </si>
  <si>
    <t>No</t>
  </si>
  <si>
    <t>19790314FLMCM</t>
  </si>
  <si>
    <t>McArthur High School North</t>
  </si>
  <si>
    <t>Spring</t>
  </si>
  <si>
    <t>Miami</t>
  </si>
  <si>
    <t>FL</t>
  </si>
  <si>
    <t>High</t>
  </si>
  <si>
    <t>Parking Lot</t>
  </si>
  <si>
    <t>Outside on School Property</t>
  </si>
  <si>
    <t>Yes</t>
  </si>
  <si>
    <t>Dismissal</t>
  </si>
  <si>
    <t>Teacher came to aid of another teacher who was being robbed. Teacher was shot</t>
  </si>
  <si>
    <t>Illegal Activity</t>
  </si>
  <si>
    <t>Victims Targeted</t>
  </si>
  <si>
    <t>No</t>
  </si>
  <si>
    <t>19790226CABAB</t>
  </si>
  <si>
    <t>Barstow High School</t>
  </si>
  <si>
    <t>Local</t>
  </si>
  <si>
    <t>Winter</t>
  </si>
  <si>
    <t>Barstow</t>
  </si>
  <si>
    <t>CA</t>
  </si>
  <si>
    <t>High</t>
  </si>
  <si>
    <t>Courtyard</t>
  </si>
  <si>
    <t>Outside on School Property</t>
  </si>
  <si>
    <t>Yes</t>
  </si>
  <si>
    <t>Morning Classes</t>
  </si>
  <si>
    <t>Student shot three other students when classes changed</t>
  </si>
  <si>
    <t>Escalation of Dispute</t>
  </si>
  <si>
    <t>Both</t>
  </si>
  <si>
    <t>No</t>
  </si>
  <si>
    <t>Yes</t>
  </si>
  <si>
    <t>No</t>
  </si>
  <si>
    <t>19790129CAGRS</t>
  </si>
  <si>
    <t>Grover Cleveland Elementary School</t>
  </si>
  <si>
    <t>Winter</t>
  </si>
  <si>
    <t>San Diego</t>
  </si>
  <si>
    <t>CA</t>
  </si>
  <si>
    <t>Elementary</t>
  </si>
  <si>
    <t>Off School Property</t>
  </si>
  <si>
    <t>Yes</t>
  </si>
  <si>
    <t>School Start</t>
  </si>
  <si>
    <t>Shooter barricaded herself in house across the street and shot at random students</t>
  </si>
  <si>
    <t>Psychosis</t>
  </si>
  <si>
    <t>Random Shooting</t>
  </si>
  <si>
    <t>No</t>
  </si>
  <si>
    <t>Yes</t>
  </si>
  <si>
    <t>No</t>
  </si>
  <si>
    <t>Yes</t>
  </si>
  <si>
    <t>19781214CTWIN</t>
  </si>
  <si>
    <t>Wilbur Cross High School</t>
  </si>
  <si>
    <t>Winter</t>
  </si>
  <si>
    <t>New Haven</t>
  </si>
  <si>
    <t>CT</t>
  </si>
  <si>
    <t>High</t>
  </si>
  <si>
    <t>Office</t>
  </si>
  <si>
    <t>Inside School Building</t>
  </si>
  <si>
    <t>Yes</t>
  </si>
  <si>
    <t>Armed robbery of school store</t>
  </si>
  <si>
    <t>Illegal Activity</t>
  </si>
  <si>
    <t>Victims Targeted</t>
  </si>
  <si>
    <t>No</t>
  </si>
  <si>
    <t>19781129NYPAN</t>
  </si>
  <si>
    <t>Park West High School</t>
  </si>
  <si>
    <t>Fall</t>
  </si>
  <si>
    <t>New York</t>
  </si>
  <si>
    <t>NY</t>
  </si>
  <si>
    <t>High</t>
  </si>
  <si>
    <t>Classroom</t>
  </si>
  <si>
    <t>Inside School Building</t>
  </si>
  <si>
    <t>Yes</t>
  </si>
  <si>
    <t>Afternoon Classes</t>
  </si>
  <si>
    <t>Showing off gun in class when gun accidentally went off striking student</t>
  </si>
  <si>
    <t>Accidental</t>
  </si>
  <si>
    <t>Random Shooting</t>
  </si>
  <si>
    <t>No</t>
  </si>
  <si>
    <t>19781017ALLAL</t>
  </si>
  <si>
    <t>Lanett Junior High School</t>
  </si>
  <si>
    <t>Fall</t>
  </si>
  <si>
    <t>Lanett</t>
  </si>
  <si>
    <t>AL</t>
  </si>
  <si>
    <t>Junior High</t>
  </si>
  <si>
    <t>Office</t>
  </si>
  <si>
    <t>Inside School Building</t>
  </si>
  <si>
    <t>Yes</t>
  </si>
  <si>
    <t>Afternoon Classes</t>
  </si>
  <si>
    <t>Shot principal after being paddled for truancy</t>
  </si>
  <si>
    <t>Anger Over Grade/Suspension/Discipline</t>
  </si>
  <si>
    <t>Victims Targeted</t>
  </si>
  <si>
    <t>No</t>
  </si>
  <si>
    <t>19781017MOUNU</t>
  </si>
  <si>
    <t>University City High School</t>
  </si>
  <si>
    <t>Fall</t>
  </si>
  <si>
    <t>University City</t>
  </si>
  <si>
    <t>MO</t>
  </si>
  <si>
    <t>High</t>
  </si>
  <si>
    <t>Beside Building</t>
  </si>
  <si>
    <t>Outside on School Property</t>
  </si>
  <si>
    <t>Yes</t>
  </si>
  <si>
    <t>Morning Classes</t>
  </si>
  <si>
    <t>Shooter argued with victims in parking lot before getting gun from car and shooting them</t>
  </si>
  <si>
    <t>Escalation of Dispute</t>
  </si>
  <si>
    <t>Victims Targeted</t>
  </si>
  <si>
    <t>No</t>
  </si>
  <si>
    <t>19780610MAWEW</t>
  </si>
  <si>
    <t>Weymouth South High School</t>
  </si>
  <si>
    <t>Summer</t>
  </si>
  <si>
    <t>Weymouth</t>
  </si>
  <si>
    <t>MA</t>
  </si>
  <si>
    <t>High</t>
  </si>
  <si>
    <t>Auditorium</t>
  </si>
  <si>
    <t>Inside School Building</t>
  </si>
  <si>
    <t>No</t>
  </si>
  <si>
    <t>School Event</t>
  </si>
  <si>
    <t>Student shot self on stage at commencement</t>
  </si>
  <si>
    <t>Suicide/Attempted</t>
  </si>
  <si>
    <t>Victims Targeted</t>
  </si>
  <si>
    <t>No</t>
  </si>
  <si>
    <t>19780607DEDOD</t>
  </si>
  <si>
    <t>Dover Air High</t>
  </si>
  <si>
    <t>Summer</t>
  </si>
  <si>
    <t>Dover</t>
  </si>
  <si>
    <t>DE</t>
  </si>
  <si>
    <t>High</t>
  </si>
  <si>
    <t>Off School Property</t>
  </si>
  <si>
    <t>No</t>
  </si>
  <si>
    <t>School Event</t>
  </si>
  <si>
    <t>Accidental shooting at school picnic</t>
  </si>
  <si>
    <t>Accidental</t>
  </si>
  <si>
    <t>Neither</t>
  </si>
  <si>
    <t>No</t>
  </si>
  <si>
    <t>19780519PADOP</t>
  </si>
  <si>
    <t>Downtown Junior High School</t>
  </si>
  <si>
    <t>Spring</t>
  </si>
  <si>
    <t>Philadelphia</t>
  </si>
  <si>
    <t>PA</t>
  </si>
  <si>
    <t>Junior High</t>
  </si>
  <si>
    <t>School Bus</t>
  </si>
  <si>
    <t>Yes</t>
  </si>
  <si>
    <t>Afternoon Classes</t>
  </si>
  <si>
    <t>Shots deliberately fired a school bus</t>
  </si>
  <si>
    <t>Indiscriminate Shooting</t>
  </si>
  <si>
    <t>No</t>
  </si>
  <si>
    <t>Yes</t>
  </si>
  <si>
    <t>19780518TXMUA</t>
  </si>
  <si>
    <t>Murchison Junior High School</t>
  </si>
  <si>
    <t>National</t>
  </si>
  <si>
    <t>Spring</t>
  </si>
  <si>
    <t>Austin</t>
  </si>
  <si>
    <t>TX</t>
  </si>
  <si>
    <t>Junior High</t>
  </si>
  <si>
    <t>Classroom</t>
  </si>
  <si>
    <t>Inside School Building</t>
  </si>
  <si>
    <t>Yes</t>
  </si>
  <si>
    <t>Morning Classes</t>
  </si>
  <si>
    <t>Shot teacher multiple times in classroom</t>
  </si>
  <si>
    <t>Psychosis</t>
  </si>
  <si>
    <t>Victims Targeted</t>
  </si>
  <si>
    <t>No</t>
  </si>
  <si>
    <t>19780428ILRIN</t>
  </si>
  <si>
    <t>Ridgewood High School</t>
  </si>
  <si>
    <t>Spring</t>
  </si>
  <si>
    <t>Norridge</t>
  </si>
  <si>
    <t>IL</t>
  </si>
  <si>
    <t>High</t>
  </si>
  <si>
    <t>Beside Building</t>
  </si>
  <si>
    <t>Outside on School Property</t>
  </si>
  <si>
    <t>No</t>
  </si>
  <si>
    <t>School Event</t>
  </si>
  <si>
    <t>Shooting outside school dance</t>
  </si>
  <si>
    <t>Escalation of Dispute</t>
  </si>
  <si>
    <t>No</t>
  </si>
  <si>
    <t>Yes</t>
  </si>
  <si>
    <t>19780426TXPAD</t>
  </si>
  <si>
    <t>Paul Dunbar Elementary School</t>
  </si>
  <si>
    <t>Spring</t>
  </si>
  <si>
    <t>Dallas</t>
  </si>
  <si>
    <t>TX</t>
  </si>
  <si>
    <t>Elementary</t>
  </si>
  <si>
    <t>Office</t>
  </si>
  <si>
    <t>Inside School Building</t>
  </si>
  <si>
    <t>Yes</t>
  </si>
  <si>
    <t>Afternoon Classes</t>
  </si>
  <si>
    <t>Victim had spanked shooter's granddaughter</t>
  </si>
  <si>
    <t>Anger Over Grade/Suspension/Discipline</t>
  </si>
  <si>
    <t>Victims Targeted</t>
  </si>
  <si>
    <t>No</t>
  </si>
  <si>
    <t>19780414MIFOD</t>
  </si>
  <si>
    <t>Fordson High School</t>
  </si>
  <si>
    <t>Spring</t>
  </si>
  <si>
    <t>Detroit</t>
  </si>
  <si>
    <t>MI</t>
  </si>
  <si>
    <t>High</t>
  </si>
  <si>
    <t>Gym</t>
  </si>
  <si>
    <t>Inside School Building</t>
  </si>
  <si>
    <t>Yes</t>
  </si>
  <si>
    <t>Afternoon Classes</t>
  </si>
  <si>
    <t>Shot in head in locker room</t>
  </si>
  <si>
    <t>Escalation of Dispute</t>
  </si>
  <si>
    <t>Victims Targeted</t>
  </si>
  <si>
    <t>No</t>
  </si>
  <si>
    <t>19780329TNGAN</t>
  </si>
  <si>
    <t>Gallatin Junior High School</t>
  </si>
  <si>
    <t>Spring</t>
  </si>
  <si>
    <t>Nashville</t>
  </si>
  <si>
    <t>TN</t>
  </si>
  <si>
    <t>Junior High</t>
  </si>
  <si>
    <t>Office</t>
  </si>
  <si>
    <t>Inside School Building</t>
  </si>
  <si>
    <t>No</t>
  </si>
  <si>
    <t>After School</t>
  </si>
  <si>
    <t>Principal shot at parent after he was called racial slur and fear they would attack him</t>
  </si>
  <si>
    <t>Racial</t>
  </si>
  <si>
    <t>Victims Targeted</t>
  </si>
  <si>
    <t>No</t>
  </si>
  <si>
    <t>19780309CAMOS</t>
  </si>
  <si>
    <t>Monroe Elementary School</t>
  </si>
  <si>
    <t>Spring</t>
  </si>
  <si>
    <t>Santa Rosa</t>
  </si>
  <si>
    <t>CA</t>
  </si>
  <si>
    <t>Elementary</t>
  </si>
  <si>
    <t>Classroom</t>
  </si>
  <si>
    <t>Inside School Building</t>
  </si>
  <si>
    <t>Yes</t>
  </si>
  <si>
    <t>Morning Classes</t>
  </si>
  <si>
    <t>Student struck in classroom, teen was shooting at cans hundreds of yards away</t>
  </si>
  <si>
    <t>Accidental</t>
  </si>
  <si>
    <t>Random Shooting</t>
  </si>
  <si>
    <t>No</t>
  </si>
  <si>
    <t>19780222MIEVL</t>
  </si>
  <si>
    <t>Everett High School</t>
  </si>
  <si>
    <t>Winter</t>
  </si>
  <si>
    <t>Lansing</t>
  </si>
  <si>
    <t>MI</t>
  </si>
  <si>
    <t>High</t>
  </si>
  <si>
    <t>Hallway</t>
  </si>
  <si>
    <t>Inside School Building</t>
  </si>
  <si>
    <t>Yes</t>
  </si>
  <si>
    <t>Afternoon Classes</t>
  </si>
  <si>
    <t>Bullying, shooter was self-proclaimed Nazi, taunted for beliefs</t>
  </si>
  <si>
    <t>Bullying</t>
  </si>
  <si>
    <t>Victims Targeted</t>
  </si>
  <si>
    <t>No</t>
  </si>
  <si>
    <t>Yes</t>
  </si>
  <si>
    <t>No</t>
  </si>
  <si>
    <t>Yes</t>
  </si>
  <si>
    <t>19780209WVHAS</t>
  </si>
  <si>
    <t>Hayes Junior High School</t>
  </si>
  <si>
    <t>Winter</t>
  </si>
  <si>
    <t>St. Albans</t>
  </si>
  <si>
    <t>WV</t>
  </si>
  <si>
    <t>Junior High</t>
  </si>
  <si>
    <t>Hallway</t>
  </si>
  <si>
    <t>Inside School Building</t>
  </si>
  <si>
    <t>Yes</t>
  </si>
  <si>
    <t>Morning Classes</t>
  </si>
  <si>
    <t>Ongoing fights and bullying between shooter and victim</t>
  </si>
  <si>
    <t>Bullying</t>
  </si>
  <si>
    <t>Victims Targeted</t>
  </si>
  <si>
    <t>No</t>
  </si>
  <si>
    <t>Yes</t>
  </si>
  <si>
    <t>No</t>
  </si>
  <si>
    <t>19780111KYCHH</t>
  </si>
  <si>
    <t>Christian County Middle School</t>
  </si>
  <si>
    <t>Winter</t>
  </si>
  <si>
    <t>Hopkinsville</t>
  </si>
  <si>
    <t>KY</t>
  </si>
  <si>
    <t>Middle</t>
  </si>
  <si>
    <t>Hallway</t>
  </si>
  <si>
    <t>Inside School Building</t>
  </si>
  <si>
    <t>Yes</t>
  </si>
  <si>
    <t>Morning Classes</t>
  </si>
  <si>
    <t>Shooting following an argument between students the night before</t>
  </si>
  <si>
    <t>Escalation of Dispute</t>
  </si>
  <si>
    <t>Victims Targeted</t>
  </si>
  <si>
    <t>No</t>
  </si>
  <si>
    <t>19771215MABLC</t>
  </si>
  <si>
    <t>Blue Hills Vocational High School</t>
  </si>
  <si>
    <t>Winter</t>
  </si>
  <si>
    <t>Canton</t>
  </si>
  <si>
    <t>MA</t>
  </si>
  <si>
    <t>High</t>
  </si>
  <si>
    <t>Classroom</t>
  </si>
  <si>
    <t>Inside School Building</t>
  </si>
  <si>
    <t>Yes</t>
  </si>
  <si>
    <t>Shooter wore bag over head and went into classroom shooting, pulled fire alarm to hide escape</t>
  </si>
  <si>
    <t>Escalation of Dispute</t>
  </si>
  <si>
    <t>No</t>
  </si>
  <si>
    <t>Yes</t>
  </si>
  <si>
    <t>19771212FLWEW</t>
  </si>
  <si>
    <t>West Orange High School</t>
  </si>
  <si>
    <t>Winter</t>
  </si>
  <si>
    <t>Winter Garden</t>
  </si>
  <si>
    <t>FL</t>
  </si>
  <si>
    <t>High</t>
  </si>
  <si>
    <t>Office</t>
  </si>
  <si>
    <t>Inside School Building</t>
  </si>
  <si>
    <t>No</t>
  </si>
  <si>
    <t>After School</t>
  </si>
  <si>
    <t>Suspect, assistant principal, shot and killed principle during after school meeting where he was being reprimanded for advances on 16 year old student.</t>
  </si>
  <si>
    <t>Anger Over Grade/Suspension/Discipline</t>
  </si>
  <si>
    <t>Victims Targeted</t>
  </si>
  <si>
    <t>No</t>
  </si>
  <si>
    <t>19771209CAPES</t>
  </si>
  <si>
    <t>Petaluma McNear Elementary</t>
  </si>
  <si>
    <t>Winter</t>
  </si>
  <si>
    <t>Santa Rosa</t>
  </si>
  <si>
    <t>CA</t>
  </si>
  <si>
    <t>Elementary</t>
  </si>
  <si>
    <t>Office</t>
  </si>
  <si>
    <t>Inside School Building</t>
  </si>
  <si>
    <t>Yes</t>
  </si>
  <si>
    <t>Shot 3 shots at estranged wife, tackled by principal and 3 other staff</t>
  </si>
  <si>
    <t>Domestic w/ Targeted Victim</t>
  </si>
  <si>
    <t>Victims Targeted</t>
  </si>
  <si>
    <t>No</t>
  </si>
  <si>
    <t>Yes</t>
  </si>
  <si>
    <t>19771129MOHAS</t>
  </si>
  <si>
    <t>Hazelwood Central Senior High School</t>
  </si>
  <si>
    <t>Fall</t>
  </si>
  <si>
    <t>St. Louis</t>
  </si>
  <si>
    <t>MO</t>
  </si>
  <si>
    <t>High</t>
  </si>
  <si>
    <t>Outside on School Property</t>
  </si>
  <si>
    <t>No</t>
  </si>
  <si>
    <t>School Event</t>
  </si>
  <si>
    <t>Fired shots into school windows during awards ceremony</t>
  </si>
  <si>
    <t>Indiscriminate Shooting</t>
  </si>
  <si>
    <t>Neither</t>
  </si>
  <si>
    <t>No</t>
  </si>
  <si>
    <t>Yes</t>
  </si>
  <si>
    <t>19771129MOVAS</t>
  </si>
  <si>
    <t>Vashon High School</t>
  </si>
  <si>
    <t>Fall</t>
  </si>
  <si>
    <t>St. Louis</t>
  </si>
  <si>
    <t>MO</t>
  </si>
  <si>
    <t>High</t>
  </si>
  <si>
    <t>Hallway</t>
  </si>
  <si>
    <t>Inside School Building</t>
  </si>
  <si>
    <t>Yes</t>
  </si>
  <si>
    <t>Shot another student in 2nd floor hallway</t>
  </si>
  <si>
    <t>Escalation of Dispute</t>
  </si>
  <si>
    <t>Victims Targeted</t>
  </si>
  <si>
    <t>No</t>
  </si>
  <si>
    <t>19770711COSOC</t>
  </si>
  <si>
    <t>South Junior High School</t>
  </si>
  <si>
    <t>Summer</t>
  </si>
  <si>
    <t>Colorado Springs</t>
  </si>
  <si>
    <t>CO</t>
  </si>
  <si>
    <t>Junior High</t>
  </si>
  <si>
    <t>Beside Building</t>
  </si>
  <si>
    <t>Outside on School Property</t>
  </si>
  <si>
    <t>No</t>
  </si>
  <si>
    <t>Not a School Day</t>
  </si>
  <si>
    <t>Student shot outside gym during basketball game</t>
  </si>
  <si>
    <t>Escalation of Dispute</t>
  </si>
  <si>
    <t>No</t>
  </si>
  <si>
    <t>19770622ILHOC</t>
  </si>
  <si>
    <t>Holy Trinity High School</t>
  </si>
  <si>
    <t>Summer</t>
  </si>
  <si>
    <t>Chicago</t>
  </si>
  <si>
    <t>IL</t>
  </si>
  <si>
    <t>High</t>
  </si>
  <si>
    <t>Beside Building</t>
  </si>
  <si>
    <t>Outside on School Property</t>
  </si>
  <si>
    <t>Yes</t>
  </si>
  <si>
    <t>Two students shot during dispute outside of school building</t>
  </si>
  <si>
    <t>Escalation of Dispute</t>
  </si>
  <si>
    <t>Victims Targeted</t>
  </si>
  <si>
    <t>No</t>
  </si>
  <si>
    <t>19770517FLSTC</t>
  </si>
  <si>
    <t>Stone Middle School</t>
  </si>
  <si>
    <t>Spring</t>
  </si>
  <si>
    <t>Cocoa</t>
  </si>
  <si>
    <t>FL</t>
  </si>
  <si>
    <t>Middle</t>
  </si>
  <si>
    <t>Playground</t>
  </si>
  <si>
    <t>Outside on School Property</t>
  </si>
  <si>
    <t>No</t>
  </si>
  <si>
    <t>Sport Event</t>
  </si>
  <si>
    <t>Fired multiple shots into the school building during basketball game</t>
  </si>
  <si>
    <t>Drive-by Shooting</t>
  </si>
  <si>
    <t>No</t>
  </si>
  <si>
    <t>19770418TNPIN</t>
  </si>
  <si>
    <t>Pioneer Christian Academy</t>
  </si>
  <si>
    <t>Spring</t>
  </si>
  <si>
    <t>Nashville</t>
  </si>
  <si>
    <t>TN</t>
  </si>
  <si>
    <t>Other</t>
  </si>
  <si>
    <t>Parking Lot</t>
  </si>
  <si>
    <t>Outside on School Property</t>
  </si>
  <si>
    <t>Yes</t>
  </si>
  <si>
    <t>School Start</t>
  </si>
  <si>
    <t>Domestic quarrel between 2 men in school parking lot while parents were dropping kids off</t>
  </si>
  <si>
    <t>Domestic w/ Targeted Victim</t>
  </si>
  <si>
    <t>Victims Targeted</t>
  </si>
  <si>
    <t>No</t>
  </si>
  <si>
    <t>Yes</t>
  </si>
  <si>
    <t>19770407TXWHW</t>
  </si>
  <si>
    <t>Whitharral High School</t>
  </si>
  <si>
    <t>Spring</t>
  </si>
  <si>
    <t>Hockley</t>
  </si>
  <si>
    <t>TX</t>
  </si>
  <si>
    <t>High</t>
  </si>
  <si>
    <t>Beside Building</t>
  </si>
  <si>
    <t>Outside on School Property</t>
  </si>
  <si>
    <t>Yes</t>
  </si>
  <si>
    <t>Morning Classes</t>
  </si>
  <si>
    <t>Killed his principal outside of school</t>
  </si>
  <si>
    <t>Psychosis</t>
  </si>
  <si>
    <t>Victims Targeted</t>
  </si>
  <si>
    <t>No</t>
  </si>
  <si>
    <t>19770321NYPAH</t>
  </si>
  <si>
    <t>Parochial School</t>
  </si>
  <si>
    <t>Spring</t>
  </si>
  <si>
    <t>Hamburg</t>
  </si>
  <si>
    <t>NY</t>
  </si>
  <si>
    <t>Other</t>
  </si>
  <si>
    <t>Field (General)</t>
  </si>
  <si>
    <t>Outside on School Property</t>
  </si>
  <si>
    <t>Yes</t>
  </si>
  <si>
    <t>Shooting at cans, shots broke occupied school windows</t>
  </si>
  <si>
    <t>Accidental</t>
  </si>
  <si>
    <t>Neither</t>
  </si>
  <si>
    <t>No</t>
  </si>
  <si>
    <t>19770308ILCOE</t>
  </si>
  <si>
    <t>Collinsville High School</t>
  </si>
  <si>
    <t>Spring</t>
  </si>
  <si>
    <t>Edwardsville</t>
  </si>
  <si>
    <t>IL</t>
  </si>
  <si>
    <t>High</t>
  </si>
  <si>
    <t>Hallway</t>
  </si>
  <si>
    <t>Inside School Building</t>
  </si>
  <si>
    <t>Yes</t>
  </si>
  <si>
    <t>Lunch</t>
  </si>
  <si>
    <t>Shot asst. principal after being suspended that day</t>
  </si>
  <si>
    <t>Anger Over Grade/Suspension/Discipline</t>
  </si>
  <si>
    <t>Both</t>
  </si>
  <si>
    <t>No</t>
  </si>
  <si>
    <t>19770228MOROS</t>
  </si>
  <si>
    <t>Roosevelt High School</t>
  </si>
  <si>
    <t>Winter</t>
  </si>
  <si>
    <t>St. Louis</t>
  </si>
  <si>
    <t>MO</t>
  </si>
  <si>
    <t>High</t>
  </si>
  <si>
    <t>ND</t>
  </si>
  <si>
    <t>Yes</t>
  </si>
  <si>
    <t>Unknown</t>
  </si>
  <si>
    <t>Shot 2 students during dispute</t>
  </si>
  <si>
    <t>Escalation of Dispute</t>
  </si>
  <si>
    <t>Victims Targeted</t>
  </si>
  <si>
    <t>No</t>
  </si>
  <si>
    <t>19770228TXHOA</t>
  </si>
  <si>
    <t>Horace Mann Junior High School</t>
  </si>
  <si>
    <t>Winter</t>
  </si>
  <si>
    <t>Amarillo</t>
  </si>
  <si>
    <t>TX</t>
  </si>
  <si>
    <t>Junior High</t>
  </si>
  <si>
    <t>Inside School Building</t>
  </si>
  <si>
    <t>Yes</t>
  </si>
  <si>
    <t>Student shot in leg during dispute</t>
  </si>
  <si>
    <t>Escalation of Dispute</t>
  </si>
  <si>
    <t>Victims Targeted</t>
  </si>
  <si>
    <t>No</t>
  </si>
  <si>
    <t>19770209ILFEC</t>
  </si>
  <si>
    <t>Fenger High School</t>
  </si>
  <si>
    <t>Winter</t>
  </si>
  <si>
    <t>Chicago</t>
  </si>
  <si>
    <t>IL</t>
  </si>
  <si>
    <t>High</t>
  </si>
  <si>
    <t>Hallway</t>
  </si>
  <si>
    <t>Inside School Building</t>
  </si>
  <si>
    <t>Yes</t>
  </si>
  <si>
    <t>Afternoon Classes</t>
  </si>
  <si>
    <t>4 students shot during fight in stairwell between two students</t>
  </si>
  <si>
    <t>Escalation of Dispute</t>
  </si>
  <si>
    <t>Both</t>
  </si>
  <si>
    <t>No</t>
  </si>
  <si>
    <t>19770113ILOLB</t>
  </si>
  <si>
    <t>Old Main Eisenhower High School</t>
  </si>
  <si>
    <t>Winter</t>
  </si>
  <si>
    <t>Blue Island</t>
  </si>
  <si>
    <t>IL</t>
  </si>
  <si>
    <t>High</t>
  </si>
  <si>
    <t>Gym</t>
  </si>
  <si>
    <t>Inside School Building</t>
  </si>
  <si>
    <t>Yes</t>
  </si>
  <si>
    <t>Morning Classes</t>
  </si>
  <si>
    <t>Victim wouldn't fight and shooter shot him, gym teacher tackled shooter</t>
  </si>
  <si>
    <t>Escalation of Dispute</t>
  </si>
  <si>
    <t>Victims Targeted</t>
  </si>
  <si>
    <t>No</t>
  </si>
  <si>
    <t>19761210MOFRS</t>
  </si>
  <si>
    <t>Fremont School</t>
  </si>
  <si>
    <t>Winter</t>
  </si>
  <si>
    <t>St. Louis</t>
  </si>
  <si>
    <t>MO</t>
  </si>
  <si>
    <t>Elementary</t>
  </si>
  <si>
    <t>Inside School Building</t>
  </si>
  <si>
    <t>Yes</t>
  </si>
  <si>
    <t>Morning Classes</t>
  </si>
  <si>
    <t>Fired shots at teacher, surrendered to police</t>
  </si>
  <si>
    <t>Anger Over Grade/Suspension/Discipline</t>
  </si>
  <si>
    <t>Victims Targeted</t>
  </si>
  <si>
    <t>No</t>
  </si>
  <si>
    <t>Yes</t>
  </si>
  <si>
    <t>19761110MIBUD</t>
  </si>
  <si>
    <t>Burt Elementary School</t>
  </si>
  <si>
    <t>Fall</t>
  </si>
  <si>
    <t>Detroit</t>
  </si>
  <si>
    <t>MI</t>
  </si>
  <si>
    <t>Elementary</t>
  </si>
  <si>
    <t>Classroom</t>
  </si>
  <si>
    <t>Inside School Building</t>
  </si>
  <si>
    <t>Yes</t>
  </si>
  <si>
    <t>Morning Classes</t>
  </si>
  <si>
    <t>Estranged husband emotionally distraught</t>
  </si>
  <si>
    <t>Domestic w/ Targeted Victim</t>
  </si>
  <si>
    <t>Victims Targeted</t>
  </si>
  <si>
    <t>No</t>
  </si>
  <si>
    <t>Yes</t>
  </si>
  <si>
    <t>19760920NCGUG</t>
  </si>
  <si>
    <t>Guildord County School Bus</t>
  </si>
  <si>
    <t>Fall</t>
  </si>
  <si>
    <t>Greensboro</t>
  </si>
  <si>
    <t>NC</t>
  </si>
  <si>
    <t>School Bus</t>
  </si>
  <si>
    <t>Yes</t>
  </si>
  <si>
    <t>Fired at school bus and then shot himself</t>
  </si>
  <si>
    <t>Indiscriminate Shooting</t>
  </si>
  <si>
    <t>Random Shooting</t>
  </si>
  <si>
    <t>No</t>
  </si>
  <si>
    <t>19760602MDMTC</t>
  </si>
  <si>
    <t>Mt. Savage High School</t>
  </si>
  <si>
    <t>Summer</t>
  </si>
  <si>
    <t>Cumberland</t>
  </si>
  <si>
    <t>MD</t>
  </si>
  <si>
    <t>High</t>
  </si>
  <si>
    <t>Classroom</t>
  </si>
  <si>
    <t>Off School Property</t>
  </si>
  <si>
    <t>Yes</t>
  </si>
  <si>
    <t>Morning Classes</t>
  </si>
  <si>
    <t>Shot windows of four classroom from outside while school was in session</t>
  </si>
  <si>
    <t>Intentional Property Damage</t>
  </si>
  <si>
    <t>No</t>
  </si>
  <si>
    <t>19760514FLPAW</t>
  </si>
  <si>
    <t>Palm Beach Gardens High School</t>
  </si>
  <si>
    <t>Spring</t>
  </si>
  <si>
    <t>West Palm Beach</t>
  </si>
  <si>
    <t>FL</t>
  </si>
  <si>
    <t>High</t>
  </si>
  <si>
    <t>Outside on School Property</t>
  </si>
  <si>
    <t>Yes</t>
  </si>
  <si>
    <t>Lunch</t>
  </si>
  <si>
    <t>Fight over spitting in parking lot</t>
  </si>
  <si>
    <t>Escalation of Dispute</t>
  </si>
  <si>
    <t>Victims Targeted</t>
  </si>
  <si>
    <t>No</t>
  </si>
  <si>
    <t>19760513MOMAS</t>
  </si>
  <si>
    <t>Mark Twain School</t>
  </si>
  <si>
    <t>Spring</t>
  </si>
  <si>
    <t>St. Louis</t>
  </si>
  <si>
    <t>MO</t>
  </si>
  <si>
    <t>Elementary</t>
  </si>
  <si>
    <t>Cafeteria</t>
  </si>
  <si>
    <t>Inside School Building</t>
  </si>
  <si>
    <t>Yes</t>
  </si>
  <si>
    <t>Lunch</t>
  </si>
  <si>
    <t>Victim accidentally shot by shooter aiming at two other boys</t>
  </si>
  <si>
    <t>Escalation of Dispute</t>
  </si>
  <si>
    <t>Random Shooting</t>
  </si>
  <si>
    <t>No</t>
  </si>
  <si>
    <t>19760412TXODF</t>
  </si>
  <si>
    <t>O D Wyatt High School</t>
  </si>
  <si>
    <t>Spring</t>
  </si>
  <si>
    <t>Fort Worth</t>
  </si>
  <si>
    <t>TX</t>
  </si>
  <si>
    <t>High</t>
  </si>
  <si>
    <t>Hallway</t>
  </si>
  <si>
    <t>Inside School Building</t>
  </si>
  <si>
    <t>Yes</t>
  </si>
  <si>
    <t>Afternoon Classes</t>
  </si>
  <si>
    <t>Dispute turned into shooting, another student hit in crossfire</t>
  </si>
  <si>
    <t>Escalation of Dispute</t>
  </si>
  <si>
    <t>Both</t>
  </si>
  <si>
    <t>No</t>
  </si>
  <si>
    <t>19760212MIMUD</t>
  </si>
  <si>
    <t>Murray-Wright High School</t>
  </si>
  <si>
    <t>Winter</t>
  </si>
  <si>
    <t>Detroit</t>
  </si>
  <si>
    <t>MI</t>
  </si>
  <si>
    <t>High</t>
  </si>
  <si>
    <t>Hallway</t>
  </si>
  <si>
    <t>Inside School Building</t>
  </si>
  <si>
    <t>Yes</t>
  </si>
  <si>
    <t>Dispute over a girlfriend</t>
  </si>
  <si>
    <t>Escalation of Dispute</t>
  </si>
  <si>
    <t>Random Shooting</t>
  </si>
  <si>
    <t>Yes</t>
  </si>
  <si>
    <t>No</t>
  </si>
  <si>
    <t>Yes</t>
  </si>
  <si>
    <t>19760206FLESP</t>
  </si>
  <si>
    <t>Escambia High School</t>
  </si>
  <si>
    <t>Winter</t>
  </si>
  <si>
    <t>Pensacola</t>
  </si>
  <si>
    <t>FL</t>
  </si>
  <si>
    <t>High</t>
  </si>
  <si>
    <t>Outside on School Property</t>
  </si>
  <si>
    <t>Yes</t>
  </si>
  <si>
    <t>Afternoon Classes</t>
  </si>
  <si>
    <t>3 hour riot due to racial tension</t>
  </si>
  <si>
    <t>Racial</t>
  </si>
  <si>
    <t>Neither</t>
  </si>
  <si>
    <t>No</t>
  </si>
  <si>
    <t>19760123OHCOC</t>
  </si>
  <si>
    <t>Columbus Central High School</t>
  </si>
  <si>
    <t>Winter</t>
  </si>
  <si>
    <t>Columbus</t>
  </si>
  <si>
    <t>OH</t>
  </si>
  <si>
    <t>High</t>
  </si>
  <si>
    <t>Office</t>
  </si>
  <si>
    <t>Inside School Building</t>
  </si>
  <si>
    <t>Yes</t>
  </si>
  <si>
    <t>Afternoon Classes</t>
  </si>
  <si>
    <t>Student shot teacher and cafeteria manager</t>
  </si>
  <si>
    <t>Unknown</t>
  </si>
  <si>
    <t>Victims Targeted</t>
  </si>
  <si>
    <t>No</t>
  </si>
  <si>
    <t>19760101AZCAP</t>
  </si>
  <si>
    <t>Camelback High School</t>
  </si>
  <si>
    <t>Winter</t>
  </si>
  <si>
    <t>Phoenix</t>
  </si>
  <si>
    <t>AZ</t>
  </si>
  <si>
    <t>High</t>
  </si>
  <si>
    <t>Outside on School Property</t>
  </si>
  <si>
    <t>No</t>
  </si>
  <si>
    <t>Before School</t>
  </si>
  <si>
    <t>Multiple shots fired striking school, vehicle, and security guard</t>
  </si>
  <si>
    <t>Indiscriminate Shooting</t>
  </si>
  <si>
    <t>No</t>
  </si>
  <si>
    <t>19751218CAORS</t>
  </si>
  <si>
    <t>Orange High School</t>
  </si>
  <si>
    <t>Winter</t>
  </si>
  <si>
    <t>Santa Ana</t>
  </si>
  <si>
    <t>CA</t>
  </si>
  <si>
    <t>High</t>
  </si>
  <si>
    <t>Beside Building</t>
  </si>
  <si>
    <t>Outside on School Property</t>
  </si>
  <si>
    <t>Yes</t>
  </si>
  <si>
    <t>Lunch</t>
  </si>
  <si>
    <t>Argument over the gun used in the shooting</t>
  </si>
  <si>
    <t>Escalation of Dispute</t>
  </si>
  <si>
    <t>Victims Targeted</t>
  </si>
  <si>
    <t>No</t>
  </si>
  <si>
    <t>19751024GAMUA</t>
  </si>
  <si>
    <t>Murphy High School</t>
  </si>
  <si>
    <t>Fall</t>
  </si>
  <si>
    <t>Atlanta</t>
  </si>
  <si>
    <t>GA</t>
  </si>
  <si>
    <t>High</t>
  </si>
  <si>
    <t>Office</t>
  </si>
  <si>
    <t>Inside School Building</t>
  </si>
  <si>
    <t>Yes</t>
  </si>
  <si>
    <t>Morning Classes</t>
  </si>
  <si>
    <t>Suspect shot assistant principal after being paddled</t>
  </si>
  <si>
    <t>Anger Over Grade/Suspension/Discipline</t>
  </si>
  <si>
    <t>Victims Targeted</t>
  </si>
  <si>
    <t>No</t>
  </si>
  <si>
    <t>19751001NMHEA</t>
  </si>
  <si>
    <t>Hermosa Elementary School</t>
  </si>
  <si>
    <t>Fall</t>
  </si>
  <si>
    <t>Artesia</t>
  </si>
  <si>
    <t>NM</t>
  </si>
  <si>
    <t>Elementary</t>
  </si>
  <si>
    <t>Classroom</t>
  </si>
  <si>
    <t>Inside School Building</t>
  </si>
  <si>
    <t>Yes</t>
  </si>
  <si>
    <t>Before School</t>
  </si>
  <si>
    <t>Adult shooter arrived at school and shot teacher to death</t>
  </si>
  <si>
    <t>Anger Over Grade/Suspension/Discipline</t>
  </si>
  <si>
    <t>Victims Targeted</t>
  </si>
  <si>
    <t>No</t>
  </si>
  <si>
    <t>19750911OKGRO</t>
  </si>
  <si>
    <t>Grant High School</t>
  </si>
  <si>
    <t>Fall</t>
  </si>
  <si>
    <t>Oklahoma City</t>
  </si>
  <si>
    <t>OK</t>
  </si>
  <si>
    <t>High</t>
  </si>
  <si>
    <t>Inside School Building</t>
  </si>
  <si>
    <t>Yes</t>
  </si>
  <si>
    <t>Alleged result of growing tension between a group of black students and a group of white students.</t>
  </si>
  <si>
    <t>Racial</t>
  </si>
  <si>
    <t>Both</t>
  </si>
  <si>
    <t>No</t>
  </si>
  <si>
    <t>19750711MOCES</t>
  </si>
  <si>
    <t>Central High School</t>
  </si>
  <si>
    <t>Summer</t>
  </si>
  <si>
    <t>St. Louis</t>
  </si>
  <si>
    <t>MO</t>
  </si>
  <si>
    <t>High</t>
  </si>
  <si>
    <t>School Bus</t>
  </si>
  <si>
    <t>Yes</t>
  </si>
  <si>
    <t>School Start</t>
  </si>
  <si>
    <t>Ongoing dispute over bus seats</t>
  </si>
  <si>
    <t>Escalation of Dispute</t>
  </si>
  <si>
    <t>Victims Targeted</t>
  </si>
  <si>
    <t>Yes</t>
  </si>
  <si>
    <t>No</t>
  </si>
  <si>
    <t>19750709ILDEC</t>
  </si>
  <si>
    <t>Dett Elementary School</t>
  </si>
  <si>
    <t>Summer</t>
  </si>
  <si>
    <t>Chicago</t>
  </si>
  <si>
    <t>IL</t>
  </si>
  <si>
    <t>Elementary</t>
  </si>
  <si>
    <t>Beside Building</t>
  </si>
  <si>
    <t>Outside on School Property</t>
  </si>
  <si>
    <t>Yes</t>
  </si>
  <si>
    <t>Before School</t>
  </si>
  <si>
    <t>Teacher shot by estranged husband</t>
  </si>
  <si>
    <t>Domestic w/ Targeted Victim</t>
  </si>
  <si>
    <t>Victims Targeted</t>
  </si>
  <si>
    <t>No</t>
  </si>
  <si>
    <t>Yes</t>
  </si>
  <si>
    <t>19750527MIPID</t>
  </si>
  <si>
    <t>Pitcher School</t>
  </si>
  <si>
    <t>Spring</t>
  </si>
  <si>
    <t>Detroit</t>
  </si>
  <si>
    <t>MI</t>
  </si>
  <si>
    <t>Elementary</t>
  </si>
  <si>
    <t>Outside on School Property</t>
  </si>
  <si>
    <t>No</t>
  </si>
  <si>
    <t>After School</t>
  </si>
  <si>
    <t>Shooter and victim in multiple previous fights at school</t>
  </si>
  <si>
    <t>Escalation of Dispute</t>
  </si>
  <si>
    <t>Victims Targeted</t>
  </si>
  <si>
    <t>No</t>
  </si>
  <si>
    <t>19750515MOROS</t>
  </si>
  <si>
    <t>Rock Junior High School</t>
  </si>
  <si>
    <t>Spring</t>
  </si>
  <si>
    <t>St. Louis</t>
  </si>
  <si>
    <t>MO</t>
  </si>
  <si>
    <t>Junior High</t>
  </si>
  <si>
    <t>Office</t>
  </si>
  <si>
    <t>Inside School Building</t>
  </si>
  <si>
    <t>Yes</t>
  </si>
  <si>
    <t>Afternoon Classes</t>
  </si>
  <si>
    <t>Administrator spanked student, student got gun and shot him</t>
  </si>
  <si>
    <t>Anger Over Grade/Suspension/Discipline</t>
  </si>
  <si>
    <t>Victims Targeted</t>
  </si>
  <si>
    <t>No</t>
  </si>
  <si>
    <t>19750321OHPAD</t>
  </si>
  <si>
    <t>Patterson Cooperative High School</t>
  </si>
  <si>
    <t>Spring</t>
  </si>
  <si>
    <t>Dayton</t>
  </si>
  <si>
    <t>OH</t>
  </si>
  <si>
    <t>High</t>
  </si>
  <si>
    <t>Classroom</t>
  </si>
  <si>
    <t>Inside School Building</t>
  </si>
  <si>
    <t>Yes</t>
  </si>
  <si>
    <t>Before School</t>
  </si>
  <si>
    <t>Unknown shooter shot teacher during class</t>
  </si>
  <si>
    <t>Illegal Activity</t>
  </si>
  <si>
    <t>Victims Targeted</t>
  </si>
  <si>
    <t>No</t>
  </si>
  <si>
    <t>Yes</t>
  </si>
  <si>
    <t>No</t>
  </si>
  <si>
    <t>Yes</t>
  </si>
  <si>
    <t>19750321VAFAR</t>
  </si>
  <si>
    <t>Fairmount Elementary School</t>
  </si>
  <si>
    <t>Spring</t>
  </si>
  <si>
    <t>Richmond</t>
  </si>
  <si>
    <t>VA</t>
  </si>
  <si>
    <t>Elementary</t>
  </si>
  <si>
    <t>Playground</t>
  </si>
  <si>
    <t>Outside on School Property</t>
  </si>
  <si>
    <t>Yes</t>
  </si>
  <si>
    <t>Lunch</t>
  </si>
  <si>
    <t>Shooter was shooting at pigeons off school property when stray bullet hit victim</t>
  </si>
  <si>
    <t>Accidental</t>
  </si>
  <si>
    <t>Random Shooting</t>
  </si>
  <si>
    <t>No</t>
  </si>
  <si>
    <t>19750318MOSUS</t>
  </si>
  <si>
    <t>Sumner High School</t>
  </si>
  <si>
    <t>Spring</t>
  </si>
  <si>
    <t>St. Louis</t>
  </si>
  <si>
    <t>MO</t>
  </si>
  <si>
    <t>High</t>
  </si>
  <si>
    <t>Inside School Building</t>
  </si>
  <si>
    <t>Yes</t>
  </si>
  <si>
    <t>Lunch</t>
  </si>
  <si>
    <t>Gun fight between four youths believed to have arisen from a dispute at a party several weeks prior at which Goods was also present</t>
  </si>
  <si>
    <t>Escalation of Dispute</t>
  </si>
  <si>
    <t>Victims Targeted</t>
  </si>
  <si>
    <t>Yes</t>
  </si>
  <si>
    <t>No</t>
  </si>
  <si>
    <t>19750312TXJOH</t>
  </si>
  <si>
    <t>Jones High School</t>
  </si>
  <si>
    <t>Spring</t>
  </si>
  <si>
    <t>Houston</t>
  </si>
  <si>
    <t>TX</t>
  </si>
  <si>
    <t>High</t>
  </si>
  <si>
    <t>Courtyard</t>
  </si>
  <si>
    <t>Outside on School Property</t>
  </si>
  <si>
    <t>Yes</t>
  </si>
  <si>
    <t>Afternoon Classes</t>
  </si>
  <si>
    <t>Argument escalated into shooting</t>
  </si>
  <si>
    <t>Escalation of Dispute</t>
  </si>
  <si>
    <t>No</t>
  </si>
  <si>
    <t>19750224NJSTP</t>
  </si>
  <si>
    <t>St. James School</t>
  </si>
  <si>
    <t>Winter</t>
  </si>
  <si>
    <t>Penns Grove</t>
  </si>
  <si>
    <t>NJ</t>
  </si>
  <si>
    <t>K-8</t>
  </si>
  <si>
    <t>Classroom</t>
  </si>
  <si>
    <t>Inside School Building</t>
  </si>
  <si>
    <t>Yes</t>
  </si>
  <si>
    <t>Morning Classes</t>
  </si>
  <si>
    <t>Voices told him to kill her, thought priest was controlling him</t>
  </si>
  <si>
    <t>Psychosis</t>
  </si>
  <si>
    <t>Both</t>
  </si>
  <si>
    <t>No</t>
  </si>
  <si>
    <t>Yes</t>
  </si>
  <si>
    <t>19750207NYBOM</t>
  </si>
  <si>
    <t>Board of Cooperative Educational Services</t>
  </si>
  <si>
    <t>Winter</t>
  </si>
  <si>
    <t>Mineola</t>
  </si>
  <si>
    <t>NY</t>
  </si>
  <si>
    <t>Other</t>
  </si>
  <si>
    <t>Inside School Building</t>
  </si>
  <si>
    <t>Yes</t>
  </si>
  <si>
    <t>Afternoon Classes</t>
  </si>
  <si>
    <t>Shooter shot himself after being confronted by counselor regarding his latenesses/ absentees</t>
  </si>
  <si>
    <t>Suicide/Attempted</t>
  </si>
  <si>
    <t>Victims Targeted</t>
  </si>
  <si>
    <t>No</t>
  </si>
  <si>
    <t>19741230NYOLO</t>
  </si>
  <si>
    <t>Olean High School</t>
  </si>
  <si>
    <t>Winter</t>
  </si>
  <si>
    <t>Olean</t>
  </si>
  <si>
    <t>NY</t>
  </si>
  <si>
    <t>High</t>
  </si>
  <si>
    <t>Classroom</t>
  </si>
  <si>
    <t>Inside School Building</t>
  </si>
  <si>
    <t>No</t>
  </si>
  <si>
    <t>After School</t>
  </si>
  <si>
    <t>Sniper attack from school building by trophy rifle team member/Regent's scholar</t>
  </si>
  <si>
    <t>Indiscriminate Shooting</t>
  </si>
  <si>
    <t>Random Shooting</t>
  </si>
  <si>
    <t>No</t>
  </si>
  <si>
    <t>Yes</t>
  </si>
  <si>
    <t>No</t>
  </si>
  <si>
    <t>Yes</t>
  </si>
  <si>
    <t>19741218CAMAL</t>
  </si>
  <si>
    <t>Manual Arts High School</t>
  </si>
  <si>
    <t>Winter</t>
  </si>
  <si>
    <t>Los Angeles</t>
  </si>
  <si>
    <t>CA</t>
  </si>
  <si>
    <t>High</t>
  </si>
  <si>
    <t>ND</t>
  </si>
  <si>
    <t>Yes</t>
  </si>
  <si>
    <t>Lunch</t>
  </si>
  <si>
    <t>Retaliation for prior gang shootings</t>
  </si>
  <si>
    <t>Escalation of Dispute</t>
  </si>
  <si>
    <t>Victims Targeted</t>
  </si>
  <si>
    <t>No</t>
  </si>
  <si>
    <t>19741125SCCAC</t>
  </si>
  <si>
    <t>C A Brown High School</t>
  </si>
  <si>
    <t>Fall</t>
  </si>
  <si>
    <t>Charleston</t>
  </si>
  <si>
    <t>SC</t>
  </si>
  <si>
    <t>High</t>
  </si>
  <si>
    <t>Outside on School Property</t>
  </si>
  <si>
    <t>No</t>
  </si>
  <si>
    <t>After School</t>
  </si>
  <si>
    <t>Shots fired at group of student/gang members in retaliation for previous week shooting</t>
  </si>
  <si>
    <t>Escalation of Dispute</t>
  </si>
  <si>
    <t>Victims Targeted</t>
  </si>
  <si>
    <t>Yes</t>
  </si>
  <si>
    <t>No</t>
  </si>
  <si>
    <t>19741121ARBOL</t>
  </si>
  <si>
    <t>Booker Junior High School</t>
  </si>
  <si>
    <t>Fall</t>
  </si>
  <si>
    <t>Little Rock</t>
  </si>
  <si>
    <t>AR</t>
  </si>
  <si>
    <t>Junior High</t>
  </si>
  <si>
    <t>Cafeteria</t>
  </si>
  <si>
    <t>Inside School Building</t>
  </si>
  <si>
    <t>Yes</t>
  </si>
  <si>
    <t>Lunch</t>
  </si>
  <si>
    <t>Ongoing fight between student, bystander hit</t>
  </si>
  <si>
    <t>Escalation of Dispute</t>
  </si>
  <si>
    <t>Both</t>
  </si>
  <si>
    <t>No</t>
  </si>
  <si>
    <t>19741118SCCAC</t>
  </si>
  <si>
    <t>C A Brown High School</t>
  </si>
  <si>
    <t>Fall</t>
  </si>
  <si>
    <t>Charleston</t>
  </si>
  <si>
    <t>SC</t>
  </si>
  <si>
    <t>High</t>
  </si>
  <si>
    <t>Outside on School Property</t>
  </si>
  <si>
    <t>Yes</t>
  </si>
  <si>
    <t>Dismissal</t>
  </si>
  <si>
    <t>Non-student shot by rival gang members</t>
  </si>
  <si>
    <t>Escalation of Dispute</t>
  </si>
  <si>
    <t>Victims Targeted</t>
  </si>
  <si>
    <t>No</t>
  </si>
  <si>
    <t>19741021MDDOB</t>
  </si>
  <si>
    <t>Douglass High School</t>
  </si>
  <si>
    <t>Fall</t>
  </si>
  <si>
    <t>Baltimore</t>
  </si>
  <si>
    <t>MD</t>
  </si>
  <si>
    <t>High</t>
  </si>
  <si>
    <t>Inside School Building</t>
  </si>
  <si>
    <t>Yes</t>
  </si>
  <si>
    <t>Lunch</t>
  </si>
  <si>
    <t>Shot security guard while trespassing in school</t>
  </si>
  <si>
    <t>Illegal Activity</t>
  </si>
  <si>
    <t>Neither</t>
  </si>
  <si>
    <t>Yes</t>
  </si>
  <si>
    <t>No</t>
  </si>
  <si>
    <t>19741007LADEH</t>
  </si>
  <si>
    <t>Destrehan High School</t>
  </si>
  <si>
    <t>Fall</t>
  </si>
  <si>
    <t>Hahnville</t>
  </si>
  <si>
    <t>LA</t>
  </si>
  <si>
    <t>High</t>
  </si>
  <si>
    <t>Parking Lot (Bus)</t>
  </si>
  <si>
    <t>Outside on School Property</t>
  </si>
  <si>
    <t>Yes</t>
  </si>
  <si>
    <t>After School</t>
  </si>
  <si>
    <t>Shooter shot victim after rocks were thrown at school bus shooter was on</t>
  </si>
  <si>
    <t>Racial</t>
  </si>
  <si>
    <t>Random Shooting</t>
  </si>
  <si>
    <t>No</t>
  </si>
  <si>
    <t>19740925CASAL</t>
  </si>
  <si>
    <t>San Fernando High School</t>
  </si>
  <si>
    <t>Fall</t>
  </si>
  <si>
    <t>Los Angeles</t>
  </si>
  <si>
    <t>CA</t>
  </si>
  <si>
    <t>High</t>
  </si>
  <si>
    <t>ND</t>
  </si>
  <si>
    <t>Yes</t>
  </si>
  <si>
    <t>Victim confronted by 2 students, one fired shot striking him</t>
  </si>
  <si>
    <t>Escalation of Dispute</t>
  </si>
  <si>
    <t>No</t>
  </si>
  <si>
    <t>19740923CAJED</t>
  </si>
  <si>
    <t>Jefferson High School</t>
  </si>
  <si>
    <t>Fall</t>
  </si>
  <si>
    <t>Daly City</t>
  </si>
  <si>
    <t>CA</t>
  </si>
  <si>
    <t>High</t>
  </si>
  <si>
    <t>Bathroom</t>
  </si>
  <si>
    <t>Inside School Building</t>
  </si>
  <si>
    <t>Yes</t>
  </si>
  <si>
    <t>Victim shot 5 times in bathroom following argument</t>
  </si>
  <si>
    <t>Escalation of Dispute</t>
  </si>
  <si>
    <t>Victims Targeted</t>
  </si>
  <si>
    <t>No</t>
  </si>
  <si>
    <t>19740519FLHIO</t>
  </si>
  <si>
    <t>Highlands Elementary School</t>
  </si>
  <si>
    <t>Spring</t>
  </si>
  <si>
    <t>Orlando</t>
  </si>
  <si>
    <t>FL</t>
  </si>
  <si>
    <t>Elementary</t>
  </si>
  <si>
    <t>Outside on School Property</t>
  </si>
  <si>
    <t>No</t>
  </si>
  <si>
    <t>Not a School Day</t>
  </si>
  <si>
    <t>Fired shots at school where wife works as teacher</t>
  </si>
  <si>
    <t>Domestic w/ Targeted Victim</t>
  </si>
  <si>
    <t>Victims Targeted</t>
  </si>
  <si>
    <t>No</t>
  </si>
  <si>
    <t>Yes</t>
  </si>
  <si>
    <t>19740510TNCHR</t>
  </si>
  <si>
    <t>Church Hill High School</t>
  </si>
  <si>
    <t>Spring</t>
  </si>
  <si>
    <t>Rogersville</t>
  </si>
  <si>
    <t>TN</t>
  </si>
  <si>
    <t>High</t>
  </si>
  <si>
    <t>Parking Lot</t>
  </si>
  <si>
    <t>Outside on School Property</t>
  </si>
  <si>
    <t>No</t>
  </si>
  <si>
    <t>Evening</t>
  </si>
  <si>
    <t>Fight between two males in school parking lot escalated to shooting</t>
  </si>
  <si>
    <t>Escalation of Dispute</t>
  </si>
  <si>
    <t>Victims Targeted</t>
  </si>
  <si>
    <t>No</t>
  </si>
  <si>
    <t>19740402CTSTB</t>
  </si>
  <si>
    <t>St. Stephen's Parochial School</t>
  </si>
  <si>
    <t>Spring</t>
  </si>
  <si>
    <t>Bridgeport</t>
  </si>
  <si>
    <t>CT</t>
  </si>
  <si>
    <t>Other</t>
  </si>
  <si>
    <t>Classroom</t>
  </si>
  <si>
    <t>Inside School Building</t>
  </si>
  <si>
    <t>Yes</t>
  </si>
  <si>
    <t>Afternoon Classes</t>
  </si>
  <si>
    <t>Shots fired through classroom window</t>
  </si>
  <si>
    <t>Intentional Property Damage</t>
  </si>
  <si>
    <t>No</t>
  </si>
  <si>
    <t>19740322INBRB</t>
  </si>
  <si>
    <t>Brownstown Central High School</t>
  </si>
  <si>
    <t>Spring</t>
  </si>
  <si>
    <t>Brownstown</t>
  </si>
  <si>
    <t>IN</t>
  </si>
  <si>
    <t>High</t>
  </si>
  <si>
    <t>Parking Lot</t>
  </si>
  <si>
    <t>Outside on School Property</t>
  </si>
  <si>
    <t>Yes</t>
  </si>
  <si>
    <t>School Start</t>
  </si>
  <si>
    <t>Student shot assistant principal in school parking lot</t>
  </si>
  <si>
    <t>Anger Over Grade/Suspension/Discipline</t>
  </si>
  <si>
    <t>Victims Targeted</t>
  </si>
  <si>
    <t>No</t>
  </si>
  <si>
    <t>19740207CAJAO</t>
  </si>
  <si>
    <t>James Madison Junior High School</t>
  </si>
  <si>
    <t>Winter</t>
  </si>
  <si>
    <t>Oakland</t>
  </si>
  <si>
    <t>CA</t>
  </si>
  <si>
    <t>Junior High</t>
  </si>
  <si>
    <t>Hallway</t>
  </si>
  <si>
    <t>Inside School Building</t>
  </si>
  <si>
    <t>Yes</t>
  </si>
  <si>
    <t>Lunch</t>
  </si>
  <si>
    <t>Created disturbance at school, shot 2 officers who responded</t>
  </si>
  <si>
    <t>Hostage/Standoff</t>
  </si>
  <si>
    <t>Neither</t>
  </si>
  <si>
    <t>No</t>
  </si>
  <si>
    <t>Yes</t>
  </si>
  <si>
    <t>19740122CALOL</t>
  </si>
  <si>
    <t>Locke High School</t>
  </si>
  <si>
    <t>Winter</t>
  </si>
  <si>
    <t>Los Angeles</t>
  </si>
  <si>
    <t>CA</t>
  </si>
  <si>
    <t>High</t>
  </si>
  <si>
    <t>Football Field/Track</t>
  </si>
  <si>
    <t>Outside on School Property</t>
  </si>
  <si>
    <t>Yes</t>
  </si>
  <si>
    <t>Bystander hit by shots in gang shootings</t>
  </si>
  <si>
    <t>Unknown</t>
  </si>
  <si>
    <t>Random Shooting</t>
  </si>
  <si>
    <t>No</t>
  </si>
  <si>
    <t>19740117ILBAC</t>
  </si>
  <si>
    <t>Barton Elementary School</t>
  </si>
  <si>
    <t>Winter</t>
  </si>
  <si>
    <t>Chicago</t>
  </si>
  <si>
    <t>IL</t>
  </si>
  <si>
    <t>Elementary</t>
  </si>
  <si>
    <t>Office</t>
  </si>
  <si>
    <t>Inside School Building</t>
  </si>
  <si>
    <t>Yes</t>
  </si>
  <si>
    <t>Expelled student angry at principal for expelling him</t>
  </si>
  <si>
    <t>Anger Over Grade/Suspension/Discipline</t>
  </si>
  <si>
    <t>Victims Targeted</t>
  </si>
  <si>
    <t>No</t>
  </si>
  <si>
    <t>Yes</t>
  </si>
  <si>
    <t>19731213OHHUC</t>
  </si>
  <si>
    <t>Hughes High School</t>
  </si>
  <si>
    <t>Winter</t>
  </si>
  <si>
    <t>Cincinnati</t>
  </si>
  <si>
    <t>OH</t>
  </si>
  <si>
    <t>High</t>
  </si>
  <si>
    <t>Hallway</t>
  </si>
  <si>
    <t>Inside School Building</t>
  </si>
  <si>
    <t>Yes</t>
  </si>
  <si>
    <t>Afternoon Classes</t>
  </si>
  <si>
    <t>Witness intimidation after robbery</t>
  </si>
  <si>
    <t>Illegal Activity</t>
  </si>
  <si>
    <t>Both</t>
  </si>
  <si>
    <t>Yes</t>
  </si>
  <si>
    <t>No</t>
  </si>
  <si>
    <t>19731206CAFRL</t>
  </si>
  <si>
    <t>Fremont High School</t>
  </si>
  <si>
    <t>Winter</t>
  </si>
  <si>
    <t>Los Angeles</t>
  </si>
  <si>
    <t>CA</t>
  </si>
  <si>
    <t>High</t>
  </si>
  <si>
    <t>Hallway</t>
  </si>
  <si>
    <t>Inside School Building</t>
  </si>
  <si>
    <t>Yes</t>
  </si>
  <si>
    <t>Shooter shot victim after being cornered</t>
  </si>
  <si>
    <t>Escalation of Dispute</t>
  </si>
  <si>
    <t>Victims Targeted</t>
  </si>
  <si>
    <t>Yes</t>
  </si>
  <si>
    <t>No</t>
  </si>
  <si>
    <t>19731109CALOL</t>
  </si>
  <si>
    <t>Long Beach Polytechnic High School</t>
  </si>
  <si>
    <t>Fall</t>
  </si>
  <si>
    <t>Los Angeles</t>
  </si>
  <si>
    <t>CA</t>
  </si>
  <si>
    <t>High</t>
  </si>
  <si>
    <t>Front of School</t>
  </si>
  <si>
    <t>Outside on School Property</t>
  </si>
  <si>
    <t>Victims shot outside of school during drive by</t>
  </si>
  <si>
    <t>Drive-by Shooting</t>
  </si>
  <si>
    <t>Yes</t>
  </si>
  <si>
    <t>No</t>
  </si>
  <si>
    <t>19731108ILWOC</t>
  </si>
  <si>
    <t>Woodell Phillips High School</t>
  </si>
  <si>
    <t>Fall</t>
  </si>
  <si>
    <t>Chicago</t>
  </si>
  <si>
    <t>IL</t>
  </si>
  <si>
    <t>High</t>
  </si>
  <si>
    <t>Entryway</t>
  </si>
  <si>
    <t>Inside School Building</t>
  </si>
  <si>
    <t>Yes</t>
  </si>
  <si>
    <t>Morning Classes</t>
  </si>
  <si>
    <t>Shooter and victim fought a few days prior. Shooter brought gun to school and shot victim</t>
  </si>
  <si>
    <t>Escalation of Dispute</t>
  </si>
  <si>
    <t>Victims Targeted</t>
  </si>
  <si>
    <t>No</t>
  </si>
  <si>
    <t>19731031MONOS</t>
  </si>
  <si>
    <t>Northwestern High School</t>
  </si>
  <si>
    <t>Fall</t>
  </si>
  <si>
    <t>St. Louis</t>
  </si>
  <si>
    <t>MO</t>
  </si>
  <si>
    <t>High</t>
  </si>
  <si>
    <t>Beside Building</t>
  </si>
  <si>
    <t>Outside on School Property</t>
  </si>
  <si>
    <t>Yes</t>
  </si>
  <si>
    <t>Non-student shot by another non-student in the smoking area outside of the school</t>
  </si>
  <si>
    <t>Illegal Activity</t>
  </si>
  <si>
    <t>Victims Targeted</t>
  </si>
  <si>
    <t>No</t>
  </si>
  <si>
    <t>19731024MNCEM</t>
  </si>
  <si>
    <t>Central High School</t>
  </si>
  <si>
    <t>Fall</t>
  </si>
  <si>
    <t>Minneapolis</t>
  </si>
  <si>
    <t>MN</t>
  </si>
  <si>
    <t>High</t>
  </si>
  <si>
    <t>Outside on School Property</t>
  </si>
  <si>
    <t>Yes</t>
  </si>
  <si>
    <t>Shotgun fired during fight over debt, hit bystander/student</t>
  </si>
  <si>
    <t>Escalation of Dispute</t>
  </si>
  <si>
    <t>Both</t>
  </si>
  <si>
    <t>Yes</t>
  </si>
  <si>
    <t>No</t>
  </si>
  <si>
    <t>19731023MOSUS</t>
  </si>
  <si>
    <t>Sumner High School</t>
  </si>
  <si>
    <t>Fall</t>
  </si>
  <si>
    <t>St. Louis</t>
  </si>
  <si>
    <t>MO</t>
  </si>
  <si>
    <t>High</t>
  </si>
  <si>
    <t>Parking Lot</t>
  </si>
  <si>
    <t>Outside on School Property</t>
  </si>
  <si>
    <t>Yes</t>
  </si>
  <si>
    <t>Afternoon Classes</t>
  </si>
  <si>
    <t>Escalation of gang violence between two groups</t>
  </si>
  <si>
    <t>Escalation of Dispute</t>
  </si>
  <si>
    <t>Random Shooting</t>
  </si>
  <si>
    <t>Yes</t>
  </si>
  <si>
    <t>No</t>
  </si>
  <si>
    <t>19731023OHBAB</t>
  </si>
  <si>
    <t>Barberton High School</t>
  </si>
  <si>
    <t>Fall</t>
  </si>
  <si>
    <t>Barberton</t>
  </si>
  <si>
    <t>OH</t>
  </si>
  <si>
    <t>High</t>
  </si>
  <si>
    <t>Office</t>
  </si>
  <si>
    <t>Inside School Building</t>
  </si>
  <si>
    <t>Yes</t>
  </si>
  <si>
    <t>Lunch</t>
  </si>
  <si>
    <t>Argument over absentee marks at school</t>
  </si>
  <si>
    <t>Anger Over Grade/Suspension/Discipline</t>
  </si>
  <si>
    <t>Victims Targeted</t>
  </si>
  <si>
    <t>No</t>
  </si>
  <si>
    <t>Yes</t>
  </si>
  <si>
    <t>19731019MOBES</t>
  </si>
  <si>
    <t>Beaumont High School</t>
  </si>
  <si>
    <t>Fall</t>
  </si>
  <si>
    <t>St. Louis</t>
  </si>
  <si>
    <t>MO</t>
  </si>
  <si>
    <t>High</t>
  </si>
  <si>
    <t>Inside School Building</t>
  </si>
  <si>
    <t>Yes</t>
  </si>
  <si>
    <t>Dismissal</t>
  </si>
  <si>
    <t>Shooting occurred after an earlier fight between two groups of students</t>
  </si>
  <si>
    <t>Escalation of Dispute</t>
  </si>
  <si>
    <t>No</t>
  </si>
  <si>
    <t>19731002ILELA</t>
  </si>
  <si>
    <t>Elmhurst Wood Park Community High School</t>
  </si>
  <si>
    <t>Fall</t>
  </si>
  <si>
    <t>Elmwood Park</t>
  </si>
  <si>
    <t>IL</t>
  </si>
  <si>
    <t>High</t>
  </si>
  <si>
    <t>Hallway; Beside Building</t>
  </si>
  <si>
    <t>Both Inside/Outside</t>
  </si>
  <si>
    <t>Yes</t>
  </si>
  <si>
    <t>Afternoon Classes</t>
  </si>
  <si>
    <t>Shot victim 4 times in hallway, fled the area, and shot himself outside school</t>
  </si>
  <si>
    <t>Murder/Suicide</t>
  </si>
  <si>
    <t>Victims Targeted</t>
  </si>
  <si>
    <t>No</t>
  </si>
  <si>
    <t>Yes</t>
  </si>
  <si>
    <t>19730928CAWIL</t>
  </si>
  <si>
    <t>Wilson High School</t>
  </si>
  <si>
    <t>Fall</t>
  </si>
  <si>
    <t>Los Angeles</t>
  </si>
  <si>
    <t>CA</t>
  </si>
  <si>
    <t>High</t>
  </si>
  <si>
    <t>Beside Building</t>
  </si>
  <si>
    <t>Outside on School Property</t>
  </si>
  <si>
    <t>Yes</t>
  </si>
  <si>
    <t>Morning Classes</t>
  </si>
  <si>
    <t>Shooter beaten by victims the previous day, pulled gun during fight</t>
  </si>
  <si>
    <t>Escalation of Dispute</t>
  </si>
  <si>
    <t>Victims Targeted</t>
  </si>
  <si>
    <t>No</t>
  </si>
  <si>
    <t>19730501OHRAY</t>
  </si>
  <si>
    <t>Rayen High School</t>
  </si>
  <si>
    <t>Spring</t>
  </si>
  <si>
    <t>Youngtown</t>
  </si>
  <si>
    <t>OH</t>
  </si>
  <si>
    <t>High</t>
  </si>
  <si>
    <t>Parking Lot</t>
  </si>
  <si>
    <t>Outside on School Property</t>
  </si>
  <si>
    <t>Yes</t>
  </si>
  <si>
    <t>Argument over a girl</t>
  </si>
  <si>
    <t>Escalation of Dispute</t>
  </si>
  <si>
    <t>Victims Targeted</t>
  </si>
  <si>
    <t>No</t>
  </si>
  <si>
    <t>19730405CALOL</t>
  </si>
  <si>
    <t>Locke High School</t>
  </si>
  <si>
    <t>Spring</t>
  </si>
  <si>
    <t>Los Angeles</t>
  </si>
  <si>
    <t>CA</t>
  </si>
  <si>
    <t>High</t>
  </si>
  <si>
    <t>ND</t>
  </si>
  <si>
    <t>Yes</t>
  </si>
  <si>
    <t>Gang shooting with targeted victims</t>
  </si>
  <si>
    <t>Escalation of Dispute</t>
  </si>
  <si>
    <t>Victims Targeted</t>
  </si>
  <si>
    <t>Yes</t>
  </si>
  <si>
    <t>No</t>
  </si>
  <si>
    <t>19730226VAARR</t>
  </si>
  <si>
    <t>Armstrong High School</t>
  </si>
  <si>
    <t>Winter</t>
  </si>
  <si>
    <t>Richmond</t>
  </si>
  <si>
    <t>VA</t>
  </si>
  <si>
    <t>High</t>
  </si>
  <si>
    <t>Inside School Building</t>
  </si>
  <si>
    <t>Yes</t>
  </si>
  <si>
    <t>School Start</t>
  </si>
  <si>
    <t>2 students caught between two youths in gun battle over a girl</t>
  </si>
  <si>
    <t>Escalation of Dispute</t>
  </si>
  <si>
    <t>Random Shooting</t>
  </si>
  <si>
    <t>Yes</t>
  </si>
  <si>
    <t>No</t>
  </si>
  <si>
    <t>19730212ALBOM</t>
  </si>
  <si>
    <t>Booker T. Washington High School</t>
  </si>
  <si>
    <t>Winter</t>
  </si>
  <si>
    <t>Montgomery</t>
  </si>
  <si>
    <t>AL</t>
  </si>
  <si>
    <t>High</t>
  </si>
  <si>
    <t>Gym</t>
  </si>
  <si>
    <t>Inside School Building</t>
  </si>
  <si>
    <t>No</t>
  </si>
  <si>
    <t>Evening</t>
  </si>
  <si>
    <t>Shooting in gym after school</t>
  </si>
  <si>
    <t>Escalation of Dispute</t>
  </si>
  <si>
    <t>No</t>
  </si>
  <si>
    <t>19730131NCCUB</t>
  </si>
  <si>
    <t>Cumming High School</t>
  </si>
  <si>
    <t>Winter</t>
  </si>
  <si>
    <t>Burlington</t>
  </si>
  <si>
    <t>NC</t>
  </si>
  <si>
    <t>High</t>
  </si>
  <si>
    <t>Inside School Building</t>
  </si>
  <si>
    <t>Yes</t>
  </si>
  <si>
    <t>Lunch</t>
  </si>
  <si>
    <t>Shot student who was police informant on drug deal involving brother</t>
  </si>
  <si>
    <t>Illegal Activity</t>
  </si>
  <si>
    <t>Victims Targeted</t>
  </si>
  <si>
    <t>No</t>
  </si>
  <si>
    <t>19730118CAJOL</t>
  </si>
  <si>
    <t>John Marshall High School</t>
  </si>
  <si>
    <t>Winter</t>
  </si>
  <si>
    <t>Los Angeles</t>
  </si>
  <si>
    <t>CA</t>
  </si>
  <si>
    <t>High</t>
  </si>
  <si>
    <t>Parking Lot</t>
  </si>
  <si>
    <t>Outside on School Property</t>
  </si>
  <si>
    <t>No</t>
  </si>
  <si>
    <t>Sport Event</t>
  </si>
  <si>
    <t>2 school guards shot investigating possible thefts from cars</t>
  </si>
  <si>
    <t>Illegal Activity</t>
  </si>
  <si>
    <t>Victims Targeted</t>
  </si>
  <si>
    <t>Yes</t>
  </si>
  <si>
    <t>No</t>
  </si>
  <si>
    <t>19730105NCSOS</t>
  </si>
  <si>
    <t>South Iredell High School</t>
  </si>
  <si>
    <t>Winter</t>
  </si>
  <si>
    <t>Statesville</t>
  </si>
  <si>
    <t>NC</t>
  </si>
  <si>
    <t>High</t>
  </si>
  <si>
    <t>Basketball Court</t>
  </si>
  <si>
    <t>Outside on School Property</t>
  </si>
  <si>
    <t>No</t>
  </si>
  <si>
    <t>Sport Event</t>
  </si>
  <si>
    <t>Racial tension between black and white students escalated into shooting.</t>
  </si>
  <si>
    <t>Racial</t>
  </si>
  <si>
    <t>Victims Targeted</t>
  </si>
  <si>
    <t>No</t>
  </si>
  <si>
    <t>19721129FLMIM</t>
  </si>
  <si>
    <t>Miami Northwest High School</t>
  </si>
  <si>
    <t>Fall</t>
  </si>
  <si>
    <t>Miami</t>
  </si>
  <si>
    <t>FL</t>
  </si>
  <si>
    <t>High</t>
  </si>
  <si>
    <t>Off School Property</t>
  </si>
  <si>
    <t>Yes</t>
  </si>
  <si>
    <t>Dispute over hair comb escalated into shooting</t>
  </si>
  <si>
    <t>Escalation of Dispute</t>
  </si>
  <si>
    <t>No</t>
  </si>
  <si>
    <t>19721127MIPOP</t>
  </si>
  <si>
    <t>Pontiac Central High School</t>
  </si>
  <si>
    <t>Fall</t>
  </si>
  <si>
    <t>Pontiac</t>
  </si>
  <si>
    <t>MI</t>
  </si>
  <si>
    <t>High</t>
  </si>
  <si>
    <t>Outside on School Property</t>
  </si>
  <si>
    <t>Yes</t>
  </si>
  <si>
    <t>Shooting was a possible lead up to starting a race riot.</t>
  </si>
  <si>
    <t>Racial</t>
  </si>
  <si>
    <t>Victims Targeted</t>
  </si>
  <si>
    <t>No</t>
  </si>
  <si>
    <t>19721111CAJEL</t>
  </si>
  <si>
    <t>Jefferson High School</t>
  </si>
  <si>
    <t>Fall</t>
  </si>
  <si>
    <t>Los Angeles</t>
  </si>
  <si>
    <t>CA</t>
  </si>
  <si>
    <t>High</t>
  </si>
  <si>
    <t>Football Field/Track</t>
  </si>
  <si>
    <t>Outside on School Property</t>
  </si>
  <si>
    <t>No</t>
  </si>
  <si>
    <t>School Event</t>
  </si>
  <si>
    <t>Gang related shooting at homecoming parade</t>
  </si>
  <si>
    <t>Escalation of Dispute</t>
  </si>
  <si>
    <t>Both</t>
  </si>
  <si>
    <t>Yes</t>
  </si>
  <si>
    <t>No</t>
  </si>
  <si>
    <t>19720921OHTHA</t>
  </si>
  <si>
    <t>Thorton Junior High</t>
  </si>
  <si>
    <t>Fall</t>
  </si>
  <si>
    <t>Akron</t>
  </si>
  <si>
    <t>OH</t>
  </si>
  <si>
    <t>Junior High</t>
  </si>
  <si>
    <t>Classroom</t>
  </si>
  <si>
    <t>Inside School Building</t>
  </si>
  <si>
    <t>Yes</t>
  </si>
  <si>
    <t>Dismissal</t>
  </si>
  <si>
    <t>Shooter attempted to rob teacher in classroom. Teacher fought back and was shot.</t>
  </si>
  <si>
    <t>Illegal Activity</t>
  </si>
  <si>
    <t>Victims Targeted</t>
  </si>
  <si>
    <t>No</t>
  </si>
  <si>
    <t>19720919TXCUH</t>
  </si>
  <si>
    <t>Cullen Junior High</t>
  </si>
  <si>
    <t>Fall</t>
  </si>
  <si>
    <t>Houston</t>
  </si>
  <si>
    <t>TX</t>
  </si>
  <si>
    <t>Junior High</t>
  </si>
  <si>
    <t>Inside School Building</t>
  </si>
  <si>
    <t>No</t>
  </si>
  <si>
    <t>School Start</t>
  </si>
  <si>
    <t>Husband shot wife after his attempts to reconcile marriage failed.</t>
  </si>
  <si>
    <t>Domestic w/ Targeted Victim</t>
  </si>
  <si>
    <t>Victims Targeted</t>
  </si>
  <si>
    <t>No</t>
  </si>
  <si>
    <t>Yes</t>
  </si>
  <si>
    <t>19720915MISAS</t>
  </si>
  <si>
    <t>Saginaw High School</t>
  </si>
  <si>
    <t>Fall</t>
  </si>
  <si>
    <t>Saginaw</t>
  </si>
  <si>
    <t>MI</t>
  </si>
  <si>
    <t>High</t>
  </si>
  <si>
    <t>Hallway</t>
  </si>
  <si>
    <t>Inside School Building</t>
  </si>
  <si>
    <t>Yes</t>
  </si>
  <si>
    <t>Afternoon Classes</t>
  </si>
  <si>
    <t>Shot two students in hallway between classes</t>
  </si>
  <si>
    <t>Escalation of Dispute</t>
  </si>
  <si>
    <t>No</t>
  </si>
  <si>
    <t>19720914TXFRH</t>
  </si>
  <si>
    <t>Francis Scott Key Junior High</t>
  </si>
  <si>
    <t>Fall</t>
  </si>
  <si>
    <t>Houston</t>
  </si>
  <si>
    <t>TX</t>
  </si>
  <si>
    <t>Junior High</t>
  </si>
  <si>
    <t>Hallway</t>
  </si>
  <si>
    <t>Inside School Building</t>
  </si>
  <si>
    <t>Yes</t>
  </si>
  <si>
    <t>Morning Classes</t>
  </si>
  <si>
    <t>Student shot teacher after being disciplined for slamming door.</t>
  </si>
  <si>
    <t>Anger Over Grade/Suspension/Discipline</t>
  </si>
  <si>
    <t>Victims Targeted</t>
  </si>
  <si>
    <t>No</t>
  </si>
  <si>
    <t>19720505INDEI</t>
  </si>
  <si>
    <t>Decatur Central High School</t>
  </si>
  <si>
    <t>Spring</t>
  </si>
  <si>
    <t>Indianapolis</t>
  </si>
  <si>
    <t>IN</t>
  </si>
  <si>
    <t>High</t>
  </si>
  <si>
    <t>Field (General)</t>
  </si>
  <si>
    <t>Outside on School Property</t>
  </si>
  <si>
    <t>Yes</t>
  </si>
  <si>
    <t>Afternoon Classes</t>
  </si>
  <si>
    <t>Sister shot brother, declared to be insane</t>
  </si>
  <si>
    <t>Psychosis</t>
  </si>
  <si>
    <t>Victims Targeted</t>
  </si>
  <si>
    <t>No</t>
  </si>
  <si>
    <t>19720504NVLIR</t>
  </si>
  <si>
    <t>Libby Booth Elementary School</t>
  </si>
  <si>
    <t>Spring</t>
  </si>
  <si>
    <t>Reno</t>
  </si>
  <si>
    <t>NV</t>
  </si>
  <si>
    <t>Elementary</t>
  </si>
  <si>
    <t>Office</t>
  </si>
  <si>
    <t>Inside School Building</t>
  </si>
  <si>
    <t>Yes</t>
  </si>
  <si>
    <t>Lunch</t>
  </si>
  <si>
    <t>Principal killed by teacher</t>
  </si>
  <si>
    <t>Anger Over Grade/Suspension/Discipline</t>
  </si>
  <si>
    <t>Victims Targeted</t>
  </si>
  <si>
    <t>No</t>
  </si>
  <si>
    <t>19720412LAEAG</t>
  </si>
  <si>
    <t>East Ascension Junior High</t>
  </si>
  <si>
    <t>Spring</t>
  </si>
  <si>
    <t>Gonzales</t>
  </si>
  <si>
    <t>LA</t>
  </si>
  <si>
    <t>Junior High</t>
  </si>
  <si>
    <t>Inside School Building</t>
  </si>
  <si>
    <t>Yes</t>
  </si>
  <si>
    <t>After School</t>
  </si>
  <si>
    <t>Domestic, shot wife who was teacher then shoots, kills himself</t>
  </si>
  <si>
    <t>Domestic w/ Targeted Victim</t>
  </si>
  <si>
    <t>Victims Targeted</t>
  </si>
  <si>
    <t>No</t>
  </si>
  <si>
    <t>Yes</t>
  </si>
  <si>
    <t>19720313TXUNH</t>
  </si>
  <si>
    <t>Unnamed Junior High School</t>
  </si>
  <si>
    <t>Spring</t>
  </si>
  <si>
    <t>Houston</t>
  </si>
  <si>
    <t>TX</t>
  </si>
  <si>
    <t>Junior High</t>
  </si>
  <si>
    <t>Classroom</t>
  </si>
  <si>
    <t>Inside School Building</t>
  </si>
  <si>
    <t>Yes</t>
  </si>
  <si>
    <t>Pistol discharged while showing it off in classroom</t>
  </si>
  <si>
    <t>Accidental</t>
  </si>
  <si>
    <t>Neither</t>
  </si>
  <si>
    <t>No</t>
  </si>
  <si>
    <t>19720228CAMAL</t>
  </si>
  <si>
    <t>Markham Junior High School</t>
  </si>
  <si>
    <t>Winter</t>
  </si>
  <si>
    <t>Los Angeles</t>
  </si>
  <si>
    <t>CA</t>
  </si>
  <si>
    <t>Junior High</t>
  </si>
  <si>
    <t>Inside School Building</t>
  </si>
  <si>
    <t>Yes</t>
  </si>
  <si>
    <t>Showing off gun and it accidental discharged striking other student</t>
  </si>
  <si>
    <t>Accidental</t>
  </si>
  <si>
    <t>Random Shooting</t>
  </si>
  <si>
    <t>No</t>
  </si>
  <si>
    <t>19720215ILKEC</t>
  </si>
  <si>
    <t>Kenwood High School</t>
  </si>
  <si>
    <t>Winter</t>
  </si>
  <si>
    <t>Chicago</t>
  </si>
  <si>
    <t>IL</t>
  </si>
  <si>
    <t>High</t>
  </si>
  <si>
    <t>Inside School Building</t>
  </si>
  <si>
    <t>No</t>
  </si>
  <si>
    <t>Night</t>
  </si>
  <si>
    <t>Security guard shot trespasser</t>
  </si>
  <si>
    <t>Illegal Activity</t>
  </si>
  <si>
    <t>Victims Targeted</t>
  </si>
  <si>
    <t>No</t>
  </si>
  <si>
    <t>N/A</t>
  </si>
  <si>
    <t>19720214ILCAC</t>
  </si>
  <si>
    <t>Camlumet High School</t>
  </si>
  <si>
    <t>Winter</t>
  </si>
  <si>
    <t>Chicago</t>
  </si>
  <si>
    <t>IL</t>
  </si>
  <si>
    <t>High</t>
  </si>
  <si>
    <t>Outside on School Property</t>
  </si>
  <si>
    <t>Yes</t>
  </si>
  <si>
    <t>Dismissal</t>
  </si>
  <si>
    <t>Gang related fight outside of school</t>
  </si>
  <si>
    <t>Escalation of Dispute</t>
  </si>
  <si>
    <t>Victims Targeted</t>
  </si>
  <si>
    <t>Yes</t>
  </si>
  <si>
    <t>No</t>
  </si>
  <si>
    <t>19720126MDGWB</t>
  </si>
  <si>
    <t>Gwynn Falls Junior High School</t>
  </si>
  <si>
    <t>Winter</t>
  </si>
  <si>
    <t>Baltimore</t>
  </si>
  <si>
    <t>MD</t>
  </si>
  <si>
    <t>Junior High</t>
  </si>
  <si>
    <t>Cafeteria</t>
  </si>
  <si>
    <t>Inside School Building</t>
  </si>
  <si>
    <t>Yes</t>
  </si>
  <si>
    <t>Afternoon Classes</t>
  </si>
  <si>
    <t>Student playing with gun in cafeteria</t>
  </si>
  <si>
    <t>Accidental</t>
  </si>
  <si>
    <t>Random Shooting</t>
  </si>
  <si>
    <t>No</t>
  </si>
  <si>
    <t>19720126MDHAB</t>
  </si>
  <si>
    <t>Harlem Park Junior High School</t>
  </si>
  <si>
    <t>Winter</t>
  </si>
  <si>
    <t>Baltimore</t>
  </si>
  <si>
    <t>MD</t>
  </si>
  <si>
    <t>Junior High</t>
  </si>
  <si>
    <t>Beside Building</t>
  </si>
  <si>
    <t>Outside on School Property</t>
  </si>
  <si>
    <t>No</t>
  </si>
  <si>
    <t>Dismissal</t>
  </si>
  <si>
    <t>Argument outside school at dismissal</t>
  </si>
  <si>
    <t>Escalation of Dispute</t>
  </si>
  <si>
    <t>Victims Targeted</t>
  </si>
  <si>
    <t>Unknown</t>
  </si>
  <si>
    <t>No</t>
  </si>
  <si>
    <t>19720124OHSTS</t>
  </si>
  <si>
    <t>Stow High School</t>
  </si>
  <si>
    <t>Winter</t>
  </si>
  <si>
    <t>Stow</t>
  </si>
  <si>
    <t>OH</t>
  </si>
  <si>
    <t>High</t>
  </si>
  <si>
    <t>Classroom</t>
  </si>
  <si>
    <t>Inside School Building</t>
  </si>
  <si>
    <t>Yes</t>
  </si>
  <si>
    <t>Morning Classes</t>
  </si>
  <si>
    <t>Student shot teacher, put down gun, walked outside</t>
  </si>
  <si>
    <t>Anger Over Grade/Suspension/Discipline</t>
  </si>
  <si>
    <t>Victims Targeted</t>
  </si>
  <si>
    <t>No</t>
  </si>
  <si>
    <t>19720105DCPAW</t>
  </si>
  <si>
    <t>Parkview Elementary School</t>
  </si>
  <si>
    <t>Winter</t>
  </si>
  <si>
    <t>Washington</t>
  </si>
  <si>
    <t>DC</t>
  </si>
  <si>
    <t>Elementary</t>
  </si>
  <si>
    <t>Classroom</t>
  </si>
  <si>
    <t>Inside School Building</t>
  </si>
  <si>
    <t>Yes</t>
  </si>
  <si>
    <t>Morning Classes</t>
  </si>
  <si>
    <t>Husband came to school where his wife worked as teacher. Chased her through school, shot, and killed her.</t>
  </si>
  <si>
    <t>Domestic w/ Targeted Victim</t>
  </si>
  <si>
    <t>Victims Targeted</t>
  </si>
  <si>
    <t>No</t>
  </si>
  <si>
    <t>Yes</t>
  </si>
  <si>
    <t>19711213MDCAB</t>
  </si>
  <si>
    <t>Carver Vocational High School</t>
  </si>
  <si>
    <t>Winter</t>
  </si>
  <si>
    <t>Baltimore</t>
  </si>
  <si>
    <t>MD</t>
  </si>
  <si>
    <t>High</t>
  </si>
  <si>
    <t>Classroom</t>
  </si>
  <si>
    <t>Inside School Building</t>
  </si>
  <si>
    <t>Yes</t>
  </si>
  <si>
    <t>Morning Classes</t>
  </si>
  <si>
    <t>Argument over payment for craps game</t>
  </si>
  <si>
    <t>Escalation of Dispute</t>
  </si>
  <si>
    <t>Victims Targeted</t>
  </si>
  <si>
    <t>No</t>
  </si>
  <si>
    <t>19711206CALOL</t>
  </si>
  <si>
    <t>Louis Stevenson Junior High School</t>
  </si>
  <si>
    <t>Winter</t>
  </si>
  <si>
    <t>Los Angeles</t>
  </si>
  <si>
    <t>CA</t>
  </si>
  <si>
    <t>Junior High</t>
  </si>
  <si>
    <t>Gym</t>
  </si>
  <si>
    <t>Inside School Building</t>
  </si>
  <si>
    <t>Yes</t>
  </si>
  <si>
    <t>Shooting between rival gang members, 2 bystander/students hit</t>
  </si>
  <si>
    <t>Escalation of Dispute</t>
  </si>
  <si>
    <t>Both</t>
  </si>
  <si>
    <t>Unknown</t>
  </si>
  <si>
    <t>No</t>
  </si>
  <si>
    <t>19711124MDEDB</t>
  </si>
  <si>
    <t>Edmondson Senior High School</t>
  </si>
  <si>
    <t>Fall</t>
  </si>
  <si>
    <t>Baltimore</t>
  </si>
  <si>
    <t>MD</t>
  </si>
  <si>
    <t>High</t>
  </si>
  <si>
    <t>Parking Lot</t>
  </si>
  <si>
    <t>Outside on School Property</t>
  </si>
  <si>
    <t>Yes</t>
  </si>
  <si>
    <t>Afternoon Classes</t>
  </si>
  <si>
    <t>Shooter shot victim after ongoing argument</t>
  </si>
  <si>
    <t>Escalation of Dispute</t>
  </si>
  <si>
    <t>Victims Targeted</t>
  </si>
  <si>
    <t>No</t>
  </si>
  <si>
    <t>19711108OKGRT</t>
  </si>
  <si>
    <t>Grove Elementary School</t>
  </si>
  <si>
    <t>Fall</t>
  </si>
  <si>
    <t>Tulsa</t>
  </si>
  <si>
    <t>OK</t>
  </si>
  <si>
    <t>Elementary</t>
  </si>
  <si>
    <t>Other</t>
  </si>
  <si>
    <t>Inside School Building</t>
  </si>
  <si>
    <t>Yes</t>
  </si>
  <si>
    <t>Morning Classes</t>
  </si>
  <si>
    <t>Shooting in janitor's closet, long standing feud</t>
  </si>
  <si>
    <t>Escalation of Dispute</t>
  </si>
  <si>
    <t>Victims Targeted</t>
  </si>
  <si>
    <t>No</t>
  </si>
  <si>
    <t>19711103NMCAC</t>
  </si>
  <si>
    <t>Carlsbad Mid-High School</t>
  </si>
  <si>
    <t>Fall</t>
  </si>
  <si>
    <t>Carlsbad</t>
  </si>
  <si>
    <t>NM</t>
  </si>
  <si>
    <t>6-12</t>
  </si>
  <si>
    <t>Other</t>
  </si>
  <si>
    <t>Inside School Building</t>
  </si>
  <si>
    <t>Yes</t>
  </si>
  <si>
    <t>Morning Classes</t>
  </si>
  <si>
    <t>Shooter fired from 3rd floor tower at random victims</t>
  </si>
  <si>
    <t>Psychosis</t>
  </si>
  <si>
    <t>Random Shooting</t>
  </si>
  <si>
    <t>No</t>
  </si>
  <si>
    <t>Yes</t>
  </si>
  <si>
    <t>No</t>
  </si>
  <si>
    <t>Yes</t>
  </si>
  <si>
    <t>19711029MDFRB</t>
  </si>
  <si>
    <t>Frederick Douglass High School</t>
  </si>
  <si>
    <t>Fall</t>
  </si>
  <si>
    <t>Baltimore</t>
  </si>
  <si>
    <t>MD</t>
  </si>
  <si>
    <t>High</t>
  </si>
  <si>
    <t>Parking Lot</t>
  </si>
  <si>
    <t>Outside on School Property</t>
  </si>
  <si>
    <t>No</t>
  </si>
  <si>
    <t>Dismissal</t>
  </si>
  <si>
    <t>2 student hit in crossfire of fight that escalated into shooting in the parking lot</t>
  </si>
  <si>
    <t>Escalation of Dispute</t>
  </si>
  <si>
    <t>Random Shooting</t>
  </si>
  <si>
    <t>Yes</t>
  </si>
  <si>
    <t>No</t>
  </si>
  <si>
    <t>19711029MDFOB</t>
  </si>
  <si>
    <t>Forest Park High School</t>
  </si>
  <si>
    <t>Fall</t>
  </si>
  <si>
    <t>Baltimore</t>
  </si>
  <si>
    <t>MD</t>
  </si>
  <si>
    <t>High</t>
  </si>
  <si>
    <t>Beside Building</t>
  </si>
  <si>
    <t>Outside on School Property</t>
  </si>
  <si>
    <t>Yes</t>
  </si>
  <si>
    <t>Lunch</t>
  </si>
  <si>
    <t>Rifle fired during fight over craps game, struck uninvolved student</t>
  </si>
  <si>
    <t>Escalation of Dispute</t>
  </si>
  <si>
    <t>Neither</t>
  </si>
  <si>
    <t>No</t>
  </si>
  <si>
    <t>19711028MDCIB</t>
  </si>
  <si>
    <t>City College High School</t>
  </si>
  <si>
    <t>Fall</t>
  </si>
  <si>
    <t>Baltimore</t>
  </si>
  <si>
    <t>MD</t>
  </si>
  <si>
    <t>High</t>
  </si>
  <si>
    <t>Hallway</t>
  </si>
  <si>
    <t>Inside School Building</t>
  </si>
  <si>
    <t>Yes</t>
  </si>
  <si>
    <t>Lunch</t>
  </si>
  <si>
    <t>Shot during argument in stairwell</t>
  </si>
  <si>
    <t>Escalation of Dispute</t>
  </si>
  <si>
    <t>Victims Targeted</t>
  </si>
  <si>
    <t>No</t>
  </si>
  <si>
    <t>19710929VAPEP</t>
  </si>
  <si>
    <t>Peabody Junior High School</t>
  </si>
  <si>
    <t>Fall</t>
  </si>
  <si>
    <t>Petersburg</t>
  </si>
  <si>
    <t>VA</t>
  </si>
  <si>
    <t>Junior High</t>
  </si>
  <si>
    <t>Classroom</t>
  </si>
  <si>
    <t>Inside School Building</t>
  </si>
  <si>
    <t>Yes</t>
  </si>
  <si>
    <t>Ran into math class and fired 4 shots before being subdued</t>
  </si>
  <si>
    <t>Indiscriminate Shooting</t>
  </si>
  <si>
    <t>Random Shooting</t>
  </si>
  <si>
    <t>No</t>
  </si>
  <si>
    <t>Yes</t>
  </si>
  <si>
    <t>19710928MNCEM</t>
  </si>
  <si>
    <t>Central High School</t>
  </si>
  <si>
    <t>Fall</t>
  </si>
  <si>
    <t>Minneapolis</t>
  </si>
  <si>
    <t>MN</t>
  </si>
  <si>
    <t>High</t>
  </si>
  <si>
    <t>Inside School Building</t>
  </si>
  <si>
    <t>Yes</t>
  </si>
  <si>
    <t>Lunch</t>
  </si>
  <si>
    <t>Group of armed assailants chased student through cafeteria firing shots</t>
  </si>
  <si>
    <t>Escalation of Dispute</t>
  </si>
  <si>
    <t>Victims Targeted</t>
  </si>
  <si>
    <t>No</t>
  </si>
  <si>
    <t>19710924NYMCB</t>
  </si>
  <si>
    <t>McKinley Vocational High School</t>
  </si>
  <si>
    <t>Fall</t>
  </si>
  <si>
    <t>Buffalo</t>
  </si>
  <si>
    <t>NY</t>
  </si>
  <si>
    <t>High</t>
  </si>
  <si>
    <t>Classroom</t>
  </si>
  <si>
    <t>Inside School Building</t>
  </si>
  <si>
    <t>Yes</t>
  </si>
  <si>
    <t>Argument escalated into shooting inside classroom</t>
  </si>
  <si>
    <t>Escalation of Dispute</t>
  </si>
  <si>
    <t>Victims Targeted</t>
  </si>
  <si>
    <t>No</t>
  </si>
  <si>
    <t>19710909TXDUL</t>
  </si>
  <si>
    <t>Dunbar High School</t>
  </si>
  <si>
    <t>Fall</t>
  </si>
  <si>
    <t>Lubbock</t>
  </si>
  <si>
    <t>TX</t>
  </si>
  <si>
    <t>High</t>
  </si>
  <si>
    <t>Inside School Building</t>
  </si>
  <si>
    <t>Yes</t>
  </si>
  <si>
    <t>School Start</t>
  </si>
  <si>
    <t>Following argument, shooter went home to get gun and returned to kill other student</t>
  </si>
  <si>
    <t>Escalation of Dispute</t>
  </si>
  <si>
    <t>Victims Targeted</t>
  </si>
  <si>
    <t>No</t>
  </si>
  <si>
    <t>19710820PAMOM</t>
  </si>
  <si>
    <t>Monessen High School</t>
  </si>
  <si>
    <t>Summer</t>
  </si>
  <si>
    <t>Monessen</t>
  </si>
  <si>
    <t>PA</t>
  </si>
  <si>
    <t>High</t>
  </si>
  <si>
    <t>Outside on School Property</t>
  </si>
  <si>
    <t>No</t>
  </si>
  <si>
    <t>Night</t>
  </si>
  <si>
    <t>Night watchman (white) shot black student</t>
  </si>
  <si>
    <t>Racial</t>
  </si>
  <si>
    <t>Victims Targeted</t>
  </si>
  <si>
    <t>No</t>
  </si>
  <si>
    <t>19710602NYEAE</t>
  </si>
  <si>
    <t>East Aurora Middle School</t>
  </si>
  <si>
    <t>Summer</t>
  </si>
  <si>
    <t>East Aurora</t>
  </si>
  <si>
    <t>NY</t>
  </si>
  <si>
    <t>Middle</t>
  </si>
  <si>
    <t>Classroom</t>
  </si>
  <si>
    <t>Inside School Building</t>
  </si>
  <si>
    <t>Yes</t>
  </si>
  <si>
    <t>Afternoon Classes</t>
  </si>
  <si>
    <t>Fatally wounded self from accidental discharge</t>
  </si>
  <si>
    <t>Accidental</t>
  </si>
  <si>
    <t>Neither</t>
  </si>
  <si>
    <t>No</t>
  </si>
  <si>
    <t>19710527MIBES</t>
  </si>
  <si>
    <t>Benton Harbor High School</t>
  </si>
  <si>
    <t>Spring</t>
  </si>
  <si>
    <t>Saint Joseph</t>
  </si>
  <si>
    <t>MI</t>
  </si>
  <si>
    <t>High</t>
  </si>
  <si>
    <t>Inside School Building</t>
  </si>
  <si>
    <t>Yes</t>
  </si>
  <si>
    <t>Shooter provoked into shooting</t>
  </si>
  <si>
    <t>Bullying</t>
  </si>
  <si>
    <t>Victims Targeted</t>
  </si>
  <si>
    <t>No</t>
  </si>
  <si>
    <t>Yes</t>
  </si>
  <si>
    <t>No</t>
  </si>
  <si>
    <t>19710405PAWIH</t>
  </si>
  <si>
    <t>William Penn High School</t>
  </si>
  <si>
    <t>Spring</t>
  </si>
  <si>
    <t>Harrisburg</t>
  </si>
  <si>
    <t>PA</t>
  </si>
  <si>
    <t>High</t>
  </si>
  <si>
    <t>Cafeteria</t>
  </si>
  <si>
    <t>Inside School Building</t>
  </si>
  <si>
    <t>Yes</t>
  </si>
  <si>
    <t>Fired 5 shots at ex-girlfriend in classroom</t>
  </si>
  <si>
    <t>Domestic w/ Targeted Victim</t>
  </si>
  <si>
    <t>Victims Targeted</t>
  </si>
  <si>
    <t>No</t>
  </si>
  <si>
    <t>Yes</t>
  </si>
  <si>
    <t>19710309AZROT</t>
  </si>
  <si>
    <t>Roskruge Junior High School</t>
  </si>
  <si>
    <t>Spring</t>
  </si>
  <si>
    <t>Tucson</t>
  </si>
  <si>
    <t>AZ</t>
  </si>
  <si>
    <t>Junior High</t>
  </si>
  <si>
    <t>Playground</t>
  </si>
  <si>
    <t>Outside on School Property</t>
  </si>
  <si>
    <t>Yes</t>
  </si>
  <si>
    <t>Showing pistol on playground, accidental discharge struck other student</t>
  </si>
  <si>
    <t>Accidental</t>
  </si>
  <si>
    <t>Random Shooting</t>
  </si>
  <si>
    <t>No</t>
  </si>
  <si>
    <t>19710225OHFRC</t>
  </si>
  <si>
    <t>Franklin D. Roosevelt Junior High School</t>
  </si>
  <si>
    <t>Winter</t>
  </si>
  <si>
    <t>Cleveland</t>
  </si>
  <si>
    <t>OH</t>
  </si>
  <si>
    <t>Junior High</t>
  </si>
  <si>
    <t>Bathroom</t>
  </si>
  <si>
    <t>Inside School Building</t>
  </si>
  <si>
    <t>Yes</t>
  </si>
  <si>
    <t>Victim shot 5 times in the head in the school bathroom</t>
  </si>
  <si>
    <t>Escalation of Dispute</t>
  </si>
  <si>
    <t>Victims Targeted</t>
  </si>
  <si>
    <t>Yes</t>
  </si>
  <si>
    <t>No</t>
  </si>
  <si>
    <t>19710210TXOAD</t>
  </si>
  <si>
    <t>Oak Cliff High School</t>
  </si>
  <si>
    <t>Winter</t>
  </si>
  <si>
    <t>Dallas</t>
  </si>
  <si>
    <t>TX</t>
  </si>
  <si>
    <t>High</t>
  </si>
  <si>
    <t>Outside on School Property</t>
  </si>
  <si>
    <t>Yes</t>
  </si>
  <si>
    <t>Shooter fired shotgun at a student in a crowd of 200 students</t>
  </si>
  <si>
    <t>Escalation of Dispute</t>
  </si>
  <si>
    <t>Both</t>
  </si>
  <si>
    <t>Yes</t>
  </si>
  <si>
    <t>No</t>
  </si>
  <si>
    <t>19710205PAJOW</t>
  </si>
  <si>
    <t>John F. Kennedy High School</t>
  </si>
  <si>
    <t>Winter</t>
  </si>
  <si>
    <t>Willingboro</t>
  </si>
  <si>
    <t>PA</t>
  </si>
  <si>
    <t>High</t>
  </si>
  <si>
    <t>ND</t>
  </si>
  <si>
    <t>Yes</t>
  </si>
  <si>
    <t>Unknown</t>
  </si>
  <si>
    <t>Shooter shot and stabbed victim</t>
  </si>
  <si>
    <t>Escalation of Dispute</t>
  </si>
  <si>
    <t>Victims Targeted</t>
  </si>
  <si>
    <t>No</t>
  </si>
  <si>
    <t>19710202PAMOP</t>
  </si>
  <si>
    <t>Morris E. Leeds Middle School</t>
  </si>
  <si>
    <t>Winter</t>
  </si>
  <si>
    <t>Philadelphia</t>
  </si>
  <si>
    <t>PA</t>
  </si>
  <si>
    <t>Middle</t>
  </si>
  <si>
    <t>Outside on School Property</t>
  </si>
  <si>
    <t>No</t>
  </si>
  <si>
    <t>Student shot teacher who had suspended him earlier in the day for cursing in the hallway</t>
  </si>
  <si>
    <t>Anger Over Grade/Suspension/Discipline</t>
  </si>
  <si>
    <t>Victims Targeted</t>
  </si>
  <si>
    <t>No</t>
  </si>
  <si>
    <t>19701212WIXAA</t>
  </si>
  <si>
    <t>Xavier High School</t>
  </si>
  <si>
    <t>Winter</t>
  </si>
  <si>
    <t>Appleton</t>
  </si>
  <si>
    <t>WI</t>
  </si>
  <si>
    <t>High</t>
  </si>
  <si>
    <t>Inside School Building</t>
  </si>
  <si>
    <t>No</t>
  </si>
  <si>
    <t>Night</t>
  </si>
  <si>
    <t>Police officer shot suspect during attempted burglary at school</t>
  </si>
  <si>
    <t>Illegal Activity</t>
  </si>
  <si>
    <t>Neither</t>
  </si>
  <si>
    <t>No</t>
  </si>
  <si>
    <t>N/A</t>
  </si>
  <si>
    <t>19701120ILHAC</t>
  </si>
  <si>
    <t>Harlan High School</t>
  </si>
  <si>
    <t>Fall</t>
  </si>
  <si>
    <t>Chicago</t>
  </si>
  <si>
    <t>IL</t>
  </si>
  <si>
    <t>High</t>
  </si>
  <si>
    <t>Inside School Building</t>
  </si>
  <si>
    <t>Yes</t>
  </si>
  <si>
    <t>Gang recruitment related</t>
  </si>
  <si>
    <t>Illegal Activity</t>
  </si>
  <si>
    <t>Unknown</t>
  </si>
  <si>
    <t>No</t>
  </si>
  <si>
    <t>19701027OHAPM</t>
  </si>
  <si>
    <t>Appleseed Junior High School</t>
  </si>
  <si>
    <t>Fall</t>
  </si>
  <si>
    <t>Mansfield</t>
  </si>
  <si>
    <t>OH</t>
  </si>
  <si>
    <t>Junior High</t>
  </si>
  <si>
    <t>Bathroom</t>
  </si>
  <si>
    <t>Inside School Building</t>
  </si>
  <si>
    <t>Yes</t>
  </si>
  <si>
    <t>Morning Classes</t>
  </si>
  <si>
    <t>Shot victim in the bathroom</t>
  </si>
  <si>
    <t>Escalation of Dispute</t>
  </si>
  <si>
    <t>Victims Targeted</t>
  </si>
  <si>
    <t>No</t>
  </si>
  <si>
    <t>19701020TNWAN</t>
  </si>
  <si>
    <t>Washington Junior High School</t>
  </si>
  <si>
    <t>Fall</t>
  </si>
  <si>
    <t>Nashville</t>
  </si>
  <si>
    <t>TN</t>
  </si>
  <si>
    <t>Junior High</t>
  </si>
  <si>
    <t>Hallway</t>
  </si>
  <si>
    <t>Inside School Building</t>
  </si>
  <si>
    <t>Yes</t>
  </si>
  <si>
    <t>Lunch</t>
  </si>
  <si>
    <t>Hallway monitor shot by another student</t>
  </si>
  <si>
    <t>Unknown</t>
  </si>
  <si>
    <t>Victims Targeted</t>
  </si>
  <si>
    <t>No</t>
  </si>
  <si>
    <t>19701019TNBOM</t>
  </si>
  <si>
    <t>Booker T. Washington High School</t>
  </si>
  <si>
    <t>Fall</t>
  </si>
  <si>
    <t>Memphis</t>
  </si>
  <si>
    <t>TN</t>
  </si>
  <si>
    <t>High</t>
  </si>
  <si>
    <t>Inside School Building</t>
  </si>
  <si>
    <t>Yes</t>
  </si>
  <si>
    <t>Argument over girl that has escalated over 2 days</t>
  </si>
  <si>
    <t>Escalation of Dispute</t>
  </si>
  <si>
    <t>Victims Targeted</t>
  </si>
  <si>
    <t>No</t>
  </si>
  <si>
    <t>19701005MIPOD</t>
  </si>
  <si>
    <t>Pontiac Central High School</t>
  </si>
  <si>
    <t>Fall</t>
  </si>
  <si>
    <t>Detroit</t>
  </si>
  <si>
    <t>MI</t>
  </si>
  <si>
    <t>High</t>
  </si>
  <si>
    <t>Outside on School Property</t>
  </si>
  <si>
    <t>Yes</t>
  </si>
  <si>
    <t>Fight between 4 white and 4 black students escalated into shooting</t>
  </si>
  <si>
    <t>Racial</t>
  </si>
  <si>
    <t>Victims Targeted</t>
  </si>
  <si>
    <t>Yes</t>
  </si>
  <si>
    <t>No</t>
  </si>
  <si>
    <t>19700928IACED</t>
  </si>
  <si>
    <t>Central High School</t>
  </si>
  <si>
    <t>Fall</t>
  </si>
  <si>
    <t>Davenport</t>
  </si>
  <si>
    <t>IA</t>
  </si>
  <si>
    <t>High</t>
  </si>
  <si>
    <t>Bathroom</t>
  </si>
  <si>
    <t>Inside School Building</t>
  </si>
  <si>
    <t>Yes</t>
  </si>
  <si>
    <t>Fired shot at female student in restroom</t>
  </si>
  <si>
    <t>Domestic w/ Targeted Victim</t>
  </si>
  <si>
    <t>Victims Targeted</t>
  </si>
  <si>
    <t>No</t>
  </si>
  <si>
    <t>Yes</t>
  </si>
  <si>
    <t>19700924IDMEM</t>
  </si>
  <si>
    <t>Meridian High School</t>
  </si>
  <si>
    <t>Fall</t>
  </si>
  <si>
    <t>Meridian</t>
  </si>
  <si>
    <t>ID</t>
  </si>
  <si>
    <t>High</t>
  </si>
  <si>
    <t>Parking Lot</t>
  </si>
  <si>
    <t>Outside on School Property</t>
  </si>
  <si>
    <t>Accidentally fired gun inside car</t>
  </si>
  <si>
    <t>Accidental</t>
  </si>
  <si>
    <t>Random Shooting</t>
  </si>
  <si>
    <t>No</t>
  </si>
  <si>
    <t>19700914TNHAN</t>
  </si>
  <si>
    <t>Hamilton High School</t>
  </si>
  <si>
    <t>Fall</t>
  </si>
  <si>
    <t>Nashville</t>
  </si>
  <si>
    <t>TN</t>
  </si>
  <si>
    <t>High</t>
  </si>
  <si>
    <t>Hallway</t>
  </si>
  <si>
    <t>Inside School Building</t>
  </si>
  <si>
    <t>Yes</t>
  </si>
  <si>
    <t>Shooting followed fight the previous week at school dance</t>
  </si>
  <si>
    <t>Escalation of Dispute</t>
  </si>
  <si>
    <t>Both</t>
  </si>
  <si>
    <t>No</t>
  </si>
  <si>
    <t>19700831FLALM</t>
  </si>
  <si>
    <t>Allapatah Elementary School</t>
  </si>
  <si>
    <t>Summer</t>
  </si>
  <si>
    <t>Miami</t>
  </si>
  <si>
    <t>FL</t>
  </si>
  <si>
    <t>Elementary</t>
  </si>
  <si>
    <t>Inside School Building</t>
  </si>
  <si>
    <t>Yes</t>
  </si>
  <si>
    <t>Dismissal</t>
  </si>
  <si>
    <t>Father (Cuban exile) killed by gunman at school</t>
  </si>
  <si>
    <t>Racial</t>
  </si>
  <si>
    <t>Victims Targeted</t>
  </si>
  <si>
    <t>No</t>
  </si>
  <si>
    <t>19700828TXRIE</t>
  </si>
  <si>
    <t>Riverside High School</t>
  </si>
  <si>
    <t>Summer</t>
  </si>
  <si>
    <t>El Paso</t>
  </si>
  <si>
    <t>TX</t>
  </si>
  <si>
    <t>High</t>
  </si>
  <si>
    <t>Outside on School Property</t>
  </si>
  <si>
    <t>Yes</t>
  </si>
  <si>
    <t>Lunch</t>
  </si>
  <si>
    <t>Fight between students in parking lot escalated into shooting</t>
  </si>
  <si>
    <t>Escalation of Dispute</t>
  </si>
  <si>
    <t>Victims Targeted</t>
  </si>
  <si>
    <t>Yes</t>
  </si>
  <si>
    <t>No</t>
  </si>
  <si>
    <t>19700515UTBEO</t>
  </si>
  <si>
    <t>Ben Lomond High School</t>
  </si>
  <si>
    <t>Spring</t>
  </si>
  <si>
    <t>Ogden</t>
  </si>
  <si>
    <t>UT</t>
  </si>
  <si>
    <t>High</t>
  </si>
  <si>
    <t>Hallway</t>
  </si>
  <si>
    <t>Inside School Building</t>
  </si>
  <si>
    <t>Yes</t>
  </si>
  <si>
    <t>Showing off gun in hallway, fired two shots striking teacher and student</t>
  </si>
  <si>
    <t>Suicide/Attempted</t>
  </si>
  <si>
    <t>Random Shooting</t>
  </si>
  <si>
    <t>No</t>
  </si>
  <si>
    <t>19700508FLCAD</t>
  </si>
  <si>
    <t>Carver High School</t>
  </si>
  <si>
    <t>Spring</t>
  </si>
  <si>
    <t>Delray Beach</t>
  </si>
  <si>
    <t>FL</t>
  </si>
  <si>
    <t>High</t>
  </si>
  <si>
    <t>Inside School Building</t>
  </si>
  <si>
    <t>Yes</t>
  </si>
  <si>
    <t>Morning Classes</t>
  </si>
  <si>
    <t>Shooting after previous fight at pool hall</t>
  </si>
  <si>
    <t>Escalation of Dispute</t>
  </si>
  <si>
    <t>Victims Targeted</t>
  </si>
  <si>
    <t>No</t>
  </si>
  <si>
    <t>19700422DEPIW</t>
  </si>
  <si>
    <t>Pierre S. Dupont High School</t>
  </si>
  <si>
    <t>Spring</t>
  </si>
  <si>
    <t>Wilmington</t>
  </si>
  <si>
    <t>DE</t>
  </si>
  <si>
    <t>High</t>
  </si>
  <si>
    <t>Hallway</t>
  </si>
  <si>
    <t>Inside School Building</t>
  </si>
  <si>
    <t>Yes</t>
  </si>
  <si>
    <t>Morning Classes</t>
  </si>
  <si>
    <t>Ongoing fight between the students escalated into shooting in school hallway</t>
  </si>
  <si>
    <t>Escalation of Dispute</t>
  </si>
  <si>
    <t>Victims Targeted</t>
  </si>
  <si>
    <t>No</t>
  </si>
  <si>
    <t>19700415ARPIP</t>
  </si>
  <si>
    <t>Pine Bluff Coleman High School</t>
  </si>
  <si>
    <t>Spring</t>
  </si>
  <si>
    <t>Pine Bluff</t>
  </si>
  <si>
    <t>AR</t>
  </si>
  <si>
    <t>High</t>
  </si>
  <si>
    <t>Cafeteria</t>
  </si>
  <si>
    <t>Inside School Building</t>
  </si>
  <si>
    <t>Yes</t>
  </si>
  <si>
    <t>Lunch</t>
  </si>
  <si>
    <t>6 gunmen chased student into cafeteria firing weapons</t>
  </si>
  <si>
    <t>Escalation of Dispute</t>
  </si>
  <si>
    <t>Both</t>
  </si>
  <si>
    <t>Yes</t>
  </si>
  <si>
    <t>No</t>
  </si>
  <si>
    <t>19700323CADAL</t>
  </si>
  <si>
    <t>David Starr Jordan High School</t>
  </si>
  <si>
    <t>Spring</t>
  </si>
  <si>
    <t>Long Beach</t>
  </si>
  <si>
    <t>CA</t>
  </si>
  <si>
    <t>High</t>
  </si>
  <si>
    <t>Beside Building</t>
  </si>
  <si>
    <t>Outside on School Property</t>
  </si>
  <si>
    <t>No</t>
  </si>
  <si>
    <t>Night</t>
  </si>
  <si>
    <t>Teens fired at security guard who returned fire injuring one</t>
  </si>
  <si>
    <t>Illegal Activity</t>
  </si>
  <si>
    <t>Neither</t>
  </si>
  <si>
    <t>Yes</t>
  </si>
  <si>
    <t>No</t>
  </si>
  <si>
    <t>19700206OHJOC</t>
  </si>
  <si>
    <t>John F. Kennedy High School</t>
  </si>
  <si>
    <t>Winter</t>
  </si>
  <si>
    <t>Cleveland</t>
  </si>
  <si>
    <t>OH</t>
  </si>
  <si>
    <t>High</t>
  </si>
  <si>
    <t>Hallway</t>
  </si>
  <si>
    <t>Inside School Building</t>
  </si>
  <si>
    <t>Yes</t>
  </si>
  <si>
    <t>Argument in school hallway escalated into shooting</t>
  </si>
  <si>
    <t>Escalation of Dispute</t>
  </si>
  <si>
    <t>Victims Targeted</t>
  </si>
  <si>
    <t>No</t>
  </si>
  <si>
    <t>19700105DCUNW</t>
  </si>
  <si>
    <t>Unnamed High School</t>
  </si>
  <si>
    <t>Winter</t>
  </si>
  <si>
    <t>Washington</t>
  </si>
  <si>
    <t>DC</t>
  </si>
  <si>
    <t>High</t>
  </si>
  <si>
    <t>Playground</t>
  </si>
  <si>
    <t>Outside on School Property</t>
  </si>
  <si>
    <t>Yes</t>
  </si>
  <si>
    <t>Student shot at twice during attempted robbery on playground</t>
  </si>
  <si>
    <t>Illegal Activity</t>
  </si>
  <si>
    <t>Victims Targeted</t>
  </si>
  <si>
    <t>Yes</t>
  </si>
  <si>
    <t>No</t>
  </si>
  <si>
    <t>19700105DCSOW</t>
  </si>
  <si>
    <t>Sousa Junior High</t>
  </si>
  <si>
    <t>Winter</t>
  </si>
  <si>
    <t>Washington</t>
  </si>
  <si>
    <t>DC</t>
  </si>
  <si>
    <t>Junior High</t>
  </si>
  <si>
    <t>Hallway</t>
  </si>
  <si>
    <t>Inside School Building</t>
  </si>
  <si>
    <t>Yes</t>
  </si>
  <si>
    <t>Occurred during horseplay in the school</t>
  </si>
  <si>
    <t>Accidental</t>
  </si>
  <si>
    <t>Random Shooting</t>
  </si>
  <si>
    <t>No</t>
  </si>
  <si>
    <t>19700105DCHIW</t>
  </si>
  <si>
    <t>Hine Junior High School</t>
  </si>
  <si>
    <t>Winter</t>
  </si>
  <si>
    <t>Washington</t>
  </si>
  <si>
    <t>DC</t>
  </si>
  <si>
    <t>High</t>
  </si>
  <si>
    <t>Inside School Building</t>
  </si>
  <si>
    <t>Yes</t>
  </si>
  <si>
    <t>Didn't know how to operate pistol, cocked hammer and couldn't get it to safely release causing accidental discharge</t>
  </si>
  <si>
    <t>Accidental</t>
  </si>
  <si>
    <t>Random Shooting</t>
  </si>
  <si>
    <t>Yes</t>
  </si>
  <si>
    <t>No</t>
  </si>
  <si>
    <t>Methods: https://k12ssdb.org/methodology-1</t>
  </si>
  <si>
    <t>Victim_ID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</si>
</sst>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10"/>
      <color rgb="FF000000"/>
      <name val="等线"/>
      <scheme val="minor"/>
    </font>
    <font>
      <sz val="11"/>
      <color rgb="FF000000"/>
      <name val="Inconsolata"/>
    </font>
    <font>
      <sz val="10"/>
      <color theme="1"/>
      <name val="等线"/>
      <scheme val="minor"/>
    </font>
    <font>
      <u/>
      <sz val="10"/>
      <color theme="10"/>
      <name val="等线"/>
      <scheme val="minor"/>
    </font>
    <font>
      <sz val="9"/>
      <name val="DengXian"/>
      <family val="3"/>
      <charset val="134"/>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3">
    <border>
      <left/>
      <right/>
      <top/>
      <bottom/>
      <diagonal/>
    </border>
    <border>
      <left/>
      <right/>
      <top/>
      <bottom/>
      <diagonal/>
    </border>
    <border>
      <left/>
      <right/>
      <top/>
      <bottom/>
      <diagonal/>
    </border>
  </borders>
  <cellStyleXfs count="3">
    <xf numFmtId="0" fontId="0" fillId="0" borderId="0"/>
    <xf numFmtId="0" fontId="1" fillId="0" borderId="2"/>
    <xf numFmtId="0" fontId="4" fillId="0" borderId="2" applyNumberFormat="0" applyFill="0" applyBorder="0" applyAlignment="0" applyProtection="0"/>
  </cellStyleXfs>
  <cellXfs count="10">
    <xf numFmtId="0" fontId="0" fillId="0" borderId="0" xfId="0"/>
    <xf numFmtId="14" fontId="0" fillId="0" borderId="1" xfId="0" applyNumberFormat="1" applyBorder="1"/>
    <xf numFmtId="46" fontId="0" fillId="0" borderId="2" xfId="0" applyNumberFormat="1" applyBorder="1"/>
    <xf numFmtId="0" fontId="2" fillId="2" borderId="2" xfId="1" applyFont="1" applyFill="1" applyAlignment="1">
      <alignment wrapText="1"/>
    </xf>
    <xf numFmtId="0" fontId="1" fillId="0" borderId="2" xfId="1"/>
    <xf numFmtId="0" fontId="3" fillId="0" borderId="2" xfId="1" applyFont="1" applyAlignment="1">
      <alignment wrapText="1"/>
    </xf>
    <xf numFmtId="0" fontId="4" fillId="0" borderId="2" xfId="2" applyAlignment="1">
      <alignment wrapText="1"/>
    </xf>
    <xf numFmtId="0" fontId="3" fillId="3" borderId="2" xfId="1" applyFont="1" applyFill="1" applyAlignment="1">
      <alignment wrapText="1"/>
    </xf>
    <xf numFmtId="0" fontId="3" fillId="0" borderId="2" xfId="1" applyFont="1"/>
    <xf numFmtId="0" fontId="2" fillId="2" borderId="2" xfId="1" applyFont="1" applyFill="1"/>
  </cellXfs>
  <cellStyles count="3">
    <cellStyle name="Hyperlink 2" xfId="2" xr:uid="{F79D3C33-4A61-D74A-A381-762E79AAE482}"/>
    <cellStyle name="Normal" xfId="0" builtinId="0"/>
    <cellStyle name="Normal 2" xfId="1" xr:uid="{6AFE9092-527D-4A47-B560-BA98873919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k12ssdb.org/methodolog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D09C2-10C3-104C-A193-B8510ABEB381}">
  <sheetPr>
    <outlinePr summaryBelow="0" summaryRight="0"/>
  </sheetPr>
  <dimension ref="A1:A25"/>
  <sheetViews>
    <sheetView workbookViewId="0">
      <selection activeCell="A5" sqref="A5"/>
    </sheetView>
  </sheetViews>
  <sheetFormatPr defaultColWidth="12.42578125" defaultRowHeight="15.75" customHeight="1"/>
  <cols>
    <col min="1" max="1" width="114" style="4" customWidth="1"/>
    <col min="2" max="16384" width="12.42578125" style="4"/>
  </cols>
  <sheetData>
    <row r="1" spans="1:1" ht="14.25">
      <c r="A1" s="3" t="str">
        <f ca="1">IFERROR(__xludf.DUMMYFUNCTION("IMPORTRANGE(""https://docs.google.com/spreadsheets/d/13by1rx0kMN24Sm2nKqqR6GsRtIyhgOO8U6IyuCHwhEU/edit#gid=1519919770"", ""Cover!A1:A25"")"),"K-12 School Shooting Database")</f>
        <v>K-12 School Shooting Database</v>
      </c>
    </row>
    <row r="2" spans="1:1" ht="25.5">
      <c r="A2" s="5" t="str">
        <f ca="1">IFERROR(__xludf.DUMMYFUNCTION("""COMPUTED_VALUE"""),"The K-12 School Shooting Database documents when a gun is brandished, is fired, or a bullet hits school property for any reason, regardless of the number of victims, time of day, or day of week.")</f>
        <v>The K-12 School Shooting Database documents when a gun is brandished, is fired, or a bullet hits school property for any reason, regardless of the number of victims, time of day, or day of week.</v>
      </c>
    </row>
    <row r="3" spans="1:1" ht="16.5" customHeight="1">
      <c r="A3" s="5"/>
    </row>
    <row r="4" spans="1:1" ht="12.75">
      <c r="A4" s="6" t="s">
        <v>31442</v>
      </c>
    </row>
    <row r="5" spans="1:1" ht="12.75">
      <c r="A5" s="5"/>
    </row>
    <row r="6" spans="1:1" ht="63.75">
      <c r="A6" s="5" t="str">
        <f ca="1">IFERROR(__xludf.DUMMYFUNCTION("""COMPUTED_VALUE"""),"This is a public resource available for use for educational and research purposes. You may not copy, reproduce, distribute, publish, display, perform, modify, create derivative works, transmit, or in any way exploit any such content, nor may you distribut"&amp;"e any part of this content over any network, including a local area network, sell or offer it for sale, or use such content to construct any kind of database without written (email) permission of the owner. To request permission to use this content, conta"&amp;"ct k12ssdb@gmail.com with yout name, organization, and intended use of the raw data.")</f>
        <v>This is a public resource available for use for educational and research purposes. You may not copy, reproduce, distribute, publish, display, perform, modify, create derivative works, transmit, or in any way exploit any such content, nor may you distribute any part of this content over any network, including a local area network, sell or offer it for sale, or use such content to construct any kind of database without written (email) permission of the owner. To request permission to use this content, contact k12ssdb@gmail.com with yout name, organization, and intended use of the raw data.</v>
      </c>
    </row>
    <row r="7" spans="1:1" ht="12.75">
      <c r="A7" s="5" t="str">
        <f ca="1">IFERROR(__xludf.DUMMYFUNCTION("""COMPUTED_VALUE"""),"Use of this data must be cited with: Riedman, David. ""K-12 School Shooting Database"" (2022). [date downloaded]")</f>
        <v>Use of this data must be cited with: Riedman, David. "K-12 School Shooting Database" (2022). [date downloaded]</v>
      </c>
    </row>
    <row r="8" spans="1:1" ht="12.75">
      <c r="A8" s="7" t="str">
        <f ca="1">IFERROR(__xludf.DUMMYFUNCTION("""COMPUTED_VALUE"""),"To request an excel copy of the raw data, email k12ssdb@gmail.com ")</f>
        <v xml:space="preserve">To request an excel copy of the raw data, email k12ssdb@gmail.com </v>
      </c>
    </row>
    <row r="9" spans="1:1" ht="12.75">
      <c r="A9" s="5"/>
    </row>
    <row r="10" spans="1:1" ht="12.75">
      <c r="A10" s="5" t="str">
        <f ca="1">IFERROR(__xludf.DUMMYFUNCTION("""COMPUTED_VALUE"""),"If you find errors or have information about missing incidents, please email k12ssdb@gmail.com")</f>
        <v>If you find errors or have information about missing incidents, please email k12ssdb@gmail.com</v>
      </c>
    </row>
    <row r="11" spans="1:1" ht="12.75">
      <c r="A11" s="5"/>
    </row>
    <row r="12" spans="1:1" ht="12.75">
      <c r="A12" s="5" t="str">
        <f ca="1">IFERROR(__xludf.DUMMYFUNCTION("""COMPUTED_VALUE"""),"Sheet Details:")</f>
        <v>Sheet Details:</v>
      </c>
    </row>
    <row r="13" spans="1:1" ht="25.5">
      <c r="A13" s="5" t="str">
        <f ca="1">IFERROR(__xludf.DUMMYFUNCTION("""COMPUTED_VALUE"""),"The information is structured as a relational database with a unique incident ID number that links the ""incident"", ""shooter"", ""victim"", and ""weapon"" tabs.")</f>
        <v>The information is structured as a relational database with a unique incident ID number that links the "incident", "shooter", "victim", and "weapon" tabs.</v>
      </c>
    </row>
    <row r="14" spans="1:1" ht="12.75">
      <c r="A14" s="5" t="str">
        <f ca="1">IFERROR(__xludf.DUMMYFUNCTION("""COMPUTED_VALUE"""),"Incident Tab: Incident ID number and the details of what, where, and when the shooting happened.")</f>
        <v>Incident Tab: Incident ID number and the details of what, where, and when the shooting happened.</v>
      </c>
    </row>
    <row r="15" spans="1:1" ht="25.5">
      <c r="A15" s="5" t="str">
        <f ca="1">IFERROR(__xludf.DUMMYFUNCTION("""COMPUTED_VALUE"""),"Shooter Tab: Incident ID number and details about the shooter. Multiple rows have the same incident ID number if there were multiple shooters.")</f>
        <v>Shooter Tab: Incident ID number and details about the shooter. Multiple rows have the same incident ID number if there were multiple shooters.</v>
      </c>
    </row>
    <row r="16" spans="1:1" ht="12.75">
      <c r="A16" s="5" t="str">
        <f ca="1">IFERROR(__xludf.DUMMYFUNCTION("""COMPUTED_VALUE"""),"Victim Tab: Incident ID number and details about the victim. Multiple rows have the same incident ID number if there were multiple victims.")</f>
        <v>Victim Tab: Incident ID number and details about the victim. Multiple rows have the same incident ID number if there were multiple victims.</v>
      </c>
    </row>
    <row r="17" spans="1:1" ht="25.5">
      <c r="A17" s="5" t="str">
        <f ca="1">IFERROR(__xludf.DUMMYFUNCTION("""COMPUTED_VALUE"""),"Weapon Tab: Incident ID number and details about the weapon used (including weapons that were possessed by the shooter during the incident but were not fired). Multiple rows have the same incident ID number if there were multiple weapons used.")</f>
        <v>Weapon Tab: Incident ID number and details about the weapon used (including weapons that were possessed by the shooter during the incident but were not fired). Multiple rows have the same incident ID number if there were multiple weapons used.</v>
      </c>
    </row>
    <row r="18" spans="1:1" ht="12.75">
      <c r="A18" s="8"/>
    </row>
    <row r="19" spans="1:1" ht="12.75">
      <c r="A19" s="8"/>
    </row>
    <row r="20" spans="1:1" ht="12.75">
      <c r="A20" s="8"/>
    </row>
    <row r="21" spans="1:1" ht="12.75">
      <c r="A21" s="8"/>
    </row>
    <row r="22" spans="1:1" ht="12.75">
      <c r="A22" s="8"/>
    </row>
    <row r="23" spans="1:1" ht="12.75">
      <c r="A23" s="8"/>
    </row>
    <row r="24" spans="1:1" ht="12.75">
      <c r="A24" s="8"/>
    </row>
    <row r="25" spans="1:1" ht="12.75">
      <c r="A25" s="8"/>
    </row>
  </sheetData>
  <phoneticPr fontId="5" type="noConversion"/>
  <hyperlinks>
    <hyperlink ref="A4" r:id="rId1" display="https://k12ssdb.org/methodology-1" xr:uid="{6E99DCD8-B990-214F-84E9-B21B19849D7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181"/>
  <sheetViews>
    <sheetView workbookViewId="0">
      <selection activeCell="I1" sqref="I1:I1048576"/>
    </sheetView>
  </sheetViews>
  <sheetFormatPr defaultColWidth="8.85546875" defaultRowHeight="15"/>
  <cols>
    <col min="1" max="1" width="27.28515625" customWidth="1"/>
    <col min="5" max="5" width="15.5703125" customWidth="1"/>
    <col min="6" max="6" width="14.85546875" customWidth="1"/>
    <col min="8" max="8" width="19" bestFit="1" customWidth="1"/>
    <col min="9" max="9" width="17.42578125"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v>10</v>
      </c>
      <c r="C2">
        <v>20</v>
      </c>
      <c r="D2">
        <v>2022</v>
      </c>
      <c r="E2" s="1">
        <v>44863</v>
      </c>
      <c r="F2" t="s">
        <v>31</v>
      </c>
      <c r="G2">
        <v>0</v>
      </c>
      <c r="H2">
        <v>1</v>
      </c>
      <c r="I2">
        <v>1</v>
      </c>
      <c r="J2">
        <v>0</v>
      </c>
      <c r="K2" t="s">
        <v>32</v>
      </c>
      <c r="L2" t="s">
        <v>33</v>
      </c>
      <c r="M2" t="s">
        <v>34</v>
      </c>
      <c r="N2" t="s">
        <v>35</v>
      </c>
      <c r="O2" t="s">
        <v>36</v>
      </c>
      <c r="P2" t="s">
        <v>37</v>
      </c>
      <c r="Q2" t="s">
        <v>38</v>
      </c>
      <c r="R2" t="s">
        <v>39</v>
      </c>
      <c r="S2" t="s">
        <v>40</v>
      </c>
      <c r="T2" s="2">
        <v>0.79166666666666663</v>
      </c>
      <c r="U2">
        <v>1</v>
      </c>
      <c r="V2" t="s">
        <v>41</v>
      </c>
      <c r="W2" t="s">
        <v>42</v>
      </c>
      <c r="X2" t="s">
        <v>43</v>
      </c>
      <c r="Y2" t="s">
        <v>44</v>
      </c>
      <c r="Z2" t="s">
        <v>45</v>
      </c>
      <c r="AA2" t="s">
        <v>45</v>
      </c>
      <c r="AC2" t="s">
        <v>45</v>
      </c>
      <c r="AD2" t="s">
        <v>45</v>
      </c>
    </row>
    <row r="3" spans="1:30">
      <c r="A3" t="s">
        <v>46</v>
      </c>
      <c r="B3">
        <v>10</v>
      </c>
      <c r="C3">
        <v>29</v>
      </c>
      <c r="D3">
        <v>2022</v>
      </c>
      <c r="E3" s="1">
        <v>44863</v>
      </c>
      <c r="F3" t="s">
        <v>47</v>
      </c>
      <c r="G3">
        <v>0</v>
      </c>
      <c r="H3">
        <v>0</v>
      </c>
      <c r="I3">
        <v>0</v>
      </c>
      <c r="J3">
        <v>0</v>
      </c>
      <c r="K3" t="s">
        <v>48</v>
      </c>
      <c r="L3" t="s">
        <v>49</v>
      </c>
      <c r="M3" t="s">
        <v>50</v>
      </c>
      <c r="N3" t="s">
        <v>51</v>
      </c>
      <c r="O3" t="s">
        <v>52</v>
      </c>
      <c r="P3" t="s">
        <v>53</v>
      </c>
      <c r="Q3" t="s">
        <v>54</v>
      </c>
      <c r="R3" t="s">
        <v>55</v>
      </c>
      <c r="S3" t="s">
        <v>56</v>
      </c>
      <c r="T3" s="2">
        <v>0.65625</v>
      </c>
      <c r="U3">
        <v>1</v>
      </c>
      <c r="V3" t="s">
        <v>57</v>
      </c>
      <c r="W3" t="s">
        <v>58</v>
      </c>
      <c r="X3" t="s">
        <v>59</v>
      </c>
      <c r="Y3" t="s">
        <v>60</v>
      </c>
      <c r="Z3" t="s">
        <v>60</v>
      </c>
      <c r="AA3" t="s">
        <v>60</v>
      </c>
      <c r="AB3" t="s">
        <v>60</v>
      </c>
      <c r="AC3" t="s">
        <v>60</v>
      </c>
      <c r="AD3" t="s">
        <v>60</v>
      </c>
    </row>
    <row r="4" spans="1:30">
      <c r="A4" t="s">
        <v>61</v>
      </c>
      <c r="B4">
        <v>10</v>
      </c>
      <c r="C4">
        <v>28</v>
      </c>
      <c r="D4">
        <v>2022</v>
      </c>
      <c r="E4" s="1">
        <v>44862</v>
      </c>
      <c r="F4" t="s">
        <v>62</v>
      </c>
      <c r="G4">
        <v>0</v>
      </c>
      <c r="H4">
        <v>0</v>
      </c>
      <c r="I4">
        <v>0</v>
      </c>
      <c r="J4">
        <v>0</v>
      </c>
      <c r="K4" t="s">
        <v>63</v>
      </c>
      <c r="L4" t="s">
        <v>64</v>
      </c>
      <c r="M4" t="s">
        <v>65</v>
      </c>
      <c r="N4" t="s">
        <v>66</v>
      </c>
      <c r="O4" t="s">
        <v>67</v>
      </c>
      <c r="P4" t="s">
        <v>68</v>
      </c>
      <c r="Q4" t="s">
        <v>69</v>
      </c>
      <c r="R4" t="s">
        <v>70</v>
      </c>
      <c r="S4" t="s">
        <v>71</v>
      </c>
      <c r="T4" s="2">
        <v>0.875</v>
      </c>
      <c r="U4">
        <v>1</v>
      </c>
      <c r="V4" t="s">
        <v>72</v>
      </c>
      <c r="W4" t="s">
        <v>73</v>
      </c>
      <c r="X4" t="s">
        <v>74</v>
      </c>
      <c r="Y4" t="s">
        <v>75</v>
      </c>
      <c r="Z4" t="s">
        <v>75</v>
      </c>
      <c r="AA4" t="s">
        <v>75</v>
      </c>
      <c r="AB4" t="s">
        <v>75</v>
      </c>
      <c r="AC4" t="s">
        <v>75</v>
      </c>
      <c r="AD4" t="s">
        <v>75</v>
      </c>
    </row>
    <row r="5" spans="1:30">
      <c r="A5" t="s">
        <v>76</v>
      </c>
      <c r="B5">
        <v>10</v>
      </c>
      <c r="C5">
        <v>28</v>
      </c>
      <c r="D5">
        <v>2022</v>
      </c>
      <c r="E5" s="1">
        <v>44862</v>
      </c>
      <c r="F5" t="s">
        <v>77</v>
      </c>
      <c r="G5">
        <v>0</v>
      </c>
      <c r="H5">
        <v>0</v>
      </c>
      <c r="I5">
        <v>0</v>
      </c>
      <c r="J5">
        <v>0</v>
      </c>
      <c r="K5" t="s">
        <v>78</v>
      </c>
      <c r="L5" t="s">
        <v>79</v>
      </c>
      <c r="M5" t="s">
        <v>80</v>
      </c>
      <c r="N5" t="s">
        <v>81</v>
      </c>
      <c r="O5" t="s">
        <v>82</v>
      </c>
      <c r="P5" t="s">
        <v>83</v>
      </c>
      <c r="Q5" t="s">
        <v>84</v>
      </c>
      <c r="R5" t="s">
        <v>85</v>
      </c>
      <c r="S5" t="s">
        <v>86</v>
      </c>
      <c r="T5" s="2">
        <v>0.45833333333333331</v>
      </c>
      <c r="U5">
        <v>1</v>
      </c>
      <c r="V5" t="s">
        <v>87</v>
      </c>
      <c r="W5" t="s">
        <v>88</v>
      </c>
      <c r="X5" t="s">
        <v>89</v>
      </c>
      <c r="Y5" t="s">
        <v>90</v>
      </c>
      <c r="Z5" t="s">
        <v>91</v>
      </c>
      <c r="AA5" t="s">
        <v>91</v>
      </c>
      <c r="AC5" t="s">
        <v>91</v>
      </c>
      <c r="AD5" t="s">
        <v>91</v>
      </c>
    </row>
    <row r="6" spans="1:30">
      <c r="A6" t="s">
        <v>92</v>
      </c>
      <c r="B6">
        <v>10</v>
      </c>
      <c r="C6">
        <v>28</v>
      </c>
      <c r="D6">
        <v>2022</v>
      </c>
      <c r="E6" s="1">
        <v>44862</v>
      </c>
      <c r="F6" t="s">
        <v>93</v>
      </c>
      <c r="G6">
        <v>0</v>
      </c>
      <c r="H6">
        <v>0</v>
      </c>
      <c r="I6">
        <v>0</v>
      </c>
      <c r="J6">
        <v>0</v>
      </c>
      <c r="K6" t="s">
        <v>94</v>
      </c>
      <c r="L6" t="s">
        <v>95</v>
      </c>
      <c r="M6" t="s">
        <v>96</v>
      </c>
      <c r="N6" t="s">
        <v>97</v>
      </c>
      <c r="O6" t="s">
        <v>98</v>
      </c>
      <c r="P6" t="s">
        <v>99</v>
      </c>
      <c r="Q6" t="s">
        <v>99</v>
      </c>
      <c r="R6" t="s">
        <v>100</v>
      </c>
      <c r="S6" t="s">
        <v>101</v>
      </c>
      <c r="T6" s="2">
        <v>0.58333333333333337</v>
      </c>
      <c r="U6">
        <v>1</v>
      </c>
      <c r="V6" t="s">
        <v>102</v>
      </c>
      <c r="W6" t="s">
        <v>103</v>
      </c>
      <c r="X6" t="s">
        <v>104</v>
      </c>
      <c r="Y6" t="s">
        <v>105</v>
      </c>
      <c r="Z6" t="s">
        <v>105</v>
      </c>
      <c r="AA6" t="s">
        <v>105</v>
      </c>
      <c r="AB6" t="s">
        <v>105</v>
      </c>
      <c r="AC6" t="s">
        <v>105</v>
      </c>
      <c r="AD6" t="s">
        <v>105</v>
      </c>
    </row>
    <row r="7" spans="1:30">
      <c r="A7" t="s">
        <v>106</v>
      </c>
      <c r="B7">
        <v>10</v>
      </c>
      <c r="C7">
        <v>26</v>
      </c>
      <c r="D7">
        <v>2022</v>
      </c>
      <c r="E7" s="1">
        <v>44860</v>
      </c>
      <c r="F7" t="s">
        <v>107</v>
      </c>
      <c r="G7">
        <v>0</v>
      </c>
      <c r="H7">
        <v>1</v>
      </c>
      <c r="I7">
        <v>1</v>
      </c>
      <c r="J7">
        <v>0</v>
      </c>
      <c r="K7" t="s">
        <v>108</v>
      </c>
      <c r="L7" t="s">
        <v>109</v>
      </c>
      <c r="M7" t="s">
        <v>110</v>
      </c>
      <c r="N7" t="s">
        <v>111</v>
      </c>
      <c r="O7" t="s">
        <v>112</v>
      </c>
      <c r="P7" t="s">
        <v>113</v>
      </c>
      <c r="Q7" t="s">
        <v>114</v>
      </c>
      <c r="R7" t="s">
        <v>115</v>
      </c>
      <c r="S7" t="s">
        <v>116</v>
      </c>
      <c r="T7" s="2">
        <v>0.5625</v>
      </c>
      <c r="U7">
        <v>1</v>
      </c>
      <c r="V7" t="s">
        <v>117</v>
      </c>
      <c r="X7" t="s">
        <v>118</v>
      </c>
      <c r="Z7" t="s">
        <v>119</v>
      </c>
      <c r="AA7" t="s">
        <v>119</v>
      </c>
      <c r="AB7" t="s">
        <v>119</v>
      </c>
      <c r="AC7" t="s">
        <v>119</v>
      </c>
      <c r="AD7" t="s">
        <v>119</v>
      </c>
    </row>
    <row r="8" spans="1:30">
      <c r="A8" t="s">
        <v>120</v>
      </c>
      <c r="B8">
        <v>10</v>
      </c>
      <c r="C8">
        <v>25</v>
      </c>
      <c r="D8">
        <v>2022</v>
      </c>
      <c r="E8" s="1">
        <v>44859</v>
      </c>
      <c r="F8" t="s">
        <v>121</v>
      </c>
      <c r="G8">
        <v>0</v>
      </c>
      <c r="H8">
        <v>0</v>
      </c>
      <c r="I8">
        <v>0</v>
      </c>
      <c r="J8">
        <v>0</v>
      </c>
      <c r="K8" t="s">
        <v>122</v>
      </c>
      <c r="L8" t="s">
        <v>123</v>
      </c>
      <c r="M8" t="s">
        <v>124</v>
      </c>
      <c r="N8" t="s">
        <v>125</v>
      </c>
      <c r="O8" t="s">
        <v>126</v>
      </c>
      <c r="P8" t="s">
        <v>127</v>
      </c>
      <c r="Q8" t="s">
        <v>128</v>
      </c>
      <c r="R8" t="s">
        <v>129</v>
      </c>
      <c r="S8" t="s">
        <v>130</v>
      </c>
      <c r="T8" s="2">
        <v>0.625</v>
      </c>
      <c r="U8">
        <v>1</v>
      </c>
      <c r="V8" t="s">
        <v>131</v>
      </c>
      <c r="Y8" t="s">
        <v>132</v>
      </c>
      <c r="Z8" t="s">
        <v>132</v>
      </c>
      <c r="AA8" t="s">
        <v>132</v>
      </c>
      <c r="AB8" t="s">
        <v>132</v>
      </c>
      <c r="AC8" t="s">
        <v>132</v>
      </c>
      <c r="AD8" t="s">
        <v>132</v>
      </c>
    </row>
    <row r="9" spans="1:30">
      <c r="A9" t="s">
        <v>133</v>
      </c>
      <c r="B9">
        <v>10</v>
      </c>
      <c r="C9">
        <v>25</v>
      </c>
      <c r="D9">
        <v>2022</v>
      </c>
      <c r="E9" s="1">
        <v>44859</v>
      </c>
      <c r="F9" t="s">
        <v>134</v>
      </c>
      <c r="G9">
        <v>0</v>
      </c>
      <c r="H9">
        <v>1</v>
      </c>
      <c r="I9">
        <v>1</v>
      </c>
      <c r="J9">
        <v>0</v>
      </c>
      <c r="K9" t="s">
        <v>135</v>
      </c>
      <c r="L9" t="s">
        <v>136</v>
      </c>
      <c r="M9" t="s">
        <v>137</v>
      </c>
      <c r="N9" t="s">
        <v>138</v>
      </c>
      <c r="O9" t="s">
        <v>139</v>
      </c>
      <c r="P9" t="s">
        <v>140</v>
      </c>
      <c r="Q9" t="s">
        <v>141</v>
      </c>
      <c r="R9" t="s">
        <v>142</v>
      </c>
      <c r="S9" t="s">
        <v>143</v>
      </c>
      <c r="T9" s="2">
        <v>0.58333333333333337</v>
      </c>
      <c r="U9">
        <v>1</v>
      </c>
      <c r="V9" t="s">
        <v>144</v>
      </c>
      <c r="W9" t="s">
        <v>145</v>
      </c>
      <c r="X9" t="s">
        <v>146</v>
      </c>
      <c r="Y9" t="s">
        <v>147</v>
      </c>
      <c r="Z9" t="s">
        <v>148</v>
      </c>
      <c r="AA9" t="s">
        <v>148</v>
      </c>
      <c r="AC9" t="s">
        <v>148</v>
      </c>
      <c r="AD9" t="s">
        <v>148</v>
      </c>
    </row>
    <row r="10" spans="1:30">
      <c r="A10" t="s">
        <v>149</v>
      </c>
      <c r="B10">
        <v>10</v>
      </c>
      <c r="C10">
        <v>24</v>
      </c>
      <c r="D10">
        <v>2022</v>
      </c>
      <c r="E10" s="1">
        <v>44858</v>
      </c>
      <c r="F10" t="s">
        <v>150</v>
      </c>
      <c r="G10">
        <v>2</v>
      </c>
      <c r="H10">
        <v>7</v>
      </c>
      <c r="I10">
        <v>9</v>
      </c>
      <c r="J10">
        <v>1</v>
      </c>
      <c r="K10" t="s">
        <v>151</v>
      </c>
      <c r="L10" t="s">
        <v>152</v>
      </c>
      <c r="M10" t="s">
        <v>153</v>
      </c>
      <c r="N10" t="s">
        <v>154</v>
      </c>
      <c r="O10" t="s">
        <v>155</v>
      </c>
      <c r="P10" t="s">
        <v>156</v>
      </c>
      <c r="Q10" t="s">
        <v>156</v>
      </c>
      <c r="R10" t="s">
        <v>157</v>
      </c>
      <c r="S10" t="s">
        <v>158</v>
      </c>
      <c r="T10" s="2">
        <v>0.38263888888888886</v>
      </c>
      <c r="U10">
        <v>21</v>
      </c>
      <c r="V10" t="s">
        <v>159</v>
      </c>
      <c r="W10" t="s">
        <v>160</v>
      </c>
      <c r="X10" t="s">
        <v>161</v>
      </c>
      <c r="Y10" t="s">
        <v>162</v>
      </c>
      <c r="Z10" t="s">
        <v>162</v>
      </c>
      <c r="AA10" t="s">
        <v>163</v>
      </c>
      <c r="AC10" t="s">
        <v>164</v>
      </c>
      <c r="AD10" t="s">
        <v>165</v>
      </c>
    </row>
    <row r="11" spans="1:30">
      <c r="A11" t="s">
        <v>166</v>
      </c>
      <c r="B11">
        <v>10</v>
      </c>
      <c r="C11">
        <v>22</v>
      </c>
      <c r="D11">
        <v>2022</v>
      </c>
      <c r="E11" s="1">
        <v>44856</v>
      </c>
      <c r="F11" t="s">
        <v>167</v>
      </c>
      <c r="G11">
        <v>0</v>
      </c>
      <c r="H11">
        <v>1</v>
      </c>
      <c r="I11">
        <v>1</v>
      </c>
      <c r="J11">
        <v>0</v>
      </c>
      <c r="K11" t="s">
        <v>168</v>
      </c>
      <c r="L11" t="s">
        <v>169</v>
      </c>
      <c r="M11" t="s">
        <v>170</v>
      </c>
      <c r="N11" t="s">
        <v>171</v>
      </c>
      <c r="O11" t="s">
        <v>172</v>
      </c>
      <c r="P11" t="s">
        <v>173</v>
      </c>
      <c r="Q11" t="s">
        <v>174</v>
      </c>
      <c r="R11" t="s">
        <v>175</v>
      </c>
      <c r="S11" t="s">
        <v>176</v>
      </c>
      <c r="T11" s="2">
        <v>4.1666666666666664E-2</v>
      </c>
      <c r="U11">
        <v>1</v>
      </c>
      <c r="V11" t="s">
        <v>177</v>
      </c>
      <c r="X11" t="s">
        <v>178</v>
      </c>
      <c r="Y11" t="s">
        <v>179</v>
      </c>
      <c r="Z11" t="s">
        <v>179</v>
      </c>
      <c r="AA11" t="s">
        <v>179</v>
      </c>
      <c r="AB11" t="s">
        <v>179</v>
      </c>
      <c r="AC11" t="s">
        <v>179</v>
      </c>
      <c r="AD11" t="s">
        <v>179</v>
      </c>
    </row>
    <row r="12" spans="1:30">
      <c r="A12" t="s">
        <v>180</v>
      </c>
      <c r="B12">
        <v>10</v>
      </c>
      <c r="C12">
        <v>22</v>
      </c>
      <c r="D12">
        <v>2022</v>
      </c>
      <c r="E12" s="1">
        <v>44856</v>
      </c>
      <c r="F12" t="s">
        <v>181</v>
      </c>
      <c r="G12">
        <v>1</v>
      </c>
      <c r="H12">
        <v>1</v>
      </c>
      <c r="I12">
        <v>2</v>
      </c>
      <c r="J12">
        <v>0</v>
      </c>
      <c r="K12" t="s">
        <v>182</v>
      </c>
      <c r="L12" t="s">
        <v>183</v>
      </c>
      <c r="M12" t="s">
        <v>184</v>
      </c>
      <c r="N12" t="s">
        <v>185</v>
      </c>
      <c r="O12" t="s">
        <v>186</v>
      </c>
      <c r="P12" t="s">
        <v>187</v>
      </c>
      <c r="Q12" t="s">
        <v>188</v>
      </c>
      <c r="R12" t="s">
        <v>189</v>
      </c>
      <c r="S12" t="s">
        <v>190</v>
      </c>
      <c r="T12" s="2">
        <v>0.84722222222222221</v>
      </c>
      <c r="U12">
        <v>1</v>
      </c>
      <c r="V12" t="s">
        <v>191</v>
      </c>
      <c r="W12" t="s">
        <v>192</v>
      </c>
      <c r="X12" t="s">
        <v>193</v>
      </c>
      <c r="Y12" t="s">
        <v>194</v>
      </c>
      <c r="Z12" t="s">
        <v>195</v>
      </c>
      <c r="AA12" t="s">
        <v>195</v>
      </c>
      <c r="AB12" t="s">
        <v>195</v>
      </c>
      <c r="AC12" t="s">
        <v>195</v>
      </c>
      <c r="AD12" t="s">
        <v>195</v>
      </c>
    </row>
    <row r="13" spans="1:30">
      <c r="A13" t="s">
        <v>196</v>
      </c>
      <c r="B13">
        <v>10</v>
      </c>
      <c r="C13">
        <v>21</v>
      </c>
      <c r="D13">
        <v>2022</v>
      </c>
      <c r="E13" s="1">
        <v>44855</v>
      </c>
      <c r="F13" t="s">
        <v>197</v>
      </c>
      <c r="G13">
        <v>0</v>
      </c>
      <c r="H13">
        <v>1</v>
      </c>
      <c r="I13">
        <v>1</v>
      </c>
      <c r="J13">
        <v>0</v>
      </c>
      <c r="K13" t="s">
        <v>198</v>
      </c>
      <c r="L13" t="s">
        <v>199</v>
      </c>
      <c r="M13" t="s">
        <v>200</v>
      </c>
      <c r="N13" t="s">
        <v>201</v>
      </c>
      <c r="O13" t="s">
        <v>202</v>
      </c>
      <c r="P13" t="s">
        <v>203</v>
      </c>
      <c r="Q13" t="s">
        <v>204</v>
      </c>
      <c r="R13" t="s">
        <v>205</v>
      </c>
      <c r="S13" t="s">
        <v>206</v>
      </c>
      <c r="T13" s="2">
        <v>0.63541666666666663</v>
      </c>
      <c r="U13">
        <v>1</v>
      </c>
      <c r="V13" t="s">
        <v>207</v>
      </c>
      <c r="W13" t="s">
        <v>208</v>
      </c>
      <c r="X13" t="s">
        <v>209</v>
      </c>
      <c r="Y13" t="s">
        <v>210</v>
      </c>
      <c r="Z13" t="s">
        <v>210</v>
      </c>
      <c r="AA13" t="s">
        <v>210</v>
      </c>
      <c r="AB13" t="s">
        <v>210</v>
      </c>
      <c r="AC13" t="s">
        <v>210</v>
      </c>
      <c r="AD13" t="s">
        <v>210</v>
      </c>
    </row>
    <row r="14" spans="1:30">
      <c r="A14" t="s">
        <v>211</v>
      </c>
      <c r="B14">
        <v>10</v>
      </c>
      <c r="C14">
        <v>21</v>
      </c>
      <c r="D14">
        <v>2022</v>
      </c>
      <c r="E14" s="1">
        <v>44855</v>
      </c>
      <c r="F14" t="s">
        <v>212</v>
      </c>
      <c r="G14">
        <v>1</v>
      </c>
      <c r="H14">
        <v>0</v>
      </c>
      <c r="I14">
        <v>1</v>
      </c>
      <c r="J14">
        <v>0</v>
      </c>
      <c r="K14" t="s">
        <v>213</v>
      </c>
      <c r="L14" t="s">
        <v>214</v>
      </c>
      <c r="M14" t="s">
        <v>215</v>
      </c>
      <c r="N14" t="s">
        <v>216</v>
      </c>
      <c r="O14" t="s">
        <v>217</v>
      </c>
      <c r="P14" t="s">
        <v>218</v>
      </c>
      <c r="Q14" t="s">
        <v>219</v>
      </c>
      <c r="R14" t="s">
        <v>220</v>
      </c>
      <c r="S14" t="s">
        <v>221</v>
      </c>
      <c r="T14" s="2">
        <v>0.91666666666666663</v>
      </c>
      <c r="U14">
        <v>1</v>
      </c>
      <c r="V14" t="s">
        <v>222</v>
      </c>
      <c r="W14" t="s">
        <v>223</v>
      </c>
      <c r="Y14" t="s">
        <v>224</v>
      </c>
      <c r="Z14" t="s">
        <v>224</v>
      </c>
      <c r="AA14" t="s">
        <v>224</v>
      </c>
      <c r="AB14" t="s">
        <v>224</v>
      </c>
      <c r="AC14" t="s">
        <v>224</v>
      </c>
      <c r="AD14" t="s">
        <v>224</v>
      </c>
    </row>
    <row r="15" spans="1:30">
      <c r="A15" t="s">
        <v>225</v>
      </c>
      <c r="B15">
        <v>10</v>
      </c>
      <c r="C15">
        <v>20</v>
      </c>
      <c r="D15">
        <v>2022</v>
      </c>
      <c r="E15" s="1">
        <v>44854</v>
      </c>
      <c r="F15" t="s">
        <v>226</v>
      </c>
      <c r="G15">
        <v>0</v>
      </c>
      <c r="H15">
        <v>0</v>
      </c>
      <c r="I15">
        <v>0</v>
      </c>
      <c r="J15">
        <v>0</v>
      </c>
      <c r="K15" t="s">
        <v>227</v>
      </c>
      <c r="L15" t="s">
        <v>228</v>
      </c>
      <c r="M15" t="s">
        <v>229</v>
      </c>
      <c r="N15" t="s">
        <v>230</v>
      </c>
      <c r="O15" t="s">
        <v>231</v>
      </c>
      <c r="P15" t="s">
        <v>232</v>
      </c>
      <c r="Q15" t="s">
        <v>233</v>
      </c>
      <c r="R15" t="s">
        <v>234</v>
      </c>
      <c r="S15" t="s">
        <v>235</v>
      </c>
      <c r="T15" s="2">
        <v>0.72638888888888897</v>
      </c>
      <c r="U15">
        <v>1</v>
      </c>
      <c r="V15" t="s">
        <v>236</v>
      </c>
      <c r="X15" t="s">
        <v>237</v>
      </c>
      <c r="Y15" t="s">
        <v>238</v>
      </c>
      <c r="Z15" t="s">
        <v>238</v>
      </c>
      <c r="AA15" t="s">
        <v>238</v>
      </c>
      <c r="AB15" t="s">
        <v>238</v>
      </c>
      <c r="AC15" t="s">
        <v>238</v>
      </c>
      <c r="AD15" t="s">
        <v>238</v>
      </c>
    </row>
    <row r="16" spans="1:30">
      <c r="A16" t="s">
        <v>239</v>
      </c>
      <c r="B16">
        <v>10</v>
      </c>
      <c r="C16">
        <v>20</v>
      </c>
      <c r="D16">
        <v>2022</v>
      </c>
      <c r="E16" s="1">
        <v>44854</v>
      </c>
      <c r="F16" t="s">
        <v>240</v>
      </c>
      <c r="G16">
        <v>0</v>
      </c>
      <c r="H16">
        <v>1</v>
      </c>
      <c r="I16">
        <v>1</v>
      </c>
      <c r="J16">
        <v>0</v>
      </c>
      <c r="K16" t="s">
        <v>241</v>
      </c>
      <c r="L16" t="s">
        <v>242</v>
      </c>
      <c r="M16" t="s">
        <v>243</v>
      </c>
      <c r="N16" t="s">
        <v>244</v>
      </c>
      <c r="O16" t="s">
        <v>245</v>
      </c>
      <c r="P16" t="s">
        <v>246</v>
      </c>
      <c r="Q16" t="s">
        <v>246</v>
      </c>
      <c r="R16" t="s">
        <v>247</v>
      </c>
      <c r="S16" t="s">
        <v>248</v>
      </c>
      <c r="T16" s="2">
        <v>0.52083333333333337</v>
      </c>
      <c r="U16">
        <v>1</v>
      </c>
      <c r="V16" t="s">
        <v>249</v>
      </c>
      <c r="X16" t="s">
        <v>250</v>
      </c>
      <c r="Y16" t="s">
        <v>251</v>
      </c>
      <c r="Z16" t="s">
        <v>251</v>
      </c>
      <c r="AA16" t="s">
        <v>251</v>
      </c>
      <c r="AB16" t="s">
        <v>251</v>
      </c>
      <c r="AC16" t="s">
        <v>251</v>
      </c>
      <c r="AD16" t="s">
        <v>251</v>
      </c>
    </row>
    <row r="17" spans="1:30">
      <c r="A17" t="s">
        <v>252</v>
      </c>
      <c r="B17">
        <v>10</v>
      </c>
      <c r="C17">
        <v>19</v>
      </c>
      <c r="D17">
        <v>2022</v>
      </c>
      <c r="E17" s="1">
        <v>44853</v>
      </c>
      <c r="F17" t="s">
        <v>253</v>
      </c>
      <c r="G17">
        <v>0</v>
      </c>
      <c r="H17">
        <v>1</v>
      </c>
      <c r="I17">
        <v>1</v>
      </c>
      <c r="J17">
        <v>0</v>
      </c>
      <c r="K17" t="s">
        <v>254</v>
      </c>
      <c r="L17" t="s">
        <v>255</v>
      </c>
      <c r="M17" t="s">
        <v>256</v>
      </c>
      <c r="N17" t="s">
        <v>257</v>
      </c>
      <c r="O17" t="s">
        <v>258</v>
      </c>
      <c r="P17" t="s">
        <v>259</v>
      </c>
      <c r="Q17" t="s">
        <v>259</v>
      </c>
      <c r="R17" t="s">
        <v>260</v>
      </c>
      <c r="S17" t="s">
        <v>261</v>
      </c>
      <c r="T17" s="2">
        <v>0.625</v>
      </c>
      <c r="U17">
        <v>1</v>
      </c>
      <c r="V17" t="s">
        <v>262</v>
      </c>
      <c r="W17" t="s">
        <v>263</v>
      </c>
      <c r="X17" t="s">
        <v>264</v>
      </c>
      <c r="Z17" t="s">
        <v>265</v>
      </c>
      <c r="AA17" t="s">
        <v>265</v>
      </c>
      <c r="AB17" t="s">
        <v>265</v>
      </c>
      <c r="AC17" t="s">
        <v>266</v>
      </c>
      <c r="AD17" t="s">
        <v>267</v>
      </c>
    </row>
    <row r="18" spans="1:30">
      <c r="A18" t="s">
        <v>268</v>
      </c>
      <c r="B18">
        <v>10</v>
      </c>
      <c r="C18">
        <v>18</v>
      </c>
      <c r="D18">
        <v>2022</v>
      </c>
      <c r="E18" s="1">
        <v>44852</v>
      </c>
      <c r="F18" t="s">
        <v>269</v>
      </c>
      <c r="G18">
        <v>1</v>
      </c>
      <c r="H18">
        <v>0</v>
      </c>
      <c r="I18">
        <v>1</v>
      </c>
      <c r="J18">
        <v>0</v>
      </c>
      <c r="K18" t="s">
        <v>270</v>
      </c>
      <c r="L18" t="s">
        <v>271</v>
      </c>
      <c r="M18" t="s">
        <v>272</v>
      </c>
      <c r="N18" t="s">
        <v>273</v>
      </c>
      <c r="O18" t="s">
        <v>274</v>
      </c>
      <c r="P18" t="s">
        <v>275</v>
      </c>
      <c r="Q18" t="s">
        <v>276</v>
      </c>
      <c r="R18" t="s">
        <v>277</v>
      </c>
      <c r="S18" t="s">
        <v>278</v>
      </c>
      <c r="T18" s="2">
        <v>4.1666666666666664E-2</v>
      </c>
      <c r="U18">
        <v>1</v>
      </c>
      <c r="V18" t="s">
        <v>279</v>
      </c>
      <c r="X18" t="s">
        <v>280</v>
      </c>
      <c r="Z18" t="s">
        <v>281</v>
      </c>
      <c r="AA18" t="s">
        <v>281</v>
      </c>
      <c r="AB18" t="s">
        <v>281</v>
      </c>
      <c r="AC18" t="s">
        <v>281</v>
      </c>
      <c r="AD18" t="s">
        <v>281</v>
      </c>
    </row>
    <row r="19" spans="1:30">
      <c r="A19" t="s">
        <v>282</v>
      </c>
      <c r="B19">
        <v>10</v>
      </c>
      <c r="C19">
        <v>18</v>
      </c>
      <c r="D19">
        <v>2022</v>
      </c>
      <c r="E19" s="1">
        <v>44852</v>
      </c>
      <c r="F19" t="s">
        <v>283</v>
      </c>
      <c r="G19">
        <v>0</v>
      </c>
      <c r="H19">
        <v>2</v>
      </c>
      <c r="I19">
        <v>2</v>
      </c>
      <c r="J19">
        <v>0</v>
      </c>
      <c r="K19" t="s">
        <v>284</v>
      </c>
      <c r="L19" t="s">
        <v>285</v>
      </c>
      <c r="M19" t="s">
        <v>286</v>
      </c>
      <c r="N19" t="s">
        <v>287</v>
      </c>
      <c r="O19" t="s">
        <v>288</v>
      </c>
      <c r="P19" t="s">
        <v>289</v>
      </c>
      <c r="Q19" t="s">
        <v>290</v>
      </c>
      <c r="R19" t="s">
        <v>291</v>
      </c>
      <c r="S19" t="s">
        <v>292</v>
      </c>
      <c r="T19" s="2">
        <v>0.66597222222222219</v>
      </c>
      <c r="U19">
        <v>1</v>
      </c>
      <c r="V19" t="s">
        <v>293</v>
      </c>
      <c r="W19" t="s">
        <v>294</v>
      </c>
      <c r="X19" t="s">
        <v>295</v>
      </c>
      <c r="Z19" t="s">
        <v>296</v>
      </c>
      <c r="AA19" t="s">
        <v>296</v>
      </c>
      <c r="AB19" t="s">
        <v>296</v>
      </c>
      <c r="AC19" t="s">
        <v>296</v>
      </c>
      <c r="AD19" t="s">
        <v>296</v>
      </c>
    </row>
    <row r="20" spans="1:30">
      <c r="A20" t="s">
        <v>297</v>
      </c>
      <c r="B20">
        <v>10</v>
      </c>
      <c r="C20">
        <v>17</v>
      </c>
      <c r="D20">
        <v>2022</v>
      </c>
      <c r="E20" s="1">
        <v>44851</v>
      </c>
      <c r="F20" t="s">
        <v>298</v>
      </c>
      <c r="G20">
        <v>0</v>
      </c>
      <c r="H20">
        <v>0</v>
      </c>
      <c r="I20">
        <v>0</v>
      </c>
      <c r="J20">
        <v>0</v>
      </c>
      <c r="K20" t="s">
        <v>299</v>
      </c>
      <c r="L20" t="s">
        <v>300</v>
      </c>
      <c r="M20" t="s">
        <v>301</v>
      </c>
      <c r="N20" t="s">
        <v>302</v>
      </c>
      <c r="O20" t="s">
        <v>303</v>
      </c>
      <c r="P20" t="s">
        <v>304</v>
      </c>
      <c r="Q20" t="s">
        <v>305</v>
      </c>
      <c r="R20" t="s">
        <v>306</v>
      </c>
      <c r="S20" t="s">
        <v>307</v>
      </c>
      <c r="T20" s="2">
        <v>0.41666666666666669</v>
      </c>
      <c r="U20">
        <v>1</v>
      </c>
      <c r="V20" t="s">
        <v>308</v>
      </c>
      <c r="W20" t="s">
        <v>309</v>
      </c>
      <c r="X20" t="s">
        <v>310</v>
      </c>
      <c r="Z20" t="s">
        <v>311</v>
      </c>
      <c r="AA20" t="s">
        <v>311</v>
      </c>
      <c r="AB20" t="s">
        <v>311</v>
      </c>
      <c r="AC20" t="s">
        <v>311</v>
      </c>
      <c r="AD20" t="s">
        <v>311</v>
      </c>
    </row>
    <row r="21" spans="1:30">
      <c r="A21" t="s">
        <v>312</v>
      </c>
      <c r="B21">
        <v>10</v>
      </c>
      <c r="C21">
        <v>17</v>
      </c>
      <c r="D21">
        <v>2022</v>
      </c>
      <c r="E21" s="1">
        <v>44851</v>
      </c>
      <c r="F21" t="s">
        <v>313</v>
      </c>
      <c r="G21">
        <v>0</v>
      </c>
      <c r="H21">
        <v>0</v>
      </c>
      <c r="I21">
        <v>0</v>
      </c>
      <c r="J21">
        <v>0</v>
      </c>
      <c r="K21" t="s">
        <v>314</v>
      </c>
      <c r="L21" t="s">
        <v>315</v>
      </c>
      <c r="M21" t="s">
        <v>316</v>
      </c>
      <c r="N21" t="s">
        <v>317</v>
      </c>
      <c r="O21" t="s">
        <v>318</v>
      </c>
      <c r="P21" t="s">
        <v>319</v>
      </c>
      <c r="Q21" t="s">
        <v>320</v>
      </c>
      <c r="R21" t="s">
        <v>321</v>
      </c>
      <c r="S21" t="s">
        <v>322</v>
      </c>
      <c r="T21" s="2">
        <v>0.375</v>
      </c>
      <c r="U21">
        <v>1</v>
      </c>
      <c r="V21" t="s">
        <v>323</v>
      </c>
      <c r="W21" t="s">
        <v>324</v>
      </c>
      <c r="X21" t="s">
        <v>325</v>
      </c>
      <c r="Y21" t="s">
        <v>326</v>
      </c>
      <c r="Z21" t="s">
        <v>326</v>
      </c>
      <c r="AA21" t="s">
        <v>326</v>
      </c>
      <c r="AB21" t="s">
        <v>326</v>
      </c>
      <c r="AC21" t="s">
        <v>326</v>
      </c>
      <c r="AD21" t="s">
        <v>326</v>
      </c>
    </row>
    <row r="22" spans="1:30">
      <c r="A22" t="s">
        <v>327</v>
      </c>
      <c r="B22">
        <v>10</v>
      </c>
      <c r="C22">
        <v>16</v>
      </c>
      <c r="D22">
        <v>2022</v>
      </c>
      <c r="E22" s="1">
        <v>44850</v>
      </c>
      <c r="F22" t="s">
        <v>328</v>
      </c>
      <c r="G22">
        <v>0</v>
      </c>
      <c r="H22">
        <v>3</v>
      </c>
      <c r="I22">
        <v>3</v>
      </c>
      <c r="J22">
        <v>0</v>
      </c>
      <c r="K22" t="s">
        <v>329</v>
      </c>
      <c r="L22" t="s">
        <v>330</v>
      </c>
      <c r="M22" t="s">
        <v>331</v>
      </c>
      <c r="N22" t="s">
        <v>332</v>
      </c>
      <c r="O22" t="s">
        <v>333</v>
      </c>
      <c r="P22" t="s">
        <v>334</v>
      </c>
      <c r="Q22" t="s">
        <v>335</v>
      </c>
      <c r="R22" t="s">
        <v>336</v>
      </c>
      <c r="S22" t="s">
        <v>337</v>
      </c>
      <c r="T22" s="2">
        <v>0.59375</v>
      </c>
      <c r="U22">
        <v>1</v>
      </c>
      <c r="V22" t="s">
        <v>338</v>
      </c>
      <c r="Z22" t="s">
        <v>339</v>
      </c>
      <c r="AA22" t="s">
        <v>339</v>
      </c>
      <c r="AB22" t="s">
        <v>339</v>
      </c>
      <c r="AC22" t="s">
        <v>339</v>
      </c>
      <c r="AD22" t="s">
        <v>339</v>
      </c>
    </row>
    <row r="23" spans="1:30">
      <c r="A23" t="s">
        <v>340</v>
      </c>
      <c r="B23">
        <v>10</v>
      </c>
      <c r="C23">
        <v>14</v>
      </c>
      <c r="D23">
        <v>2022</v>
      </c>
      <c r="E23" s="1">
        <v>44848</v>
      </c>
      <c r="F23" t="s">
        <v>341</v>
      </c>
      <c r="G23">
        <v>0</v>
      </c>
      <c r="H23">
        <v>0</v>
      </c>
      <c r="I23">
        <v>0</v>
      </c>
      <c r="J23">
        <v>0</v>
      </c>
      <c r="K23" t="s">
        <v>342</v>
      </c>
      <c r="L23" t="s">
        <v>343</v>
      </c>
      <c r="M23" t="s">
        <v>344</v>
      </c>
      <c r="N23" t="s">
        <v>345</v>
      </c>
      <c r="O23" t="s">
        <v>346</v>
      </c>
      <c r="P23" t="s">
        <v>347</v>
      </c>
      <c r="Q23" t="s">
        <v>348</v>
      </c>
      <c r="R23" t="s">
        <v>349</v>
      </c>
      <c r="S23" t="s">
        <v>350</v>
      </c>
      <c r="T23" s="2">
        <v>0.875</v>
      </c>
      <c r="U23">
        <v>1</v>
      </c>
      <c r="V23" t="s">
        <v>351</v>
      </c>
      <c r="Z23" t="s">
        <v>352</v>
      </c>
      <c r="AA23" t="s">
        <v>352</v>
      </c>
      <c r="AB23" t="s">
        <v>352</v>
      </c>
      <c r="AC23" t="s">
        <v>352</v>
      </c>
      <c r="AD23" t="s">
        <v>352</v>
      </c>
    </row>
    <row r="24" spans="1:30">
      <c r="A24" t="s">
        <v>353</v>
      </c>
      <c r="B24">
        <v>10</v>
      </c>
      <c r="C24">
        <v>14</v>
      </c>
      <c r="D24">
        <v>2022</v>
      </c>
      <c r="E24" s="1">
        <v>44848</v>
      </c>
      <c r="F24" t="s">
        <v>354</v>
      </c>
      <c r="G24">
        <v>0</v>
      </c>
      <c r="H24">
        <v>1</v>
      </c>
      <c r="I24">
        <v>1</v>
      </c>
      <c r="J24">
        <v>0</v>
      </c>
      <c r="K24" t="s">
        <v>355</v>
      </c>
      <c r="L24" t="s">
        <v>356</v>
      </c>
      <c r="M24" t="s">
        <v>357</v>
      </c>
      <c r="N24" t="s">
        <v>358</v>
      </c>
      <c r="O24" t="s">
        <v>359</v>
      </c>
      <c r="P24" t="s">
        <v>360</v>
      </c>
      <c r="Q24" t="s">
        <v>361</v>
      </c>
      <c r="R24" t="s">
        <v>362</v>
      </c>
      <c r="S24" t="s">
        <v>363</v>
      </c>
      <c r="T24" s="2">
        <v>0.9277777777777777</v>
      </c>
      <c r="U24">
        <v>1</v>
      </c>
      <c r="V24" t="s">
        <v>364</v>
      </c>
      <c r="W24" t="s">
        <v>365</v>
      </c>
      <c r="X24" t="s">
        <v>366</v>
      </c>
      <c r="Y24" t="s">
        <v>367</v>
      </c>
      <c r="Z24" t="s">
        <v>368</v>
      </c>
      <c r="AA24" t="s">
        <v>368</v>
      </c>
      <c r="AB24" t="s">
        <v>368</v>
      </c>
      <c r="AC24" t="s">
        <v>368</v>
      </c>
      <c r="AD24" t="s">
        <v>368</v>
      </c>
    </row>
    <row r="25" spans="1:30">
      <c r="A25" t="s">
        <v>369</v>
      </c>
      <c r="B25">
        <v>10</v>
      </c>
      <c r="C25">
        <v>14</v>
      </c>
      <c r="D25">
        <v>2022</v>
      </c>
      <c r="E25" s="1">
        <v>44848</v>
      </c>
      <c r="F25" t="s">
        <v>370</v>
      </c>
      <c r="G25">
        <v>1</v>
      </c>
      <c r="H25">
        <v>1</v>
      </c>
      <c r="I25">
        <v>2</v>
      </c>
      <c r="J25">
        <v>0</v>
      </c>
      <c r="K25" t="s">
        <v>371</v>
      </c>
      <c r="L25" t="s">
        <v>372</v>
      </c>
      <c r="M25" t="s">
        <v>373</v>
      </c>
      <c r="N25" t="s">
        <v>374</v>
      </c>
      <c r="O25" t="s">
        <v>375</v>
      </c>
      <c r="P25" t="s">
        <v>376</v>
      </c>
      <c r="Q25" t="s">
        <v>377</v>
      </c>
      <c r="R25" t="s">
        <v>378</v>
      </c>
      <c r="S25" t="s">
        <v>379</v>
      </c>
      <c r="T25" s="2">
        <v>0.59375</v>
      </c>
      <c r="U25">
        <v>1</v>
      </c>
      <c r="V25" t="s">
        <v>380</v>
      </c>
      <c r="W25" t="s">
        <v>381</v>
      </c>
      <c r="X25" t="s">
        <v>382</v>
      </c>
      <c r="Y25" t="s">
        <v>383</v>
      </c>
      <c r="Z25" t="s">
        <v>383</v>
      </c>
      <c r="AA25" t="s">
        <v>383</v>
      </c>
      <c r="AB25" t="s">
        <v>383</v>
      </c>
      <c r="AC25" t="s">
        <v>383</v>
      </c>
      <c r="AD25" t="s">
        <v>383</v>
      </c>
    </row>
    <row r="26" spans="1:30">
      <c r="A26" t="s">
        <v>384</v>
      </c>
      <c r="B26">
        <v>10</v>
      </c>
      <c r="C26">
        <v>14</v>
      </c>
      <c r="D26">
        <v>2022</v>
      </c>
      <c r="E26" s="1">
        <v>44848</v>
      </c>
      <c r="F26" t="s">
        <v>385</v>
      </c>
      <c r="G26">
        <v>0</v>
      </c>
      <c r="H26">
        <v>0</v>
      </c>
      <c r="I26">
        <v>0</v>
      </c>
      <c r="J26">
        <v>1</v>
      </c>
      <c r="K26" t="s">
        <v>386</v>
      </c>
      <c r="L26" t="s">
        <v>387</v>
      </c>
      <c r="M26" t="s">
        <v>388</v>
      </c>
      <c r="N26" t="s">
        <v>389</v>
      </c>
      <c r="O26" t="s">
        <v>390</v>
      </c>
      <c r="P26" t="s">
        <v>391</v>
      </c>
      <c r="Q26" t="s">
        <v>392</v>
      </c>
      <c r="R26" t="s">
        <v>393</v>
      </c>
      <c r="S26" t="s">
        <v>394</v>
      </c>
      <c r="T26" s="2">
        <v>0.875</v>
      </c>
      <c r="U26">
        <v>1</v>
      </c>
      <c r="V26" t="s">
        <v>395</v>
      </c>
      <c r="Y26" t="s">
        <v>396</v>
      </c>
      <c r="Z26" t="s">
        <v>396</v>
      </c>
      <c r="AA26" t="s">
        <v>396</v>
      </c>
      <c r="AB26" t="s">
        <v>396</v>
      </c>
      <c r="AC26" t="s">
        <v>396</v>
      </c>
      <c r="AD26" t="s">
        <v>396</v>
      </c>
    </row>
    <row r="27" spans="1:30">
      <c r="A27" t="s">
        <v>397</v>
      </c>
      <c r="B27">
        <v>10</v>
      </c>
      <c r="C27">
        <v>14</v>
      </c>
      <c r="D27">
        <v>2022</v>
      </c>
      <c r="E27" s="1">
        <v>44848</v>
      </c>
      <c r="F27" t="s">
        <v>398</v>
      </c>
      <c r="G27">
        <v>0</v>
      </c>
      <c r="H27">
        <v>0</v>
      </c>
      <c r="I27">
        <v>0</v>
      </c>
      <c r="J27">
        <v>0</v>
      </c>
      <c r="K27" t="s">
        <v>399</v>
      </c>
      <c r="L27" t="s">
        <v>400</v>
      </c>
      <c r="M27" t="s">
        <v>401</v>
      </c>
      <c r="N27" t="s">
        <v>402</v>
      </c>
      <c r="O27" t="s">
        <v>403</v>
      </c>
      <c r="P27" t="s">
        <v>404</v>
      </c>
      <c r="Q27" t="s">
        <v>405</v>
      </c>
      <c r="R27" t="s">
        <v>406</v>
      </c>
      <c r="S27" t="s">
        <v>407</v>
      </c>
      <c r="T27" s="2">
        <v>0.83333333333333337</v>
      </c>
      <c r="U27">
        <v>1</v>
      </c>
      <c r="V27" t="s">
        <v>408</v>
      </c>
      <c r="W27" t="s">
        <v>409</v>
      </c>
      <c r="X27" t="s">
        <v>410</v>
      </c>
      <c r="Y27" t="s">
        <v>411</v>
      </c>
      <c r="Z27" t="s">
        <v>411</v>
      </c>
      <c r="AA27" t="s">
        <v>411</v>
      </c>
      <c r="AB27" t="s">
        <v>411</v>
      </c>
      <c r="AC27" t="s">
        <v>411</v>
      </c>
      <c r="AD27" t="s">
        <v>411</v>
      </c>
    </row>
    <row r="28" spans="1:30">
      <c r="A28" t="s">
        <v>412</v>
      </c>
      <c r="B28">
        <v>10</v>
      </c>
      <c r="C28">
        <v>13</v>
      </c>
      <c r="D28">
        <v>2022</v>
      </c>
      <c r="E28" s="1">
        <v>44847</v>
      </c>
      <c r="F28" t="s">
        <v>413</v>
      </c>
      <c r="G28">
        <v>0</v>
      </c>
      <c r="H28">
        <v>1</v>
      </c>
      <c r="I28">
        <v>1</v>
      </c>
      <c r="J28">
        <v>0</v>
      </c>
      <c r="K28" t="s">
        <v>414</v>
      </c>
      <c r="L28" t="s">
        <v>415</v>
      </c>
      <c r="M28" t="s">
        <v>416</v>
      </c>
      <c r="N28" t="s">
        <v>417</v>
      </c>
      <c r="O28" t="s">
        <v>418</v>
      </c>
      <c r="P28" t="s">
        <v>419</v>
      </c>
      <c r="Q28" t="s">
        <v>419</v>
      </c>
      <c r="R28" t="s">
        <v>420</v>
      </c>
      <c r="S28" t="s">
        <v>421</v>
      </c>
      <c r="T28" s="2">
        <v>0.45833333333333331</v>
      </c>
      <c r="U28">
        <v>1</v>
      </c>
      <c r="V28" t="s">
        <v>422</v>
      </c>
      <c r="X28" t="s">
        <v>423</v>
      </c>
      <c r="Y28" t="s">
        <v>424</v>
      </c>
      <c r="Z28" t="s">
        <v>425</v>
      </c>
      <c r="AA28" t="s">
        <v>425</v>
      </c>
      <c r="AB28" t="s">
        <v>425</v>
      </c>
      <c r="AC28" t="s">
        <v>425</v>
      </c>
      <c r="AD28" t="s">
        <v>425</v>
      </c>
    </row>
    <row r="29" spans="1:30">
      <c r="A29" t="s">
        <v>426</v>
      </c>
      <c r="B29">
        <v>10</v>
      </c>
      <c r="C29">
        <v>13</v>
      </c>
      <c r="D29">
        <v>2022</v>
      </c>
      <c r="E29" s="1">
        <v>44847</v>
      </c>
      <c r="F29" t="s">
        <v>427</v>
      </c>
      <c r="G29">
        <v>0</v>
      </c>
      <c r="H29">
        <v>0</v>
      </c>
      <c r="I29">
        <v>0</v>
      </c>
      <c r="J29">
        <v>0</v>
      </c>
      <c r="K29" t="s">
        <v>428</v>
      </c>
      <c r="L29" t="s">
        <v>429</v>
      </c>
      <c r="M29" t="s">
        <v>430</v>
      </c>
      <c r="N29" t="s">
        <v>431</v>
      </c>
      <c r="O29" t="s">
        <v>432</v>
      </c>
      <c r="P29" t="s">
        <v>433</v>
      </c>
      <c r="Q29" t="s">
        <v>434</v>
      </c>
      <c r="R29" t="s">
        <v>435</v>
      </c>
      <c r="S29" t="s">
        <v>436</v>
      </c>
      <c r="T29" s="2">
        <v>0.33333333333333331</v>
      </c>
      <c r="U29">
        <v>1</v>
      </c>
      <c r="V29" t="s">
        <v>437</v>
      </c>
      <c r="W29" t="s">
        <v>438</v>
      </c>
      <c r="X29" t="s">
        <v>439</v>
      </c>
      <c r="Y29" t="s">
        <v>440</v>
      </c>
      <c r="Z29" t="s">
        <v>440</v>
      </c>
      <c r="AA29" t="s">
        <v>440</v>
      </c>
      <c r="AB29" t="s">
        <v>440</v>
      </c>
      <c r="AC29" t="s">
        <v>440</v>
      </c>
      <c r="AD29" t="s">
        <v>440</v>
      </c>
    </row>
    <row r="30" spans="1:30">
      <c r="A30" t="s">
        <v>441</v>
      </c>
      <c r="B30">
        <v>10</v>
      </c>
      <c r="C30">
        <v>12</v>
      </c>
      <c r="D30">
        <v>2022</v>
      </c>
      <c r="E30" s="1">
        <v>44846</v>
      </c>
      <c r="F30" t="s">
        <v>442</v>
      </c>
      <c r="G30">
        <v>0</v>
      </c>
      <c r="H30">
        <v>0</v>
      </c>
      <c r="I30">
        <v>0</v>
      </c>
      <c r="J30">
        <v>0</v>
      </c>
      <c r="K30" t="s">
        <v>443</v>
      </c>
      <c r="L30" t="s">
        <v>444</v>
      </c>
      <c r="M30" t="s">
        <v>445</v>
      </c>
      <c r="N30" t="s">
        <v>446</v>
      </c>
      <c r="O30" t="s">
        <v>447</v>
      </c>
      <c r="P30" t="s">
        <v>448</v>
      </c>
      <c r="Q30" t="s">
        <v>449</v>
      </c>
      <c r="R30" t="s">
        <v>450</v>
      </c>
      <c r="S30" t="s">
        <v>451</v>
      </c>
      <c r="T30" s="2">
        <v>0.57638888888888884</v>
      </c>
      <c r="U30">
        <v>1</v>
      </c>
      <c r="V30" t="s">
        <v>452</v>
      </c>
      <c r="W30" t="s">
        <v>453</v>
      </c>
      <c r="Y30" t="s">
        <v>454</v>
      </c>
      <c r="Z30" t="s">
        <v>455</v>
      </c>
      <c r="AA30" t="s">
        <v>455</v>
      </c>
      <c r="AB30" t="s">
        <v>455</v>
      </c>
      <c r="AC30" t="s">
        <v>455</v>
      </c>
      <c r="AD30" t="s">
        <v>455</v>
      </c>
    </row>
    <row r="31" spans="1:30">
      <c r="A31" t="s">
        <v>456</v>
      </c>
      <c r="B31">
        <v>10</v>
      </c>
      <c r="C31">
        <v>11</v>
      </c>
      <c r="D31">
        <v>2022</v>
      </c>
      <c r="E31" s="1">
        <v>44845</v>
      </c>
      <c r="F31" t="s">
        <v>457</v>
      </c>
      <c r="G31">
        <v>0</v>
      </c>
      <c r="H31">
        <v>0</v>
      </c>
      <c r="I31">
        <v>0</v>
      </c>
      <c r="J31">
        <v>0</v>
      </c>
      <c r="K31" t="s">
        <v>458</v>
      </c>
      <c r="L31" t="s">
        <v>459</v>
      </c>
      <c r="M31" t="s">
        <v>460</v>
      </c>
      <c r="N31" t="s">
        <v>461</v>
      </c>
      <c r="O31" t="s">
        <v>462</v>
      </c>
      <c r="P31" t="s">
        <v>463</v>
      </c>
      <c r="Q31" t="s">
        <v>464</v>
      </c>
      <c r="R31" t="s">
        <v>465</v>
      </c>
      <c r="S31" t="s">
        <v>466</v>
      </c>
      <c r="T31" s="2">
        <v>0.625</v>
      </c>
      <c r="U31">
        <v>1</v>
      </c>
      <c r="V31" t="s">
        <v>467</v>
      </c>
      <c r="Y31" t="s">
        <v>468</v>
      </c>
      <c r="Z31" t="s">
        <v>468</v>
      </c>
      <c r="AA31" t="s">
        <v>468</v>
      </c>
      <c r="AB31" t="s">
        <v>468</v>
      </c>
      <c r="AC31" t="s">
        <v>468</v>
      </c>
      <c r="AD31" t="s">
        <v>468</v>
      </c>
    </row>
    <row r="32" spans="1:30">
      <c r="A32" t="s">
        <v>469</v>
      </c>
      <c r="B32">
        <v>10</v>
      </c>
      <c r="C32">
        <v>11</v>
      </c>
      <c r="D32">
        <v>2022</v>
      </c>
      <c r="E32" s="1">
        <v>44845</v>
      </c>
      <c r="F32" t="s">
        <v>470</v>
      </c>
      <c r="G32">
        <v>0</v>
      </c>
      <c r="H32">
        <v>0</v>
      </c>
      <c r="I32">
        <v>0</v>
      </c>
      <c r="J32">
        <v>0</v>
      </c>
      <c r="K32" t="s">
        <v>471</v>
      </c>
      <c r="L32" t="s">
        <v>472</v>
      </c>
      <c r="M32" t="s">
        <v>473</v>
      </c>
      <c r="N32" t="s">
        <v>474</v>
      </c>
      <c r="O32" t="s">
        <v>475</v>
      </c>
      <c r="P32" t="s">
        <v>476</v>
      </c>
      <c r="Q32" t="s">
        <v>477</v>
      </c>
      <c r="R32" t="s">
        <v>478</v>
      </c>
      <c r="S32" t="s">
        <v>479</v>
      </c>
      <c r="T32" s="2">
        <v>0.5</v>
      </c>
      <c r="U32">
        <v>1</v>
      </c>
      <c r="V32" t="s">
        <v>480</v>
      </c>
      <c r="W32" t="s">
        <v>481</v>
      </c>
      <c r="Y32" t="s">
        <v>482</v>
      </c>
      <c r="Z32" t="s">
        <v>482</v>
      </c>
      <c r="AA32" t="s">
        <v>482</v>
      </c>
      <c r="AB32" t="s">
        <v>482</v>
      </c>
      <c r="AC32" t="s">
        <v>482</v>
      </c>
      <c r="AD32" t="s">
        <v>482</v>
      </c>
    </row>
    <row r="33" spans="1:30">
      <c r="A33" t="s">
        <v>483</v>
      </c>
      <c r="B33">
        <v>10</v>
      </c>
      <c r="C33">
        <v>10</v>
      </c>
      <c r="D33">
        <v>2022</v>
      </c>
      <c r="E33" s="1">
        <v>44844</v>
      </c>
      <c r="F33" t="s">
        <v>484</v>
      </c>
      <c r="G33">
        <v>0</v>
      </c>
      <c r="H33">
        <v>1</v>
      </c>
      <c r="I33">
        <v>1</v>
      </c>
      <c r="J33">
        <v>0</v>
      </c>
      <c r="K33" t="s">
        <v>485</v>
      </c>
      <c r="L33" t="s">
        <v>486</v>
      </c>
      <c r="M33" t="s">
        <v>487</v>
      </c>
      <c r="N33" t="s">
        <v>488</v>
      </c>
      <c r="O33" t="s">
        <v>489</v>
      </c>
      <c r="P33" t="s">
        <v>490</v>
      </c>
      <c r="Q33" t="s">
        <v>491</v>
      </c>
      <c r="R33" t="s">
        <v>492</v>
      </c>
      <c r="S33" t="s">
        <v>493</v>
      </c>
      <c r="T33" s="2">
        <v>0.625</v>
      </c>
      <c r="U33">
        <v>1</v>
      </c>
      <c r="V33" t="s">
        <v>494</v>
      </c>
      <c r="Y33" t="s">
        <v>495</v>
      </c>
      <c r="Z33" t="s">
        <v>495</v>
      </c>
      <c r="AA33" t="s">
        <v>495</v>
      </c>
      <c r="AB33" t="s">
        <v>495</v>
      </c>
      <c r="AC33" t="s">
        <v>495</v>
      </c>
      <c r="AD33" t="s">
        <v>495</v>
      </c>
    </row>
    <row r="34" spans="1:30">
      <c r="A34" t="s">
        <v>496</v>
      </c>
      <c r="B34">
        <v>10</v>
      </c>
      <c r="C34">
        <v>9</v>
      </c>
      <c r="D34">
        <v>2022</v>
      </c>
      <c r="E34" s="1">
        <v>44843</v>
      </c>
      <c r="F34" t="s">
        <v>497</v>
      </c>
      <c r="G34">
        <v>0</v>
      </c>
      <c r="H34">
        <v>1</v>
      </c>
      <c r="I34">
        <v>1</v>
      </c>
      <c r="J34">
        <v>0</v>
      </c>
      <c r="K34" t="s">
        <v>498</v>
      </c>
      <c r="L34" t="s">
        <v>499</v>
      </c>
      <c r="M34" t="s">
        <v>500</v>
      </c>
      <c r="N34" t="s">
        <v>501</v>
      </c>
      <c r="O34" t="s">
        <v>502</v>
      </c>
      <c r="P34" t="s">
        <v>503</v>
      </c>
      <c r="Q34" t="s">
        <v>504</v>
      </c>
      <c r="R34" t="s">
        <v>505</v>
      </c>
      <c r="S34" t="s">
        <v>506</v>
      </c>
      <c r="T34" s="2">
        <v>8.3333333333333329E-2</v>
      </c>
      <c r="U34">
        <v>1</v>
      </c>
      <c r="V34" t="s">
        <v>507</v>
      </c>
      <c r="Y34" t="s">
        <v>508</v>
      </c>
      <c r="Z34" t="s">
        <v>508</v>
      </c>
      <c r="AA34" t="s">
        <v>508</v>
      </c>
      <c r="AB34" t="s">
        <v>508</v>
      </c>
      <c r="AC34" t="s">
        <v>508</v>
      </c>
      <c r="AD34" t="s">
        <v>508</v>
      </c>
    </row>
    <row r="35" spans="1:30">
      <c r="A35" t="s">
        <v>509</v>
      </c>
      <c r="B35">
        <v>10</v>
      </c>
      <c r="C35">
        <v>8</v>
      </c>
      <c r="D35">
        <v>2022</v>
      </c>
      <c r="E35" s="1">
        <v>44842</v>
      </c>
      <c r="F35" t="s">
        <v>510</v>
      </c>
      <c r="G35">
        <v>0</v>
      </c>
      <c r="H35">
        <v>0</v>
      </c>
      <c r="I35">
        <v>0</v>
      </c>
      <c r="J35">
        <v>0</v>
      </c>
      <c r="K35" t="s">
        <v>511</v>
      </c>
      <c r="L35" t="s">
        <v>512</v>
      </c>
      <c r="M35" t="s">
        <v>513</v>
      </c>
      <c r="N35" t="s">
        <v>514</v>
      </c>
      <c r="O35" t="s">
        <v>515</v>
      </c>
      <c r="P35" t="s">
        <v>516</v>
      </c>
      <c r="Q35" t="s">
        <v>517</v>
      </c>
      <c r="R35" t="s">
        <v>518</v>
      </c>
      <c r="S35" t="s">
        <v>519</v>
      </c>
      <c r="T35" s="2">
        <v>0.88888888888888884</v>
      </c>
      <c r="U35">
        <v>1</v>
      </c>
      <c r="V35" t="s">
        <v>520</v>
      </c>
      <c r="W35" t="s">
        <v>521</v>
      </c>
      <c r="Y35" t="s">
        <v>522</v>
      </c>
      <c r="Z35" t="s">
        <v>522</v>
      </c>
      <c r="AA35" t="s">
        <v>522</v>
      </c>
      <c r="AB35" t="s">
        <v>522</v>
      </c>
      <c r="AC35" t="s">
        <v>522</v>
      </c>
      <c r="AD35" t="s">
        <v>522</v>
      </c>
    </row>
    <row r="36" spans="1:30">
      <c r="A36" t="s">
        <v>523</v>
      </c>
      <c r="B36">
        <v>10</v>
      </c>
      <c r="C36">
        <v>7</v>
      </c>
      <c r="D36">
        <v>2022</v>
      </c>
      <c r="E36" s="1">
        <v>44841</v>
      </c>
      <c r="F36" t="s">
        <v>524</v>
      </c>
      <c r="G36">
        <v>0</v>
      </c>
      <c r="H36">
        <v>0</v>
      </c>
      <c r="I36">
        <v>0</v>
      </c>
      <c r="J36">
        <v>0</v>
      </c>
      <c r="K36" t="s">
        <v>525</v>
      </c>
      <c r="L36" t="s">
        <v>526</v>
      </c>
      <c r="M36" t="s">
        <v>527</v>
      </c>
      <c r="N36" t="s">
        <v>528</v>
      </c>
      <c r="O36" t="s">
        <v>529</v>
      </c>
      <c r="P36" t="s">
        <v>530</v>
      </c>
      <c r="Q36" t="s">
        <v>531</v>
      </c>
      <c r="R36" t="s">
        <v>532</v>
      </c>
      <c r="S36" t="s">
        <v>533</v>
      </c>
      <c r="T36" s="2">
        <v>0.875</v>
      </c>
      <c r="U36">
        <v>1</v>
      </c>
      <c r="V36" t="s">
        <v>534</v>
      </c>
      <c r="Y36" t="s">
        <v>535</v>
      </c>
      <c r="Z36" t="s">
        <v>535</v>
      </c>
      <c r="AA36" t="s">
        <v>535</v>
      </c>
      <c r="AB36" t="s">
        <v>535</v>
      </c>
      <c r="AC36" t="s">
        <v>535</v>
      </c>
      <c r="AD36" t="s">
        <v>535</v>
      </c>
    </row>
    <row r="37" spans="1:30">
      <c r="A37" t="s">
        <v>536</v>
      </c>
      <c r="B37">
        <v>10</v>
      </c>
      <c r="C37">
        <v>7</v>
      </c>
      <c r="D37">
        <v>2022</v>
      </c>
      <c r="E37" s="1">
        <v>44841</v>
      </c>
      <c r="F37" t="s">
        <v>537</v>
      </c>
      <c r="G37">
        <v>0</v>
      </c>
      <c r="H37">
        <v>3</v>
      </c>
      <c r="I37">
        <v>3</v>
      </c>
      <c r="J37">
        <v>0</v>
      </c>
      <c r="K37" t="s">
        <v>538</v>
      </c>
      <c r="L37" t="s">
        <v>539</v>
      </c>
      <c r="M37" t="s">
        <v>540</v>
      </c>
      <c r="N37" t="s">
        <v>541</v>
      </c>
      <c r="O37" t="s">
        <v>542</v>
      </c>
      <c r="P37" t="s">
        <v>543</v>
      </c>
      <c r="Q37" t="s">
        <v>544</v>
      </c>
      <c r="R37" t="s">
        <v>545</v>
      </c>
      <c r="S37" t="s">
        <v>546</v>
      </c>
      <c r="T37" s="2">
        <v>0.89583333333333337</v>
      </c>
      <c r="U37">
        <v>1</v>
      </c>
      <c r="V37" t="s">
        <v>547</v>
      </c>
      <c r="W37" t="s">
        <v>548</v>
      </c>
      <c r="X37" t="s">
        <v>549</v>
      </c>
      <c r="Y37" t="s">
        <v>550</v>
      </c>
      <c r="Z37" t="s">
        <v>550</v>
      </c>
      <c r="AA37" t="s">
        <v>550</v>
      </c>
      <c r="AB37" t="s">
        <v>550</v>
      </c>
      <c r="AC37" t="s">
        <v>550</v>
      </c>
      <c r="AD37" t="s">
        <v>550</v>
      </c>
    </row>
    <row r="38" spans="1:30">
      <c r="A38" t="s">
        <v>551</v>
      </c>
      <c r="B38">
        <v>10</v>
      </c>
      <c r="C38">
        <v>7</v>
      </c>
      <c r="D38">
        <v>2022</v>
      </c>
      <c r="E38" s="1">
        <v>44841</v>
      </c>
      <c r="F38" t="s">
        <v>552</v>
      </c>
      <c r="G38">
        <v>0</v>
      </c>
      <c r="H38">
        <v>0</v>
      </c>
      <c r="I38">
        <v>0</v>
      </c>
      <c r="J38">
        <v>0</v>
      </c>
      <c r="K38" t="s">
        <v>553</v>
      </c>
      <c r="L38" t="s">
        <v>554</v>
      </c>
      <c r="M38" t="s">
        <v>555</v>
      </c>
      <c r="N38" t="s">
        <v>556</v>
      </c>
      <c r="O38" t="s">
        <v>557</v>
      </c>
      <c r="P38" t="s">
        <v>558</v>
      </c>
      <c r="Q38" t="s">
        <v>559</v>
      </c>
      <c r="R38" t="s">
        <v>560</v>
      </c>
      <c r="S38" t="s">
        <v>561</v>
      </c>
      <c r="T38" s="2">
        <v>0.875</v>
      </c>
      <c r="U38">
        <v>1</v>
      </c>
      <c r="V38" t="s">
        <v>562</v>
      </c>
      <c r="W38" t="s">
        <v>563</v>
      </c>
      <c r="Y38" t="s">
        <v>564</v>
      </c>
      <c r="Z38" t="s">
        <v>564</v>
      </c>
      <c r="AA38" t="s">
        <v>564</v>
      </c>
      <c r="AB38" t="s">
        <v>564</v>
      </c>
      <c r="AC38" t="s">
        <v>564</v>
      </c>
      <c r="AD38" t="s">
        <v>564</v>
      </c>
    </row>
    <row r="39" spans="1:30">
      <c r="A39" t="s">
        <v>565</v>
      </c>
      <c r="B39">
        <v>10</v>
      </c>
      <c r="C39">
        <v>7</v>
      </c>
      <c r="D39">
        <v>2022</v>
      </c>
      <c r="E39" s="1">
        <v>44841</v>
      </c>
      <c r="F39" t="s">
        <v>566</v>
      </c>
      <c r="G39">
        <v>0</v>
      </c>
      <c r="H39">
        <v>1</v>
      </c>
      <c r="I39">
        <v>1</v>
      </c>
      <c r="J39">
        <v>0</v>
      </c>
      <c r="K39" t="s">
        <v>567</v>
      </c>
      <c r="L39" t="s">
        <v>568</v>
      </c>
      <c r="M39" t="s">
        <v>569</v>
      </c>
      <c r="N39" t="s">
        <v>570</v>
      </c>
      <c r="O39" t="s">
        <v>571</v>
      </c>
      <c r="P39" t="s">
        <v>572</v>
      </c>
      <c r="Q39" t="s">
        <v>573</v>
      </c>
      <c r="R39" t="s">
        <v>574</v>
      </c>
      <c r="S39" t="s">
        <v>575</v>
      </c>
      <c r="T39" s="2">
        <v>0.875</v>
      </c>
      <c r="U39">
        <v>1</v>
      </c>
      <c r="V39" t="s">
        <v>576</v>
      </c>
      <c r="Y39" t="s">
        <v>577</v>
      </c>
      <c r="Z39" t="s">
        <v>577</v>
      </c>
      <c r="AA39" t="s">
        <v>577</v>
      </c>
      <c r="AB39" t="s">
        <v>577</v>
      </c>
      <c r="AC39" t="s">
        <v>577</v>
      </c>
      <c r="AD39" t="s">
        <v>577</v>
      </c>
    </row>
    <row r="40" spans="1:30">
      <c r="A40" t="s">
        <v>578</v>
      </c>
      <c r="B40">
        <v>10</v>
      </c>
      <c r="C40">
        <v>6</v>
      </c>
      <c r="D40">
        <v>2022</v>
      </c>
      <c r="E40" s="1">
        <v>44840</v>
      </c>
      <c r="F40" t="s">
        <v>579</v>
      </c>
      <c r="G40">
        <v>0</v>
      </c>
      <c r="H40">
        <v>0</v>
      </c>
      <c r="I40">
        <v>0</v>
      </c>
      <c r="J40">
        <v>0</v>
      </c>
      <c r="K40" t="s">
        <v>580</v>
      </c>
      <c r="L40" t="s">
        <v>581</v>
      </c>
      <c r="M40" t="s">
        <v>582</v>
      </c>
      <c r="N40" t="s">
        <v>583</v>
      </c>
      <c r="O40" t="s">
        <v>584</v>
      </c>
      <c r="P40" t="s">
        <v>585</v>
      </c>
      <c r="Q40" t="s">
        <v>586</v>
      </c>
      <c r="R40" t="s">
        <v>587</v>
      </c>
      <c r="S40" t="s">
        <v>588</v>
      </c>
      <c r="T40" s="2">
        <v>0.84027777777777779</v>
      </c>
      <c r="U40">
        <v>1</v>
      </c>
      <c r="V40" t="s">
        <v>589</v>
      </c>
      <c r="W40" t="s">
        <v>590</v>
      </c>
      <c r="X40" t="s">
        <v>591</v>
      </c>
      <c r="Y40" t="s">
        <v>592</v>
      </c>
      <c r="Z40" t="s">
        <v>592</v>
      </c>
      <c r="AA40" t="s">
        <v>592</v>
      </c>
      <c r="AB40" t="s">
        <v>592</v>
      </c>
      <c r="AC40" t="s">
        <v>592</v>
      </c>
      <c r="AD40" t="s">
        <v>592</v>
      </c>
    </row>
    <row r="41" spans="1:30">
      <c r="A41" t="s">
        <v>593</v>
      </c>
      <c r="B41">
        <v>10</v>
      </c>
      <c r="C41">
        <v>4</v>
      </c>
      <c r="D41">
        <v>2022</v>
      </c>
      <c r="E41" s="1">
        <v>44838</v>
      </c>
      <c r="F41" t="s">
        <v>594</v>
      </c>
      <c r="G41">
        <v>0</v>
      </c>
      <c r="H41">
        <v>1</v>
      </c>
      <c r="I41">
        <v>1</v>
      </c>
      <c r="J41">
        <v>0</v>
      </c>
      <c r="K41" t="s">
        <v>595</v>
      </c>
      <c r="L41" t="s">
        <v>596</v>
      </c>
      <c r="M41" t="s">
        <v>597</v>
      </c>
      <c r="N41" t="s">
        <v>598</v>
      </c>
      <c r="O41" t="s">
        <v>599</v>
      </c>
      <c r="P41" t="s">
        <v>600</v>
      </c>
      <c r="Q41" t="s">
        <v>601</v>
      </c>
      <c r="R41" t="s">
        <v>602</v>
      </c>
      <c r="S41" t="s">
        <v>603</v>
      </c>
      <c r="T41" s="2">
        <v>0.39583333333333331</v>
      </c>
      <c r="U41">
        <v>1</v>
      </c>
      <c r="V41" t="s">
        <v>604</v>
      </c>
      <c r="X41" t="s">
        <v>605</v>
      </c>
      <c r="Y41" t="s">
        <v>606</v>
      </c>
      <c r="Z41" t="s">
        <v>606</v>
      </c>
      <c r="AA41" t="s">
        <v>606</v>
      </c>
      <c r="AC41" t="s">
        <v>606</v>
      </c>
      <c r="AD41" t="s">
        <v>606</v>
      </c>
    </row>
    <row r="42" spans="1:30">
      <c r="A42" t="s">
        <v>607</v>
      </c>
      <c r="B42">
        <v>10</v>
      </c>
      <c r="C42">
        <v>4</v>
      </c>
      <c r="D42">
        <v>2022</v>
      </c>
      <c r="E42" s="1">
        <v>44838</v>
      </c>
      <c r="F42" t="s">
        <v>608</v>
      </c>
      <c r="G42">
        <v>0</v>
      </c>
      <c r="H42">
        <v>0</v>
      </c>
      <c r="I42">
        <v>0</v>
      </c>
      <c r="J42">
        <v>0</v>
      </c>
      <c r="K42" t="s">
        <v>609</v>
      </c>
      <c r="L42" t="s">
        <v>610</v>
      </c>
      <c r="M42" t="s">
        <v>611</v>
      </c>
      <c r="N42" t="s">
        <v>612</v>
      </c>
      <c r="O42" t="s">
        <v>613</v>
      </c>
      <c r="P42" t="s">
        <v>614</v>
      </c>
      <c r="Q42" t="s">
        <v>614</v>
      </c>
      <c r="R42" t="s">
        <v>615</v>
      </c>
      <c r="S42" t="s">
        <v>616</v>
      </c>
      <c r="T42" s="2">
        <v>0.66666666666666663</v>
      </c>
      <c r="U42">
        <v>1</v>
      </c>
      <c r="V42" t="s">
        <v>617</v>
      </c>
      <c r="W42" t="s">
        <v>618</v>
      </c>
      <c r="X42" t="s">
        <v>619</v>
      </c>
      <c r="Y42" t="s">
        <v>620</v>
      </c>
      <c r="Z42" t="s">
        <v>620</v>
      </c>
      <c r="AA42" t="s">
        <v>620</v>
      </c>
      <c r="AB42" t="s">
        <v>620</v>
      </c>
      <c r="AC42" t="s">
        <v>620</v>
      </c>
      <c r="AD42" t="s">
        <v>620</v>
      </c>
    </row>
    <row r="43" spans="1:30">
      <c r="A43" t="s">
        <v>621</v>
      </c>
      <c r="B43">
        <v>10</v>
      </c>
      <c r="C43">
        <v>3</v>
      </c>
      <c r="D43">
        <v>2022</v>
      </c>
      <c r="E43" s="1">
        <v>44837</v>
      </c>
      <c r="F43" t="s">
        <v>622</v>
      </c>
      <c r="G43">
        <v>0</v>
      </c>
      <c r="H43">
        <v>0</v>
      </c>
      <c r="I43">
        <v>0</v>
      </c>
      <c r="J43">
        <v>0</v>
      </c>
      <c r="K43" t="s">
        <v>623</v>
      </c>
      <c r="L43" t="s">
        <v>624</v>
      </c>
      <c r="M43" t="s">
        <v>625</v>
      </c>
      <c r="N43" t="s">
        <v>626</v>
      </c>
      <c r="O43" t="s">
        <v>627</v>
      </c>
      <c r="P43" t="s">
        <v>628</v>
      </c>
      <c r="Q43" t="s">
        <v>629</v>
      </c>
      <c r="R43" t="s">
        <v>630</v>
      </c>
      <c r="U43">
        <v>1</v>
      </c>
      <c r="V43" t="s">
        <v>631</v>
      </c>
      <c r="W43" t="s">
        <v>632</v>
      </c>
      <c r="X43" t="s">
        <v>633</v>
      </c>
      <c r="Y43" t="s">
        <v>634</v>
      </c>
      <c r="Z43" t="s">
        <v>634</v>
      </c>
      <c r="AA43" t="s">
        <v>634</v>
      </c>
      <c r="AB43" t="s">
        <v>634</v>
      </c>
      <c r="AC43" t="s">
        <v>634</v>
      </c>
      <c r="AD43" t="s">
        <v>634</v>
      </c>
    </row>
    <row r="44" spans="1:30">
      <c r="A44" t="s">
        <v>635</v>
      </c>
      <c r="B44">
        <v>10</v>
      </c>
      <c r="C44">
        <v>1</v>
      </c>
      <c r="D44">
        <v>2022</v>
      </c>
      <c r="E44" s="1">
        <v>44835</v>
      </c>
      <c r="F44" t="s">
        <v>636</v>
      </c>
      <c r="G44">
        <v>0</v>
      </c>
      <c r="H44">
        <v>1</v>
      </c>
      <c r="I44">
        <v>1</v>
      </c>
      <c r="J44">
        <v>0</v>
      </c>
      <c r="K44" t="s">
        <v>637</v>
      </c>
      <c r="L44" t="s">
        <v>638</v>
      </c>
      <c r="M44" t="s">
        <v>639</v>
      </c>
      <c r="N44" t="s">
        <v>640</v>
      </c>
      <c r="O44" t="s">
        <v>641</v>
      </c>
      <c r="P44" t="s">
        <v>642</v>
      </c>
      <c r="Q44" t="s">
        <v>643</v>
      </c>
      <c r="R44" t="s">
        <v>644</v>
      </c>
      <c r="S44" t="s">
        <v>645</v>
      </c>
      <c r="T44" s="2">
        <v>0.60416666666666674</v>
      </c>
      <c r="U44">
        <v>1</v>
      </c>
      <c r="V44" t="s">
        <v>646</v>
      </c>
      <c r="X44" t="s">
        <v>647</v>
      </c>
      <c r="Y44" t="s">
        <v>648</v>
      </c>
      <c r="Z44" t="s">
        <v>648</v>
      </c>
      <c r="AA44" t="s">
        <v>648</v>
      </c>
      <c r="AB44" t="s">
        <v>648</v>
      </c>
      <c r="AC44" t="s">
        <v>648</v>
      </c>
      <c r="AD44" t="s">
        <v>648</v>
      </c>
    </row>
    <row r="45" spans="1:30">
      <c r="A45" t="s">
        <v>649</v>
      </c>
      <c r="B45">
        <v>9</v>
      </c>
      <c r="C45">
        <v>30</v>
      </c>
      <c r="D45">
        <v>2022</v>
      </c>
      <c r="E45" s="1">
        <v>44834</v>
      </c>
      <c r="F45" t="s">
        <v>650</v>
      </c>
      <c r="G45">
        <v>1</v>
      </c>
      <c r="H45">
        <v>3</v>
      </c>
      <c r="I45">
        <v>4</v>
      </c>
      <c r="J45">
        <v>0</v>
      </c>
      <c r="K45" t="s">
        <v>651</v>
      </c>
      <c r="L45" t="s">
        <v>652</v>
      </c>
      <c r="M45" t="s">
        <v>653</v>
      </c>
      <c r="N45" t="s">
        <v>654</v>
      </c>
      <c r="O45" t="s">
        <v>655</v>
      </c>
      <c r="P45" t="s">
        <v>656</v>
      </c>
      <c r="Q45" t="s">
        <v>657</v>
      </c>
      <c r="R45" t="s">
        <v>658</v>
      </c>
      <c r="S45" t="s">
        <v>659</v>
      </c>
      <c r="T45" s="2">
        <v>0.91666666666666663</v>
      </c>
      <c r="U45">
        <v>1</v>
      </c>
      <c r="V45" t="s">
        <v>660</v>
      </c>
      <c r="Y45" t="s">
        <v>661</v>
      </c>
      <c r="Z45" t="s">
        <v>661</v>
      </c>
      <c r="AA45" t="s">
        <v>661</v>
      </c>
      <c r="AB45" t="s">
        <v>661</v>
      </c>
      <c r="AC45" t="s">
        <v>661</v>
      </c>
      <c r="AD45" t="s">
        <v>661</v>
      </c>
    </row>
    <row r="46" spans="1:30">
      <c r="A46" t="s">
        <v>662</v>
      </c>
      <c r="B46">
        <v>9</v>
      </c>
      <c r="C46">
        <v>30</v>
      </c>
      <c r="D46">
        <v>2022</v>
      </c>
      <c r="E46" s="1">
        <v>44834</v>
      </c>
      <c r="F46" t="s">
        <v>663</v>
      </c>
      <c r="G46">
        <v>0</v>
      </c>
      <c r="H46">
        <v>3</v>
      </c>
      <c r="I46">
        <v>3</v>
      </c>
      <c r="J46">
        <v>0</v>
      </c>
      <c r="K46" t="s">
        <v>664</v>
      </c>
      <c r="L46" t="s">
        <v>665</v>
      </c>
      <c r="M46" t="s">
        <v>666</v>
      </c>
      <c r="N46" t="s">
        <v>667</v>
      </c>
      <c r="O46" t="s">
        <v>668</v>
      </c>
      <c r="P46" t="s">
        <v>669</v>
      </c>
      <c r="Q46" t="s">
        <v>670</v>
      </c>
      <c r="R46" t="s">
        <v>671</v>
      </c>
      <c r="S46" t="s">
        <v>672</v>
      </c>
      <c r="T46" s="2">
        <v>0.89930555555555558</v>
      </c>
      <c r="U46">
        <v>1</v>
      </c>
      <c r="V46" t="s">
        <v>673</v>
      </c>
      <c r="W46" t="s">
        <v>674</v>
      </c>
      <c r="X46" t="s">
        <v>675</v>
      </c>
      <c r="Y46" t="s">
        <v>676</v>
      </c>
      <c r="Z46" t="s">
        <v>676</v>
      </c>
      <c r="AA46" t="s">
        <v>676</v>
      </c>
      <c r="AB46" t="s">
        <v>676</v>
      </c>
      <c r="AC46" t="s">
        <v>676</v>
      </c>
      <c r="AD46" t="s">
        <v>676</v>
      </c>
    </row>
    <row r="47" spans="1:30">
      <c r="A47" t="s">
        <v>677</v>
      </c>
      <c r="B47">
        <v>9</v>
      </c>
      <c r="C47">
        <v>28</v>
      </c>
      <c r="D47">
        <v>2022</v>
      </c>
      <c r="E47" s="1">
        <v>44832</v>
      </c>
      <c r="F47" t="s">
        <v>678</v>
      </c>
      <c r="G47">
        <v>0</v>
      </c>
      <c r="H47">
        <v>0</v>
      </c>
      <c r="I47">
        <v>0</v>
      </c>
      <c r="J47">
        <v>0</v>
      </c>
      <c r="K47" t="s">
        <v>679</v>
      </c>
      <c r="L47" t="s">
        <v>680</v>
      </c>
      <c r="M47" t="s">
        <v>681</v>
      </c>
      <c r="N47" t="s">
        <v>682</v>
      </c>
      <c r="O47" t="s">
        <v>683</v>
      </c>
      <c r="P47" t="s">
        <v>684</v>
      </c>
      <c r="Q47" t="s">
        <v>685</v>
      </c>
      <c r="R47" t="s">
        <v>686</v>
      </c>
      <c r="S47" t="s">
        <v>687</v>
      </c>
      <c r="T47" s="2">
        <v>0.4375</v>
      </c>
      <c r="U47">
        <v>1</v>
      </c>
      <c r="V47" t="s">
        <v>688</v>
      </c>
      <c r="W47" t="s">
        <v>689</v>
      </c>
      <c r="X47" t="s">
        <v>690</v>
      </c>
      <c r="Y47" t="s">
        <v>691</v>
      </c>
      <c r="Z47" t="s">
        <v>691</v>
      </c>
      <c r="AA47" t="s">
        <v>691</v>
      </c>
      <c r="AB47" t="s">
        <v>691</v>
      </c>
      <c r="AC47" t="s">
        <v>691</v>
      </c>
      <c r="AD47" t="s">
        <v>691</v>
      </c>
    </row>
    <row r="48" spans="1:30">
      <c r="A48" t="s">
        <v>692</v>
      </c>
      <c r="B48">
        <v>9</v>
      </c>
      <c r="C48">
        <v>28</v>
      </c>
      <c r="D48">
        <v>2022</v>
      </c>
      <c r="E48" s="1">
        <v>44832</v>
      </c>
      <c r="F48" t="s">
        <v>693</v>
      </c>
      <c r="G48">
        <v>0</v>
      </c>
      <c r="H48">
        <v>6</v>
      </c>
      <c r="I48">
        <v>6</v>
      </c>
      <c r="J48">
        <v>0</v>
      </c>
      <c r="K48" t="s">
        <v>694</v>
      </c>
      <c r="L48" t="s">
        <v>695</v>
      </c>
      <c r="M48" t="s">
        <v>696</v>
      </c>
      <c r="N48" t="s">
        <v>697</v>
      </c>
      <c r="O48" t="s">
        <v>698</v>
      </c>
      <c r="P48" t="s">
        <v>699</v>
      </c>
      <c r="Q48" t="s">
        <v>699</v>
      </c>
      <c r="R48" t="s">
        <v>700</v>
      </c>
      <c r="S48" t="s">
        <v>701</v>
      </c>
      <c r="T48" s="2">
        <v>0.53125</v>
      </c>
      <c r="V48" t="s">
        <v>702</v>
      </c>
      <c r="W48" t="s">
        <v>703</v>
      </c>
      <c r="X48" t="s">
        <v>704</v>
      </c>
      <c r="Y48" t="s">
        <v>705</v>
      </c>
      <c r="Z48" t="s">
        <v>706</v>
      </c>
      <c r="AA48" t="s">
        <v>706</v>
      </c>
      <c r="AB48" t="s">
        <v>706</v>
      </c>
      <c r="AC48" t="s">
        <v>706</v>
      </c>
      <c r="AD48" t="s">
        <v>706</v>
      </c>
    </row>
    <row r="49" spans="1:30">
      <c r="A49" t="s">
        <v>707</v>
      </c>
      <c r="B49">
        <v>9</v>
      </c>
      <c r="C49">
        <v>27</v>
      </c>
      <c r="D49">
        <v>2022</v>
      </c>
      <c r="E49" s="1">
        <v>44831</v>
      </c>
      <c r="F49" t="s">
        <v>708</v>
      </c>
      <c r="G49">
        <v>1</v>
      </c>
      <c r="H49">
        <v>4</v>
      </c>
      <c r="I49">
        <v>5</v>
      </c>
      <c r="J49">
        <v>0</v>
      </c>
      <c r="K49" t="s">
        <v>709</v>
      </c>
      <c r="L49" t="s">
        <v>710</v>
      </c>
      <c r="M49" t="s">
        <v>711</v>
      </c>
      <c r="N49" t="s">
        <v>712</v>
      </c>
      <c r="O49" t="s">
        <v>713</v>
      </c>
      <c r="P49" t="s">
        <v>714</v>
      </c>
      <c r="Q49" t="s">
        <v>715</v>
      </c>
      <c r="R49" t="s">
        <v>716</v>
      </c>
      <c r="S49" t="s">
        <v>717</v>
      </c>
      <c r="T49" s="2">
        <v>0.69513888888888886</v>
      </c>
      <c r="U49">
        <v>1</v>
      </c>
      <c r="V49" t="s">
        <v>718</v>
      </c>
      <c r="W49" t="s">
        <v>719</v>
      </c>
      <c r="X49" t="s">
        <v>720</v>
      </c>
      <c r="Y49" t="s">
        <v>721</v>
      </c>
      <c r="Z49" t="s">
        <v>722</v>
      </c>
      <c r="AA49" t="s">
        <v>722</v>
      </c>
      <c r="AB49" t="s">
        <v>722</v>
      </c>
      <c r="AC49" t="s">
        <v>722</v>
      </c>
      <c r="AD49" t="s">
        <v>722</v>
      </c>
    </row>
    <row r="50" spans="1:30">
      <c r="A50" t="s">
        <v>723</v>
      </c>
      <c r="B50">
        <v>9</v>
      </c>
      <c r="C50">
        <v>27</v>
      </c>
      <c r="D50">
        <v>2022</v>
      </c>
      <c r="E50" s="1">
        <v>44831</v>
      </c>
      <c r="F50" t="s">
        <v>724</v>
      </c>
      <c r="G50">
        <v>0</v>
      </c>
      <c r="H50">
        <v>1</v>
      </c>
      <c r="I50">
        <v>1</v>
      </c>
      <c r="J50">
        <v>0</v>
      </c>
      <c r="K50" t="s">
        <v>725</v>
      </c>
      <c r="L50" t="s">
        <v>726</v>
      </c>
      <c r="M50" t="s">
        <v>727</v>
      </c>
      <c r="N50" t="s">
        <v>728</v>
      </c>
      <c r="O50" t="s">
        <v>729</v>
      </c>
      <c r="P50" t="s">
        <v>730</v>
      </c>
      <c r="Q50" t="s">
        <v>731</v>
      </c>
      <c r="R50" t="s">
        <v>732</v>
      </c>
      <c r="S50" t="s">
        <v>733</v>
      </c>
      <c r="T50" s="2">
        <v>0.6875</v>
      </c>
      <c r="U50">
        <v>1</v>
      </c>
      <c r="V50" t="s">
        <v>734</v>
      </c>
      <c r="W50" t="s">
        <v>735</v>
      </c>
      <c r="X50" t="s">
        <v>736</v>
      </c>
      <c r="Y50" t="s">
        <v>737</v>
      </c>
      <c r="Z50" t="s">
        <v>738</v>
      </c>
      <c r="AA50" t="s">
        <v>738</v>
      </c>
      <c r="AB50" t="s">
        <v>738</v>
      </c>
      <c r="AC50" t="s">
        <v>738</v>
      </c>
      <c r="AD50" t="s">
        <v>738</v>
      </c>
    </row>
    <row r="51" spans="1:30">
      <c r="A51" t="s">
        <v>739</v>
      </c>
      <c r="B51">
        <v>9</v>
      </c>
      <c r="C51">
        <v>26</v>
      </c>
      <c r="D51">
        <v>2022</v>
      </c>
      <c r="E51" s="1">
        <v>44830</v>
      </c>
      <c r="F51" t="s">
        <v>740</v>
      </c>
      <c r="G51">
        <v>0</v>
      </c>
      <c r="H51">
        <v>1</v>
      </c>
      <c r="I51">
        <v>1</v>
      </c>
      <c r="J51">
        <v>0</v>
      </c>
      <c r="K51" t="s">
        <v>741</v>
      </c>
      <c r="L51" t="s">
        <v>742</v>
      </c>
      <c r="M51" t="s">
        <v>743</v>
      </c>
      <c r="N51" t="s">
        <v>744</v>
      </c>
      <c r="O51" t="s">
        <v>745</v>
      </c>
      <c r="P51" t="s">
        <v>746</v>
      </c>
      <c r="Q51" t="s">
        <v>746</v>
      </c>
      <c r="R51" t="s">
        <v>747</v>
      </c>
      <c r="S51" t="s">
        <v>748</v>
      </c>
      <c r="T51" s="2">
        <v>0.32291666666666669</v>
      </c>
      <c r="U51">
        <v>1</v>
      </c>
      <c r="V51" t="s">
        <v>749</v>
      </c>
      <c r="X51" t="s">
        <v>750</v>
      </c>
      <c r="Y51" t="s">
        <v>751</v>
      </c>
      <c r="Z51" t="s">
        <v>751</v>
      </c>
      <c r="AA51" t="s">
        <v>751</v>
      </c>
      <c r="AB51" t="s">
        <v>751</v>
      </c>
      <c r="AC51" t="s">
        <v>751</v>
      </c>
      <c r="AD51" t="s">
        <v>751</v>
      </c>
    </row>
    <row r="52" spans="1:30">
      <c r="A52" t="s">
        <v>752</v>
      </c>
      <c r="B52">
        <v>9</v>
      </c>
      <c r="C52">
        <v>23</v>
      </c>
      <c r="D52">
        <v>2022</v>
      </c>
      <c r="E52" s="1">
        <v>44827</v>
      </c>
      <c r="F52" t="s">
        <v>753</v>
      </c>
      <c r="G52">
        <v>0</v>
      </c>
      <c r="H52">
        <v>1</v>
      </c>
      <c r="I52">
        <v>1</v>
      </c>
      <c r="J52">
        <v>0</v>
      </c>
      <c r="K52" t="s">
        <v>754</v>
      </c>
      <c r="L52" t="s">
        <v>755</v>
      </c>
      <c r="M52" t="s">
        <v>756</v>
      </c>
      <c r="N52" t="s">
        <v>757</v>
      </c>
      <c r="O52" t="s">
        <v>758</v>
      </c>
      <c r="P52" t="s">
        <v>759</v>
      </c>
      <c r="Q52" t="s">
        <v>760</v>
      </c>
      <c r="R52" t="s">
        <v>761</v>
      </c>
      <c r="S52" t="s">
        <v>762</v>
      </c>
      <c r="T52" s="2">
        <v>0.8125</v>
      </c>
      <c r="U52">
        <v>1</v>
      </c>
      <c r="V52" t="s">
        <v>763</v>
      </c>
      <c r="W52" t="s">
        <v>764</v>
      </c>
      <c r="X52" t="s">
        <v>765</v>
      </c>
      <c r="Y52" t="s">
        <v>766</v>
      </c>
      <c r="Z52" t="s">
        <v>767</v>
      </c>
      <c r="AA52" t="s">
        <v>767</v>
      </c>
      <c r="AB52" t="s">
        <v>767</v>
      </c>
      <c r="AC52" t="s">
        <v>767</v>
      </c>
      <c r="AD52" t="s">
        <v>767</v>
      </c>
    </row>
    <row r="53" spans="1:30">
      <c r="A53" t="s">
        <v>768</v>
      </c>
      <c r="B53">
        <v>9</v>
      </c>
      <c r="C53">
        <v>23</v>
      </c>
      <c r="D53">
        <v>2022</v>
      </c>
      <c r="E53" s="1">
        <v>44827</v>
      </c>
      <c r="F53" t="s">
        <v>769</v>
      </c>
      <c r="G53">
        <v>0</v>
      </c>
      <c r="H53">
        <v>1</v>
      </c>
      <c r="I53">
        <v>1</v>
      </c>
      <c r="J53">
        <v>0</v>
      </c>
      <c r="K53" t="s">
        <v>770</v>
      </c>
      <c r="L53" t="s">
        <v>771</v>
      </c>
      <c r="M53" t="s">
        <v>772</v>
      </c>
      <c r="N53" t="s">
        <v>773</v>
      </c>
      <c r="O53" t="s">
        <v>774</v>
      </c>
      <c r="P53" t="s">
        <v>775</v>
      </c>
      <c r="Q53" t="s">
        <v>776</v>
      </c>
      <c r="R53" t="s">
        <v>777</v>
      </c>
      <c r="S53" t="s">
        <v>778</v>
      </c>
      <c r="T53" s="2">
        <v>0.9375</v>
      </c>
      <c r="U53">
        <v>1</v>
      </c>
      <c r="V53" t="s">
        <v>779</v>
      </c>
      <c r="X53" t="s">
        <v>780</v>
      </c>
      <c r="Y53" t="s">
        <v>781</v>
      </c>
      <c r="Z53" t="s">
        <v>781</v>
      </c>
      <c r="AA53" t="s">
        <v>781</v>
      </c>
      <c r="AB53" t="s">
        <v>781</v>
      </c>
      <c r="AC53" t="s">
        <v>781</v>
      </c>
      <c r="AD53" t="s">
        <v>781</v>
      </c>
    </row>
    <row r="54" spans="1:30">
      <c r="A54" t="s">
        <v>782</v>
      </c>
      <c r="B54">
        <v>9</v>
      </c>
      <c r="C54">
        <v>23</v>
      </c>
      <c r="D54">
        <v>2022</v>
      </c>
      <c r="E54" s="1">
        <v>44827</v>
      </c>
      <c r="F54" t="s">
        <v>783</v>
      </c>
      <c r="G54">
        <v>0</v>
      </c>
      <c r="H54">
        <v>2</v>
      </c>
      <c r="I54">
        <v>2</v>
      </c>
      <c r="J54">
        <v>0</v>
      </c>
      <c r="K54" t="s">
        <v>784</v>
      </c>
      <c r="L54" t="s">
        <v>785</v>
      </c>
      <c r="M54" t="s">
        <v>786</v>
      </c>
      <c r="N54" t="s">
        <v>787</v>
      </c>
      <c r="O54" t="s">
        <v>788</v>
      </c>
      <c r="P54" t="s">
        <v>789</v>
      </c>
      <c r="Q54" t="s">
        <v>790</v>
      </c>
      <c r="R54" t="s">
        <v>791</v>
      </c>
      <c r="S54" t="s">
        <v>792</v>
      </c>
      <c r="T54" s="2">
        <v>0.86458333333333337</v>
      </c>
      <c r="U54">
        <v>1</v>
      </c>
      <c r="V54" t="s">
        <v>793</v>
      </c>
      <c r="W54" t="s">
        <v>794</v>
      </c>
      <c r="X54" t="s">
        <v>795</v>
      </c>
      <c r="Y54" t="s">
        <v>796</v>
      </c>
      <c r="Z54" t="s">
        <v>796</v>
      </c>
      <c r="AA54" t="s">
        <v>796</v>
      </c>
      <c r="AB54" t="s">
        <v>796</v>
      </c>
      <c r="AC54" t="s">
        <v>796</v>
      </c>
      <c r="AD54" t="s">
        <v>796</v>
      </c>
    </row>
    <row r="55" spans="1:30">
      <c r="A55" t="s">
        <v>797</v>
      </c>
      <c r="B55">
        <v>9</v>
      </c>
      <c r="C55">
        <v>23</v>
      </c>
      <c r="D55">
        <v>2022</v>
      </c>
      <c r="E55" s="1">
        <v>44827</v>
      </c>
      <c r="F55" t="s">
        <v>798</v>
      </c>
      <c r="G55">
        <v>0</v>
      </c>
      <c r="H55">
        <v>2</v>
      </c>
      <c r="I55">
        <v>2</v>
      </c>
      <c r="J55">
        <v>0</v>
      </c>
      <c r="K55" t="s">
        <v>799</v>
      </c>
      <c r="L55" t="s">
        <v>800</v>
      </c>
      <c r="M55" t="s">
        <v>801</v>
      </c>
      <c r="N55" t="s">
        <v>802</v>
      </c>
      <c r="O55" t="s">
        <v>803</v>
      </c>
      <c r="P55" t="s">
        <v>804</v>
      </c>
      <c r="Q55" t="s">
        <v>805</v>
      </c>
      <c r="R55" t="s">
        <v>806</v>
      </c>
      <c r="S55" t="s">
        <v>807</v>
      </c>
      <c r="T55" s="2">
        <v>0.88888888888888884</v>
      </c>
      <c r="U55">
        <v>1</v>
      </c>
      <c r="V55" t="s">
        <v>808</v>
      </c>
      <c r="W55" t="s">
        <v>809</v>
      </c>
      <c r="X55" t="s">
        <v>810</v>
      </c>
      <c r="Y55" t="s">
        <v>811</v>
      </c>
      <c r="Z55" t="s">
        <v>811</v>
      </c>
      <c r="AA55" t="s">
        <v>811</v>
      </c>
      <c r="AB55" t="s">
        <v>811</v>
      </c>
      <c r="AC55" t="s">
        <v>811</v>
      </c>
      <c r="AD55" t="s">
        <v>811</v>
      </c>
    </row>
    <row r="56" spans="1:30">
      <c r="A56" t="s">
        <v>812</v>
      </c>
      <c r="B56">
        <v>9</v>
      </c>
      <c r="C56">
        <v>23</v>
      </c>
      <c r="D56">
        <v>2022</v>
      </c>
      <c r="E56" s="1">
        <v>44827</v>
      </c>
      <c r="F56" t="s">
        <v>813</v>
      </c>
      <c r="G56">
        <v>0</v>
      </c>
      <c r="H56">
        <v>0</v>
      </c>
      <c r="I56">
        <v>0</v>
      </c>
      <c r="J56">
        <v>0</v>
      </c>
      <c r="K56" t="s">
        <v>814</v>
      </c>
      <c r="L56" t="s">
        <v>815</v>
      </c>
      <c r="M56" t="s">
        <v>816</v>
      </c>
      <c r="N56" t="s">
        <v>817</v>
      </c>
      <c r="O56" t="s">
        <v>818</v>
      </c>
      <c r="P56" t="s">
        <v>819</v>
      </c>
      <c r="Q56" t="s">
        <v>820</v>
      </c>
      <c r="R56" t="s">
        <v>821</v>
      </c>
      <c r="S56" t="s">
        <v>822</v>
      </c>
      <c r="T56" s="2">
        <v>0.89583333333333337</v>
      </c>
      <c r="U56">
        <v>1</v>
      </c>
      <c r="V56" t="s">
        <v>823</v>
      </c>
      <c r="Y56" t="s">
        <v>824</v>
      </c>
      <c r="Z56" t="s">
        <v>824</v>
      </c>
      <c r="AA56" t="s">
        <v>825</v>
      </c>
      <c r="AB56" t="s">
        <v>826</v>
      </c>
      <c r="AC56" t="s">
        <v>826</v>
      </c>
      <c r="AD56" t="s">
        <v>826</v>
      </c>
    </row>
    <row r="57" spans="1:30">
      <c r="A57" t="s">
        <v>827</v>
      </c>
      <c r="B57">
        <v>9</v>
      </c>
      <c r="C57">
        <v>21</v>
      </c>
      <c r="D57">
        <v>2022</v>
      </c>
      <c r="E57" s="1">
        <v>44825</v>
      </c>
      <c r="F57" t="s">
        <v>828</v>
      </c>
      <c r="G57">
        <v>0</v>
      </c>
      <c r="H57">
        <v>0</v>
      </c>
      <c r="I57">
        <v>0</v>
      </c>
      <c r="J57">
        <v>0</v>
      </c>
      <c r="K57" t="s">
        <v>829</v>
      </c>
      <c r="L57" t="s">
        <v>830</v>
      </c>
      <c r="M57" t="s">
        <v>831</v>
      </c>
      <c r="N57" t="s">
        <v>832</v>
      </c>
      <c r="O57" t="s">
        <v>833</v>
      </c>
      <c r="P57" t="s">
        <v>834</v>
      </c>
      <c r="Q57" t="s">
        <v>834</v>
      </c>
      <c r="R57" t="s">
        <v>835</v>
      </c>
      <c r="S57" t="s">
        <v>836</v>
      </c>
      <c r="T57" s="2">
        <v>0.69791666666666663</v>
      </c>
      <c r="U57">
        <v>1</v>
      </c>
      <c r="V57" t="s">
        <v>837</v>
      </c>
      <c r="W57" t="s">
        <v>838</v>
      </c>
      <c r="X57" t="s">
        <v>839</v>
      </c>
      <c r="Y57" t="s">
        <v>840</v>
      </c>
      <c r="Z57" t="s">
        <v>840</v>
      </c>
      <c r="AA57" t="s">
        <v>840</v>
      </c>
      <c r="AB57" t="s">
        <v>840</v>
      </c>
      <c r="AC57" t="s">
        <v>840</v>
      </c>
      <c r="AD57" t="s">
        <v>840</v>
      </c>
    </row>
    <row r="58" spans="1:30">
      <c r="A58" t="s">
        <v>841</v>
      </c>
      <c r="B58">
        <v>9</v>
      </c>
      <c r="C58">
        <v>20</v>
      </c>
      <c r="D58">
        <v>2022</v>
      </c>
      <c r="E58" s="1">
        <v>44824</v>
      </c>
      <c r="F58" t="s">
        <v>842</v>
      </c>
      <c r="G58">
        <v>0</v>
      </c>
      <c r="H58">
        <v>0</v>
      </c>
      <c r="I58">
        <v>0</v>
      </c>
      <c r="J58">
        <v>0</v>
      </c>
      <c r="K58" t="s">
        <v>843</v>
      </c>
      <c r="L58" t="s">
        <v>844</v>
      </c>
      <c r="M58" t="s">
        <v>845</v>
      </c>
      <c r="N58" t="s">
        <v>846</v>
      </c>
      <c r="O58" t="s">
        <v>847</v>
      </c>
      <c r="P58" t="s">
        <v>848</v>
      </c>
      <c r="Q58" t="s">
        <v>849</v>
      </c>
      <c r="R58" t="s">
        <v>850</v>
      </c>
      <c r="S58" t="s">
        <v>851</v>
      </c>
      <c r="T58" s="2">
        <v>0.66666666666666663</v>
      </c>
      <c r="U58">
        <v>1</v>
      </c>
      <c r="V58" t="s">
        <v>852</v>
      </c>
      <c r="W58" t="s">
        <v>853</v>
      </c>
      <c r="X58" t="s">
        <v>854</v>
      </c>
      <c r="Y58" t="s">
        <v>855</v>
      </c>
      <c r="Z58" t="s">
        <v>855</v>
      </c>
      <c r="AA58" t="s">
        <v>855</v>
      </c>
      <c r="AB58" t="s">
        <v>855</v>
      </c>
      <c r="AC58" t="s">
        <v>855</v>
      </c>
      <c r="AD58" t="s">
        <v>855</v>
      </c>
    </row>
    <row r="59" spans="1:30">
      <c r="A59" t="s">
        <v>856</v>
      </c>
      <c r="B59">
        <v>9</v>
      </c>
      <c r="C59">
        <v>19</v>
      </c>
      <c r="D59">
        <v>2022</v>
      </c>
      <c r="E59" s="1">
        <v>44823</v>
      </c>
      <c r="F59" t="s">
        <v>857</v>
      </c>
      <c r="G59">
        <v>0</v>
      </c>
      <c r="H59">
        <v>0</v>
      </c>
      <c r="I59">
        <v>0</v>
      </c>
      <c r="J59">
        <v>0</v>
      </c>
      <c r="K59" t="s">
        <v>858</v>
      </c>
      <c r="L59" t="s">
        <v>859</v>
      </c>
      <c r="M59" t="s">
        <v>860</v>
      </c>
      <c r="N59" t="s">
        <v>861</v>
      </c>
      <c r="O59" t="s">
        <v>862</v>
      </c>
      <c r="P59" t="s">
        <v>863</v>
      </c>
      <c r="Q59" t="s">
        <v>864</v>
      </c>
      <c r="R59" t="s">
        <v>865</v>
      </c>
      <c r="S59" t="s">
        <v>866</v>
      </c>
      <c r="U59">
        <v>1</v>
      </c>
      <c r="V59" t="s">
        <v>867</v>
      </c>
      <c r="W59" t="s">
        <v>868</v>
      </c>
      <c r="X59" t="s">
        <v>869</v>
      </c>
      <c r="Y59" t="s">
        <v>870</v>
      </c>
      <c r="Z59" t="s">
        <v>870</v>
      </c>
      <c r="AA59" t="s">
        <v>870</v>
      </c>
      <c r="AB59" t="s">
        <v>870</v>
      </c>
      <c r="AC59" t="s">
        <v>870</v>
      </c>
      <c r="AD59" t="s">
        <v>870</v>
      </c>
    </row>
    <row r="60" spans="1:30">
      <c r="A60" t="s">
        <v>871</v>
      </c>
      <c r="B60">
        <v>9</v>
      </c>
      <c r="C60">
        <v>19</v>
      </c>
      <c r="D60">
        <v>2022</v>
      </c>
      <c r="E60" s="1">
        <v>44823</v>
      </c>
      <c r="F60" t="s">
        <v>872</v>
      </c>
      <c r="G60">
        <v>0</v>
      </c>
      <c r="H60">
        <v>0</v>
      </c>
      <c r="I60">
        <v>0</v>
      </c>
      <c r="J60">
        <v>0</v>
      </c>
      <c r="K60" t="s">
        <v>873</v>
      </c>
      <c r="L60" t="s">
        <v>874</v>
      </c>
      <c r="M60" t="s">
        <v>875</v>
      </c>
      <c r="N60" t="s">
        <v>876</v>
      </c>
      <c r="O60" t="s">
        <v>877</v>
      </c>
      <c r="P60" t="s">
        <v>878</v>
      </c>
      <c r="Q60" t="s">
        <v>878</v>
      </c>
      <c r="R60" t="s">
        <v>879</v>
      </c>
      <c r="S60" t="s">
        <v>880</v>
      </c>
      <c r="T60" s="2">
        <v>0.29166666666666669</v>
      </c>
      <c r="U60">
        <v>1</v>
      </c>
      <c r="V60" t="s">
        <v>881</v>
      </c>
      <c r="W60" t="s">
        <v>882</v>
      </c>
      <c r="X60" t="s">
        <v>883</v>
      </c>
      <c r="Y60" t="s">
        <v>884</v>
      </c>
      <c r="Z60" t="s">
        <v>884</v>
      </c>
      <c r="AA60" t="s">
        <v>884</v>
      </c>
      <c r="AB60" t="s">
        <v>884</v>
      </c>
      <c r="AC60" t="s">
        <v>884</v>
      </c>
      <c r="AD60" t="s">
        <v>884</v>
      </c>
    </row>
    <row r="61" spans="1:30">
      <c r="A61" t="s">
        <v>885</v>
      </c>
      <c r="B61">
        <v>9</v>
      </c>
      <c r="C61">
        <v>17</v>
      </c>
      <c r="D61">
        <v>2022</v>
      </c>
      <c r="E61" s="1">
        <v>44821</v>
      </c>
      <c r="F61" t="s">
        <v>886</v>
      </c>
      <c r="G61">
        <v>0</v>
      </c>
      <c r="H61">
        <v>2</v>
      </c>
      <c r="I61">
        <v>2</v>
      </c>
      <c r="J61">
        <v>0</v>
      </c>
      <c r="K61" t="s">
        <v>887</v>
      </c>
      <c r="L61" t="s">
        <v>888</v>
      </c>
      <c r="M61" t="s">
        <v>889</v>
      </c>
      <c r="N61" t="s">
        <v>890</v>
      </c>
      <c r="O61" t="s">
        <v>891</v>
      </c>
      <c r="P61" t="s">
        <v>892</v>
      </c>
      <c r="Q61" t="s">
        <v>893</v>
      </c>
      <c r="R61" t="s">
        <v>894</v>
      </c>
      <c r="S61" t="s">
        <v>895</v>
      </c>
      <c r="T61" s="2">
        <v>0.72500000000000009</v>
      </c>
      <c r="U61">
        <v>1</v>
      </c>
      <c r="V61" t="s">
        <v>896</v>
      </c>
      <c r="W61" t="s">
        <v>897</v>
      </c>
      <c r="X61" t="s">
        <v>898</v>
      </c>
      <c r="Y61" t="s">
        <v>899</v>
      </c>
      <c r="Z61" t="s">
        <v>899</v>
      </c>
      <c r="AA61" t="s">
        <v>899</v>
      </c>
      <c r="AB61" t="s">
        <v>899</v>
      </c>
      <c r="AC61" t="s">
        <v>899</v>
      </c>
      <c r="AD61" t="s">
        <v>899</v>
      </c>
    </row>
    <row r="62" spans="1:30">
      <c r="A62" t="s">
        <v>900</v>
      </c>
      <c r="B62">
        <v>9</v>
      </c>
      <c r="C62">
        <v>16</v>
      </c>
      <c r="D62">
        <v>2022</v>
      </c>
      <c r="E62" s="1">
        <v>44820</v>
      </c>
      <c r="F62" t="s">
        <v>901</v>
      </c>
      <c r="G62">
        <v>0</v>
      </c>
      <c r="H62">
        <v>0</v>
      </c>
      <c r="I62">
        <v>0</v>
      </c>
      <c r="J62">
        <v>0</v>
      </c>
      <c r="K62" t="s">
        <v>902</v>
      </c>
      <c r="L62" t="s">
        <v>903</v>
      </c>
      <c r="M62" t="s">
        <v>904</v>
      </c>
      <c r="N62" t="s">
        <v>905</v>
      </c>
      <c r="O62" t="s">
        <v>906</v>
      </c>
      <c r="P62" t="s">
        <v>907</v>
      </c>
      <c r="Q62" t="s">
        <v>908</v>
      </c>
      <c r="R62" t="s">
        <v>909</v>
      </c>
      <c r="S62" t="s">
        <v>910</v>
      </c>
      <c r="T62" s="2">
        <v>0.87916666666666665</v>
      </c>
      <c r="U62">
        <v>1</v>
      </c>
      <c r="V62" t="s">
        <v>911</v>
      </c>
      <c r="W62" t="s">
        <v>912</v>
      </c>
      <c r="X62" t="s">
        <v>913</v>
      </c>
      <c r="Y62" t="s">
        <v>914</v>
      </c>
      <c r="Z62" t="s">
        <v>915</v>
      </c>
      <c r="AA62" t="s">
        <v>915</v>
      </c>
      <c r="AB62" t="s">
        <v>915</v>
      </c>
      <c r="AC62" t="s">
        <v>915</v>
      </c>
      <c r="AD62" t="s">
        <v>915</v>
      </c>
    </row>
    <row r="63" spans="1:30">
      <c r="A63" t="s">
        <v>916</v>
      </c>
      <c r="B63">
        <v>9</v>
      </c>
      <c r="C63">
        <v>16</v>
      </c>
      <c r="D63">
        <v>2022</v>
      </c>
      <c r="E63" s="1">
        <v>44820</v>
      </c>
      <c r="F63" t="s">
        <v>917</v>
      </c>
      <c r="G63">
        <v>0</v>
      </c>
      <c r="H63">
        <v>0</v>
      </c>
      <c r="I63">
        <v>0</v>
      </c>
      <c r="J63">
        <v>0</v>
      </c>
      <c r="K63" t="s">
        <v>918</v>
      </c>
      <c r="L63" t="s">
        <v>919</v>
      </c>
      <c r="M63" t="s">
        <v>920</v>
      </c>
      <c r="N63" t="s">
        <v>921</v>
      </c>
      <c r="O63" t="s">
        <v>922</v>
      </c>
      <c r="P63" t="s">
        <v>923</v>
      </c>
      <c r="Q63" t="s">
        <v>924</v>
      </c>
      <c r="R63" t="s">
        <v>925</v>
      </c>
      <c r="S63" t="s">
        <v>926</v>
      </c>
      <c r="T63" s="2">
        <v>0.66666666666666663</v>
      </c>
      <c r="U63">
        <v>1</v>
      </c>
      <c r="V63" t="s">
        <v>927</v>
      </c>
      <c r="W63" t="s">
        <v>928</v>
      </c>
      <c r="X63" t="s">
        <v>929</v>
      </c>
      <c r="Y63" t="s">
        <v>930</v>
      </c>
      <c r="Z63" t="s">
        <v>930</v>
      </c>
      <c r="AA63" t="s">
        <v>930</v>
      </c>
      <c r="AB63" t="s">
        <v>930</v>
      </c>
      <c r="AC63" t="s">
        <v>930</v>
      </c>
      <c r="AD63" t="s">
        <v>930</v>
      </c>
    </row>
    <row r="64" spans="1:30">
      <c r="A64" t="s">
        <v>931</v>
      </c>
      <c r="B64">
        <v>9</v>
      </c>
      <c r="C64">
        <v>14</v>
      </c>
      <c r="D64">
        <v>2022</v>
      </c>
      <c r="E64" s="1">
        <v>44818</v>
      </c>
      <c r="F64" t="s">
        <v>932</v>
      </c>
      <c r="G64">
        <v>0</v>
      </c>
      <c r="H64">
        <v>0</v>
      </c>
      <c r="I64">
        <v>0</v>
      </c>
      <c r="J64">
        <v>0</v>
      </c>
      <c r="K64" t="s">
        <v>933</v>
      </c>
      <c r="L64" t="s">
        <v>934</v>
      </c>
      <c r="M64" t="s">
        <v>935</v>
      </c>
      <c r="N64" t="s">
        <v>936</v>
      </c>
      <c r="O64" t="s">
        <v>937</v>
      </c>
      <c r="P64" t="s">
        <v>938</v>
      </c>
      <c r="Q64" t="s">
        <v>938</v>
      </c>
      <c r="R64" t="s">
        <v>939</v>
      </c>
      <c r="S64" t="s">
        <v>940</v>
      </c>
      <c r="T64" s="2">
        <v>0.625</v>
      </c>
      <c r="U64">
        <v>1</v>
      </c>
      <c r="V64" t="s">
        <v>941</v>
      </c>
      <c r="Y64" t="s">
        <v>942</v>
      </c>
      <c r="Z64" t="s">
        <v>942</v>
      </c>
      <c r="AA64" t="s">
        <v>942</v>
      </c>
      <c r="AC64" t="s">
        <v>942</v>
      </c>
      <c r="AD64" t="s">
        <v>942</v>
      </c>
    </row>
    <row r="65" spans="1:30">
      <c r="A65" t="s">
        <v>943</v>
      </c>
      <c r="B65">
        <v>9</v>
      </c>
      <c r="C65">
        <v>13</v>
      </c>
      <c r="D65">
        <v>2022</v>
      </c>
      <c r="E65" s="1">
        <v>44817</v>
      </c>
      <c r="F65" t="s">
        <v>944</v>
      </c>
      <c r="G65">
        <v>0</v>
      </c>
      <c r="H65">
        <v>0</v>
      </c>
      <c r="I65">
        <v>0</v>
      </c>
      <c r="J65">
        <v>0</v>
      </c>
      <c r="K65" t="s">
        <v>945</v>
      </c>
      <c r="L65" t="s">
        <v>946</v>
      </c>
      <c r="M65" t="s">
        <v>947</v>
      </c>
      <c r="N65" t="s">
        <v>948</v>
      </c>
      <c r="O65" t="s">
        <v>949</v>
      </c>
      <c r="P65" t="s">
        <v>950</v>
      </c>
      <c r="Q65" t="s">
        <v>951</v>
      </c>
      <c r="R65" t="s">
        <v>952</v>
      </c>
      <c r="S65" t="s">
        <v>953</v>
      </c>
      <c r="T65" s="2">
        <v>0.56111111111111112</v>
      </c>
      <c r="U65">
        <v>1</v>
      </c>
      <c r="V65" t="s">
        <v>954</v>
      </c>
      <c r="W65" t="s">
        <v>955</v>
      </c>
      <c r="X65" t="s">
        <v>956</v>
      </c>
      <c r="Y65" t="s">
        <v>957</v>
      </c>
      <c r="Z65" t="s">
        <v>957</v>
      </c>
      <c r="AA65" t="s">
        <v>957</v>
      </c>
      <c r="AC65" t="s">
        <v>957</v>
      </c>
      <c r="AD65" t="s">
        <v>957</v>
      </c>
    </row>
    <row r="66" spans="1:30">
      <c r="A66" t="s">
        <v>958</v>
      </c>
      <c r="B66">
        <v>9</v>
      </c>
      <c r="C66">
        <v>13</v>
      </c>
      <c r="D66">
        <v>2022</v>
      </c>
      <c r="E66" s="1">
        <v>44817</v>
      </c>
      <c r="F66" t="s">
        <v>959</v>
      </c>
      <c r="G66">
        <v>0</v>
      </c>
      <c r="H66">
        <v>1</v>
      </c>
      <c r="I66">
        <v>1</v>
      </c>
      <c r="J66">
        <v>0</v>
      </c>
      <c r="K66" t="s">
        <v>960</v>
      </c>
      <c r="L66" t="s">
        <v>961</v>
      </c>
      <c r="M66" t="s">
        <v>962</v>
      </c>
      <c r="N66" t="s">
        <v>963</v>
      </c>
      <c r="O66" t="s">
        <v>964</v>
      </c>
      <c r="P66" t="s">
        <v>965</v>
      </c>
      <c r="Q66" t="s">
        <v>966</v>
      </c>
      <c r="R66" t="s">
        <v>967</v>
      </c>
      <c r="S66" t="s">
        <v>968</v>
      </c>
      <c r="T66" s="2">
        <v>0.65972222222222221</v>
      </c>
      <c r="U66">
        <v>1</v>
      </c>
      <c r="V66" t="s">
        <v>969</v>
      </c>
      <c r="Z66" t="s">
        <v>970</v>
      </c>
      <c r="AA66" t="s">
        <v>970</v>
      </c>
      <c r="AD66" t="s">
        <v>970</v>
      </c>
    </row>
    <row r="67" spans="1:30">
      <c r="A67" t="s">
        <v>971</v>
      </c>
      <c r="B67">
        <v>9</v>
      </c>
      <c r="C67">
        <v>13</v>
      </c>
      <c r="D67">
        <v>2022</v>
      </c>
      <c r="E67" s="1">
        <v>44817</v>
      </c>
      <c r="F67" t="s">
        <v>972</v>
      </c>
      <c r="G67">
        <v>0</v>
      </c>
      <c r="H67">
        <v>1</v>
      </c>
      <c r="I67">
        <v>1</v>
      </c>
      <c r="J67">
        <v>0</v>
      </c>
      <c r="K67" t="s">
        <v>973</v>
      </c>
      <c r="L67" t="s">
        <v>974</v>
      </c>
      <c r="M67" t="s">
        <v>975</v>
      </c>
      <c r="N67" t="s">
        <v>976</v>
      </c>
      <c r="O67" t="s">
        <v>977</v>
      </c>
      <c r="P67" t="s">
        <v>978</v>
      </c>
      <c r="Q67" t="s">
        <v>979</v>
      </c>
      <c r="R67" t="s">
        <v>980</v>
      </c>
      <c r="S67" t="s">
        <v>981</v>
      </c>
      <c r="T67" s="2">
        <v>0.65625</v>
      </c>
      <c r="U67">
        <v>1</v>
      </c>
      <c r="V67" t="s">
        <v>982</v>
      </c>
      <c r="W67" t="s">
        <v>983</v>
      </c>
      <c r="X67" t="s">
        <v>984</v>
      </c>
      <c r="Y67" t="s">
        <v>985</v>
      </c>
      <c r="Z67" t="s">
        <v>986</v>
      </c>
      <c r="AA67" t="s">
        <v>986</v>
      </c>
      <c r="AB67" t="s">
        <v>986</v>
      </c>
      <c r="AC67" t="s">
        <v>986</v>
      </c>
      <c r="AD67" t="s">
        <v>986</v>
      </c>
    </row>
    <row r="68" spans="1:30">
      <c r="A68" t="s">
        <v>987</v>
      </c>
      <c r="B68">
        <v>9</v>
      </c>
      <c r="C68">
        <v>13</v>
      </c>
      <c r="D68">
        <v>2022</v>
      </c>
      <c r="E68" s="1">
        <v>44817</v>
      </c>
      <c r="F68" t="s">
        <v>988</v>
      </c>
      <c r="G68">
        <v>0</v>
      </c>
      <c r="H68">
        <v>0</v>
      </c>
      <c r="I68">
        <v>0</v>
      </c>
      <c r="J68">
        <v>0</v>
      </c>
      <c r="K68" t="s">
        <v>989</v>
      </c>
      <c r="L68" t="s">
        <v>990</v>
      </c>
      <c r="M68" t="s">
        <v>991</v>
      </c>
      <c r="N68" t="s">
        <v>992</v>
      </c>
      <c r="O68" t="s">
        <v>993</v>
      </c>
      <c r="P68" t="s">
        <v>994</v>
      </c>
      <c r="Q68" t="s">
        <v>995</v>
      </c>
      <c r="R68" t="s">
        <v>996</v>
      </c>
      <c r="S68" t="s">
        <v>997</v>
      </c>
      <c r="T68" s="2">
        <v>0.75</v>
      </c>
      <c r="U68">
        <v>1</v>
      </c>
      <c r="V68" t="s">
        <v>998</v>
      </c>
      <c r="Y68" t="s">
        <v>999</v>
      </c>
      <c r="Z68" t="s">
        <v>999</v>
      </c>
      <c r="AA68" t="s">
        <v>999</v>
      </c>
      <c r="AB68" t="s">
        <v>1000</v>
      </c>
      <c r="AC68" t="s">
        <v>1001</v>
      </c>
      <c r="AD68" t="s">
        <v>1001</v>
      </c>
    </row>
    <row r="69" spans="1:30">
      <c r="A69" t="s">
        <v>1002</v>
      </c>
      <c r="B69">
        <v>9</v>
      </c>
      <c r="C69">
        <v>9</v>
      </c>
      <c r="D69">
        <v>2022</v>
      </c>
      <c r="E69" s="1">
        <v>44813</v>
      </c>
      <c r="F69" t="s">
        <v>1003</v>
      </c>
      <c r="G69">
        <v>0</v>
      </c>
      <c r="H69">
        <v>0</v>
      </c>
      <c r="I69">
        <v>0</v>
      </c>
      <c r="J69">
        <v>0</v>
      </c>
      <c r="K69" t="s">
        <v>1004</v>
      </c>
      <c r="L69" t="s">
        <v>1005</v>
      </c>
      <c r="M69" t="s">
        <v>1006</v>
      </c>
      <c r="N69" t="s">
        <v>1007</v>
      </c>
      <c r="O69" t="s">
        <v>1008</v>
      </c>
      <c r="P69" t="s">
        <v>1009</v>
      </c>
      <c r="Q69" t="s">
        <v>1009</v>
      </c>
      <c r="R69" t="s">
        <v>1010</v>
      </c>
      <c r="S69" t="s">
        <v>1011</v>
      </c>
      <c r="T69" s="2">
        <v>0.70833333333333337</v>
      </c>
      <c r="U69">
        <v>1</v>
      </c>
      <c r="V69" t="s">
        <v>1012</v>
      </c>
      <c r="W69" t="s">
        <v>1013</v>
      </c>
      <c r="X69" t="s">
        <v>1014</v>
      </c>
      <c r="Y69" t="s">
        <v>1015</v>
      </c>
      <c r="Z69" t="s">
        <v>1015</v>
      </c>
      <c r="AA69" t="s">
        <v>1015</v>
      </c>
      <c r="AB69" t="s">
        <v>1015</v>
      </c>
      <c r="AC69" t="s">
        <v>1015</v>
      </c>
      <c r="AD69" t="s">
        <v>1015</v>
      </c>
    </row>
    <row r="70" spans="1:30">
      <c r="A70" t="s">
        <v>1016</v>
      </c>
      <c r="B70">
        <v>9</v>
      </c>
      <c r="C70">
        <v>9</v>
      </c>
      <c r="D70">
        <v>2022</v>
      </c>
      <c r="E70" s="1">
        <v>44813</v>
      </c>
      <c r="F70" t="s">
        <v>1017</v>
      </c>
      <c r="G70">
        <v>0</v>
      </c>
      <c r="H70">
        <v>1</v>
      </c>
      <c r="I70">
        <v>1</v>
      </c>
      <c r="J70">
        <v>0</v>
      </c>
      <c r="K70" t="s">
        <v>1018</v>
      </c>
      <c r="L70" t="s">
        <v>1019</v>
      </c>
      <c r="M70" t="s">
        <v>1020</v>
      </c>
      <c r="N70" t="s">
        <v>1021</v>
      </c>
      <c r="O70" t="s">
        <v>1022</v>
      </c>
      <c r="P70" t="s">
        <v>1023</v>
      </c>
      <c r="Q70" t="s">
        <v>1024</v>
      </c>
      <c r="R70" t="s">
        <v>1025</v>
      </c>
      <c r="S70" t="s">
        <v>1026</v>
      </c>
      <c r="T70" s="2">
        <v>0.89583333333333337</v>
      </c>
      <c r="U70">
        <v>1</v>
      </c>
      <c r="V70" t="s">
        <v>1027</v>
      </c>
      <c r="Y70" t="s">
        <v>1028</v>
      </c>
      <c r="Z70" t="s">
        <v>1028</v>
      </c>
      <c r="AA70" t="s">
        <v>1028</v>
      </c>
      <c r="AB70" t="s">
        <v>1028</v>
      </c>
      <c r="AC70" t="s">
        <v>1028</v>
      </c>
      <c r="AD70" t="s">
        <v>1028</v>
      </c>
    </row>
    <row r="71" spans="1:30">
      <c r="A71" t="s">
        <v>1029</v>
      </c>
      <c r="B71">
        <v>9</v>
      </c>
      <c r="C71">
        <v>8</v>
      </c>
      <c r="D71">
        <v>2022</v>
      </c>
      <c r="E71" s="1">
        <v>44812</v>
      </c>
      <c r="F71" t="s">
        <v>1030</v>
      </c>
      <c r="G71">
        <v>0</v>
      </c>
      <c r="H71">
        <v>0</v>
      </c>
      <c r="I71">
        <v>0</v>
      </c>
      <c r="J71">
        <v>0</v>
      </c>
      <c r="K71" t="s">
        <v>1031</v>
      </c>
      <c r="L71" t="s">
        <v>1032</v>
      </c>
      <c r="M71" t="s">
        <v>1033</v>
      </c>
      <c r="N71" t="s">
        <v>1034</v>
      </c>
      <c r="O71" t="s">
        <v>1035</v>
      </c>
      <c r="P71" t="s">
        <v>1036</v>
      </c>
      <c r="Q71" t="s">
        <v>1036</v>
      </c>
      <c r="R71" t="s">
        <v>1037</v>
      </c>
      <c r="S71" t="s">
        <v>1038</v>
      </c>
      <c r="T71" s="2">
        <v>0.875</v>
      </c>
      <c r="U71">
        <v>1</v>
      </c>
      <c r="V71" t="s">
        <v>1039</v>
      </c>
      <c r="Y71" t="s">
        <v>1040</v>
      </c>
      <c r="Z71" t="s">
        <v>1041</v>
      </c>
      <c r="AA71" t="s">
        <v>1041</v>
      </c>
      <c r="AB71" t="s">
        <v>1041</v>
      </c>
      <c r="AC71" t="s">
        <v>1041</v>
      </c>
      <c r="AD71" t="s">
        <v>1041</v>
      </c>
    </row>
    <row r="72" spans="1:30">
      <c r="A72" t="s">
        <v>1042</v>
      </c>
      <c r="B72">
        <v>9</v>
      </c>
      <c r="C72">
        <v>7</v>
      </c>
      <c r="D72">
        <v>2022</v>
      </c>
      <c r="E72" s="1">
        <v>44811</v>
      </c>
      <c r="F72" t="s">
        <v>1043</v>
      </c>
      <c r="G72">
        <v>0</v>
      </c>
      <c r="H72">
        <v>1</v>
      </c>
      <c r="I72">
        <v>1</v>
      </c>
      <c r="J72">
        <v>0</v>
      </c>
      <c r="K72" t="s">
        <v>1044</v>
      </c>
      <c r="L72" t="s">
        <v>1045</v>
      </c>
      <c r="M72" t="s">
        <v>1046</v>
      </c>
      <c r="N72" t="s">
        <v>1047</v>
      </c>
      <c r="O72" t="s">
        <v>1048</v>
      </c>
      <c r="P72" t="s">
        <v>1049</v>
      </c>
      <c r="Q72" t="s">
        <v>1050</v>
      </c>
      <c r="R72" t="s">
        <v>1051</v>
      </c>
      <c r="S72" t="s">
        <v>1052</v>
      </c>
      <c r="T72" s="2">
        <v>0.66666666666666663</v>
      </c>
      <c r="U72">
        <v>1</v>
      </c>
      <c r="V72" t="s">
        <v>1053</v>
      </c>
      <c r="X72" t="s">
        <v>1054</v>
      </c>
      <c r="Y72" t="s">
        <v>1055</v>
      </c>
      <c r="Z72" t="s">
        <v>1055</v>
      </c>
      <c r="AA72" t="s">
        <v>1055</v>
      </c>
      <c r="AB72" t="s">
        <v>1055</v>
      </c>
      <c r="AC72" t="s">
        <v>1055</v>
      </c>
      <c r="AD72" t="s">
        <v>1055</v>
      </c>
    </row>
    <row r="73" spans="1:30">
      <c r="A73" t="s">
        <v>1056</v>
      </c>
      <c r="B73">
        <v>9</v>
      </c>
      <c r="C73">
        <v>7</v>
      </c>
      <c r="D73">
        <v>2022</v>
      </c>
      <c r="E73" s="1">
        <v>44811</v>
      </c>
      <c r="F73" t="s">
        <v>1057</v>
      </c>
      <c r="G73">
        <v>0</v>
      </c>
      <c r="H73">
        <v>0</v>
      </c>
      <c r="I73">
        <v>0</v>
      </c>
      <c r="J73">
        <v>0</v>
      </c>
      <c r="K73" t="s">
        <v>1058</v>
      </c>
      <c r="L73" t="s">
        <v>1059</v>
      </c>
      <c r="M73" t="s">
        <v>1060</v>
      </c>
      <c r="N73" t="s">
        <v>1061</v>
      </c>
      <c r="O73" t="s">
        <v>1062</v>
      </c>
      <c r="P73" t="s">
        <v>1063</v>
      </c>
      <c r="Q73" t="s">
        <v>1064</v>
      </c>
      <c r="R73" t="s">
        <v>1065</v>
      </c>
      <c r="S73" t="s">
        <v>1066</v>
      </c>
      <c r="T73" s="2">
        <v>0.8125</v>
      </c>
      <c r="U73">
        <v>1</v>
      </c>
      <c r="V73" t="s">
        <v>1067</v>
      </c>
      <c r="W73" t="s">
        <v>1068</v>
      </c>
      <c r="X73" t="s">
        <v>1069</v>
      </c>
      <c r="Y73" t="s">
        <v>1070</v>
      </c>
      <c r="Z73" t="s">
        <v>1070</v>
      </c>
      <c r="AA73" t="s">
        <v>1070</v>
      </c>
      <c r="AB73" t="s">
        <v>1070</v>
      </c>
      <c r="AC73" t="s">
        <v>1070</v>
      </c>
      <c r="AD73" t="s">
        <v>1070</v>
      </c>
    </row>
    <row r="74" spans="1:30">
      <c r="A74" t="s">
        <v>1071</v>
      </c>
      <c r="B74">
        <v>9</v>
      </c>
      <c r="C74">
        <v>7</v>
      </c>
      <c r="D74">
        <v>2022</v>
      </c>
      <c r="E74" s="1">
        <v>44811</v>
      </c>
      <c r="F74" t="s">
        <v>1072</v>
      </c>
      <c r="G74">
        <v>0</v>
      </c>
      <c r="H74">
        <v>0</v>
      </c>
      <c r="I74">
        <v>0</v>
      </c>
      <c r="J74">
        <v>0</v>
      </c>
      <c r="K74" t="s">
        <v>1073</v>
      </c>
      <c r="L74" t="s">
        <v>1074</v>
      </c>
      <c r="M74" t="s">
        <v>1075</v>
      </c>
      <c r="N74" t="s">
        <v>1076</v>
      </c>
      <c r="O74" t="s">
        <v>1077</v>
      </c>
      <c r="P74" t="s">
        <v>1078</v>
      </c>
      <c r="Q74" t="s">
        <v>1078</v>
      </c>
      <c r="U74">
        <v>2</v>
      </c>
      <c r="V74" t="s">
        <v>1079</v>
      </c>
      <c r="W74" t="s">
        <v>1080</v>
      </c>
      <c r="X74" t="s">
        <v>1081</v>
      </c>
      <c r="Y74" t="s">
        <v>1082</v>
      </c>
      <c r="Z74" t="s">
        <v>1083</v>
      </c>
      <c r="AA74" t="s">
        <v>1083</v>
      </c>
      <c r="AB74" t="s">
        <v>1083</v>
      </c>
      <c r="AC74" t="s">
        <v>1083</v>
      </c>
      <c r="AD74" t="s">
        <v>1083</v>
      </c>
    </row>
    <row r="75" spans="1:30">
      <c r="A75" t="s">
        <v>1084</v>
      </c>
      <c r="B75">
        <v>9</v>
      </c>
      <c r="C75">
        <v>6</v>
      </c>
      <c r="D75">
        <v>2022</v>
      </c>
      <c r="E75" s="1">
        <v>44810</v>
      </c>
      <c r="F75" t="s">
        <v>1085</v>
      </c>
      <c r="G75">
        <v>0</v>
      </c>
      <c r="H75">
        <v>0</v>
      </c>
      <c r="I75">
        <v>0</v>
      </c>
      <c r="J75">
        <v>0</v>
      </c>
      <c r="K75" t="s">
        <v>1086</v>
      </c>
      <c r="L75" t="s">
        <v>1087</v>
      </c>
      <c r="M75" t="s">
        <v>1088</v>
      </c>
      <c r="N75" t="s">
        <v>1089</v>
      </c>
      <c r="O75" t="s">
        <v>1090</v>
      </c>
      <c r="P75" t="s">
        <v>1091</v>
      </c>
      <c r="Q75" t="s">
        <v>1092</v>
      </c>
      <c r="R75" t="s">
        <v>1093</v>
      </c>
      <c r="S75" t="s">
        <v>1094</v>
      </c>
      <c r="T75" s="2">
        <v>0.58333333333333337</v>
      </c>
      <c r="U75">
        <v>1</v>
      </c>
      <c r="V75" t="s">
        <v>1095</v>
      </c>
      <c r="W75" t="s">
        <v>1096</v>
      </c>
      <c r="X75" t="s">
        <v>1097</v>
      </c>
      <c r="Y75" t="s">
        <v>1098</v>
      </c>
      <c r="Z75" t="s">
        <v>1099</v>
      </c>
      <c r="AA75" t="s">
        <v>1099</v>
      </c>
      <c r="AC75" t="s">
        <v>1099</v>
      </c>
      <c r="AD75" t="s">
        <v>1099</v>
      </c>
    </row>
    <row r="76" spans="1:30">
      <c r="A76" t="s">
        <v>1100</v>
      </c>
      <c r="B76">
        <v>9</v>
      </c>
      <c r="C76">
        <v>4</v>
      </c>
      <c r="D76">
        <v>2022</v>
      </c>
      <c r="E76" s="1">
        <v>44808</v>
      </c>
      <c r="F76" t="s">
        <v>1101</v>
      </c>
      <c r="G76">
        <v>0</v>
      </c>
      <c r="H76">
        <v>4</v>
      </c>
      <c r="I76">
        <v>4</v>
      </c>
      <c r="J76">
        <v>0</v>
      </c>
      <c r="K76" t="s">
        <v>1102</v>
      </c>
      <c r="L76" t="s">
        <v>1103</v>
      </c>
      <c r="M76" t="s">
        <v>1104</v>
      </c>
      <c r="N76" t="s">
        <v>1105</v>
      </c>
      <c r="O76" t="s">
        <v>1106</v>
      </c>
      <c r="P76" t="s">
        <v>1107</v>
      </c>
      <c r="Q76" t="s">
        <v>1108</v>
      </c>
      <c r="R76" t="s">
        <v>1109</v>
      </c>
      <c r="S76" t="s">
        <v>1110</v>
      </c>
      <c r="T76" s="2">
        <v>0.85416666666666674</v>
      </c>
      <c r="U76">
        <v>1</v>
      </c>
      <c r="V76" t="s">
        <v>1111</v>
      </c>
      <c r="W76" t="s">
        <v>1112</v>
      </c>
      <c r="X76" t="s">
        <v>1113</v>
      </c>
      <c r="Y76" t="s">
        <v>1114</v>
      </c>
      <c r="Z76" t="s">
        <v>1114</v>
      </c>
      <c r="AA76" t="s">
        <v>1114</v>
      </c>
      <c r="AB76" t="s">
        <v>1114</v>
      </c>
      <c r="AC76" t="s">
        <v>1114</v>
      </c>
      <c r="AD76" t="s">
        <v>1114</v>
      </c>
    </row>
    <row r="77" spans="1:30">
      <c r="A77" t="s">
        <v>1115</v>
      </c>
      <c r="B77">
        <v>9</v>
      </c>
      <c r="C77">
        <v>2</v>
      </c>
      <c r="D77">
        <v>2022</v>
      </c>
      <c r="E77" s="1">
        <v>44806</v>
      </c>
      <c r="F77" t="s">
        <v>1116</v>
      </c>
      <c r="G77">
        <v>1</v>
      </c>
      <c r="H77">
        <v>0</v>
      </c>
      <c r="I77">
        <v>1</v>
      </c>
      <c r="J77">
        <v>0</v>
      </c>
      <c r="K77" t="s">
        <v>1117</v>
      </c>
      <c r="L77" t="s">
        <v>1118</v>
      </c>
      <c r="M77" t="s">
        <v>1119</v>
      </c>
      <c r="N77" t="s">
        <v>1120</v>
      </c>
      <c r="O77" t="s">
        <v>1121</v>
      </c>
      <c r="P77" t="s">
        <v>1122</v>
      </c>
      <c r="Q77" t="s">
        <v>1123</v>
      </c>
      <c r="R77" t="s">
        <v>1124</v>
      </c>
      <c r="S77" t="s">
        <v>1125</v>
      </c>
      <c r="T77" s="2">
        <v>0.62152777777777779</v>
      </c>
      <c r="U77">
        <v>1</v>
      </c>
      <c r="V77" t="s">
        <v>1126</v>
      </c>
      <c r="W77" t="s">
        <v>1127</v>
      </c>
      <c r="X77" t="s">
        <v>1128</v>
      </c>
      <c r="Y77" t="s">
        <v>1129</v>
      </c>
      <c r="Z77" t="s">
        <v>1129</v>
      </c>
      <c r="AA77" t="s">
        <v>1129</v>
      </c>
      <c r="AB77" t="s">
        <v>1129</v>
      </c>
      <c r="AC77" t="s">
        <v>1129</v>
      </c>
      <c r="AD77" t="s">
        <v>1129</v>
      </c>
    </row>
    <row r="78" spans="1:30">
      <c r="A78" t="s">
        <v>1130</v>
      </c>
      <c r="B78">
        <v>9</v>
      </c>
      <c r="C78">
        <v>2</v>
      </c>
      <c r="D78">
        <v>2022</v>
      </c>
      <c r="E78" s="1">
        <v>44806</v>
      </c>
      <c r="F78" t="s">
        <v>1131</v>
      </c>
      <c r="G78">
        <v>0</v>
      </c>
      <c r="H78">
        <v>0</v>
      </c>
      <c r="I78">
        <v>0</v>
      </c>
      <c r="J78">
        <v>0</v>
      </c>
      <c r="K78" t="s">
        <v>1132</v>
      </c>
      <c r="L78" t="s">
        <v>1133</v>
      </c>
      <c r="M78" t="s">
        <v>1134</v>
      </c>
      <c r="N78" t="s">
        <v>1135</v>
      </c>
      <c r="O78" t="s">
        <v>1136</v>
      </c>
      <c r="P78" t="s">
        <v>1137</v>
      </c>
      <c r="Q78" t="s">
        <v>1138</v>
      </c>
      <c r="R78" t="s">
        <v>1139</v>
      </c>
      <c r="S78" t="s">
        <v>1140</v>
      </c>
      <c r="T78" s="2">
        <v>0.89444444444444449</v>
      </c>
      <c r="U78">
        <v>1</v>
      </c>
      <c r="V78" t="s">
        <v>1141</v>
      </c>
      <c r="W78" t="s">
        <v>1142</v>
      </c>
      <c r="X78" t="s">
        <v>1143</v>
      </c>
      <c r="Y78" t="s">
        <v>1144</v>
      </c>
      <c r="Z78" t="s">
        <v>1144</v>
      </c>
      <c r="AA78" t="s">
        <v>1144</v>
      </c>
      <c r="AB78" t="s">
        <v>1144</v>
      </c>
      <c r="AC78" t="s">
        <v>1144</v>
      </c>
      <c r="AD78" t="s">
        <v>1144</v>
      </c>
    </row>
    <row r="79" spans="1:30">
      <c r="A79" t="s">
        <v>1145</v>
      </c>
      <c r="B79">
        <v>8</v>
      </c>
      <c r="C79">
        <v>31</v>
      </c>
      <c r="D79">
        <v>2022</v>
      </c>
      <c r="E79" s="1">
        <v>44804</v>
      </c>
      <c r="F79" t="s">
        <v>1146</v>
      </c>
      <c r="G79">
        <v>0</v>
      </c>
      <c r="H79">
        <v>0</v>
      </c>
      <c r="I79">
        <v>0</v>
      </c>
      <c r="J79">
        <v>0</v>
      </c>
      <c r="K79" t="s">
        <v>1147</v>
      </c>
      <c r="L79" t="s">
        <v>1148</v>
      </c>
      <c r="M79" t="s">
        <v>1149</v>
      </c>
      <c r="N79" t="s">
        <v>1150</v>
      </c>
      <c r="O79" t="s">
        <v>1151</v>
      </c>
      <c r="P79" t="s">
        <v>1152</v>
      </c>
      <c r="Q79" t="s">
        <v>1153</v>
      </c>
      <c r="R79" t="s">
        <v>1154</v>
      </c>
      <c r="S79" t="s">
        <v>1155</v>
      </c>
      <c r="T79" s="2">
        <v>0.51875000000000004</v>
      </c>
      <c r="U79">
        <v>1</v>
      </c>
      <c r="V79" t="s">
        <v>1156</v>
      </c>
      <c r="Z79" t="s">
        <v>1157</v>
      </c>
      <c r="AA79" t="s">
        <v>1157</v>
      </c>
      <c r="AC79" t="s">
        <v>1157</v>
      </c>
      <c r="AD79" t="s">
        <v>1157</v>
      </c>
    </row>
    <row r="80" spans="1:30">
      <c r="A80" t="s">
        <v>1158</v>
      </c>
      <c r="B80">
        <v>8</v>
      </c>
      <c r="C80">
        <v>31</v>
      </c>
      <c r="D80">
        <v>2022</v>
      </c>
      <c r="E80" s="1">
        <v>44804</v>
      </c>
      <c r="F80" t="s">
        <v>1159</v>
      </c>
      <c r="G80">
        <v>0</v>
      </c>
      <c r="H80">
        <v>2</v>
      </c>
      <c r="I80">
        <v>2</v>
      </c>
      <c r="J80">
        <v>0</v>
      </c>
      <c r="K80" t="s">
        <v>1160</v>
      </c>
      <c r="L80" t="s">
        <v>1161</v>
      </c>
      <c r="M80" t="s">
        <v>1162</v>
      </c>
      <c r="N80" t="s">
        <v>1163</v>
      </c>
      <c r="O80" t="s">
        <v>1164</v>
      </c>
      <c r="P80" t="s">
        <v>1165</v>
      </c>
      <c r="Q80" t="s">
        <v>1166</v>
      </c>
      <c r="R80" t="s">
        <v>1167</v>
      </c>
      <c r="S80" t="s">
        <v>1168</v>
      </c>
      <c r="T80" s="2">
        <v>0.41666666666666669</v>
      </c>
      <c r="U80">
        <v>1</v>
      </c>
      <c r="V80" t="s">
        <v>1169</v>
      </c>
      <c r="W80" t="s">
        <v>1170</v>
      </c>
      <c r="X80" t="s">
        <v>1171</v>
      </c>
      <c r="Y80" t="s">
        <v>1172</v>
      </c>
      <c r="Z80" t="s">
        <v>1173</v>
      </c>
      <c r="AA80" t="s">
        <v>1173</v>
      </c>
      <c r="AB80" t="s">
        <v>1173</v>
      </c>
      <c r="AC80" t="s">
        <v>1173</v>
      </c>
      <c r="AD80" t="s">
        <v>1173</v>
      </c>
    </row>
    <row r="81" spans="1:30">
      <c r="A81" t="s">
        <v>1174</v>
      </c>
      <c r="B81">
        <v>8</v>
      </c>
      <c r="C81">
        <v>31</v>
      </c>
      <c r="D81">
        <v>2022</v>
      </c>
      <c r="E81" s="1">
        <v>44804</v>
      </c>
      <c r="F81" t="s">
        <v>1175</v>
      </c>
      <c r="G81">
        <v>0</v>
      </c>
      <c r="H81">
        <v>3</v>
      </c>
      <c r="I81">
        <v>3</v>
      </c>
      <c r="J81">
        <v>0</v>
      </c>
      <c r="K81" t="s">
        <v>1176</v>
      </c>
      <c r="L81" t="s">
        <v>1177</v>
      </c>
      <c r="M81" t="s">
        <v>1178</v>
      </c>
      <c r="N81" t="s">
        <v>1179</v>
      </c>
      <c r="O81" t="s">
        <v>1180</v>
      </c>
      <c r="P81" t="s">
        <v>1181</v>
      </c>
      <c r="Q81" t="s">
        <v>1182</v>
      </c>
      <c r="R81" t="s">
        <v>1183</v>
      </c>
      <c r="S81" t="s">
        <v>1184</v>
      </c>
      <c r="T81" s="2">
        <v>4.1666666666666664E-2</v>
      </c>
      <c r="U81">
        <v>1</v>
      </c>
      <c r="V81" t="s">
        <v>1185</v>
      </c>
      <c r="X81" t="s">
        <v>1186</v>
      </c>
      <c r="Y81" t="s">
        <v>1187</v>
      </c>
      <c r="Z81" t="s">
        <v>1187</v>
      </c>
      <c r="AA81" t="s">
        <v>1187</v>
      </c>
      <c r="AB81" t="s">
        <v>1187</v>
      </c>
      <c r="AC81" t="s">
        <v>1187</v>
      </c>
      <c r="AD81" t="s">
        <v>1187</v>
      </c>
    </row>
    <row r="82" spans="1:30">
      <c r="A82" t="s">
        <v>1188</v>
      </c>
      <c r="B82">
        <v>8</v>
      </c>
      <c r="C82">
        <v>29</v>
      </c>
      <c r="D82">
        <v>2022</v>
      </c>
      <c r="E82" s="1">
        <v>44802</v>
      </c>
      <c r="F82" t="s">
        <v>1189</v>
      </c>
      <c r="G82">
        <v>0</v>
      </c>
      <c r="H82">
        <v>1</v>
      </c>
      <c r="I82">
        <v>1</v>
      </c>
      <c r="J82">
        <v>0</v>
      </c>
      <c r="K82" t="s">
        <v>1190</v>
      </c>
      <c r="L82" t="s">
        <v>1191</v>
      </c>
      <c r="M82" t="s">
        <v>1192</v>
      </c>
      <c r="N82" t="s">
        <v>1193</v>
      </c>
      <c r="O82" t="s">
        <v>1194</v>
      </c>
      <c r="P82" t="s">
        <v>1195</v>
      </c>
      <c r="Q82" t="s">
        <v>1196</v>
      </c>
      <c r="R82" t="s">
        <v>1197</v>
      </c>
      <c r="S82" t="s">
        <v>1198</v>
      </c>
      <c r="T82" s="2">
        <v>0.5625</v>
      </c>
      <c r="U82">
        <v>1</v>
      </c>
      <c r="V82" t="s">
        <v>1199</v>
      </c>
      <c r="W82" t="s">
        <v>1200</v>
      </c>
      <c r="X82" t="s">
        <v>1201</v>
      </c>
      <c r="Y82" t="s">
        <v>1202</v>
      </c>
      <c r="Z82" t="s">
        <v>1202</v>
      </c>
      <c r="AA82" t="s">
        <v>1202</v>
      </c>
      <c r="AC82" t="s">
        <v>1202</v>
      </c>
      <c r="AD82" t="s">
        <v>1202</v>
      </c>
    </row>
    <row r="83" spans="1:30">
      <c r="A83" t="s">
        <v>1203</v>
      </c>
      <c r="B83">
        <v>8</v>
      </c>
      <c r="C83">
        <v>27</v>
      </c>
      <c r="D83">
        <v>2022</v>
      </c>
      <c r="E83" s="1">
        <v>44800</v>
      </c>
      <c r="F83" t="s">
        <v>1204</v>
      </c>
      <c r="G83">
        <v>0</v>
      </c>
      <c r="H83">
        <v>0</v>
      </c>
      <c r="I83">
        <v>0</v>
      </c>
      <c r="J83">
        <v>0</v>
      </c>
      <c r="K83" t="s">
        <v>1205</v>
      </c>
      <c r="L83" t="s">
        <v>1206</v>
      </c>
      <c r="M83" t="s">
        <v>1207</v>
      </c>
      <c r="N83" t="s">
        <v>1208</v>
      </c>
      <c r="O83" t="s">
        <v>1209</v>
      </c>
      <c r="P83" t="s">
        <v>1210</v>
      </c>
      <c r="Q83" t="s">
        <v>1211</v>
      </c>
      <c r="R83" t="s">
        <v>1212</v>
      </c>
      <c r="S83" t="s">
        <v>1213</v>
      </c>
      <c r="T83" s="2">
        <v>0.5625</v>
      </c>
      <c r="U83">
        <v>1</v>
      </c>
      <c r="V83" t="s">
        <v>1214</v>
      </c>
      <c r="W83" t="s">
        <v>1215</v>
      </c>
      <c r="X83" t="s">
        <v>1216</v>
      </c>
      <c r="Y83" t="s">
        <v>1217</v>
      </c>
      <c r="Z83" t="s">
        <v>1217</v>
      </c>
      <c r="AA83" t="s">
        <v>1217</v>
      </c>
      <c r="AB83" t="s">
        <v>1217</v>
      </c>
      <c r="AC83" t="s">
        <v>1217</v>
      </c>
      <c r="AD83" t="s">
        <v>1217</v>
      </c>
    </row>
    <row r="84" spans="1:30">
      <c r="A84" t="s">
        <v>1218</v>
      </c>
      <c r="B84">
        <v>8</v>
      </c>
      <c r="C84">
        <v>26</v>
      </c>
      <c r="D84">
        <v>2022</v>
      </c>
      <c r="E84" s="1">
        <v>44799</v>
      </c>
      <c r="F84" t="s">
        <v>1219</v>
      </c>
      <c r="G84">
        <v>0</v>
      </c>
      <c r="H84">
        <v>0</v>
      </c>
      <c r="I84">
        <v>0</v>
      </c>
      <c r="J84">
        <v>0</v>
      </c>
      <c r="K84" t="s">
        <v>1220</v>
      </c>
      <c r="L84" t="s">
        <v>1221</v>
      </c>
      <c r="M84" t="s">
        <v>1222</v>
      </c>
      <c r="N84" t="s">
        <v>1223</v>
      </c>
      <c r="O84" t="s">
        <v>1224</v>
      </c>
      <c r="P84" t="s">
        <v>1225</v>
      </c>
      <c r="Q84" t="s">
        <v>1226</v>
      </c>
      <c r="R84" t="s">
        <v>1227</v>
      </c>
      <c r="S84" t="s">
        <v>1228</v>
      </c>
      <c r="T84" s="2">
        <v>0.89583333333333337</v>
      </c>
      <c r="U84">
        <v>1</v>
      </c>
      <c r="V84" t="s">
        <v>1229</v>
      </c>
      <c r="W84" t="s">
        <v>1230</v>
      </c>
      <c r="X84" t="s">
        <v>1231</v>
      </c>
      <c r="Y84" t="s">
        <v>1232</v>
      </c>
      <c r="Z84" t="s">
        <v>1232</v>
      </c>
      <c r="AA84" t="s">
        <v>1232</v>
      </c>
      <c r="AB84" t="s">
        <v>1232</v>
      </c>
      <c r="AC84" t="s">
        <v>1232</v>
      </c>
      <c r="AD84" t="s">
        <v>1232</v>
      </c>
    </row>
    <row r="85" spans="1:30">
      <c r="A85" t="s">
        <v>1233</v>
      </c>
      <c r="B85">
        <v>8</v>
      </c>
      <c r="C85">
        <v>23</v>
      </c>
      <c r="D85">
        <v>2022</v>
      </c>
      <c r="E85" s="1">
        <v>44796</v>
      </c>
      <c r="F85" t="s">
        <v>1234</v>
      </c>
      <c r="G85">
        <v>0</v>
      </c>
      <c r="H85">
        <v>0</v>
      </c>
      <c r="I85">
        <v>0</v>
      </c>
      <c r="J85">
        <v>0</v>
      </c>
      <c r="K85" t="s">
        <v>1235</v>
      </c>
      <c r="L85" t="s">
        <v>1236</v>
      </c>
      <c r="M85" t="s">
        <v>1237</v>
      </c>
      <c r="N85" t="s">
        <v>1238</v>
      </c>
      <c r="O85" t="s">
        <v>1239</v>
      </c>
      <c r="P85" t="s">
        <v>1240</v>
      </c>
      <c r="Q85" t="s">
        <v>1241</v>
      </c>
      <c r="R85" t="s">
        <v>1242</v>
      </c>
      <c r="S85" t="s">
        <v>1243</v>
      </c>
      <c r="T85" s="2">
        <v>0.58333333333333337</v>
      </c>
      <c r="U85">
        <v>1</v>
      </c>
      <c r="V85" t="s">
        <v>1244</v>
      </c>
      <c r="W85" t="s">
        <v>1245</v>
      </c>
      <c r="X85" t="s">
        <v>1246</v>
      </c>
      <c r="Y85" t="s">
        <v>1247</v>
      </c>
      <c r="Z85" t="s">
        <v>1247</v>
      </c>
      <c r="AA85" t="s">
        <v>1247</v>
      </c>
      <c r="AB85" t="s">
        <v>1247</v>
      </c>
      <c r="AC85" t="s">
        <v>1247</v>
      </c>
      <c r="AD85" t="s">
        <v>1247</v>
      </c>
    </row>
    <row r="86" spans="1:30">
      <c r="A86" t="s">
        <v>1248</v>
      </c>
      <c r="B86">
        <v>8</v>
      </c>
      <c r="C86">
        <v>23</v>
      </c>
      <c r="D86">
        <v>2022</v>
      </c>
      <c r="E86" s="1">
        <v>44796</v>
      </c>
      <c r="F86" t="s">
        <v>1249</v>
      </c>
      <c r="G86">
        <v>0</v>
      </c>
      <c r="H86">
        <v>0</v>
      </c>
      <c r="I86">
        <v>0</v>
      </c>
      <c r="J86">
        <v>0</v>
      </c>
      <c r="K86" t="s">
        <v>1250</v>
      </c>
      <c r="L86" t="s">
        <v>1251</v>
      </c>
      <c r="M86" t="s">
        <v>1252</v>
      </c>
      <c r="N86" t="s">
        <v>1253</v>
      </c>
      <c r="O86" t="s">
        <v>1254</v>
      </c>
      <c r="P86" t="s">
        <v>1255</v>
      </c>
      <c r="Q86" t="s">
        <v>1256</v>
      </c>
      <c r="R86" t="s">
        <v>1257</v>
      </c>
      <c r="S86" t="s">
        <v>1258</v>
      </c>
      <c r="T86" s="2">
        <v>0.64583333333333337</v>
      </c>
      <c r="U86">
        <v>1</v>
      </c>
      <c r="V86" t="s">
        <v>1259</v>
      </c>
      <c r="W86" t="s">
        <v>1260</v>
      </c>
      <c r="X86" t="s">
        <v>1261</v>
      </c>
      <c r="Y86" t="s">
        <v>1262</v>
      </c>
      <c r="Z86" t="s">
        <v>1262</v>
      </c>
      <c r="AA86" t="s">
        <v>1262</v>
      </c>
      <c r="AB86" t="s">
        <v>1262</v>
      </c>
      <c r="AC86" t="s">
        <v>1262</v>
      </c>
      <c r="AD86" t="s">
        <v>1262</v>
      </c>
    </row>
    <row r="87" spans="1:30">
      <c r="A87" t="s">
        <v>1263</v>
      </c>
      <c r="B87">
        <v>8</v>
      </c>
      <c r="C87">
        <v>19</v>
      </c>
      <c r="D87">
        <v>2022</v>
      </c>
      <c r="E87" s="1">
        <v>44792</v>
      </c>
      <c r="F87" t="s">
        <v>1264</v>
      </c>
      <c r="G87">
        <v>0</v>
      </c>
      <c r="H87">
        <v>0</v>
      </c>
      <c r="I87">
        <v>0</v>
      </c>
      <c r="J87">
        <v>0</v>
      </c>
      <c r="K87" t="s">
        <v>1265</v>
      </c>
      <c r="L87" t="s">
        <v>1266</v>
      </c>
      <c r="M87" t="s">
        <v>1267</v>
      </c>
      <c r="N87" t="s">
        <v>1268</v>
      </c>
      <c r="O87" t="s">
        <v>1269</v>
      </c>
      <c r="P87" t="s">
        <v>1270</v>
      </c>
      <c r="Q87" t="s">
        <v>1270</v>
      </c>
      <c r="R87" t="s">
        <v>1271</v>
      </c>
      <c r="S87" t="s">
        <v>1272</v>
      </c>
      <c r="T87" s="2">
        <v>0.60416666666666674</v>
      </c>
      <c r="U87">
        <v>1</v>
      </c>
      <c r="V87" t="s">
        <v>1273</v>
      </c>
      <c r="W87" t="s">
        <v>1274</v>
      </c>
      <c r="X87" t="s">
        <v>1275</v>
      </c>
      <c r="Y87" t="s">
        <v>1276</v>
      </c>
      <c r="Z87" t="s">
        <v>1276</v>
      </c>
      <c r="AA87" t="s">
        <v>1276</v>
      </c>
      <c r="AD87" t="s">
        <v>1276</v>
      </c>
    </row>
    <row r="88" spans="1:30">
      <c r="A88" t="s">
        <v>1277</v>
      </c>
      <c r="B88">
        <v>8</v>
      </c>
      <c r="C88">
        <v>19</v>
      </c>
      <c r="D88">
        <v>2022</v>
      </c>
      <c r="E88" s="1">
        <v>44792</v>
      </c>
      <c r="F88" t="s">
        <v>1278</v>
      </c>
      <c r="G88">
        <v>0</v>
      </c>
      <c r="H88">
        <v>0</v>
      </c>
      <c r="I88">
        <v>0</v>
      </c>
      <c r="J88">
        <v>0</v>
      </c>
      <c r="K88" t="s">
        <v>1279</v>
      </c>
      <c r="L88" t="s">
        <v>1280</v>
      </c>
      <c r="M88" t="s">
        <v>1281</v>
      </c>
      <c r="N88" t="s">
        <v>1282</v>
      </c>
      <c r="O88" t="s">
        <v>1283</v>
      </c>
      <c r="P88" t="s">
        <v>1284</v>
      </c>
      <c r="Q88" t="s">
        <v>1285</v>
      </c>
      <c r="R88" t="s">
        <v>1286</v>
      </c>
      <c r="S88" t="s">
        <v>1287</v>
      </c>
      <c r="T88" s="2">
        <v>0.88194444444444442</v>
      </c>
      <c r="U88">
        <v>1</v>
      </c>
      <c r="V88" t="s">
        <v>1288</v>
      </c>
      <c r="W88" t="s">
        <v>1289</v>
      </c>
      <c r="X88" t="s">
        <v>1290</v>
      </c>
      <c r="Y88" t="s">
        <v>1291</v>
      </c>
      <c r="Z88" t="s">
        <v>1292</v>
      </c>
      <c r="AA88" t="s">
        <v>1292</v>
      </c>
      <c r="AB88" t="s">
        <v>1292</v>
      </c>
      <c r="AC88" t="s">
        <v>1292</v>
      </c>
      <c r="AD88" t="s">
        <v>1292</v>
      </c>
    </row>
    <row r="89" spans="1:30">
      <c r="A89" t="s">
        <v>1293</v>
      </c>
      <c r="B89">
        <v>8</v>
      </c>
      <c r="C89">
        <v>19</v>
      </c>
      <c r="D89">
        <v>2022</v>
      </c>
      <c r="E89" s="1">
        <v>44792</v>
      </c>
      <c r="F89" t="s">
        <v>1294</v>
      </c>
      <c r="G89">
        <v>0</v>
      </c>
      <c r="H89">
        <v>0</v>
      </c>
      <c r="I89">
        <v>0</v>
      </c>
      <c r="J89">
        <v>0</v>
      </c>
      <c r="K89" t="s">
        <v>1295</v>
      </c>
      <c r="L89" t="s">
        <v>1296</v>
      </c>
      <c r="M89" t="s">
        <v>1297</v>
      </c>
      <c r="N89" t="s">
        <v>1298</v>
      </c>
      <c r="O89" t="s">
        <v>1299</v>
      </c>
      <c r="P89" t="s">
        <v>1300</v>
      </c>
      <c r="Q89" t="s">
        <v>1301</v>
      </c>
      <c r="R89" t="s">
        <v>1302</v>
      </c>
      <c r="S89" t="s">
        <v>1303</v>
      </c>
      <c r="T89" s="2">
        <v>0.875</v>
      </c>
      <c r="U89">
        <v>1</v>
      </c>
      <c r="V89" t="s">
        <v>1304</v>
      </c>
      <c r="W89" t="s">
        <v>1305</v>
      </c>
      <c r="X89" t="s">
        <v>1306</v>
      </c>
      <c r="Y89" t="s">
        <v>1307</v>
      </c>
      <c r="Z89" t="s">
        <v>1308</v>
      </c>
      <c r="AA89" t="s">
        <v>1308</v>
      </c>
      <c r="AB89" t="s">
        <v>1308</v>
      </c>
      <c r="AC89" t="s">
        <v>1308</v>
      </c>
      <c r="AD89" t="s">
        <v>1308</v>
      </c>
    </row>
    <row r="90" spans="1:30">
      <c r="A90" t="s">
        <v>1309</v>
      </c>
      <c r="B90">
        <v>8</v>
      </c>
      <c r="C90">
        <v>18</v>
      </c>
      <c r="D90">
        <v>2022</v>
      </c>
      <c r="E90" s="1">
        <v>44791</v>
      </c>
      <c r="F90" t="s">
        <v>1310</v>
      </c>
      <c r="G90">
        <v>0</v>
      </c>
      <c r="H90">
        <v>0</v>
      </c>
      <c r="I90">
        <v>0</v>
      </c>
      <c r="J90">
        <v>0</v>
      </c>
      <c r="K90" t="s">
        <v>1311</v>
      </c>
      <c r="L90" t="s">
        <v>1312</v>
      </c>
      <c r="M90" t="s">
        <v>1313</v>
      </c>
      <c r="N90" t="s">
        <v>1314</v>
      </c>
      <c r="O90" t="s">
        <v>1315</v>
      </c>
      <c r="P90" t="s">
        <v>1316</v>
      </c>
      <c r="Q90" t="s">
        <v>1317</v>
      </c>
      <c r="R90" t="s">
        <v>1318</v>
      </c>
      <c r="S90" t="s">
        <v>1319</v>
      </c>
      <c r="T90" s="2">
        <v>0.44444444444444448</v>
      </c>
      <c r="U90">
        <v>1</v>
      </c>
      <c r="V90" t="s">
        <v>1320</v>
      </c>
      <c r="W90" t="s">
        <v>1321</v>
      </c>
      <c r="X90" t="s">
        <v>1322</v>
      </c>
      <c r="Y90" t="s">
        <v>1323</v>
      </c>
      <c r="Z90" t="s">
        <v>1324</v>
      </c>
      <c r="AA90" t="s">
        <v>1324</v>
      </c>
      <c r="AC90" t="s">
        <v>1324</v>
      </c>
      <c r="AD90" t="s">
        <v>1324</v>
      </c>
    </row>
    <row r="91" spans="1:30">
      <c r="A91" t="s">
        <v>1325</v>
      </c>
      <c r="B91">
        <v>8</v>
      </c>
      <c r="C91">
        <v>16</v>
      </c>
      <c r="D91">
        <v>2022</v>
      </c>
      <c r="E91" s="1">
        <v>44789</v>
      </c>
      <c r="F91" t="s">
        <v>1326</v>
      </c>
      <c r="G91">
        <v>0</v>
      </c>
      <c r="H91">
        <v>0</v>
      </c>
      <c r="I91">
        <v>0</v>
      </c>
      <c r="J91">
        <v>0</v>
      </c>
      <c r="K91" t="s">
        <v>1327</v>
      </c>
      <c r="L91" t="s">
        <v>1328</v>
      </c>
      <c r="M91" t="s">
        <v>1329</v>
      </c>
      <c r="N91" t="s">
        <v>1330</v>
      </c>
      <c r="O91" t="s">
        <v>1331</v>
      </c>
      <c r="P91" t="s">
        <v>1332</v>
      </c>
      <c r="Q91" t="s">
        <v>1333</v>
      </c>
      <c r="R91" t="s">
        <v>1334</v>
      </c>
      <c r="S91" t="s">
        <v>1335</v>
      </c>
      <c r="T91" s="2">
        <v>0.33333333333333331</v>
      </c>
      <c r="U91">
        <v>1</v>
      </c>
      <c r="V91" t="s">
        <v>1336</v>
      </c>
      <c r="W91" t="s">
        <v>1337</v>
      </c>
      <c r="X91" t="s">
        <v>1338</v>
      </c>
      <c r="Y91" t="s">
        <v>1339</v>
      </c>
      <c r="Z91" t="s">
        <v>1339</v>
      </c>
      <c r="AA91" t="s">
        <v>1339</v>
      </c>
      <c r="AB91" t="s">
        <v>1339</v>
      </c>
      <c r="AC91" t="s">
        <v>1339</v>
      </c>
      <c r="AD91" t="s">
        <v>1339</v>
      </c>
    </row>
    <row r="92" spans="1:30">
      <c r="A92" t="s">
        <v>1340</v>
      </c>
      <c r="B92">
        <v>8</v>
      </c>
      <c r="C92">
        <v>15</v>
      </c>
      <c r="D92">
        <v>2022</v>
      </c>
      <c r="E92" s="1">
        <v>44788</v>
      </c>
      <c r="F92" t="s">
        <v>1341</v>
      </c>
      <c r="G92">
        <v>0</v>
      </c>
      <c r="H92">
        <v>0</v>
      </c>
      <c r="I92">
        <v>0</v>
      </c>
      <c r="J92">
        <v>0</v>
      </c>
      <c r="K92" t="s">
        <v>1342</v>
      </c>
      <c r="L92" t="s">
        <v>1343</v>
      </c>
      <c r="M92" t="s">
        <v>1344</v>
      </c>
      <c r="N92" t="s">
        <v>1345</v>
      </c>
      <c r="O92" t="s">
        <v>1346</v>
      </c>
      <c r="P92" t="s">
        <v>1347</v>
      </c>
      <c r="Q92" t="s">
        <v>1348</v>
      </c>
      <c r="R92" t="s">
        <v>1349</v>
      </c>
      <c r="S92" t="s">
        <v>1350</v>
      </c>
      <c r="T92" s="2">
        <v>0.51388888888888884</v>
      </c>
      <c r="U92">
        <v>1</v>
      </c>
      <c r="V92" t="s">
        <v>1351</v>
      </c>
      <c r="W92" t="s">
        <v>1352</v>
      </c>
      <c r="Y92" t="s">
        <v>1353</v>
      </c>
      <c r="Z92" t="s">
        <v>1353</v>
      </c>
      <c r="AA92" t="s">
        <v>1353</v>
      </c>
      <c r="AC92" t="s">
        <v>1353</v>
      </c>
      <c r="AD92" t="s">
        <v>1353</v>
      </c>
    </row>
    <row r="93" spans="1:30">
      <c r="A93" t="s">
        <v>1354</v>
      </c>
      <c r="B93">
        <v>8</v>
      </c>
      <c r="C93">
        <v>13</v>
      </c>
      <c r="D93">
        <v>2022</v>
      </c>
      <c r="E93" s="1">
        <v>44786</v>
      </c>
      <c r="F93" t="s">
        <v>1355</v>
      </c>
      <c r="G93">
        <v>0</v>
      </c>
      <c r="H93">
        <v>0</v>
      </c>
      <c r="I93">
        <v>0</v>
      </c>
      <c r="J93">
        <v>0</v>
      </c>
      <c r="K93" t="s">
        <v>1356</v>
      </c>
      <c r="L93" t="s">
        <v>1357</v>
      </c>
      <c r="M93" t="s">
        <v>1358</v>
      </c>
      <c r="N93" t="s">
        <v>1359</v>
      </c>
      <c r="O93" t="s">
        <v>1360</v>
      </c>
      <c r="P93" t="s">
        <v>1361</v>
      </c>
      <c r="Q93" t="s">
        <v>1362</v>
      </c>
      <c r="R93" t="s">
        <v>1363</v>
      </c>
      <c r="S93" t="s">
        <v>1364</v>
      </c>
      <c r="T93" s="2">
        <v>0.625</v>
      </c>
      <c r="U93">
        <v>1</v>
      </c>
      <c r="V93" t="s">
        <v>1365</v>
      </c>
      <c r="Y93" t="s">
        <v>1366</v>
      </c>
      <c r="Z93" t="s">
        <v>1366</v>
      </c>
      <c r="AA93" t="s">
        <v>1366</v>
      </c>
      <c r="AB93" t="s">
        <v>1366</v>
      </c>
      <c r="AC93" t="s">
        <v>1366</v>
      </c>
      <c r="AD93" t="s">
        <v>1366</v>
      </c>
    </row>
    <row r="94" spans="1:30">
      <c r="A94" t="s">
        <v>1367</v>
      </c>
      <c r="B94">
        <v>8</v>
      </c>
      <c r="C94">
        <v>12</v>
      </c>
      <c r="D94">
        <v>2022</v>
      </c>
      <c r="E94" s="1">
        <v>44785</v>
      </c>
      <c r="F94" t="s">
        <v>1368</v>
      </c>
      <c r="G94">
        <v>0</v>
      </c>
      <c r="H94">
        <v>0</v>
      </c>
      <c r="I94">
        <v>0</v>
      </c>
      <c r="J94">
        <v>0</v>
      </c>
      <c r="K94" t="s">
        <v>1369</v>
      </c>
      <c r="L94" t="s">
        <v>1370</v>
      </c>
      <c r="M94" t="s">
        <v>1371</v>
      </c>
      <c r="N94" t="s">
        <v>1372</v>
      </c>
      <c r="O94" t="s">
        <v>1373</v>
      </c>
      <c r="P94" t="s">
        <v>1374</v>
      </c>
      <c r="Q94" t="s">
        <v>1375</v>
      </c>
      <c r="R94" t="s">
        <v>1376</v>
      </c>
      <c r="S94" t="s">
        <v>1377</v>
      </c>
      <c r="T94" s="2">
        <v>0.86111111111111116</v>
      </c>
      <c r="U94">
        <v>1</v>
      </c>
      <c r="V94" t="s">
        <v>1378</v>
      </c>
      <c r="Y94" t="s">
        <v>1379</v>
      </c>
      <c r="Z94" t="s">
        <v>1379</v>
      </c>
      <c r="AA94" t="s">
        <v>1379</v>
      </c>
      <c r="AB94" t="s">
        <v>1379</v>
      </c>
      <c r="AC94" t="s">
        <v>1379</v>
      </c>
      <c r="AD94" t="s">
        <v>1379</v>
      </c>
    </row>
    <row r="95" spans="1:30">
      <c r="A95" t="s">
        <v>1380</v>
      </c>
      <c r="B95">
        <v>8</v>
      </c>
      <c r="C95">
        <v>11</v>
      </c>
      <c r="D95">
        <v>2022</v>
      </c>
      <c r="E95" s="1">
        <v>44784</v>
      </c>
      <c r="F95" t="s">
        <v>1381</v>
      </c>
      <c r="G95">
        <v>0</v>
      </c>
      <c r="H95">
        <v>0</v>
      </c>
      <c r="I95">
        <v>0</v>
      </c>
      <c r="J95">
        <v>0</v>
      </c>
      <c r="K95" t="s">
        <v>1382</v>
      </c>
      <c r="L95" t="s">
        <v>1383</v>
      </c>
      <c r="M95" t="s">
        <v>1384</v>
      </c>
      <c r="N95" t="s">
        <v>1385</v>
      </c>
      <c r="O95" t="s">
        <v>1386</v>
      </c>
      <c r="P95" t="s">
        <v>1387</v>
      </c>
      <c r="Q95" t="s">
        <v>1388</v>
      </c>
      <c r="R95" t="s">
        <v>1389</v>
      </c>
      <c r="S95" t="s">
        <v>1390</v>
      </c>
      <c r="T95" s="2">
        <v>0.59375</v>
      </c>
      <c r="U95">
        <v>1</v>
      </c>
      <c r="V95" t="s">
        <v>1391</v>
      </c>
      <c r="W95" t="s">
        <v>1392</v>
      </c>
      <c r="X95" t="s">
        <v>1393</v>
      </c>
      <c r="Y95" t="s">
        <v>1394</v>
      </c>
      <c r="Z95" t="s">
        <v>1394</v>
      </c>
      <c r="AA95" t="s">
        <v>1394</v>
      </c>
      <c r="AB95" t="s">
        <v>1394</v>
      </c>
      <c r="AD95" t="s">
        <v>1394</v>
      </c>
    </row>
    <row r="96" spans="1:30">
      <c r="A96" t="s">
        <v>1395</v>
      </c>
      <c r="B96">
        <v>8</v>
      </c>
      <c r="C96">
        <v>10</v>
      </c>
      <c r="D96">
        <v>2022</v>
      </c>
      <c r="E96" s="1">
        <v>44783</v>
      </c>
      <c r="F96" t="s">
        <v>1396</v>
      </c>
      <c r="G96">
        <v>0</v>
      </c>
      <c r="H96">
        <v>0</v>
      </c>
      <c r="I96">
        <v>0</v>
      </c>
      <c r="J96">
        <v>0</v>
      </c>
      <c r="K96" t="s">
        <v>1397</v>
      </c>
      <c r="L96" t="s">
        <v>1398</v>
      </c>
      <c r="M96" t="s">
        <v>1399</v>
      </c>
      <c r="N96" t="s">
        <v>1400</v>
      </c>
      <c r="O96" t="s">
        <v>1401</v>
      </c>
      <c r="P96" t="s">
        <v>1402</v>
      </c>
      <c r="Q96" t="s">
        <v>1403</v>
      </c>
      <c r="R96" t="s">
        <v>1404</v>
      </c>
      <c r="S96" t="s">
        <v>1405</v>
      </c>
      <c r="T96" s="2">
        <v>0.47916666666666663</v>
      </c>
      <c r="U96">
        <v>1</v>
      </c>
      <c r="V96" t="s">
        <v>1406</v>
      </c>
      <c r="W96" t="s">
        <v>1407</v>
      </c>
      <c r="X96" t="s">
        <v>1408</v>
      </c>
      <c r="Y96" t="s">
        <v>1409</v>
      </c>
      <c r="Z96" t="s">
        <v>1409</v>
      </c>
      <c r="AA96" t="s">
        <v>1409</v>
      </c>
      <c r="AB96" t="s">
        <v>1409</v>
      </c>
      <c r="AC96" t="s">
        <v>1409</v>
      </c>
      <c r="AD96" t="s">
        <v>1409</v>
      </c>
    </row>
    <row r="97" spans="1:30">
      <c r="A97" t="s">
        <v>1410</v>
      </c>
      <c r="B97">
        <v>8</v>
      </c>
      <c r="C97">
        <v>9</v>
      </c>
      <c r="D97">
        <v>2022</v>
      </c>
      <c r="E97" s="1">
        <v>44781</v>
      </c>
      <c r="F97" t="s">
        <v>1411</v>
      </c>
      <c r="G97">
        <v>1</v>
      </c>
      <c r="H97">
        <v>1</v>
      </c>
      <c r="I97">
        <v>0</v>
      </c>
      <c r="J97">
        <v>0</v>
      </c>
      <c r="K97" t="s">
        <v>1412</v>
      </c>
      <c r="L97" t="s">
        <v>1413</v>
      </c>
      <c r="M97" t="s">
        <v>1414</v>
      </c>
      <c r="N97" t="s">
        <v>1415</v>
      </c>
      <c r="O97" t="s">
        <v>1416</v>
      </c>
      <c r="P97" t="s">
        <v>1417</v>
      </c>
      <c r="Q97" t="s">
        <v>1418</v>
      </c>
      <c r="R97" t="s">
        <v>1419</v>
      </c>
      <c r="S97" t="s">
        <v>1420</v>
      </c>
      <c r="T97" s="2">
        <v>7.2222222222222215E-2</v>
      </c>
      <c r="U97">
        <v>1</v>
      </c>
      <c r="V97" t="s">
        <v>1421</v>
      </c>
      <c r="Y97" t="s">
        <v>1422</v>
      </c>
      <c r="Z97" t="s">
        <v>1422</v>
      </c>
      <c r="AA97" t="s">
        <v>1422</v>
      </c>
      <c r="AB97" t="s">
        <v>1422</v>
      </c>
      <c r="AC97" t="s">
        <v>1422</v>
      </c>
      <c r="AD97" t="s">
        <v>1422</v>
      </c>
    </row>
    <row r="98" spans="1:30">
      <c r="A98" t="s">
        <v>1423</v>
      </c>
      <c r="B98">
        <v>8</v>
      </c>
      <c r="C98">
        <v>5</v>
      </c>
      <c r="D98">
        <v>2022</v>
      </c>
      <c r="E98" s="1">
        <v>44778</v>
      </c>
      <c r="F98" t="s">
        <v>1424</v>
      </c>
      <c r="G98">
        <v>0</v>
      </c>
      <c r="H98">
        <v>0</v>
      </c>
      <c r="I98">
        <v>0</v>
      </c>
      <c r="J98">
        <v>0</v>
      </c>
      <c r="K98" t="s">
        <v>1425</v>
      </c>
      <c r="L98" t="s">
        <v>1426</v>
      </c>
      <c r="M98" t="s">
        <v>1427</v>
      </c>
      <c r="N98" t="s">
        <v>1428</v>
      </c>
      <c r="O98" t="s">
        <v>1429</v>
      </c>
      <c r="P98" t="s">
        <v>1430</v>
      </c>
      <c r="Q98" t="s">
        <v>1431</v>
      </c>
      <c r="R98" t="s">
        <v>1432</v>
      </c>
      <c r="S98" t="s">
        <v>1433</v>
      </c>
      <c r="T98" s="2">
        <v>0.94444444444444442</v>
      </c>
      <c r="U98">
        <v>1</v>
      </c>
      <c r="V98" t="s">
        <v>1434</v>
      </c>
      <c r="W98" t="s">
        <v>1435</v>
      </c>
      <c r="X98" t="s">
        <v>1436</v>
      </c>
      <c r="Y98" t="s">
        <v>1437</v>
      </c>
      <c r="Z98" t="s">
        <v>1437</v>
      </c>
      <c r="AA98" t="s">
        <v>1437</v>
      </c>
      <c r="AB98" t="s">
        <v>1437</v>
      </c>
      <c r="AC98" t="s">
        <v>1437</v>
      </c>
      <c r="AD98" t="s">
        <v>1437</v>
      </c>
    </row>
    <row r="99" spans="1:30">
      <c r="A99" t="s">
        <v>1438</v>
      </c>
      <c r="B99">
        <v>8</v>
      </c>
      <c r="C99">
        <v>5</v>
      </c>
      <c r="D99">
        <v>2022</v>
      </c>
      <c r="E99" s="1">
        <v>44778</v>
      </c>
      <c r="F99" t="s">
        <v>1439</v>
      </c>
      <c r="G99">
        <v>0</v>
      </c>
      <c r="H99">
        <v>0</v>
      </c>
      <c r="I99">
        <v>0</v>
      </c>
      <c r="J99">
        <v>0</v>
      </c>
      <c r="K99" t="s">
        <v>1440</v>
      </c>
      <c r="L99" t="s">
        <v>1441</v>
      </c>
      <c r="M99" t="s">
        <v>1442</v>
      </c>
      <c r="N99" t="s">
        <v>1443</v>
      </c>
      <c r="O99" t="s">
        <v>1444</v>
      </c>
      <c r="P99" t="s">
        <v>1445</v>
      </c>
      <c r="Q99" t="s">
        <v>1446</v>
      </c>
      <c r="R99" t="s">
        <v>1447</v>
      </c>
      <c r="S99" t="s">
        <v>1448</v>
      </c>
      <c r="T99" s="2">
        <v>0.875</v>
      </c>
      <c r="U99">
        <v>1</v>
      </c>
      <c r="V99" t="s">
        <v>1449</v>
      </c>
      <c r="X99" t="s">
        <v>1450</v>
      </c>
      <c r="Y99" t="s">
        <v>1451</v>
      </c>
      <c r="Z99" t="s">
        <v>1451</v>
      </c>
      <c r="AA99" t="s">
        <v>1451</v>
      </c>
      <c r="AB99" t="s">
        <v>1451</v>
      </c>
      <c r="AC99" t="s">
        <v>1451</v>
      </c>
      <c r="AD99" t="s">
        <v>1452</v>
      </c>
    </row>
    <row r="100" spans="1:30">
      <c r="A100" t="s">
        <v>1453</v>
      </c>
      <c r="B100">
        <v>8</v>
      </c>
      <c r="C100">
        <v>3</v>
      </c>
      <c r="D100">
        <v>2022</v>
      </c>
      <c r="E100" s="1">
        <v>44776</v>
      </c>
      <c r="F100" t="s">
        <v>1454</v>
      </c>
      <c r="G100">
        <v>1</v>
      </c>
      <c r="H100">
        <v>1</v>
      </c>
      <c r="I100">
        <v>2</v>
      </c>
      <c r="J100">
        <v>0</v>
      </c>
      <c r="K100" t="s">
        <v>1455</v>
      </c>
      <c r="L100" t="s">
        <v>1456</v>
      </c>
      <c r="M100" t="s">
        <v>1457</v>
      </c>
      <c r="N100" t="s">
        <v>1458</v>
      </c>
      <c r="O100" t="s">
        <v>1459</v>
      </c>
      <c r="P100" t="s">
        <v>1460</v>
      </c>
      <c r="Q100" t="s">
        <v>1461</v>
      </c>
      <c r="R100" t="s">
        <v>1462</v>
      </c>
      <c r="S100" t="s">
        <v>1463</v>
      </c>
      <c r="T100" s="2">
        <v>0.91666666666666663</v>
      </c>
      <c r="U100">
        <v>1</v>
      </c>
      <c r="V100" t="s">
        <v>1464</v>
      </c>
      <c r="X100" t="s">
        <v>1465</v>
      </c>
      <c r="Y100" t="s">
        <v>1466</v>
      </c>
      <c r="Z100" t="s">
        <v>1466</v>
      </c>
      <c r="AA100" t="s">
        <v>1466</v>
      </c>
      <c r="AB100" t="s">
        <v>1466</v>
      </c>
      <c r="AC100" t="s">
        <v>1466</v>
      </c>
      <c r="AD100" t="s">
        <v>1466</v>
      </c>
    </row>
    <row r="101" spans="1:30">
      <c r="A101" t="s">
        <v>1467</v>
      </c>
      <c r="B101">
        <v>7</v>
      </c>
      <c r="C101">
        <v>31</v>
      </c>
      <c r="D101">
        <v>2022</v>
      </c>
      <c r="E101" s="1">
        <v>44773</v>
      </c>
      <c r="F101" t="s">
        <v>1468</v>
      </c>
      <c r="G101">
        <v>0</v>
      </c>
      <c r="H101">
        <v>3</v>
      </c>
      <c r="I101">
        <v>3</v>
      </c>
      <c r="J101">
        <v>0</v>
      </c>
      <c r="K101" t="s">
        <v>1469</v>
      </c>
      <c r="L101" t="s">
        <v>1470</v>
      </c>
      <c r="M101" t="s">
        <v>1471</v>
      </c>
      <c r="N101" t="s">
        <v>1472</v>
      </c>
      <c r="O101" t="s">
        <v>1473</v>
      </c>
      <c r="P101" t="s">
        <v>1474</v>
      </c>
      <c r="Q101" t="s">
        <v>1475</v>
      </c>
      <c r="R101" t="s">
        <v>1476</v>
      </c>
      <c r="S101" t="s">
        <v>1477</v>
      </c>
      <c r="T101" s="2">
        <v>0.55555555555555547</v>
      </c>
      <c r="U101">
        <v>1</v>
      </c>
      <c r="V101" t="s">
        <v>1478</v>
      </c>
      <c r="W101" t="s">
        <v>1479</v>
      </c>
      <c r="X101" t="s">
        <v>1480</v>
      </c>
      <c r="Y101" t="s">
        <v>1481</v>
      </c>
      <c r="Z101" t="s">
        <v>1481</v>
      </c>
      <c r="AA101" t="s">
        <v>1481</v>
      </c>
      <c r="AB101" t="s">
        <v>1481</v>
      </c>
      <c r="AC101" t="s">
        <v>1481</v>
      </c>
      <c r="AD101" t="s">
        <v>1481</v>
      </c>
    </row>
    <row r="102" spans="1:30">
      <c r="A102" t="s">
        <v>1482</v>
      </c>
      <c r="B102">
        <v>7</v>
      </c>
      <c r="C102">
        <v>30</v>
      </c>
      <c r="D102">
        <v>2022</v>
      </c>
      <c r="E102" s="1">
        <v>44772</v>
      </c>
      <c r="F102" t="s">
        <v>1483</v>
      </c>
      <c r="G102">
        <v>0</v>
      </c>
      <c r="H102">
        <v>0</v>
      </c>
      <c r="I102">
        <v>0</v>
      </c>
      <c r="J102">
        <v>0</v>
      </c>
      <c r="K102" t="s">
        <v>1484</v>
      </c>
      <c r="L102" t="s">
        <v>1485</v>
      </c>
      <c r="M102" t="s">
        <v>1486</v>
      </c>
      <c r="N102" t="s">
        <v>1487</v>
      </c>
      <c r="O102" t="s">
        <v>1488</v>
      </c>
      <c r="P102" t="s">
        <v>1489</v>
      </c>
      <c r="Q102" t="s">
        <v>1490</v>
      </c>
      <c r="R102" t="s">
        <v>1491</v>
      </c>
      <c r="S102" t="s">
        <v>1492</v>
      </c>
      <c r="U102">
        <v>1</v>
      </c>
      <c r="V102" t="s">
        <v>1493</v>
      </c>
      <c r="X102" t="s">
        <v>1494</v>
      </c>
      <c r="Y102" t="s">
        <v>1495</v>
      </c>
      <c r="Z102" t="s">
        <v>1495</v>
      </c>
      <c r="AA102" t="s">
        <v>1495</v>
      </c>
      <c r="AB102" t="s">
        <v>1495</v>
      </c>
      <c r="AC102" t="s">
        <v>1495</v>
      </c>
      <c r="AD102" t="s">
        <v>1495</v>
      </c>
    </row>
    <row r="103" spans="1:30">
      <c r="A103" t="s">
        <v>1496</v>
      </c>
      <c r="B103">
        <v>7</v>
      </c>
      <c r="C103">
        <v>29</v>
      </c>
      <c r="D103">
        <v>2022</v>
      </c>
      <c r="E103" s="1">
        <v>44771</v>
      </c>
      <c r="F103" t="s">
        <v>1497</v>
      </c>
      <c r="G103">
        <v>0</v>
      </c>
      <c r="H103">
        <v>0</v>
      </c>
      <c r="I103">
        <v>0</v>
      </c>
      <c r="J103">
        <v>1</v>
      </c>
      <c r="K103" t="s">
        <v>1498</v>
      </c>
      <c r="L103" t="s">
        <v>1499</v>
      </c>
      <c r="M103" t="s">
        <v>1500</v>
      </c>
      <c r="N103" t="s">
        <v>1501</v>
      </c>
      <c r="O103" t="s">
        <v>1502</v>
      </c>
      <c r="P103" t="s">
        <v>1503</v>
      </c>
      <c r="Q103" t="s">
        <v>1504</v>
      </c>
      <c r="R103" t="s">
        <v>1505</v>
      </c>
      <c r="S103" t="s">
        <v>1506</v>
      </c>
      <c r="T103" s="2">
        <v>0.48472222222222222</v>
      </c>
      <c r="U103">
        <v>40</v>
      </c>
      <c r="V103" t="s">
        <v>1507</v>
      </c>
      <c r="W103" t="s">
        <v>1508</v>
      </c>
      <c r="X103" t="s">
        <v>1509</v>
      </c>
      <c r="Y103" t="s">
        <v>1510</v>
      </c>
      <c r="Z103" t="s">
        <v>1510</v>
      </c>
      <c r="AA103" t="s">
        <v>1510</v>
      </c>
      <c r="AB103" t="s">
        <v>1510</v>
      </c>
      <c r="AC103" t="s">
        <v>1510</v>
      </c>
      <c r="AD103" t="s">
        <v>1510</v>
      </c>
    </row>
    <row r="104" spans="1:30">
      <c r="A104" t="s">
        <v>1511</v>
      </c>
      <c r="B104">
        <v>7</v>
      </c>
      <c r="C104">
        <v>28</v>
      </c>
      <c r="D104">
        <v>2022</v>
      </c>
      <c r="E104" s="1">
        <v>44770</v>
      </c>
      <c r="F104" t="s">
        <v>1512</v>
      </c>
      <c r="G104">
        <v>0</v>
      </c>
      <c r="H104">
        <v>0</v>
      </c>
      <c r="I104">
        <v>0</v>
      </c>
      <c r="J104">
        <v>0</v>
      </c>
      <c r="K104" t="s">
        <v>1513</v>
      </c>
      <c r="L104" t="s">
        <v>1514</v>
      </c>
      <c r="M104" t="s">
        <v>1515</v>
      </c>
      <c r="N104" t="s">
        <v>1516</v>
      </c>
      <c r="O104" t="s">
        <v>1517</v>
      </c>
      <c r="P104" t="s">
        <v>1518</v>
      </c>
      <c r="Q104" t="s">
        <v>1518</v>
      </c>
      <c r="R104" t="s">
        <v>1519</v>
      </c>
      <c r="S104" t="s">
        <v>1520</v>
      </c>
      <c r="T104" s="2">
        <v>0.66666666666666663</v>
      </c>
      <c r="U104">
        <v>1</v>
      </c>
      <c r="V104" t="s">
        <v>1521</v>
      </c>
      <c r="W104" t="s">
        <v>1522</v>
      </c>
      <c r="X104" t="s">
        <v>1523</v>
      </c>
      <c r="Y104" t="s">
        <v>1524</v>
      </c>
      <c r="Z104" t="s">
        <v>1524</v>
      </c>
      <c r="AA104" t="s">
        <v>1524</v>
      </c>
      <c r="AB104" t="s">
        <v>1524</v>
      </c>
      <c r="AC104" t="s">
        <v>1524</v>
      </c>
      <c r="AD104" t="s">
        <v>1524</v>
      </c>
    </row>
    <row r="105" spans="1:30">
      <c r="A105" t="s">
        <v>1525</v>
      </c>
      <c r="B105">
        <v>7</v>
      </c>
      <c r="C105">
        <v>26</v>
      </c>
      <c r="D105">
        <v>2022</v>
      </c>
      <c r="E105" s="1">
        <v>44768</v>
      </c>
      <c r="F105" t="s">
        <v>1526</v>
      </c>
      <c r="G105">
        <v>0</v>
      </c>
      <c r="H105">
        <v>0</v>
      </c>
      <c r="I105">
        <v>0</v>
      </c>
      <c r="J105">
        <v>0</v>
      </c>
      <c r="K105" t="s">
        <v>1527</v>
      </c>
      <c r="L105" t="s">
        <v>1528</v>
      </c>
      <c r="M105" t="s">
        <v>1529</v>
      </c>
      <c r="N105" t="s">
        <v>1530</v>
      </c>
      <c r="O105" t="s">
        <v>1531</v>
      </c>
      <c r="P105" t="s">
        <v>1532</v>
      </c>
      <c r="Q105" t="s">
        <v>1533</v>
      </c>
      <c r="R105" t="s">
        <v>1534</v>
      </c>
      <c r="S105" t="s">
        <v>1535</v>
      </c>
      <c r="T105" s="2">
        <v>0.73750000000000004</v>
      </c>
      <c r="U105">
        <v>1</v>
      </c>
      <c r="V105" t="s">
        <v>1536</v>
      </c>
      <c r="Y105" t="s">
        <v>1537</v>
      </c>
      <c r="Z105" t="s">
        <v>1537</v>
      </c>
      <c r="AA105" t="s">
        <v>1537</v>
      </c>
      <c r="AB105" t="s">
        <v>1537</v>
      </c>
      <c r="AC105" t="s">
        <v>1537</v>
      </c>
      <c r="AD105" t="s">
        <v>1537</v>
      </c>
    </row>
    <row r="106" spans="1:30">
      <c r="A106" t="s">
        <v>1538</v>
      </c>
      <c r="B106">
        <v>7</v>
      </c>
      <c r="C106">
        <v>26</v>
      </c>
      <c r="D106">
        <v>2022</v>
      </c>
      <c r="E106" s="1">
        <v>44768</v>
      </c>
      <c r="F106" t="s">
        <v>1539</v>
      </c>
      <c r="G106">
        <v>0</v>
      </c>
      <c r="H106">
        <v>0</v>
      </c>
      <c r="I106">
        <v>0</v>
      </c>
      <c r="J106">
        <v>0</v>
      </c>
      <c r="K106" t="s">
        <v>1540</v>
      </c>
      <c r="L106" t="s">
        <v>1541</v>
      </c>
      <c r="M106" t="s">
        <v>1542</v>
      </c>
      <c r="N106" t="s">
        <v>1543</v>
      </c>
      <c r="O106" t="s">
        <v>1544</v>
      </c>
      <c r="P106" t="s">
        <v>1545</v>
      </c>
      <c r="Q106" t="s">
        <v>1546</v>
      </c>
      <c r="R106" t="s">
        <v>1547</v>
      </c>
      <c r="S106" t="s">
        <v>1548</v>
      </c>
      <c r="T106" s="2">
        <v>6.25E-2</v>
      </c>
      <c r="U106">
        <v>1</v>
      </c>
      <c r="V106" t="s">
        <v>1549</v>
      </c>
      <c r="W106" t="s">
        <v>1550</v>
      </c>
      <c r="X106" t="s">
        <v>1551</v>
      </c>
      <c r="Y106" t="s">
        <v>1552</v>
      </c>
      <c r="Z106" t="s">
        <v>1552</v>
      </c>
      <c r="AA106" t="s">
        <v>1552</v>
      </c>
      <c r="AB106" t="s">
        <v>1552</v>
      </c>
      <c r="AC106" t="s">
        <v>1552</v>
      </c>
      <c r="AD106" t="s">
        <v>1552</v>
      </c>
    </row>
    <row r="107" spans="1:30">
      <c r="A107" t="s">
        <v>1553</v>
      </c>
      <c r="B107">
        <v>7</v>
      </c>
      <c r="C107">
        <v>25</v>
      </c>
      <c r="D107">
        <v>2022</v>
      </c>
      <c r="E107" s="1">
        <v>44767</v>
      </c>
      <c r="F107" t="s">
        <v>1554</v>
      </c>
      <c r="G107">
        <v>0</v>
      </c>
      <c r="H107">
        <v>2</v>
      </c>
      <c r="I107">
        <v>2</v>
      </c>
      <c r="J107">
        <v>0</v>
      </c>
      <c r="K107" t="s">
        <v>1555</v>
      </c>
      <c r="L107" t="s">
        <v>1556</v>
      </c>
      <c r="M107" t="s">
        <v>1557</v>
      </c>
      <c r="N107" t="s">
        <v>1558</v>
      </c>
      <c r="O107" t="s">
        <v>1559</v>
      </c>
      <c r="P107" t="s">
        <v>1560</v>
      </c>
      <c r="Q107" t="s">
        <v>1561</v>
      </c>
      <c r="R107" t="s">
        <v>1562</v>
      </c>
      <c r="S107" t="s">
        <v>1563</v>
      </c>
      <c r="T107" s="2">
        <v>0.97916666666666674</v>
      </c>
      <c r="U107">
        <v>1</v>
      </c>
      <c r="V107" t="s">
        <v>1564</v>
      </c>
      <c r="W107" t="s">
        <v>1565</v>
      </c>
      <c r="X107" t="s">
        <v>1566</v>
      </c>
      <c r="Y107" t="s">
        <v>1567</v>
      </c>
      <c r="Z107" t="s">
        <v>1568</v>
      </c>
      <c r="AA107" t="s">
        <v>1568</v>
      </c>
      <c r="AB107" t="s">
        <v>1568</v>
      </c>
      <c r="AC107" t="s">
        <v>1568</v>
      </c>
      <c r="AD107" t="s">
        <v>1568</v>
      </c>
    </row>
    <row r="108" spans="1:30">
      <c r="A108" t="s">
        <v>1569</v>
      </c>
      <c r="B108">
        <v>7</v>
      </c>
      <c r="C108">
        <v>20</v>
      </c>
      <c r="D108">
        <v>2022</v>
      </c>
      <c r="E108" s="1">
        <v>44762</v>
      </c>
      <c r="F108" t="s">
        <v>1570</v>
      </c>
      <c r="G108">
        <v>0</v>
      </c>
      <c r="H108">
        <v>0</v>
      </c>
      <c r="I108">
        <v>0</v>
      </c>
      <c r="J108">
        <v>0</v>
      </c>
      <c r="K108" t="s">
        <v>1571</v>
      </c>
      <c r="L108" t="s">
        <v>1572</v>
      </c>
      <c r="M108" t="s">
        <v>1573</v>
      </c>
      <c r="N108" t="s">
        <v>1574</v>
      </c>
      <c r="O108" t="s">
        <v>1575</v>
      </c>
      <c r="P108" t="s">
        <v>1576</v>
      </c>
      <c r="Q108" t="s">
        <v>1577</v>
      </c>
      <c r="R108" t="s">
        <v>1578</v>
      </c>
      <c r="S108" t="s">
        <v>1579</v>
      </c>
      <c r="T108" s="2">
        <v>0.3923611111111111</v>
      </c>
      <c r="U108">
        <v>1</v>
      </c>
      <c r="V108" t="s">
        <v>1580</v>
      </c>
      <c r="Y108" t="s">
        <v>1581</v>
      </c>
      <c r="Z108" t="s">
        <v>1581</v>
      </c>
      <c r="AA108" t="s">
        <v>1581</v>
      </c>
      <c r="AB108" t="s">
        <v>1581</v>
      </c>
      <c r="AC108" t="s">
        <v>1581</v>
      </c>
      <c r="AD108" t="s">
        <v>1581</v>
      </c>
    </row>
    <row r="109" spans="1:30">
      <c r="A109" t="s">
        <v>1582</v>
      </c>
      <c r="B109">
        <v>7</v>
      </c>
      <c r="C109">
        <v>16</v>
      </c>
      <c r="D109">
        <v>2022</v>
      </c>
      <c r="E109" s="1">
        <v>44758</v>
      </c>
      <c r="F109" t="s">
        <v>1583</v>
      </c>
      <c r="G109">
        <v>0</v>
      </c>
      <c r="H109">
        <v>1</v>
      </c>
      <c r="I109">
        <v>1</v>
      </c>
      <c r="J109">
        <v>0</v>
      </c>
      <c r="K109" t="s">
        <v>1584</v>
      </c>
      <c r="L109" t="s">
        <v>1585</v>
      </c>
      <c r="M109" t="s">
        <v>1586</v>
      </c>
      <c r="N109" t="s">
        <v>1587</v>
      </c>
      <c r="O109" t="s">
        <v>1588</v>
      </c>
      <c r="P109" t="s">
        <v>1589</v>
      </c>
      <c r="Q109" t="s">
        <v>1590</v>
      </c>
      <c r="R109" t="s">
        <v>1591</v>
      </c>
      <c r="S109" t="s">
        <v>1592</v>
      </c>
      <c r="T109" s="2">
        <v>0.10416666666666666</v>
      </c>
      <c r="U109">
        <v>1</v>
      </c>
      <c r="V109" t="s">
        <v>1593</v>
      </c>
      <c r="W109" t="s">
        <v>1594</v>
      </c>
      <c r="X109" t="s">
        <v>1595</v>
      </c>
      <c r="Y109" t="s">
        <v>1596</v>
      </c>
      <c r="Z109" t="s">
        <v>1596</v>
      </c>
      <c r="AA109" t="s">
        <v>1596</v>
      </c>
      <c r="AB109" t="s">
        <v>1596</v>
      </c>
      <c r="AC109" t="s">
        <v>1596</v>
      </c>
      <c r="AD109" t="s">
        <v>1596</v>
      </c>
    </row>
    <row r="110" spans="1:30">
      <c r="A110" t="s">
        <v>1597</v>
      </c>
      <c r="B110">
        <v>7</v>
      </c>
      <c r="C110">
        <v>16</v>
      </c>
      <c r="D110">
        <v>2022</v>
      </c>
      <c r="E110" s="1">
        <v>44758</v>
      </c>
      <c r="F110" t="s">
        <v>1598</v>
      </c>
      <c r="G110">
        <v>0</v>
      </c>
      <c r="H110">
        <v>0</v>
      </c>
      <c r="I110">
        <v>0</v>
      </c>
      <c r="J110">
        <v>0</v>
      </c>
      <c r="K110" t="s">
        <v>1599</v>
      </c>
      <c r="L110" t="s">
        <v>1600</v>
      </c>
      <c r="M110" t="s">
        <v>1601</v>
      </c>
      <c r="N110" t="s">
        <v>1602</v>
      </c>
      <c r="O110" t="s">
        <v>1603</v>
      </c>
      <c r="P110" t="s">
        <v>1604</v>
      </c>
      <c r="Q110" t="s">
        <v>1605</v>
      </c>
      <c r="R110" t="s">
        <v>1606</v>
      </c>
      <c r="S110" t="s">
        <v>1607</v>
      </c>
      <c r="T110" s="2">
        <v>0.875</v>
      </c>
      <c r="U110">
        <v>1</v>
      </c>
      <c r="V110" t="s">
        <v>1608</v>
      </c>
      <c r="W110" t="s">
        <v>1609</v>
      </c>
      <c r="X110" t="s">
        <v>1610</v>
      </c>
      <c r="Y110" t="s">
        <v>1611</v>
      </c>
      <c r="Z110" t="s">
        <v>1611</v>
      </c>
      <c r="AA110" t="s">
        <v>1611</v>
      </c>
      <c r="AB110" t="s">
        <v>1611</v>
      </c>
      <c r="AC110" t="s">
        <v>1611</v>
      </c>
      <c r="AD110" t="s">
        <v>1611</v>
      </c>
    </row>
    <row r="111" spans="1:30">
      <c r="A111" t="s">
        <v>1612</v>
      </c>
      <c r="B111">
        <v>6</v>
      </c>
      <c r="C111">
        <v>29</v>
      </c>
      <c r="D111">
        <v>2022</v>
      </c>
      <c r="E111" s="1">
        <v>44741</v>
      </c>
      <c r="F111" t="s">
        <v>1613</v>
      </c>
      <c r="G111">
        <v>0</v>
      </c>
      <c r="H111">
        <v>0</v>
      </c>
      <c r="I111">
        <v>0</v>
      </c>
      <c r="J111">
        <v>0</v>
      </c>
      <c r="K111" t="s">
        <v>1614</v>
      </c>
      <c r="L111" t="s">
        <v>1615</v>
      </c>
      <c r="M111" t="s">
        <v>1616</v>
      </c>
      <c r="N111" t="s">
        <v>1617</v>
      </c>
      <c r="O111" t="s">
        <v>1618</v>
      </c>
      <c r="P111" t="s">
        <v>1619</v>
      </c>
      <c r="Q111" t="s">
        <v>1620</v>
      </c>
      <c r="R111" t="s">
        <v>1621</v>
      </c>
      <c r="S111" t="s">
        <v>1622</v>
      </c>
      <c r="T111" s="2">
        <v>0.98611111111111116</v>
      </c>
      <c r="U111">
        <v>1</v>
      </c>
      <c r="V111" t="s">
        <v>1623</v>
      </c>
      <c r="W111" t="s">
        <v>1624</v>
      </c>
      <c r="X111" t="s">
        <v>1625</v>
      </c>
      <c r="Y111" t="s">
        <v>1626</v>
      </c>
      <c r="Z111" t="s">
        <v>1627</v>
      </c>
      <c r="AA111" t="s">
        <v>1627</v>
      </c>
      <c r="AB111" t="s">
        <v>1627</v>
      </c>
      <c r="AC111" t="s">
        <v>1627</v>
      </c>
      <c r="AD111" t="s">
        <v>1627</v>
      </c>
    </row>
    <row r="112" spans="1:30">
      <c r="A112" t="s">
        <v>1628</v>
      </c>
      <c r="B112">
        <v>6</v>
      </c>
      <c r="C112">
        <v>20</v>
      </c>
      <c r="D112">
        <v>2022</v>
      </c>
      <c r="E112" s="1">
        <v>44732</v>
      </c>
      <c r="F112" t="s">
        <v>1629</v>
      </c>
      <c r="G112">
        <v>0</v>
      </c>
      <c r="H112">
        <v>3</v>
      </c>
      <c r="I112">
        <v>3</v>
      </c>
      <c r="J112">
        <v>0</v>
      </c>
      <c r="K112" t="s">
        <v>1630</v>
      </c>
      <c r="L112" t="s">
        <v>1631</v>
      </c>
      <c r="M112" t="s">
        <v>1632</v>
      </c>
      <c r="N112" t="s">
        <v>1633</v>
      </c>
      <c r="O112" t="s">
        <v>1634</v>
      </c>
      <c r="P112" t="s">
        <v>1635</v>
      </c>
      <c r="Q112" t="s">
        <v>1636</v>
      </c>
      <c r="R112" t="s">
        <v>1637</v>
      </c>
      <c r="S112" t="s">
        <v>1638</v>
      </c>
      <c r="T112" s="2">
        <v>4.1666666666666664E-2</v>
      </c>
      <c r="U112">
        <v>1</v>
      </c>
      <c r="V112" t="s">
        <v>1639</v>
      </c>
      <c r="X112" t="s">
        <v>1640</v>
      </c>
      <c r="Y112" t="s">
        <v>1641</v>
      </c>
      <c r="Z112" t="s">
        <v>1641</v>
      </c>
      <c r="AA112" t="s">
        <v>1641</v>
      </c>
      <c r="AB112" t="s">
        <v>1641</v>
      </c>
      <c r="AC112" t="s">
        <v>1641</v>
      </c>
      <c r="AD112" t="s">
        <v>1641</v>
      </c>
    </row>
    <row r="113" spans="1:30">
      <c r="A113" t="s">
        <v>1642</v>
      </c>
      <c r="B113">
        <v>6</v>
      </c>
      <c r="C113">
        <v>13</v>
      </c>
      <c r="D113">
        <v>2022</v>
      </c>
      <c r="E113" s="1">
        <v>44725</v>
      </c>
      <c r="F113" t="s">
        <v>1643</v>
      </c>
      <c r="G113">
        <v>0</v>
      </c>
      <c r="H113">
        <v>0</v>
      </c>
      <c r="I113">
        <v>0</v>
      </c>
      <c r="J113">
        <v>0</v>
      </c>
      <c r="K113" t="s">
        <v>1644</v>
      </c>
      <c r="L113" t="s">
        <v>1645</v>
      </c>
      <c r="M113" t="s">
        <v>1646</v>
      </c>
      <c r="N113" t="s">
        <v>1647</v>
      </c>
      <c r="O113" t="s">
        <v>1648</v>
      </c>
      <c r="P113" t="s">
        <v>1649</v>
      </c>
      <c r="Q113" t="s">
        <v>1650</v>
      </c>
      <c r="R113" t="s">
        <v>1651</v>
      </c>
      <c r="S113" t="s">
        <v>1652</v>
      </c>
      <c r="T113" s="2">
        <v>0.63194444444444442</v>
      </c>
      <c r="U113">
        <v>1</v>
      </c>
      <c r="V113" t="s">
        <v>1653</v>
      </c>
      <c r="W113" t="s">
        <v>1654</v>
      </c>
      <c r="X113" t="s">
        <v>1655</v>
      </c>
      <c r="Y113" t="s">
        <v>1656</v>
      </c>
      <c r="Z113" t="s">
        <v>1656</v>
      </c>
      <c r="AA113" t="s">
        <v>1656</v>
      </c>
      <c r="AB113" t="s">
        <v>1656</v>
      </c>
      <c r="AC113" t="s">
        <v>1656</v>
      </c>
      <c r="AD113" t="s">
        <v>1656</v>
      </c>
    </row>
    <row r="114" spans="1:30">
      <c r="A114" t="s">
        <v>1657</v>
      </c>
      <c r="B114">
        <v>6</v>
      </c>
      <c r="C114">
        <v>10</v>
      </c>
      <c r="D114">
        <v>2022</v>
      </c>
      <c r="E114" s="1">
        <v>44722</v>
      </c>
      <c r="F114" t="s">
        <v>1658</v>
      </c>
      <c r="G114">
        <v>0</v>
      </c>
      <c r="H114">
        <v>0</v>
      </c>
      <c r="I114">
        <v>0</v>
      </c>
      <c r="J114">
        <v>0</v>
      </c>
      <c r="K114" t="s">
        <v>1659</v>
      </c>
      <c r="L114" t="s">
        <v>1660</v>
      </c>
      <c r="M114" t="s">
        <v>1661</v>
      </c>
      <c r="N114" t="s">
        <v>1662</v>
      </c>
      <c r="O114" t="s">
        <v>1663</v>
      </c>
      <c r="P114" t="s">
        <v>1664</v>
      </c>
      <c r="Q114" t="s">
        <v>1665</v>
      </c>
      <c r="R114" t="s">
        <v>1666</v>
      </c>
      <c r="S114" t="s">
        <v>1667</v>
      </c>
      <c r="T114" s="2">
        <v>0.4375</v>
      </c>
      <c r="U114">
        <v>1</v>
      </c>
      <c r="V114" t="s">
        <v>1668</v>
      </c>
      <c r="W114" t="s">
        <v>1669</v>
      </c>
      <c r="X114" t="s">
        <v>1670</v>
      </c>
      <c r="Z114" t="s">
        <v>1671</v>
      </c>
      <c r="AA114" t="s">
        <v>1671</v>
      </c>
      <c r="AB114" t="s">
        <v>1671</v>
      </c>
      <c r="AC114" t="s">
        <v>1671</v>
      </c>
      <c r="AD114" t="s">
        <v>1671</v>
      </c>
    </row>
    <row r="115" spans="1:30">
      <c r="A115" t="s">
        <v>1672</v>
      </c>
      <c r="B115">
        <v>6</v>
      </c>
      <c r="C115">
        <v>9</v>
      </c>
      <c r="D115">
        <v>2022</v>
      </c>
      <c r="E115" s="1">
        <v>44721</v>
      </c>
      <c r="F115" t="s">
        <v>1673</v>
      </c>
      <c r="G115">
        <v>0</v>
      </c>
      <c r="H115">
        <v>0</v>
      </c>
      <c r="I115">
        <v>0</v>
      </c>
      <c r="J115">
        <v>0</v>
      </c>
      <c r="K115" t="s">
        <v>1674</v>
      </c>
      <c r="L115" t="s">
        <v>1675</v>
      </c>
      <c r="M115" t="s">
        <v>1676</v>
      </c>
      <c r="N115" t="s">
        <v>1677</v>
      </c>
      <c r="O115" t="s">
        <v>1678</v>
      </c>
      <c r="P115" t="s">
        <v>1679</v>
      </c>
      <c r="Q115" t="s">
        <v>1680</v>
      </c>
      <c r="R115" t="s">
        <v>1681</v>
      </c>
      <c r="S115" t="s">
        <v>1682</v>
      </c>
      <c r="T115" s="2">
        <v>0.39583333333333331</v>
      </c>
      <c r="U115">
        <v>1</v>
      </c>
      <c r="V115" t="s">
        <v>1683</v>
      </c>
      <c r="W115" t="s">
        <v>1684</v>
      </c>
      <c r="AD115" t="s">
        <v>1685</v>
      </c>
    </row>
    <row r="116" spans="1:30">
      <c r="A116" t="s">
        <v>1686</v>
      </c>
      <c r="B116">
        <v>6</v>
      </c>
      <c r="C116">
        <v>8</v>
      </c>
      <c r="D116">
        <v>2022</v>
      </c>
      <c r="E116" s="1">
        <v>44720</v>
      </c>
      <c r="F116" t="s">
        <v>1687</v>
      </c>
      <c r="G116">
        <v>0</v>
      </c>
      <c r="H116">
        <v>0</v>
      </c>
      <c r="I116">
        <v>0</v>
      </c>
      <c r="J116">
        <v>0</v>
      </c>
      <c r="K116" t="s">
        <v>1688</v>
      </c>
      <c r="L116" t="s">
        <v>1689</v>
      </c>
      <c r="M116" t="s">
        <v>1690</v>
      </c>
      <c r="N116" t="s">
        <v>1691</v>
      </c>
      <c r="O116" t="s">
        <v>1692</v>
      </c>
      <c r="P116" t="s">
        <v>1693</v>
      </c>
      <c r="Q116" t="s">
        <v>1693</v>
      </c>
      <c r="R116" t="s">
        <v>1694</v>
      </c>
      <c r="S116" t="s">
        <v>1695</v>
      </c>
      <c r="T116" s="2">
        <v>0.66736111111111107</v>
      </c>
      <c r="U116">
        <v>1</v>
      </c>
      <c r="V116" t="s">
        <v>1696</v>
      </c>
      <c r="X116" t="s">
        <v>1697</v>
      </c>
      <c r="Z116" t="s">
        <v>1698</v>
      </c>
      <c r="AA116" t="s">
        <v>1698</v>
      </c>
      <c r="AB116" t="s">
        <v>1698</v>
      </c>
      <c r="AC116" t="s">
        <v>1698</v>
      </c>
      <c r="AD116" t="s">
        <v>1698</v>
      </c>
    </row>
    <row r="117" spans="1:30">
      <c r="A117" t="s">
        <v>1699</v>
      </c>
      <c r="B117">
        <v>6</v>
      </c>
      <c r="C117">
        <v>7</v>
      </c>
      <c r="D117">
        <v>2022</v>
      </c>
      <c r="E117" s="1">
        <v>44719</v>
      </c>
      <c r="F117" t="s">
        <v>1700</v>
      </c>
      <c r="G117">
        <v>0</v>
      </c>
      <c r="H117">
        <v>0</v>
      </c>
      <c r="I117">
        <v>0</v>
      </c>
      <c r="J117">
        <v>0</v>
      </c>
      <c r="K117" t="s">
        <v>1701</v>
      </c>
      <c r="L117" t="s">
        <v>1702</v>
      </c>
      <c r="M117" t="s">
        <v>1703</v>
      </c>
      <c r="N117" t="s">
        <v>1704</v>
      </c>
      <c r="O117" t="s">
        <v>1705</v>
      </c>
      <c r="P117" t="s">
        <v>1706</v>
      </c>
      <c r="Q117" t="s">
        <v>1707</v>
      </c>
      <c r="R117" t="s">
        <v>1708</v>
      </c>
      <c r="S117" t="s">
        <v>1709</v>
      </c>
      <c r="T117" s="2">
        <v>0.66666666666666663</v>
      </c>
      <c r="U117">
        <v>1</v>
      </c>
      <c r="V117" t="s">
        <v>1710</v>
      </c>
      <c r="Z117" t="s">
        <v>1711</v>
      </c>
      <c r="AA117" t="s">
        <v>1711</v>
      </c>
      <c r="AB117" t="s">
        <v>1711</v>
      </c>
      <c r="AC117" t="s">
        <v>1711</v>
      </c>
      <c r="AD117" t="s">
        <v>1711</v>
      </c>
    </row>
    <row r="118" spans="1:30">
      <c r="A118" t="s">
        <v>1712</v>
      </c>
      <c r="B118">
        <v>6</v>
      </c>
      <c r="C118">
        <v>5</v>
      </c>
      <c r="D118">
        <v>2022</v>
      </c>
      <c r="E118" s="1">
        <v>44717</v>
      </c>
      <c r="F118" t="s">
        <v>1713</v>
      </c>
      <c r="G118">
        <v>0</v>
      </c>
      <c r="H118">
        <v>2</v>
      </c>
      <c r="I118">
        <v>2</v>
      </c>
      <c r="J118">
        <v>0</v>
      </c>
      <c r="K118" t="s">
        <v>1714</v>
      </c>
      <c r="L118" t="s">
        <v>1715</v>
      </c>
      <c r="M118" t="s">
        <v>1716</v>
      </c>
      <c r="N118" t="s">
        <v>1717</v>
      </c>
      <c r="O118" t="s">
        <v>1718</v>
      </c>
      <c r="P118" t="s">
        <v>1719</v>
      </c>
      <c r="Q118" t="s">
        <v>1719</v>
      </c>
      <c r="R118" t="s">
        <v>1720</v>
      </c>
      <c r="S118" t="s">
        <v>1721</v>
      </c>
      <c r="T118" s="2">
        <v>0.75902777777777775</v>
      </c>
      <c r="U118">
        <v>1</v>
      </c>
      <c r="V118" t="s">
        <v>1722</v>
      </c>
      <c r="W118" t="s">
        <v>1723</v>
      </c>
      <c r="X118" t="s">
        <v>1724</v>
      </c>
      <c r="Z118" t="s">
        <v>1725</v>
      </c>
      <c r="AA118" t="s">
        <v>1725</v>
      </c>
      <c r="AB118" t="s">
        <v>1725</v>
      </c>
      <c r="AC118" t="s">
        <v>1725</v>
      </c>
      <c r="AD118" t="s">
        <v>1725</v>
      </c>
    </row>
    <row r="119" spans="1:30">
      <c r="A119" t="s">
        <v>1726</v>
      </c>
      <c r="B119">
        <v>6</v>
      </c>
      <c r="C119">
        <v>1</v>
      </c>
      <c r="D119">
        <v>2022</v>
      </c>
      <c r="E119" s="1">
        <v>44713</v>
      </c>
      <c r="F119" t="s">
        <v>1727</v>
      </c>
      <c r="G119">
        <v>0</v>
      </c>
      <c r="H119">
        <v>1</v>
      </c>
      <c r="I119">
        <v>1</v>
      </c>
      <c r="J119">
        <v>0</v>
      </c>
      <c r="K119" t="s">
        <v>1728</v>
      </c>
      <c r="L119" t="s">
        <v>1729</v>
      </c>
      <c r="M119" t="s">
        <v>1730</v>
      </c>
      <c r="N119" t="s">
        <v>1731</v>
      </c>
      <c r="O119" t="s">
        <v>1732</v>
      </c>
      <c r="P119" t="s">
        <v>1733</v>
      </c>
      <c r="Q119" t="s">
        <v>1734</v>
      </c>
      <c r="R119" t="s">
        <v>1735</v>
      </c>
      <c r="S119" t="s">
        <v>1736</v>
      </c>
      <c r="T119" s="2">
        <v>0.64236111111111116</v>
      </c>
      <c r="U119">
        <v>1</v>
      </c>
      <c r="V119" t="s">
        <v>1737</v>
      </c>
      <c r="W119" t="s">
        <v>1738</v>
      </c>
      <c r="X119" t="s">
        <v>1739</v>
      </c>
      <c r="Y119" t="s">
        <v>1740</v>
      </c>
      <c r="Z119" t="s">
        <v>1740</v>
      </c>
      <c r="AA119" t="s">
        <v>1740</v>
      </c>
      <c r="AB119" t="s">
        <v>1740</v>
      </c>
      <c r="AC119" t="s">
        <v>1740</v>
      </c>
      <c r="AD119" t="s">
        <v>1740</v>
      </c>
    </row>
    <row r="120" spans="1:30">
      <c r="A120" t="s">
        <v>1741</v>
      </c>
      <c r="B120">
        <v>5</v>
      </c>
      <c r="C120">
        <v>31</v>
      </c>
      <c r="D120">
        <v>2022</v>
      </c>
      <c r="E120" s="1">
        <v>44712</v>
      </c>
      <c r="F120" t="s">
        <v>1742</v>
      </c>
      <c r="G120">
        <v>0</v>
      </c>
      <c r="H120">
        <v>2</v>
      </c>
      <c r="I120">
        <v>2</v>
      </c>
      <c r="J120">
        <v>0</v>
      </c>
      <c r="K120" t="s">
        <v>1743</v>
      </c>
      <c r="L120" t="s">
        <v>1744</v>
      </c>
      <c r="M120" t="s">
        <v>1745</v>
      </c>
      <c r="N120" t="s">
        <v>1746</v>
      </c>
      <c r="O120" t="s">
        <v>1747</v>
      </c>
      <c r="P120" t="s">
        <v>1748</v>
      </c>
      <c r="Q120" t="s">
        <v>1748</v>
      </c>
      <c r="R120" t="s">
        <v>1749</v>
      </c>
      <c r="S120" t="s">
        <v>1750</v>
      </c>
      <c r="T120" s="2">
        <v>0.48958333333333331</v>
      </c>
      <c r="U120">
        <v>1</v>
      </c>
      <c r="V120" t="s">
        <v>1751</v>
      </c>
      <c r="W120" t="s">
        <v>1752</v>
      </c>
      <c r="X120" t="s">
        <v>1753</v>
      </c>
      <c r="Y120" t="s">
        <v>1754</v>
      </c>
      <c r="Z120" t="s">
        <v>1754</v>
      </c>
      <c r="AA120" t="s">
        <v>1754</v>
      </c>
      <c r="AB120" t="s">
        <v>1754</v>
      </c>
      <c r="AC120" t="s">
        <v>1754</v>
      </c>
      <c r="AD120" t="s">
        <v>1754</v>
      </c>
    </row>
    <row r="121" spans="1:30">
      <c r="A121" t="s">
        <v>1755</v>
      </c>
      <c r="B121">
        <v>5</v>
      </c>
      <c r="C121">
        <v>30</v>
      </c>
      <c r="D121">
        <v>2022</v>
      </c>
      <c r="E121" s="1">
        <v>44711</v>
      </c>
      <c r="F121" t="s">
        <v>1756</v>
      </c>
      <c r="G121">
        <v>0</v>
      </c>
      <c r="H121">
        <v>1</v>
      </c>
      <c r="I121">
        <v>1</v>
      </c>
      <c r="J121">
        <v>0</v>
      </c>
      <c r="K121" t="s">
        <v>1757</v>
      </c>
      <c r="L121" t="s">
        <v>1758</v>
      </c>
      <c r="M121" t="s">
        <v>1759</v>
      </c>
      <c r="N121" t="s">
        <v>1760</v>
      </c>
      <c r="O121" t="s">
        <v>1761</v>
      </c>
      <c r="P121" t="s">
        <v>1762</v>
      </c>
      <c r="Q121" t="s">
        <v>1763</v>
      </c>
      <c r="R121" t="s">
        <v>1764</v>
      </c>
      <c r="S121" t="s">
        <v>1765</v>
      </c>
      <c r="T121" s="2">
        <v>0.76388888888888884</v>
      </c>
      <c r="U121">
        <v>1</v>
      </c>
      <c r="V121" t="s">
        <v>1766</v>
      </c>
      <c r="X121" t="s">
        <v>1767</v>
      </c>
      <c r="Y121" t="s">
        <v>1768</v>
      </c>
      <c r="Z121" t="s">
        <v>1768</v>
      </c>
      <c r="AA121" t="s">
        <v>1768</v>
      </c>
      <c r="AB121" t="s">
        <v>1768</v>
      </c>
      <c r="AC121" t="s">
        <v>1768</v>
      </c>
      <c r="AD121" t="s">
        <v>1768</v>
      </c>
    </row>
    <row r="122" spans="1:30">
      <c r="A122" t="s">
        <v>1769</v>
      </c>
      <c r="B122">
        <v>5</v>
      </c>
      <c r="C122">
        <v>29</v>
      </c>
      <c r="D122">
        <v>2022</v>
      </c>
      <c r="E122" s="1">
        <v>44710</v>
      </c>
      <c r="F122" t="s">
        <v>1770</v>
      </c>
      <c r="G122">
        <v>0</v>
      </c>
      <c r="H122">
        <v>5</v>
      </c>
      <c r="I122">
        <v>5</v>
      </c>
      <c r="J122">
        <v>0</v>
      </c>
      <c r="K122" t="s">
        <v>1771</v>
      </c>
      <c r="L122" t="s">
        <v>1772</v>
      </c>
      <c r="M122" t="s">
        <v>1773</v>
      </c>
      <c r="N122" t="s">
        <v>1774</v>
      </c>
      <c r="O122" t="s">
        <v>1775</v>
      </c>
      <c r="P122" t="s">
        <v>1776</v>
      </c>
      <c r="Q122" t="s">
        <v>1777</v>
      </c>
      <c r="R122" t="s">
        <v>1778</v>
      </c>
      <c r="S122" t="s">
        <v>1779</v>
      </c>
      <c r="T122" s="2">
        <v>6.25E-2</v>
      </c>
      <c r="U122">
        <v>1</v>
      </c>
      <c r="V122" t="s">
        <v>1780</v>
      </c>
      <c r="W122" t="s">
        <v>1781</v>
      </c>
      <c r="X122" t="s">
        <v>1782</v>
      </c>
      <c r="Y122" t="s">
        <v>1783</v>
      </c>
      <c r="Z122" t="s">
        <v>1784</v>
      </c>
      <c r="AA122" t="s">
        <v>1784</v>
      </c>
      <c r="AB122" t="s">
        <v>1784</v>
      </c>
      <c r="AC122" t="s">
        <v>1784</v>
      </c>
      <c r="AD122" t="s">
        <v>1784</v>
      </c>
    </row>
    <row r="123" spans="1:30">
      <c r="A123" t="s">
        <v>1785</v>
      </c>
      <c r="B123">
        <v>5</v>
      </c>
      <c r="C123">
        <v>26</v>
      </c>
      <c r="D123">
        <v>2022</v>
      </c>
      <c r="E123" s="1">
        <v>44707</v>
      </c>
      <c r="F123" t="s">
        <v>1786</v>
      </c>
      <c r="G123">
        <v>0</v>
      </c>
      <c r="H123">
        <v>0</v>
      </c>
      <c r="I123">
        <v>0</v>
      </c>
      <c r="J123">
        <v>0</v>
      </c>
      <c r="K123" t="s">
        <v>1787</v>
      </c>
      <c r="L123" t="s">
        <v>1788</v>
      </c>
      <c r="M123" t="s">
        <v>1789</v>
      </c>
      <c r="N123" t="s">
        <v>1790</v>
      </c>
      <c r="O123" t="s">
        <v>1791</v>
      </c>
      <c r="P123" t="s">
        <v>1792</v>
      </c>
      <c r="Q123" t="s">
        <v>1793</v>
      </c>
      <c r="R123" t="s">
        <v>1794</v>
      </c>
      <c r="S123" t="s">
        <v>1795</v>
      </c>
      <c r="T123" s="2">
        <v>0.48958333333333331</v>
      </c>
      <c r="U123">
        <v>1</v>
      </c>
      <c r="V123" t="s">
        <v>1796</v>
      </c>
      <c r="W123" t="s">
        <v>1797</v>
      </c>
      <c r="X123" t="s">
        <v>1798</v>
      </c>
      <c r="Y123" t="s">
        <v>1799</v>
      </c>
      <c r="Z123" t="s">
        <v>1799</v>
      </c>
      <c r="AA123" t="s">
        <v>1799</v>
      </c>
      <c r="AB123" t="s">
        <v>1799</v>
      </c>
      <c r="AC123" t="s">
        <v>1799</v>
      </c>
      <c r="AD123" t="s">
        <v>1799</v>
      </c>
    </row>
    <row r="124" spans="1:30">
      <c r="A124" t="s">
        <v>1800</v>
      </c>
      <c r="B124">
        <v>5</v>
      </c>
      <c r="C124">
        <v>26</v>
      </c>
      <c r="D124">
        <v>2022</v>
      </c>
      <c r="E124" s="1">
        <v>44707</v>
      </c>
      <c r="F124" t="s">
        <v>1801</v>
      </c>
      <c r="G124">
        <v>1</v>
      </c>
      <c r="H124">
        <v>0</v>
      </c>
      <c r="I124">
        <v>1</v>
      </c>
      <c r="J124">
        <v>0</v>
      </c>
      <c r="K124" t="s">
        <v>1802</v>
      </c>
      <c r="L124" t="s">
        <v>1803</v>
      </c>
      <c r="M124" t="s">
        <v>1804</v>
      </c>
      <c r="N124" t="s">
        <v>1805</v>
      </c>
      <c r="O124" t="s">
        <v>1806</v>
      </c>
      <c r="P124" t="s">
        <v>1807</v>
      </c>
      <c r="Q124" t="s">
        <v>1808</v>
      </c>
      <c r="R124" t="s">
        <v>1809</v>
      </c>
      <c r="S124" t="s">
        <v>1810</v>
      </c>
      <c r="T124" s="2">
        <v>3.472222222222222E-3</v>
      </c>
      <c r="U124">
        <v>1</v>
      </c>
      <c r="V124" t="s">
        <v>1811</v>
      </c>
      <c r="X124" t="s">
        <v>1812</v>
      </c>
      <c r="Z124" t="s">
        <v>1813</v>
      </c>
      <c r="AA124" t="s">
        <v>1813</v>
      </c>
      <c r="AB124" t="s">
        <v>1813</v>
      </c>
      <c r="AD124" t="s">
        <v>1813</v>
      </c>
    </row>
    <row r="125" spans="1:30">
      <c r="A125" t="s">
        <v>1814</v>
      </c>
      <c r="B125">
        <v>5</v>
      </c>
      <c r="C125">
        <v>25</v>
      </c>
      <c r="D125">
        <v>2022</v>
      </c>
      <c r="E125" s="1">
        <v>44706</v>
      </c>
      <c r="F125" t="s">
        <v>1815</v>
      </c>
      <c r="G125">
        <v>0</v>
      </c>
      <c r="H125">
        <v>0</v>
      </c>
      <c r="I125">
        <v>0</v>
      </c>
      <c r="J125">
        <v>0</v>
      </c>
      <c r="K125" t="s">
        <v>1816</v>
      </c>
      <c r="L125" t="s">
        <v>1817</v>
      </c>
      <c r="M125" t="s">
        <v>1818</v>
      </c>
      <c r="N125" t="s">
        <v>1819</v>
      </c>
      <c r="O125" t="s">
        <v>1820</v>
      </c>
      <c r="P125" t="s">
        <v>1821</v>
      </c>
      <c r="Q125" t="s">
        <v>1821</v>
      </c>
      <c r="R125" t="s">
        <v>1822</v>
      </c>
      <c r="S125" t="s">
        <v>1823</v>
      </c>
      <c r="U125">
        <v>1</v>
      </c>
      <c r="V125" t="s">
        <v>1824</v>
      </c>
      <c r="W125" t="s">
        <v>1825</v>
      </c>
      <c r="X125" t="s">
        <v>1826</v>
      </c>
      <c r="Y125" t="s">
        <v>1827</v>
      </c>
      <c r="Z125" t="s">
        <v>1827</v>
      </c>
      <c r="AA125" t="s">
        <v>1827</v>
      </c>
      <c r="AB125" t="s">
        <v>1827</v>
      </c>
      <c r="AC125" t="s">
        <v>1827</v>
      </c>
      <c r="AD125" t="s">
        <v>1827</v>
      </c>
    </row>
    <row r="126" spans="1:30">
      <c r="A126" t="s">
        <v>1828</v>
      </c>
      <c r="B126">
        <v>5</v>
      </c>
      <c r="C126">
        <v>24</v>
      </c>
      <c r="D126">
        <v>2022</v>
      </c>
      <c r="E126" s="1">
        <v>44705</v>
      </c>
      <c r="F126" t="s">
        <v>1829</v>
      </c>
      <c r="G126">
        <v>0</v>
      </c>
      <c r="H126">
        <v>1</v>
      </c>
      <c r="I126">
        <v>1</v>
      </c>
      <c r="J126">
        <v>0</v>
      </c>
      <c r="K126" t="s">
        <v>1830</v>
      </c>
      <c r="L126" t="s">
        <v>1831</v>
      </c>
      <c r="M126" t="s">
        <v>1832</v>
      </c>
      <c r="N126" t="s">
        <v>1833</v>
      </c>
      <c r="O126" t="s">
        <v>1834</v>
      </c>
      <c r="P126" t="s">
        <v>1835</v>
      </c>
      <c r="Q126" t="s">
        <v>1836</v>
      </c>
      <c r="R126" t="s">
        <v>1837</v>
      </c>
      <c r="S126" t="s">
        <v>1838</v>
      </c>
      <c r="T126" s="2">
        <v>0.67708333333333326</v>
      </c>
      <c r="U126">
        <v>1</v>
      </c>
      <c r="V126" t="s">
        <v>1839</v>
      </c>
      <c r="W126" t="s">
        <v>1840</v>
      </c>
      <c r="X126" t="s">
        <v>1841</v>
      </c>
      <c r="Y126" t="s">
        <v>1842</v>
      </c>
      <c r="Z126" t="s">
        <v>1842</v>
      </c>
      <c r="AA126" t="s">
        <v>1842</v>
      </c>
      <c r="AB126" t="s">
        <v>1842</v>
      </c>
      <c r="AC126" t="s">
        <v>1842</v>
      </c>
      <c r="AD126" t="s">
        <v>1842</v>
      </c>
    </row>
    <row r="127" spans="1:30">
      <c r="A127" t="s">
        <v>1843</v>
      </c>
      <c r="B127">
        <v>5</v>
      </c>
      <c r="C127">
        <v>24</v>
      </c>
      <c r="D127">
        <v>2022</v>
      </c>
      <c r="E127" s="1">
        <v>44705</v>
      </c>
      <c r="F127" t="s">
        <v>1844</v>
      </c>
      <c r="G127">
        <v>0</v>
      </c>
      <c r="H127">
        <v>0</v>
      </c>
      <c r="I127">
        <v>0</v>
      </c>
      <c r="J127">
        <v>0</v>
      </c>
      <c r="K127" t="s">
        <v>1845</v>
      </c>
      <c r="L127" t="s">
        <v>1846</v>
      </c>
      <c r="M127" t="s">
        <v>1847</v>
      </c>
      <c r="N127" t="s">
        <v>1848</v>
      </c>
      <c r="O127" t="s">
        <v>1849</v>
      </c>
      <c r="P127" t="s">
        <v>1850</v>
      </c>
      <c r="Q127" t="s">
        <v>1850</v>
      </c>
      <c r="R127" t="s">
        <v>1851</v>
      </c>
      <c r="S127" t="s">
        <v>1852</v>
      </c>
      <c r="T127" s="2">
        <v>0.52083333333333337</v>
      </c>
      <c r="U127">
        <v>1</v>
      </c>
      <c r="V127" t="s">
        <v>1853</v>
      </c>
      <c r="W127" t="s">
        <v>1854</v>
      </c>
      <c r="Y127" t="s">
        <v>1855</v>
      </c>
      <c r="Z127" t="s">
        <v>1855</v>
      </c>
      <c r="AA127" t="s">
        <v>1855</v>
      </c>
      <c r="AC127" t="s">
        <v>1855</v>
      </c>
      <c r="AD127" t="s">
        <v>1855</v>
      </c>
    </row>
    <row r="128" spans="1:30">
      <c r="A128" t="s">
        <v>1856</v>
      </c>
      <c r="B128">
        <v>5</v>
      </c>
      <c r="C128">
        <v>24</v>
      </c>
      <c r="D128">
        <v>2022</v>
      </c>
      <c r="E128" s="1">
        <v>44705</v>
      </c>
      <c r="F128" t="s">
        <v>1857</v>
      </c>
      <c r="G128">
        <v>21</v>
      </c>
      <c r="H128">
        <v>18</v>
      </c>
      <c r="I128">
        <v>39</v>
      </c>
      <c r="J128">
        <v>1</v>
      </c>
      <c r="K128" t="s">
        <v>1858</v>
      </c>
      <c r="L128" t="s">
        <v>1859</v>
      </c>
      <c r="M128" t="s">
        <v>1860</v>
      </c>
      <c r="N128" t="s">
        <v>1861</v>
      </c>
      <c r="O128" t="s">
        <v>1862</v>
      </c>
      <c r="P128" t="s">
        <v>1863</v>
      </c>
      <c r="Q128" t="s">
        <v>1863</v>
      </c>
      <c r="R128" t="s">
        <v>1864</v>
      </c>
      <c r="S128" t="s">
        <v>1865</v>
      </c>
      <c r="T128" s="2">
        <v>0.47916666666666663</v>
      </c>
      <c r="U128">
        <v>90</v>
      </c>
      <c r="V128" t="s">
        <v>1866</v>
      </c>
      <c r="W128" t="s">
        <v>1867</v>
      </c>
      <c r="X128" t="s">
        <v>1868</v>
      </c>
      <c r="Y128" t="s">
        <v>1869</v>
      </c>
      <c r="Z128" t="s">
        <v>1869</v>
      </c>
      <c r="AA128" t="s">
        <v>1870</v>
      </c>
      <c r="AD128" t="s">
        <v>1870</v>
      </c>
    </row>
    <row r="129" spans="1:30">
      <c r="A129" t="s">
        <v>1871</v>
      </c>
      <c r="B129">
        <v>5</v>
      </c>
      <c r="C129">
        <v>23</v>
      </c>
      <c r="D129">
        <v>2022</v>
      </c>
      <c r="E129" s="1">
        <v>44704</v>
      </c>
      <c r="F129" t="s">
        <v>1872</v>
      </c>
      <c r="G129">
        <v>0</v>
      </c>
      <c r="H129">
        <v>3</v>
      </c>
      <c r="I129">
        <v>3</v>
      </c>
      <c r="J129">
        <v>0</v>
      </c>
      <c r="K129" t="s">
        <v>1873</v>
      </c>
      <c r="L129" t="s">
        <v>1874</v>
      </c>
      <c r="M129" t="s">
        <v>1875</v>
      </c>
      <c r="N129" t="s">
        <v>1876</v>
      </c>
      <c r="O129" t="s">
        <v>1877</v>
      </c>
      <c r="P129" t="s">
        <v>1878</v>
      </c>
      <c r="Q129" t="s">
        <v>1879</v>
      </c>
      <c r="R129" t="s">
        <v>1880</v>
      </c>
      <c r="S129" t="s">
        <v>1881</v>
      </c>
      <c r="T129" s="2">
        <v>0.61458333333333337</v>
      </c>
      <c r="U129">
        <v>1</v>
      </c>
      <c r="V129" t="s">
        <v>1882</v>
      </c>
      <c r="W129" t="s">
        <v>1883</v>
      </c>
      <c r="X129" t="s">
        <v>1884</v>
      </c>
      <c r="Z129" t="s">
        <v>1885</v>
      </c>
      <c r="AA129" t="s">
        <v>1885</v>
      </c>
      <c r="AB129" t="s">
        <v>1885</v>
      </c>
      <c r="AC129" t="s">
        <v>1885</v>
      </c>
      <c r="AD129" t="s">
        <v>1885</v>
      </c>
    </row>
    <row r="130" spans="1:30">
      <c r="A130" t="s">
        <v>1886</v>
      </c>
      <c r="B130">
        <v>5</v>
      </c>
      <c r="C130">
        <v>20</v>
      </c>
      <c r="D130">
        <v>2022</v>
      </c>
      <c r="E130" s="1">
        <v>44701</v>
      </c>
      <c r="F130" t="s">
        <v>1887</v>
      </c>
      <c r="G130">
        <v>0</v>
      </c>
      <c r="H130">
        <v>0</v>
      </c>
      <c r="I130">
        <v>0</v>
      </c>
      <c r="J130">
        <v>0</v>
      </c>
      <c r="K130" t="s">
        <v>1888</v>
      </c>
      <c r="L130" t="s">
        <v>1889</v>
      </c>
      <c r="M130" t="s">
        <v>1890</v>
      </c>
      <c r="N130" t="s">
        <v>1891</v>
      </c>
      <c r="O130" t="s">
        <v>1892</v>
      </c>
      <c r="P130" t="s">
        <v>1893</v>
      </c>
      <c r="Q130" t="s">
        <v>1894</v>
      </c>
      <c r="R130" t="s">
        <v>1895</v>
      </c>
      <c r="S130" t="s">
        <v>1896</v>
      </c>
      <c r="T130" s="2">
        <v>0.5625</v>
      </c>
      <c r="U130">
        <v>1</v>
      </c>
      <c r="V130" t="s">
        <v>1897</v>
      </c>
      <c r="W130" t="s">
        <v>1898</v>
      </c>
      <c r="X130" t="s">
        <v>1899</v>
      </c>
      <c r="Y130" t="s">
        <v>1900</v>
      </c>
      <c r="Z130" t="s">
        <v>1900</v>
      </c>
      <c r="AA130" t="s">
        <v>1900</v>
      </c>
      <c r="AB130" t="s">
        <v>1900</v>
      </c>
      <c r="AC130" t="s">
        <v>1900</v>
      </c>
      <c r="AD130" t="s">
        <v>1900</v>
      </c>
    </row>
    <row r="131" spans="1:30">
      <c r="A131" t="s">
        <v>1901</v>
      </c>
      <c r="B131">
        <v>5</v>
      </c>
      <c r="C131">
        <v>20</v>
      </c>
      <c r="D131">
        <v>2022</v>
      </c>
      <c r="E131" s="1">
        <v>44701</v>
      </c>
      <c r="F131" t="s">
        <v>1902</v>
      </c>
      <c r="G131">
        <v>1</v>
      </c>
      <c r="H131">
        <v>0</v>
      </c>
      <c r="I131">
        <v>1</v>
      </c>
      <c r="J131">
        <v>0</v>
      </c>
      <c r="K131" t="s">
        <v>1903</v>
      </c>
      <c r="L131" t="s">
        <v>1904</v>
      </c>
      <c r="M131" t="s">
        <v>1905</v>
      </c>
      <c r="N131" t="s">
        <v>1906</v>
      </c>
      <c r="O131" t="s">
        <v>1907</v>
      </c>
      <c r="P131" t="s">
        <v>1908</v>
      </c>
      <c r="Q131" t="s">
        <v>1908</v>
      </c>
      <c r="R131" t="s">
        <v>1909</v>
      </c>
      <c r="S131" t="s">
        <v>1910</v>
      </c>
      <c r="T131" s="2">
        <v>0.20833333333333334</v>
      </c>
      <c r="U131">
        <v>1</v>
      </c>
      <c r="V131" t="s">
        <v>1911</v>
      </c>
      <c r="X131" t="s">
        <v>1912</v>
      </c>
      <c r="Y131" t="s">
        <v>1913</v>
      </c>
      <c r="Z131" t="s">
        <v>1913</v>
      </c>
      <c r="AA131" t="s">
        <v>1913</v>
      </c>
      <c r="AB131" t="s">
        <v>1913</v>
      </c>
      <c r="AD131" t="s">
        <v>1913</v>
      </c>
    </row>
    <row r="132" spans="1:30">
      <c r="A132" t="s">
        <v>1914</v>
      </c>
      <c r="B132">
        <v>5</v>
      </c>
      <c r="C132">
        <v>20</v>
      </c>
      <c r="D132">
        <v>2022</v>
      </c>
      <c r="E132" s="1">
        <v>44701</v>
      </c>
      <c r="F132" t="s">
        <v>1915</v>
      </c>
      <c r="G132">
        <v>0</v>
      </c>
      <c r="H132">
        <v>0</v>
      </c>
      <c r="I132">
        <v>0</v>
      </c>
      <c r="J132">
        <v>0</v>
      </c>
      <c r="K132" t="s">
        <v>1916</v>
      </c>
      <c r="L132" t="s">
        <v>1917</v>
      </c>
      <c r="M132" t="s">
        <v>1918</v>
      </c>
      <c r="N132" t="s">
        <v>1919</v>
      </c>
      <c r="O132" t="s">
        <v>1920</v>
      </c>
      <c r="P132" t="s">
        <v>1921</v>
      </c>
      <c r="Q132" t="s">
        <v>1921</v>
      </c>
      <c r="R132" t="s">
        <v>1922</v>
      </c>
      <c r="S132" t="s">
        <v>1923</v>
      </c>
      <c r="T132" s="2">
        <v>0.625</v>
      </c>
      <c r="U132">
        <v>1</v>
      </c>
      <c r="V132" t="s">
        <v>1924</v>
      </c>
      <c r="X132" t="s">
        <v>1925</v>
      </c>
      <c r="Y132" t="s">
        <v>1926</v>
      </c>
      <c r="Z132" t="s">
        <v>1926</v>
      </c>
      <c r="AA132" t="s">
        <v>1926</v>
      </c>
      <c r="AB132" t="s">
        <v>1926</v>
      </c>
      <c r="AC132" t="s">
        <v>1926</v>
      </c>
      <c r="AD132" t="s">
        <v>1926</v>
      </c>
    </row>
    <row r="133" spans="1:30">
      <c r="A133" t="s">
        <v>1927</v>
      </c>
      <c r="B133">
        <v>5</v>
      </c>
      <c r="C133">
        <v>20</v>
      </c>
      <c r="D133">
        <v>2022</v>
      </c>
      <c r="E133" s="1">
        <v>44701</v>
      </c>
      <c r="F133" t="s">
        <v>1928</v>
      </c>
      <c r="G133">
        <v>0</v>
      </c>
      <c r="H133">
        <v>0</v>
      </c>
      <c r="I133">
        <v>0</v>
      </c>
      <c r="J133">
        <v>0</v>
      </c>
      <c r="K133" t="s">
        <v>1929</v>
      </c>
      <c r="L133" t="s">
        <v>1930</v>
      </c>
      <c r="M133" t="s">
        <v>1931</v>
      </c>
      <c r="N133" t="s">
        <v>1932</v>
      </c>
      <c r="O133" t="s">
        <v>1933</v>
      </c>
      <c r="P133" t="s">
        <v>1934</v>
      </c>
      <c r="Q133" t="s">
        <v>1935</v>
      </c>
      <c r="R133" t="s">
        <v>1936</v>
      </c>
      <c r="S133" t="s">
        <v>1937</v>
      </c>
      <c r="T133" s="2">
        <v>0.34652777777777777</v>
      </c>
      <c r="U133">
        <v>1</v>
      </c>
      <c r="V133" t="s">
        <v>1938</v>
      </c>
      <c r="X133" t="s">
        <v>1939</v>
      </c>
      <c r="Y133" t="s">
        <v>1940</v>
      </c>
      <c r="Z133" t="s">
        <v>1940</v>
      </c>
      <c r="AA133" t="s">
        <v>1940</v>
      </c>
      <c r="AC133" t="s">
        <v>1940</v>
      </c>
      <c r="AD133" t="s">
        <v>1940</v>
      </c>
    </row>
    <row r="134" spans="1:30">
      <c r="A134" t="s">
        <v>1941</v>
      </c>
      <c r="B134">
        <v>5</v>
      </c>
      <c r="C134">
        <v>20</v>
      </c>
      <c r="D134">
        <v>2022</v>
      </c>
      <c r="E134" s="1">
        <v>44701</v>
      </c>
      <c r="F134" t="s">
        <v>1942</v>
      </c>
      <c r="G134">
        <v>0</v>
      </c>
      <c r="H134">
        <v>0</v>
      </c>
      <c r="I134">
        <v>0</v>
      </c>
      <c r="J134">
        <v>0</v>
      </c>
      <c r="K134" t="s">
        <v>1943</v>
      </c>
      <c r="L134" t="s">
        <v>1944</v>
      </c>
      <c r="M134" t="s">
        <v>1945</v>
      </c>
      <c r="N134" t="s">
        <v>1946</v>
      </c>
      <c r="O134" t="s">
        <v>1947</v>
      </c>
      <c r="P134" t="s">
        <v>1948</v>
      </c>
      <c r="Q134" t="s">
        <v>1948</v>
      </c>
      <c r="R134" t="s">
        <v>1949</v>
      </c>
      <c r="S134" t="s">
        <v>1950</v>
      </c>
      <c r="T134" s="2">
        <v>0.31111111111111112</v>
      </c>
      <c r="U134">
        <v>1</v>
      </c>
      <c r="V134" t="s">
        <v>1951</v>
      </c>
      <c r="W134" t="s">
        <v>1952</v>
      </c>
      <c r="X134" t="s">
        <v>1953</v>
      </c>
      <c r="Y134" t="s">
        <v>1954</v>
      </c>
      <c r="Z134" t="s">
        <v>1954</v>
      </c>
      <c r="AA134" t="s">
        <v>1954</v>
      </c>
      <c r="AB134" t="s">
        <v>1954</v>
      </c>
      <c r="AC134" t="s">
        <v>1954</v>
      </c>
      <c r="AD134" t="s">
        <v>1954</v>
      </c>
    </row>
    <row r="135" spans="1:30">
      <c r="A135" t="s">
        <v>1955</v>
      </c>
      <c r="B135">
        <v>5</v>
      </c>
      <c r="C135">
        <v>19</v>
      </c>
      <c r="D135">
        <v>2022</v>
      </c>
      <c r="E135" s="1">
        <v>44700</v>
      </c>
      <c r="F135" t="s">
        <v>1956</v>
      </c>
      <c r="G135">
        <v>0</v>
      </c>
      <c r="H135">
        <v>0</v>
      </c>
      <c r="I135">
        <v>0</v>
      </c>
      <c r="J135">
        <v>0</v>
      </c>
      <c r="K135" t="s">
        <v>1957</v>
      </c>
      <c r="L135" t="s">
        <v>1958</v>
      </c>
      <c r="M135" t="s">
        <v>1959</v>
      </c>
      <c r="N135" t="s">
        <v>1960</v>
      </c>
      <c r="O135" t="s">
        <v>1961</v>
      </c>
      <c r="P135" t="s">
        <v>1962</v>
      </c>
      <c r="Q135" t="s">
        <v>1963</v>
      </c>
      <c r="R135" t="s">
        <v>1964</v>
      </c>
      <c r="S135" t="s">
        <v>1965</v>
      </c>
      <c r="T135" s="2">
        <v>0.59236111111111112</v>
      </c>
      <c r="U135">
        <v>1</v>
      </c>
      <c r="V135" t="s">
        <v>1966</v>
      </c>
      <c r="W135" t="s">
        <v>1967</v>
      </c>
      <c r="X135" t="s">
        <v>1968</v>
      </c>
      <c r="Y135" t="s">
        <v>1969</v>
      </c>
      <c r="Z135" t="s">
        <v>1969</v>
      </c>
      <c r="AA135" t="s">
        <v>1969</v>
      </c>
      <c r="AB135" t="s">
        <v>1969</v>
      </c>
      <c r="AC135" t="s">
        <v>1969</v>
      </c>
      <c r="AD135" t="s">
        <v>1969</v>
      </c>
    </row>
    <row r="136" spans="1:30">
      <c r="A136" t="s">
        <v>1970</v>
      </c>
      <c r="B136">
        <v>5</v>
      </c>
      <c r="C136">
        <v>19</v>
      </c>
      <c r="D136">
        <v>2022</v>
      </c>
      <c r="E136" s="1">
        <v>44700</v>
      </c>
      <c r="F136" t="s">
        <v>1971</v>
      </c>
      <c r="G136">
        <v>0</v>
      </c>
      <c r="H136">
        <v>2</v>
      </c>
      <c r="I136">
        <v>2</v>
      </c>
      <c r="J136">
        <v>0</v>
      </c>
      <c r="K136" t="s">
        <v>1972</v>
      </c>
      <c r="L136" t="s">
        <v>1973</v>
      </c>
      <c r="M136" t="s">
        <v>1974</v>
      </c>
      <c r="N136" t="s">
        <v>1975</v>
      </c>
      <c r="O136" t="s">
        <v>1976</v>
      </c>
      <c r="P136" t="s">
        <v>1977</v>
      </c>
      <c r="Q136" t="s">
        <v>1978</v>
      </c>
      <c r="R136" t="s">
        <v>1979</v>
      </c>
      <c r="S136" t="s">
        <v>1980</v>
      </c>
      <c r="T136" s="2">
        <v>0.8125</v>
      </c>
      <c r="U136">
        <v>1</v>
      </c>
      <c r="V136" t="s">
        <v>1981</v>
      </c>
      <c r="W136" t="s">
        <v>1982</v>
      </c>
      <c r="X136" t="s">
        <v>1983</v>
      </c>
      <c r="Y136" t="s">
        <v>1984</v>
      </c>
      <c r="Z136" t="s">
        <v>1985</v>
      </c>
      <c r="AA136" t="s">
        <v>1985</v>
      </c>
      <c r="AB136" t="s">
        <v>1985</v>
      </c>
      <c r="AC136" t="s">
        <v>1985</v>
      </c>
      <c r="AD136" t="s">
        <v>1985</v>
      </c>
    </row>
    <row r="137" spans="1:30">
      <c r="A137" t="s">
        <v>1986</v>
      </c>
      <c r="B137">
        <v>5</v>
      </c>
      <c r="C137">
        <v>19</v>
      </c>
      <c r="D137">
        <v>2022</v>
      </c>
      <c r="E137" s="1">
        <v>44700</v>
      </c>
      <c r="F137" t="s">
        <v>1987</v>
      </c>
      <c r="G137">
        <v>0</v>
      </c>
      <c r="H137">
        <v>3</v>
      </c>
      <c r="I137">
        <v>3</v>
      </c>
      <c r="J137">
        <v>0</v>
      </c>
      <c r="K137" t="s">
        <v>1988</v>
      </c>
      <c r="L137" t="s">
        <v>1989</v>
      </c>
      <c r="M137" t="s">
        <v>1990</v>
      </c>
      <c r="N137" t="s">
        <v>1991</v>
      </c>
      <c r="O137" t="s">
        <v>1992</v>
      </c>
      <c r="P137" t="s">
        <v>1993</v>
      </c>
      <c r="Q137" t="s">
        <v>1993</v>
      </c>
      <c r="R137" t="s">
        <v>1994</v>
      </c>
      <c r="S137" t="s">
        <v>1995</v>
      </c>
      <c r="T137" s="2">
        <v>0.83333333333333337</v>
      </c>
      <c r="U137">
        <v>1</v>
      </c>
      <c r="V137" t="s">
        <v>1996</v>
      </c>
      <c r="W137" t="s">
        <v>1997</v>
      </c>
      <c r="X137" t="s">
        <v>1998</v>
      </c>
      <c r="Y137" t="s">
        <v>1999</v>
      </c>
      <c r="Z137" t="s">
        <v>1999</v>
      </c>
      <c r="AA137" t="s">
        <v>1999</v>
      </c>
      <c r="AB137" t="s">
        <v>1999</v>
      </c>
      <c r="AC137" t="s">
        <v>1999</v>
      </c>
      <c r="AD137" t="s">
        <v>1999</v>
      </c>
    </row>
    <row r="138" spans="1:30">
      <c r="A138" t="s">
        <v>2000</v>
      </c>
      <c r="B138">
        <v>5</v>
      </c>
      <c r="C138">
        <v>18</v>
      </c>
      <c r="D138">
        <v>2022</v>
      </c>
      <c r="E138" s="1">
        <v>44699</v>
      </c>
      <c r="F138" t="s">
        <v>2001</v>
      </c>
      <c r="G138">
        <v>1</v>
      </c>
      <c r="H138">
        <v>1</v>
      </c>
      <c r="I138">
        <v>2</v>
      </c>
      <c r="J138">
        <v>0</v>
      </c>
      <c r="K138" t="s">
        <v>2002</v>
      </c>
      <c r="L138" t="s">
        <v>2003</v>
      </c>
      <c r="M138" t="s">
        <v>2004</v>
      </c>
      <c r="N138" t="s">
        <v>2005</v>
      </c>
      <c r="O138" t="s">
        <v>2006</v>
      </c>
      <c r="P138" t="s">
        <v>2007</v>
      </c>
      <c r="Q138" t="s">
        <v>2007</v>
      </c>
      <c r="R138" t="s">
        <v>2008</v>
      </c>
      <c r="S138" t="s">
        <v>2009</v>
      </c>
      <c r="T138" s="2">
        <v>0.89583333333333337</v>
      </c>
      <c r="U138">
        <v>1</v>
      </c>
      <c r="V138" t="s">
        <v>2010</v>
      </c>
      <c r="W138" t="s">
        <v>2011</v>
      </c>
      <c r="X138" t="s">
        <v>2012</v>
      </c>
      <c r="Y138" t="s">
        <v>2013</v>
      </c>
      <c r="Z138" t="s">
        <v>2013</v>
      </c>
      <c r="AA138" t="s">
        <v>2013</v>
      </c>
      <c r="AB138" t="s">
        <v>2013</v>
      </c>
      <c r="AC138" t="s">
        <v>2013</v>
      </c>
      <c r="AD138" t="s">
        <v>2013</v>
      </c>
    </row>
    <row r="139" spans="1:30">
      <c r="A139" t="s">
        <v>2014</v>
      </c>
      <c r="B139">
        <v>5</v>
      </c>
      <c r="C139">
        <v>18</v>
      </c>
      <c r="D139">
        <v>2022</v>
      </c>
      <c r="E139" s="1">
        <v>44699</v>
      </c>
      <c r="F139" t="s">
        <v>2015</v>
      </c>
      <c r="G139">
        <v>0</v>
      </c>
      <c r="H139">
        <v>0</v>
      </c>
      <c r="I139">
        <v>0</v>
      </c>
      <c r="J139">
        <v>0</v>
      </c>
      <c r="K139" t="s">
        <v>2016</v>
      </c>
      <c r="L139" t="s">
        <v>2017</v>
      </c>
      <c r="M139" t="s">
        <v>2018</v>
      </c>
      <c r="N139" t="s">
        <v>2019</v>
      </c>
      <c r="O139" t="s">
        <v>2020</v>
      </c>
      <c r="P139" t="s">
        <v>2021</v>
      </c>
      <c r="Q139" t="s">
        <v>2022</v>
      </c>
      <c r="R139" t="s">
        <v>2023</v>
      </c>
      <c r="S139" t="s">
        <v>2024</v>
      </c>
      <c r="T139" s="2">
        <v>0.89583333333333337</v>
      </c>
      <c r="U139">
        <v>1</v>
      </c>
      <c r="V139" t="s">
        <v>2025</v>
      </c>
      <c r="W139" t="s">
        <v>2026</v>
      </c>
      <c r="X139" t="s">
        <v>2027</v>
      </c>
      <c r="Y139" t="s">
        <v>2028</v>
      </c>
      <c r="Z139" t="s">
        <v>2028</v>
      </c>
      <c r="AA139" t="s">
        <v>2028</v>
      </c>
      <c r="AB139" t="s">
        <v>2028</v>
      </c>
      <c r="AC139" t="s">
        <v>2028</v>
      </c>
      <c r="AD139" t="s">
        <v>2028</v>
      </c>
    </row>
    <row r="140" spans="1:30">
      <c r="A140" t="s">
        <v>2029</v>
      </c>
      <c r="B140">
        <v>5</v>
      </c>
      <c r="C140">
        <v>17</v>
      </c>
      <c r="D140">
        <v>2022</v>
      </c>
      <c r="E140" s="1">
        <v>44698</v>
      </c>
      <c r="F140" t="s">
        <v>2030</v>
      </c>
      <c r="G140">
        <v>0</v>
      </c>
      <c r="H140">
        <v>1</v>
      </c>
      <c r="I140">
        <v>1</v>
      </c>
      <c r="J140">
        <v>0</v>
      </c>
      <c r="K140" t="s">
        <v>2031</v>
      </c>
      <c r="L140" t="s">
        <v>2032</v>
      </c>
      <c r="M140" t="s">
        <v>2033</v>
      </c>
      <c r="N140" t="s">
        <v>2034</v>
      </c>
      <c r="O140" t="s">
        <v>2035</v>
      </c>
      <c r="P140" t="s">
        <v>2036</v>
      </c>
      <c r="Q140" t="s">
        <v>2037</v>
      </c>
      <c r="R140" t="s">
        <v>2038</v>
      </c>
      <c r="S140" t="s">
        <v>2039</v>
      </c>
      <c r="T140" s="2">
        <v>0.41666666666666669</v>
      </c>
      <c r="U140">
        <v>1</v>
      </c>
      <c r="V140" t="s">
        <v>2040</v>
      </c>
      <c r="W140" t="s">
        <v>2041</v>
      </c>
      <c r="X140" t="s">
        <v>2042</v>
      </c>
      <c r="Y140" t="s">
        <v>2043</v>
      </c>
      <c r="Z140" t="s">
        <v>2043</v>
      </c>
      <c r="AA140" t="s">
        <v>2043</v>
      </c>
      <c r="AB140" t="s">
        <v>2043</v>
      </c>
      <c r="AC140" t="s">
        <v>2043</v>
      </c>
      <c r="AD140" t="s">
        <v>2043</v>
      </c>
    </row>
    <row r="141" spans="1:30">
      <c r="A141" t="s">
        <v>2044</v>
      </c>
      <c r="B141">
        <v>5</v>
      </c>
      <c r="C141">
        <v>17</v>
      </c>
      <c r="D141">
        <v>2022</v>
      </c>
      <c r="E141" s="1">
        <v>44698</v>
      </c>
      <c r="F141" t="s">
        <v>2045</v>
      </c>
      <c r="G141">
        <v>0</v>
      </c>
      <c r="H141">
        <v>0</v>
      </c>
      <c r="I141">
        <v>0</v>
      </c>
      <c r="J141">
        <v>0</v>
      </c>
      <c r="K141" t="s">
        <v>2046</v>
      </c>
      <c r="L141" t="s">
        <v>2047</v>
      </c>
      <c r="M141" t="s">
        <v>2048</v>
      </c>
      <c r="N141" t="s">
        <v>2049</v>
      </c>
      <c r="O141" t="s">
        <v>2050</v>
      </c>
      <c r="P141" t="s">
        <v>2051</v>
      </c>
      <c r="Q141" t="s">
        <v>2051</v>
      </c>
      <c r="R141" t="s">
        <v>2052</v>
      </c>
      <c r="S141" t="s">
        <v>2053</v>
      </c>
      <c r="T141" s="2">
        <v>0.375</v>
      </c>
      <c r="U141">
        <v>1</v>
      </c>
      <c r="V141" t="s">
        <v>2054</v>
      </c>
      <c r="W141" t="s">
        <v>2055</v>
      </c>
      <c r="X141" t="s">
        <v>2056</v>
      </c>
      <c r="Y141" t="s">
        <v>2057</v>
      </c>
      <c r="Z141" t="s">
        <v>2057</v>
      </c>
      <c r="AA141" t="s">
        <v>2057</v>
      </c>
      <c r="AB141" t="s">
        <v>2057</v>
      </c>
      <c r="AC141" t="s">
        <v>2057</v>
      </c>
      <c r="AD141" t="s">
        <v>2057</v>
      </c>
    </row>
    <row r="142" spans="1:30">
      <c r="A142" t="s">
        <v>2058</v>
      </c>
      <c r="B142">
        <v>5</v>
      </c>
      <c r="C142">
        <v>16</v>
      </c>
      <c r="D142">
        <v>2022</v>
      </c>
      <c r="E142" s="1">
        <v>44697</v>
      </c>
      <c r="F142" t="s">
        <v>2059</v>
      </c>
      <c r="G142">
        <v>0</v>
      </c>
      <c r="H142">
        <v>0</v>
      </c>
      <c r="I142">
        <v>0</v>
      </c>
      <c r="J142">
        <v>0</v>
      </c>
      <c r="K142" t="s">
        <v>2060</v>
      </c>
      <c r="L142" t="s">
        <v>2061</v>
      </c>
      <c r="M142" t="s">
        <v>2062</v>
      </c>
      <c r="N142" t="s">
        <v>2063</v>
      </c>
      <c r="O142" t="s">
        <v>2064</v>
      </c>
      <c r="P142" t="s">
        <v>2065</v>
      </c>
      <c r="Q142" t="s">
        <v>2066</v>
      </c>
      <c r="R142" t="s">
        <v>2067</v>
      </c>
      <c r="S142" t="s">
        <v>2068</v>
      </c>
      <c r="T142" s="2">
        <v>0.47222222222222221</v>
      </c>
      <c r="U142">
        <v>16</v>
      </c>
      <c r="V142" t="s">
        <v>2069</v>
      </c>
      <c r="Z142" t="s">
        <v>2070</v>
      </c>
      <c r="AA142" t="s">
        <v>2070</v>
      </c>
      <c r="AB142" t="s">
        <v>2070</v>
      </c>
      <c r="AC142" t="s">
        <v>2070</v>
      </c>
      <c r="AD142" t="s">
        <v>2070</v>
      </c>
    </row>
    <row r="143" spans="1:30">
      <c r="A143" t="s">
        <v>2071</v>
      </c>
      <c r="B143">
        <v>5</v>
      </c>
      <c r="C143">
        <v>15</v>
      </c>
      <c r="D143">
        <v>2022</v>
      </c>
      <c r="E143" s="1">
        <v>44696</v>
      </c>
      <c r="F143" t="s">
        <v>2072</v>
      </c>
      <c r="G143">
        <v>0</v>
      </c>
      <c r="H143">
        <v>1</v>
      </c>
      <c r="I143">
        <v>1</v>
      </c>
      <c r="J143">
        <v>0</v>
      </c>
      <c r="K143" t="s">
        <v>2073</v>
      </c>
      <c r="L143" t="s">
        <v>2074</v>
      </c>
      <c r="M143" t="s">
        <v>2075</v>
      </c>
      <c r="N143" t="s">
        <v>2076</v>
      </c>
      <c r="O143" t="s">
        <v>2077</v>
      </c>
      <c r="P143" t="s">
        <v>2078</v>
      </c>
      <c r="Q143" t="s">
        <v>2079</v>
      </c>
      <c r="R143" t="s">
        <v>2080</v>
      </c>
      <c r="S143" t="s">
        <v>2081</v>
      </c>
      <c r="T143" s="2">
        <v>0.8125</v>
      </c>
      <c r="U143">
        <v>1</v>
      </c>
      <c r="V143" t="s">
        <v>2082</v>
      </c>
      <c r="X143" t="s">
        <v>2083</v>
      </c>
      <c r="Y143" t="s">
        <v>2084</v>
      </c>
      <c r="Z143" t="s">
        <v>2084</v>
      </c>
      <c r="AA143" t="s">
        <v>2084</v>
      </c>
      <c r="AB143" t="s">
        <v>2084</v>
      </c>
      <c r="AC143" t="s">
        <v>2084</v>
      </c>
      <c r="AD143" t="s">
        <v>2084</v>
      </c>
    </row>
    <row r="144" spans="1:30">
      <c r="A144" t="s">
        <v>2085</v>
      </c>
      <c r="B144">
        <v>5</v>
      </c>
      <c r="C144">
        <v>15</v>
      </c>
      <c r="D144">
        <v>2022</v>
      </c>
      <c r="E144" s="1">
        <v>44696</v>
      </c>
      <c r="F144" t="s">
        <v>2086</v>
      </c>
      <c r="G144">
        <v>0</v>
      </c>
      <c r="H144">
        <v>0</v>
      </c>
      <c r="I144">
        <v>0</v>
      </c>
      <c r="J144">
        <v>0</v>
      </c>
      <c r="K144" t="s">
        <v>2087</v>
      </c>
      <c r="L144" t="s">
        <v>2088</v>
      </c>
      <c r="M144" t="s">
        <v>2089</v>
      </c>
      <c r="N144" t="s">
        <v>2090</v>
      </c>
      <c r="O144" t="s">
        <v>2091</v>
      </c>
      <c r="P144" t="s">
        <v>2092</v>
      </c>
      <c r="Q144" t="s">
        <v>2093</v>
      </c>
      <c r="R144" t="s">
        <v>2094</v>
      </c>
      <c r="S144" t="s">
        <v>2095</v>
      </c>
      <c r="T144" s="2">
        <v>0.41666666666666669</v>
      </c>
      <c r="U144">
        <v>1</v>
      </c>
      <c r="V144" t="s">
        <v>2096</v>
      </c>
      <c r="W144" t="s">
        <v>2097</v>
      </c>
      <c r="X144" t="s">
        <v>2098</v>
      </c>
      <c r="Y144" t="s">
        <v>2099</v>
      </c>
      <c r="Z144" t="s">
        <v>2100</v>
      </c>
      <c r="AA144" t="s">
        <v>2100</v>
      </c>
      <c r="AB144" t="s">
        <v>2100</v>
      </c>
      <c r="AC144" t="s">
        <v>2100</v>
      </c>
      <c r="AD144" t="s">
        <v>2100</v>
      </c>
    </row>
    <row r="145" spans="1:30">
      <c r="A145" t="s">
        <v>2101</v>
      </c>
      <c r="B145">
        <v>5</v>
      </c>
      <c r="C145">
        <v>13</v>
      </c>
      <c r="D145">
        <v>2022</v>
      </c>
      <c r="E145" s="1">
        <v>44694</v>
      </c>
      <c r="F145" t="s">
        <v>2102</v>
      </c>
      <c r="G145">
        <v>0</v>
      </c>
      <c r="H145">
        <v>1</v>
      </c>
      <c r="I145">
        <v>1</v>
      </c>
      <c r="J145">
        <v>0</v>
      </c>
      <c r="K145" t="s">
        <v>2103</v>
      </c>
      <c r="L145" t="s">
        <v>2104</v>
      </c>
      <c r="M145" t="s">
        <v>2105</v>
      </c>
      <c r="N145" t="s">
        <v>2106</v>
      </c>
      <c r="O145" t="s">
        <v>2107</v>
      </c>
      <c r="P145" t="s">
        <v>2108</v>
      </c>
      <c r="Q145" t="s">
        <v>2109</v>
      </c>
      <c r="R145" t="s">
        <v>2110</v>
      </c>
      <c r="S145" t="s">
        <v>2111</v>
      </c>
      <c r="T145" s="2">
        <v>0.8256944444444444</v>
      </c>
      <c r="U145">
        <v>1</v>
      </c>
      <c r="V145" t="s">
        <v>2112</v>
      </c>
      <c r="Z145" t="s">
        <v>2113</v>
      </c>
      <c r="AA145" t="s">
        <v>2113</v>
      </c>
      <c r="AB145" t="s">
        <v>2113</v>
      </c>
      <c r="AC145" t="s">
        <v>2113</v>
      </c>
      <c r="AD145" t="s">
        <v>2113</v>
      </c>
    </row>
    <row r="146" spans="1:30">
      <c r="A146" t="s">
        <v>2114</v>
      </c>
      <c r="B146">
        <v>5</v>
      </c>
      <c r="C146">
        <v>13</v>
      </c>
      <c r="D146">
        <v>2022</v>
      </c>
      <c r="E146" s="1">
        <v>44694</v>
      </c>
      <c r="F146" t="s">
        <v>2115</v>
      </c>
      <c r="G146">
        <v>1</v>
      </c>
      <c r="H146">
        <v>0</v>
      </c>
      <c r="I146">
        <v>1</v>
      </c>
      <c r="J146">
        <v>0</v>
      </c>
      <c r="K146" t="s">
        <v>2116</v>
      </c>
      <c r="L146" t="s">
        <v>2117</v>
      </c>
      <c r="M146" t="s">
        <v>2118</v>
      </c>
      <c r="N146" t="s">
        <v>2119</v>
      </c>
      <c r="O146" t="s">
        <v>2120</v>
      </c>
      <c r="P146" t="s">
        <v>2121</v>
      </c>
      <c r="Q146" t="s">
        <v>2122</v>
      </c>
      <c r="R146" t="s">
        <v>2123</v>
      </c>
      <c r="S146" t="s">
        <v>2124</v>
      </c>
      <c r="T146" s="2">
        <v>0.5</v>
      </c>
      <c r="U146">
        <v>1</v>
      </c>
      <c r="V146" t="s">
        <v>2125</v>
      </c>
      <c r="W146" t="s">
        <v>2126</v>
      </c>
      <c r="AD146" t="s">
        <v>2127</v>
      </c>
    </row>
    <row r="147" spans="1:30">
      <c r="A147" t="s">
        <v>2128</v>
      </c>
      <c r="B147">
        <v>5</v>
      </c>
      <c r="C147">
        <v>12</v>
      </c>
      <c r="D147">
        <v>2022</v>
      </c>
      <c r="E147" s="1">
        <v>44693</v>
      </c>
      <c r="F147" t="s">
        <v>2129</v>
      </c>
      <c r="G147">
        <v>0</v>
      </c>
      <c r="H147">
        <v>1</v>
      </c>
      <c r="I147">
        <v>1</v>
      </c>
      <c r="J147">
        <v>0</v>
      </c>
      <c r="K147" t="s">
        <v>2130</v>
      </c>
      <c r="L147" t="s">
        <v>2131</v>
      </c>
      <c r="M147" t="s">
        <v>2132</v>
      </c>
      <c r="N147" t="s">
        <v>2133</v>
      </c>
      <c r="O147" t="s">
        <v>2134</v>
      </c>
      <c r="P147" t="s">
        <v>2135</v>
      </c>
      <c r="Q147" t="s">
        <v>2136</v>
      </c>
      <c r="R147" t="s">
        <v>2137</v>
      </c>
      <c r="S147" t="s">
        <v>2138</v>
      </c>
      <c r="T147" s="2">
        <v>0.55208333333333326</v>
      </c>
      <c r="U147">
        <v>1</v>
      </c>
      <c r="V147" t="s">
        <v>2139</v>
      </c>
      <c r="X147" t="s">
        <v>2140</v>
      </c>
      <c r="Y147" t="s">
        <v>2141</v>
      </c>
      <c r="Z147" t="s">
        <v>2142</v>
      </c>
      <c r="AA147" t="s">
        <v>2142</v>
      </c>
      <c r="AB147" t="s">
        <v>2142</v>
      </c>
      <c r="AC147" t="s">
        <v>2142</v>
      </c>
      <c r="AD147" t="s">
        <v>2142</v>
      </c>
    </row>
    <row r="148" spans="1:30">
      <c r="A148" t="s">
        <v>2143</v>
      </c>
      <c r="B148">
        <v>5</v>
      </c>
      <c r="C148">
        <v>12</v>
      </c>
      <c r="D148">
        <v>2022</v>
      </c>
      <c r="E148" s="1">
        <v>44693</v>
      </c>
      <c r="F148" t="s">
        <v>2144</v>
      </c>
      <c r="G148">
        <v>1</v>
      </c>
      <c r="H148">
        <v>2</v>
      </c>
      <c r="I148">
        <v>3</v>
      </c>
      <c r="J148">
        <v>0</v>
      </c>
      <c r="K148" t="s">
        <v>2145</v>
      </c>
      <c r="L148" t="s">
        <v>2146</v>
      </c>
      <c r="M148" t="s">
        <v>2147</v>
      </c>
      <c r="N148" t="s">
        <v>2148</v>
      </c>
      <c r="O148" t="s">
        <v>2149</v>
      </c>
      <c r="P148" t="s">
        <v>2150</v>
      </c>
      <c r="Q148" t="s">
        <v>2151</v>
      </c>
      <c r="R148" t="s">
        <v>2152</v>
      </c>
      <c r="S148" t="s">
        <v>2153</v>
      </c>
      <c r="T148" s="2">
        <v>0.79166666666666663</v>
      </c>
      <c r="U148">
        <v>1</v>
      </c>
      <c r="V148" t="s">
        <v>2154</v>
      </c>
      <c r="W148" t="s">
        <v>2155</v>
      </c>
      <c r="X148" t="s">
        <v>2156</v>
      </c>
      <c r="Y148" t="s">
        <v>2157</v>
      </c>
      <c r="Z148" t="s">
        <v>2157</v>
      </c>
      <c r="AA148" t="s">
        <v>2157</v>
      </c>
      <c r="AB148" t="s">
        <v>2157</v>
      </c>
      <c r="AC148" t="s">
        <v>2157</v>
      </c>
      <c r="AD148" t="s">
        <v>2157</v>
      </c>
    </row>
    <row r="149" spans="1:30">
      <c r="A149" t="s">
        <v>2158</v>
      </c>
      <c r="B149">
        <v>5</v>
      </c>
      <c r="C149">
        <v>11</v>
      </c>
      <c r="D149">
        <v>2022</v>
      </c>
      <c r="E149" s="1">
        <v>44692</v>
      </c>
      <c r="F149" t="s">
        <v>2159</v>
      </c>
      <c r="G149">
        <v>0</v>
      </c>
      <c r="H149">
        <v>1</v>
      </c>
      <c r="I149">
        <v>1</v>
      </c>
      <c r="J149">
        <v>0</v>
      </c>
      <c r="K149" t="s">
        <v>2160</v>
      </c>
      <c r="L149" t="s">
        <v>2161</v>
      </c>
      <c r="M149" t="s">
        <v>2162</v>
      </c>
      <c r="N149" t="s">
        <v>2163</v>
      </c>
      <c r="O149" t="s">
        <v>2164</v>
      </c>
      <c r="P149" t="s">
        <v>2165</v>
      </c>
      <c r="Q149" t="s">
        <v>2166</v>
      </c>
      <c r="R149" t="s">
        <v>2167</v>
      </c>
      <c r="S149" t="s">
        <v>2168</v>
      </c>
      <c r="T149" s="2">
        <v>0.625</v>
      </c>
      <c r="U149">
        <v>1</v>
      </c>
      <c r="V149" t="s">
        <v>2169</v>
      </c>
      <c r="W149" t="s">
        <v>2170</v>
      </c>
      <c r="X149" t="s">
        <v>2171</v>
      </c>
      <c r="Y149" t="s">
        <v>2172</v>
      </c>
      <c r="Z149" t="s">
        <v>2173</v>
      </c>
      <c r="AA149" t="s">
        <v>2173</v>
      </c>
      <c r="AB149" t="s">
        <v>2173</v>
      </c>
      <c r="AC149" t="s">
        <v>2173</v>
      </c>
      <c r="AD149" t="s">
        <v>2173</v>
      </c>
    </row>
    <row r="150" spans="1:30">
      <c r="A150" t="s">
        <v>2174</v>
      </c>
      <c r="B150">
        <v>5</v>
      </c>
      <c r="C150">
        <v>9</v>
      </c>
      <c r="D150">
        <v>2022</v>
      </c>
      <c r="E150" s="1">
        <v>44690</v>
      </c>
      <c r="F150" t="s">
        <v>2175</v>
      </c>
      <c r="G150">
        <v>1</v>
      </c>
      <c r="H150">
        <v>0</v>
      </c>
      <c r="I150">
        <v>1</v>
      </c>
      <c r="J150">
        <v>0</v>
      </c>
      <c r="K150" t="s">
        <v>2176</v>
      </c>
      <c r="L150" t="s">
        <v>2177</v>
      </c>
      <c r="M150" t="s">
        <v>2178</v>
      </c>
      <c r="N150" t="s">
        <v>2179</v>
      </c>
      <c r="O150" t="s">
        <v>2180</v>
      </c>
      <c r="P150" t="s">
        <v>2181</v>
      </c>
      <c r="Q150" t="s">
        <v>2182</v>
      </c>
      <c r="R150" t="s">
        <v>2183</v>
      </c>
      <c r="S150" t="s">
        <v>2184</v>
      </c>
      <c r="T150" s="2">
        <v>0.63541666666666663</v>
      </c>
      <c r="U150">
        <v>1</v>
      </c>
      <c r="V150" t="s">
        <v>2185</v>
      </c>
      <c r="W150" t="s">
        <v>2186</v>
      </c>
      <c r="X150" t="s">
        <v>2187</v>
      </c>
      <c r="Y150" t="s">
        <v>2188</v>
      </c>
      <c r="Z150" t="s">
        <v>2189</v>
      </c>
      <c r="AA150" t="s">
        <v>2189</v>
      </c>
      <c r="AB150" t="s">
        <v>2189</v>
      </c>
      <c r="AC150" t="s">
        <v>2189</v>
      </c>
      <c r="AD150" t="s">
        <v>2189</v>
      </c>
    </row>
    <row r="151" spans="1:30">
      <c r="A151" t="s">
        <v>2190</v>
      </c>
      <c r="B151">
        <v>5</v>
      </c>
      <c r="C151">
        <v>9</v>
      </c>
      <c r="D151">
        <v>2022</v>
      </c>
      <c r="E151" s="1">
        <v>44690</v>
      </c>
      <c r="F151" t="s">
        <v>2191</v>
      </c>
      <c r="G151">
        <v>0</v>
      </c>
      <c r="H151">
        <v>0</v>
      </c>
      <c r="I151">
        <v>0</v>
      </c>
      <c r="J151">
        <v>0</v>
      </c>
      <c r="K151" t="s">
        <v>2192</v>
      </c>
      <c r="L151" t="s">
        <v>2193</v>
      </c>
      <c r="M151" t="s">
        <v>2194</v>
      </c>
      <c r="N151" t="s">
        <v>2195</v>
      </c>
      <c r="O151" t="s">
        <v>2196</v>
      </c>
      <c r="P151" t="s">
        <v>2197</v>
      </c>
      <c r="Q151" t="s">
        <v>2197</v>
      </c>
      <c r="R151" t="s">
        <v>2198</v>
      </c>
      <c r="S151" t="s">
        <v>2199</v>
      </c>
      <c r="T151" s="2">
        <v>0.30208333333333337</v>
      </c>
      <c r="U151">
        <v>1</v>
      </c>
      <c r="V151" t="s">
        <v>2200</v>
      </c>
      <c r="X151" t="s">
        <v>2201</v>
      </c>
      <c r="Y151" t="s">
        <v>2202</v>
      </c>
      <c r="Z151" t="s">
        <v>2202</v>
      </c>
      <c r="AA151" t="s">
        <v>2202</v>
      </c>
      <c r="AB151" t="s">
        <v>2202</v>
      </c>
      <c r="AC151" t="s">
        <v>2202</v>
      </c>
      <c r="AD151" t="s">
        <v>2202</v>
      </c>
    </row>
    <row r="152" spans="1:30">
      <c r="A152" t="s">
        <v>2203</v>
      </c>
      <c r="B152">
        <v>5</v>
      </c>
      <c r="C152">
        <v>5</v>
      </c>
      <c r="D152">
        <v>2022</v>
      </c>
      <c r="E152" s="1">
        <v>44686</v>
      </c>
      <c r="F152" t="s">
        <v>2204</v>
      </c>
      <c r="G152">
        <v>0</v>
      </c>
      <c r="H152">
        <v>0</v>
      </c>
      <c r="I152">
        <v>0</v>
      </c>
      <c r="J152">
        <v>0</v>
      </c>
      <c r="K152" t="s">
        <v>2205</v>
      </c>
      <c r="L152" t="s">
        <v>2206</v>
      </c>
      <c r="M152" t="s">
        <v>2207</v>
      </c>
      <c r="N152" t="s">
        <v>2208</v>
      </c>
      <c r="O152" t="s">
        <v>2209</v>
      </c>
      <c r="P152" t="s">
        <v>2210</v>
      </c>
      <c r="Q152" t="s">
        <v>2210</v>
      </c>
      <c r="R152" t="s">
        <v>2211</v>
      </c>
      <c r="S152" t="s">
        <v>2212</v>
      </c>
      <c r="T152" s="2">
        <v>0.625</v>
      </c>
      <c r="U152">
        <v>1</v>
      </c>
      <c r="V152" t="s">
        <v>2213</v>
      </c>
      <c r="W152" t="s">
        <v>2214</v>
      </c>
      <c r="X152" t="s">
        <v>2215</v>
      </c>
      <c r="Y152" t="s">
        <v>2216</v>
      </c>
      <c r="Z152" t="s">
        <v>2216</v>
      </c>
      <c r="AA152" t="s">
        <v>2216</v>
      </c>
      <c r="AB152" t="s">
        <v>2216</v>
      </c>
      <c r="AC152" t="s">
        <v>2216</v>
      </c>
      <c r="AD152" t="s">
        <v>2216</v>
      </c>
    </row>
    <row r="153" spans="1:30">
      <c r="A153" t="s">
        <v>2217</v>
      </c>
      <c r="B153">
        <v>5</v>
      </c>
      <c r="C153">
        <v>5</v>
      </c>
      <c r="D153">
        <v>2022</v>
      </c>
      <c r="E153" s="1">
        <v>44686</v>
      </c>
      <c r="F153" t="s">
        <v>2218</v>
      </c>
      <c r="G153">
        <v>0</v>
      </c>
      <c r="H153">
        <v>0</v>
      </c>
      <c r="I153">
        <v>0</v>
      </c>
      <c r="J153">
        <v>1</v>
      </c>
      <c r="K153" t="s">
        <v>2219</v>
      </c>
      <c r="L153" t="s">
        <v>2220</v>
      </c>
      <c r="M153" t="s">
        <v>2221</v>
      </c>
      <c r="N153" t="s">
        <v>2222</v>
      </c>
      <c r="O153" t="s">
        <v>2223</v>
      </c>
      <c r="P153" t="s">
        <v>2224</v>
      </c>
      <c r="Q153" t="s">
        <v>2225</v>
      </c>
      <c r="R153" t="s">
        <v>2226</v>
      </c>
      <c r="S153" t="s">
        <v>2227</v>
      </c>
      <c r="T153" s="2">
        <v>0.4375</v>
      </c>
      <c r="U153">
        <v>1</v>
      </c>
      <c r="V153" t="s">
        <v>2228</v>
      </c>
      <c r="W153" t="s">
        <v>2229</v>
      </c>
      <c r="X153" t="s">
        <v>2230</v>
      </c>
      <c r="Y153" t="s">
        <v>2231</v>
      </c>
      <c r="Z153" t="s">
        <v>2231</v>
      </c>
      <c r="AA153" t="s">
        <v>2231</v>
      </c>
      <c r="AC153" t="s">
        <v>2231</v>
      </c>
      <c r="AD153" t="s">
        <v>2231</v>
      </c>
    </row>
    <row r="154" spans="1:30">
      <c r="A154" t="s">
        <v>2232</v>
      </c>
      <c r="B154">
        <v>5</v>
      </c>
      <c r="C154">
        <v>3</v>
      </c>
      <c r="D154">
        <v>2022</v>
      </c>
      <c r="E154" s="1">
        <v>44684</v>
      </c>
      <c r="F154" t="s">
        <v>2233</v>
      </c>
      <c r="G154">
        <v>0</v>
      </c>
      <c r="H154">
        <v>0</v>
      </c>
      <c r="I154">
        <v>0</v>
      </c>
      <c r="J154">
        <v>0</v>
      </c>
      <c r="K154" t="s">
        <v>2234</v>
      </c>
      <c r="L154" t="s">
        <v>2235</v>
      </c>
      <c r="M154" t="s">
        <v>2236</v>
      </c>
      <c r="N154" t="s">
        <v>2237</v>
      </c>
      <c r="O154" t="s">
        <v>2238</v>
      </c>
      <c r="P154" t="s">
        <v>2239</v>
      </c>
      <c r="Q154" t="s">
        <v>2239</v>
      </c>
      <c r="R154" t="s">
        <v>2240</v>
      </c>
      <c r="S154" t="s">
        <v>2241</v>
      </c>
      <c r="T154" s="2">
        <v>0.23958333333333334</v>
      </c>
      <c r="U154">
        <v>1</v>
      </c>
      <c r="V154" t="s">
        <v>2242</v>
      </c>
      <c r="W154" t="s">
        <v>2243</v>
      </c>
      <c r="X154" t="s">
        <v>2244</v>
      </c>
      <c r="Z154" t="s">
        <v>2245</v>
      </c>
      <c r="AA154" t="s">
        <v>2245</v>
      </c>
      <c r="AB154" t="s">
        <v>2245</v>
      </c>
      <c r="AC154" t="s">
        <v>2245</v>
      </c>
      <c r="AD154" t="s">
        <v>2245</v>
      </c>
    </row>
    <row r="155" spans="1:30">
      <c r="A155" t="s">
        <v>2246</v>
      </c>
      <c r="B155">
        <v>5</v>
      </c>
      <c r="C155">
        <v>1</v>
      </c>
      <c r="D155">
        <v>2022</v>
      </c>
      <c r="E155" s="1">
        <v>44682</v>
      </c>
      <c r="F155" t="s">
        <v>2247</v>
      </c>
      <c r="G155">
        <v>1</v>
      </c>
      <c r="H155">
        <v>0</v>
      </c>
      <c r="I155">
        <v>1</v>
      </c>
      <c r="J155">
        <v>0</v>
      </c>
      <c r="K155" t="s">
        <v>2248</v>
      </c>
      <c r="L155" t="s">
        <v>2249</v>
      </c>
      <c r="M155" t="s">
        <v>2250</v>
      </c>
      <c r="N155" t="s">
        <v>2251</v>
      </c>
      <c r="O155" t="s">
        <v>2252</v>
      </c>
      <c r="P155" t="s">
        <v>2253</v>
      </c>
      <c r="Q155" t="s">
        <v>2254</v>
      </c>
      <c r="R155" t="s">
        <v>2255</v>
      </c>
      <c r="S155" t="s">
        <v>2256</v>
      </c>
      <c r="T155" s="2">
        <v>0.5625</v>
      </c>
      <c r="U155">
        <v>1</v>
      </c>
      <c r="V155" t="s">
        <v>2257</v>
      </c>
      <c r="X155" t="s">
        <v>2258</v>
      </c>
      <c r="Z155" t="s">
        <v>2259</v>
      </c>
      <c r="AA155" t="s">
        <v>2259</v>
      </c>
      <c r="AB155" t="s">
        <v>2259</v>
      </c>
      <c r="AD155" t="s">
        <v>2259</v>
      </c>
    </row>
    <row r="156" spans="1:30">
      <c r="A156" t="s">
        <v>2260</v>
      </c>
      <c r="B156">
        <v>5</v>
      </c>
      <c r="C156">
        <v>1</v>
      </c>
      <c r="D156">
        <v>2022</v>
      </c>
      <c r="E156" s="1">
        <v>44682</v>
      </c>
      <c r="F156" t="s">
        <v>2261</v>
      </c>
      <c r="G156">
        <v>0</v>
      </c>
      <c r="H156">
        <v>2</v>
      </c>
      <c r="I156">
        <v>2</v>
      </c>
      <c r="J156">
        <v>0</v>
      </c>
      <c r="K156" t="s">
        <v>2262</v>
      </c>
      <c r="L156" t="s">
        <v>2263</v>
      </c>
      <c r="M156" t="s">
        <v>2264</v>
      </c>
      <c r="N156" t="s">
        <v>2265</v>
      </c>
      <c r="O156" t="s">
        <v>2266</v>
      </c>
      <c r="P156" t="s">
        <v>2267</v>
      </c>
      <c r="Q156" t="s">
        <v>2268</v>
      </c>
      <c r="R156" t="s">
        <v>2269</v>
      </c>
      <c r="S156" t="s">
        <v>2270</v>
      </c>
      <c r="T156" s="2">
        <v>0.42708333333333337</v>
      </c>
      <c r="U156">
        <v>1</v>
      </c>
      <c r="V156" t="s">
        <v>2271</v>
      </c>
      <c r="W156" t="s">
        <v>2272</v>
      </c>
      <c r="X156" t="s">
        <v>2273</v>
      </c>
      <c r="Y156" t="s">
        <v>2274</v>
      </c>
      <c r="Z156" t="s">
        <v>2274</v>
      </c>
      <c r="AA156" t="s">
        <v>2274</v>
      </c>
      <c r="AB156" t="s">
        <v>2274</v>
      </c>
      <c r="AC156" t="s">
        <v>2274</v>
      </c>
      <c r="AD156" t="s">
        <v>2274</v>
      </c>
    </row>
    <row r="157" spans="1:30">
      <c r="A157" t="s">
        <v>2275</v>
      </c>
      <c r="B157">
        <v>4</v>
      </c>
      <c r="C157">
        <v>30</v>
      </c>
      <c r="D157">
        <v>2022</v>
      </c>
      <c r="E157" s="1">
        <v>44681</v>
      </c>
      <c r="F157" t="s">
        <v>2276</v>
      </c>
      <c r="G157">
        <v>0</v>
      </c>
      <c r="H157">
        <v>0</v>
      </c>
      <c r="I157">
        <v>0</v>
      </c>
      <c r="J157">
        <v>0</v>
      </c>
      <c r="K157" t="s">
        <v>2277</v>
      </c>
      <c r="L157" t="s">
        <v>2278</v>
      </c>
      <c r="M157" t="s">
        <v>2279</v>
      </c>
      <c r="N157" t="s">
        <v>2280</v>
      </c>
      <c r="O157" t="s">
        <v>2281</v>
      </c>
      <c r="P157" t="s">
        <v>2282</v>
      </c>
      <c r="Q157" t="s">
        <v>2283</v>
      </c>
      <c r="R157" t="s">
        <v>2284</v>
      </c>
      <c r="S157" t="s">
        <v>2285</v>
      </c>
      <c r="T157" s="2">
        <v>0.42708333333333337</v>
      </c>
      <c r="U157">
        <v>1</v>
      </c>
      <c r="V157" t="s">
        <v>2286</v>
      </c>
      <c r="W157" t="s">
        <v>2287</v>
      </c>
      <c r="X157" t="s">
        <v>2288</v>
      </c>
      <c r="Y157" t="s">
        <v>2289</v>
      </c>
      <c r="Z157" t="s">
        <v>2289</v>
      </c>
      <c r="AA157" t="s">
        <v>2289</v>
      </c>
      <c r="AB157" t="s">
        <v>2289</v>
      </c>
      <c r="AC157" t="s">
        <v>2289</v>
      </c>
      <c r="AD157" t="s">
        <v>2289</v>
      </c>
    </row>
    <row r="158" spans="1:30">
      <c r="A158" t="s">
        <v>2290</v>
      </c>
      <c r="B158">
        <v>4</v>
      </c>
      <c r="C158">
        <v>27</v>
      </c>
      <c r="D158">
        <v>2022</v>
      </c>
      <c r="E158" s="1">
        <v>44678</v>
      </c>
      <c r="F158" t="s">
        <v>2291</v>
      </c>
      <c r="G158">
        <v>0</v>
      </c>
      <c r="H158">
        <v>0</v>
      </c>
      <c r="I158">
        <v>0</v>
      </c>
      <c r="J158">
        <v>0</v>
      </c>
      <c r="K158" t="s">
        <v>2292</v>
      </c>
      <c r="L158" t="s">
        <v>2293</v>
      </c>
      <c r="M158" t="s">
        <v>2294</v>
      </c>
      <c r="N158" t="s">
        <v>2295</v>
      </c>
      <c r="O158" t="s">
        <v>2296</v>
      </c>
      <c r="P158" t="s">
        <v>2297</v>
      </c>
      <c r="Q158" t="s">
        <v>2297</v>
      </c>
      <c r="R158" t="s">
        <v>2298</v>
      </c>
      <c r="S158" t="s">
        <v>2299</v>
      </c>
      <c r="T158" s="2">
        <v>0.66666666666666663</v>
      </c>
      <c r="U158">
        <v>1</v>
      </c>
      <c r="V158" t="s">
        <v>2300</v>
      </c>
      <c r="W158" t="s">
        <v>2301</v>
      </c>
      <c r="X158" t="s">
        <v>2302</v>
      </c>
      <c r="Y158" t="s">
        <v>2303</v>
      </c>
      <c r="Z158" t="s">
        <v>2303</v>
      </c>
      <c r="AA158" t="s">
        <v>2303</v>
      </c>
      <c r="AC158" t="s">
        <v>2303</v>
      </c>
      <c r="AD158" t="s">
        <v>2303</v>
      </c>
    </row>
    <row r="159" spans="1:30">
      <c r="A159" t="s">
        <v>2304</v>
      </c>
      <c r="B159">
        <v>4</v>
      </c>
      <c r="C159">
        <v>27</v>
      </c>
      <c r="D159">
        <v>2022</v>
      </c>
      <c r="E159" s="1">
        <v>44678</v>
      </c>
      <c r="F159" t="s">
        <v>2305</v>
      </c>
      <c r="G159">
        <v>0</v>
      </c>
      <c r="H159">
        <v>1</v>
      </c>
      <c r="I159">
        <v>1</v>
      </c>
      <c r="J159">
        <v>0</v>
      </c>
      <c r="K159" t="s">
        <v>2306</v>
      </c>
      <c r="L159" t="s">
        <v>2307</v>
      </c>
      <c r="M159" t="s">
        <v>2308</v>
      </c>
      <c r="N159" t="s">
        <v>2309</v>
      </c>
      <c r="O159" t="s">
        <v>2310</v>
      </c>
      <c r="P159" t="s">
        <v>2311</v>
      </c>
      <c r="Q159" t="s">
        <v>2312</v>
      </c>
      <c r="R159" t="s">
        <v>2313</v>
      </c>
      <c r="S159" t="s">
        <v>2314</v>
      </c>
      <c r="T159" s="2">
        <v>0.84583333333333333</v>
      </c>
      <c r="U159">
        <v>1</v>
      </c>
      <c r="V159" t="s">
        <v>2315</v>
      </c>
      <c r="W159" t="s">
        <v>2316</v>
      </c>
    </row>
    <row r="160" spans="1:30">
      <c r="A160" t="s">
        <v>2317</v>
      </c>
      <c r="B160">
        <v>4</v>
      </c>
      <c r="C160">
        <v>26</v>
      </c>
      <c r="D160">
        <v>2022</v>
      </c>
      <c r="E160" s="1">
        <v>44677</v>
      </c>
      <c r="F160" t="s">
        <v>2318</v>
      </c>
      <c r="G160">
        <v>0</v>
      </c>
      <c r="H160">
        <v>0</v>
      </c>
      <c r="I160">
        <v>0</v>
      </c>
      <c r="J160">
        <v>1</v>
      </c>
      <c r="K160" t="s">
        <v>2319</v>
      </c>
      <c r="L160" t="s">
        <v>2320</v>
      </c>
      <c r="M160" t="s">
        <v>2321</v>
      </c>
      <c r="N160" t="s">
        <v>2322</v>
      </c>
      <c r="O160" t="s">
        <v>2323</v>
      </c>
      <c r="P160" t="s">
        <v>2324</v>
      </c>
      <c r="Q160" t="s">
        <v>2325</v>
      </c>
      <c r="R160" t="s">
        <v>2326</v>
      </c>
      <c r="S160" t="s">
        <v>2327</v>
      </c>
      <c r="T160" s="2">
        <v>0.52083333333333337</v>
      </c>
      <c r="U160">
        <v>1</v>
      </c>
      <c r="V160" t="s">
        <v>2328</v>
      </c>
      <c r="W160" t="s">
        <v>2329</v>
      </c>
      <c r="X160" t="s">
        <v>2330</v>
      </c>
      <c r="Y160" t="s">
        <v>2331</v>
      </c>
      <c r="Z160" t="s">
        <v>2331</v>
      </c>
      <c r="AA160" t="s">
        <v>2331</v>
      </c>
      <c r="AC160" t="s">
        <v>2331</v>
      </c>
      <c r="AD160" t="s">
        <v>2331</v>
      </c>
    </row>
    <row r="161" spans="1:30">
      <c r="A161" t="s">
        <v>2332</v>
      </c>
      <c r="B161">
        <v>4</v>
      </c>
      <c r="C161">
        <v>26</v>
      </c>
      <c r="D161">
        <v>2022</v>
      </c>
      <c r="E161" s="1">
        <v>44677</v>
      </c>
      <c r="F161" t="s">
        <v>2333</v>
      </c>
      <c r="G161">
        <v>1</v>
      </c>
      <c r="H161">
        <v>0</v>
      </c>
      <c r="I161">
        <v>1</v>
      </c>
      <c r="J161">
        <v>0</v>
      </c>
      <c r="K161" t="s">
        <v>2334</v>
      </c>
      <c r="L161" t="s">
        <v>2335</v>
      </c>
      <c r="M161" t="s">
        <v>2336</v>
      </c>
      <c r="N161" t="s">
        <v>2337</v>
      </c>
      <c r="O161" t="s">
        <v>2338</v>
      </c>
      <c r="P161" t="s">
        <v>2339</v>
      </c>
      <c r="Q161" t="s">
        <v>2340</v>
      </c>
      <c r="R161" t="s">
        <v>2341</v>
      </c>
      <c r="S161" t="s">
        <v>2342</v>
      </c>
      <c r="T161" s="2">
        <v>0.9375</v>
      </c>
      <c r="U161">
        <v>1</v>
      </c>
      <c r="V161" t="s">
        <v>2343</v>
      </c>
      <c r="X161" t="s">
        <v>2344</v>
      </c>
      <c r="Y161" t="s">
        <v>2345</v>
      </c>
      <c r="Z161" t="s">
        <v>2346</v>
      </c>
      <c r="AA161" t="s">
        <v>2346</v>
      </c>
      <c r="AB161" t="s">
        <v>2346</v>
      </c>
      <c r="AC161" t="s">
        <v>2346</v>
      </c>
      <c r="AD161" t="s">
        <v>2346</v>
      </c>
    </row>
    <row r="162" spans="1:30">
      <c r="A162" t="s">
        <v>2347</v>
      </c>
      <c r="B162">
        <v>4</v>
      </c>
      <c r="C162">
        <v>25</v>
      </c>
      <c r="D162">
        <v>2022</v>
      </c>
      <c r="E162" s="1">
        <v>44676</v>
      </c>
      <c r="F162" t="s">
        <v>2348</v>
      </c>
      <c r="G162">
        <v>0</v>
      </c>
      <c r="H162">
        <v>0</v>
      </c>
      <c r="I162">
        <v>0</v>
      </c>
      <c r="J162">
        <v>0</v>
      </c>
      <c r="K162" t="s">
        <v>2349</v>
      </c>
      <c r="L162" t="s">
        <v>2350</v>
      </c>
      <c r="M162" t="s">
        <v>2351</v>
      </c>
      <c r="N162" t="s">
        <v>2352</v>
      </c>
      <c r="O162" t="s">
        <v>2353</v>
      </c>
      <c r="P162" t="s">
        <v>2354</v>
      </c>
      <c r="Q162" t="s">
        <v>2355</v>
      </c>
      <c r="R162" t="s">
        <v>2356</v>
      </c>
      <c r="S162" t="s">
        <v>2357</v>
      </c>
      <c r="T162" s="2">
        <v>0.625</v>
      </c>
      <c r="U162">
        <v>1</v>
      </c>
      <c r="V162" t="s">
        <v>2358</v>
      </c>
      <c r="W162" t="s">
        <v>2359</v>
      </c>
      <c r="X162" t="s">
        <v>2360</v>
      </c>
      <c r="Y162" t="s">
        <v>2361</v>
      </c>
      <c r="Z162" t="s">
        <v>2362</v>
      </c>
      <c r="AA162" t="s">
        <v>2362</v>
      </c>
      <c r="AB162" t="s">
        <v>2362</v>
      </c>
      <c r="AC162" t="s">
        <v>2362</v>
      </c>
      <c r="AD162" t="s">
        <v>2362</v>
      </c>
    </row>
    <row r="163" spans="1:30">
      <c r="A163" t="s">
        <v>2363</v>
      </c>
      <c r="B163">
        <v>4</v>
      </c>
      <c r="C163">
        <v>25</v>
      </c>
      <c r="D163">
        <v>2022</v>
      </c>
      <c r="E163" s="1">
        <v>44676</v>
      </c>
      <c r="F163" t="s">
        <v>2364</v>
      </c>
      <c r="G163">
        <v>0</v>
      </c>
      <c r="H163">
        <v>0</v>
      </c>
      <c r="I163">
        <v>0</v>
      </c>
      <c r="J163">
        <v>0</v>
      </c>
      <c r="K163" t="s">
        <v>2365</v>
      </c>
      <c r="L163" t="s">
        <v>2366</v>
      </c>
      <c r="M163" t="s">
        <v>2367</v>
      </c>
      <c r="N163" t="s">
        <v>2368</v>
      </c>
      <c r="O163" t="s">
        <v>2369</v>
      </c>
      <c r="P163" t="s">
        <v>2370</v>
      </c>
      <c r="Q163" t="s">
        <v>2371</v>
      </c>
      <c r="R163" t="s">
        <v>2372</v>
      </c>
      <c r="S163" t="s">
        <v>2373</v>
      </c>
      <c r="T163" s="2">
        <v>0.875</v>
      </c>
      <c r="U163">
        <v>10</v>
      </c>
      <c r="V163" t="s">
        <v>2374</v>
      </c>
      <c r="W163" t="s">
        <v>2375</v>
      </c>
      <c r="X163" t="s">
        <v>2376</v>
      </c>
      <c r="Y163" t="s">
        <v>2377</v>
      </c>
      <c r="Z163" t="s">
        <v>2377</v>
      </c>
      <c r="AA163" t="s">
        <v>2377</v>
      </c>
      <c r="AB163" t="s">
        <v>2377</v>
      </c>
      <c r="AC163" t="s">
        <v>2377</v>
      </c>
      <c r="AD163" t="s">
        <v>2377</v>
      </c>
    </row>
    <row r="164" spans="1:30">
      <c r="A164" t="s">
        <v>2378</v>
      </c>
      <c r="B164">
        <v>4</v>
      </c>
      <c r="C164">
        <v>24</v>
      </c>
      <c r="D164">
        <v>2022</v>
      </c>
      <c r="E164" s="1">
        <v>44675</v>
      </c>
      <c r="F164" t="s">
        <v>2379</v>
      </c>
      <c r="G164">
        <v>1</v>
      </c>
      <c r="H164">
        <v>0</v>
      </c>
      <c r="I164">
        <v>1</v>
      </c>
      <c r="J164">
        <v>0</v>
      </c>
      <c r="K164" t="s">
        <v>2380</v>
      </c>
      <c r="L164" t="s">
        <v>2381</v>
      </c>
      <c r="M164" t="s">
        <v>2382</v>
      </c>
      <c r="N164" t="s">
        <v>2383</v>
      </c>
      <c r="O164" t="s">
        <v>2384</v>
      </c>
      <c r="P164" t="s">
        <v>2385</v>
      </c>
      <c r="Q164" t="s">
        <v>2386</v>
      </c>
      <c r="R164" t="s">
        <v>2387</v>
      </c>
      <c r="S164" t="s">
        <v>2388</v>
      </c>
      <c r="T164" s="2">
        <v>0.25</v>
      </c>
      <c r="U164">
        <v>1</v>
      </c>
      <c r="V164" t="s">
        <v>2389</v>
      </c>
      <c r="W164" t="s">
        <v>2390</v>
      </c>
      <c r="X164" t="s">
        <v>2391</v>
      </c>
      <c r="Y164" t="s">
        <v>2392</v>
      </c>
      <c r="Z164" t="s">
        <v>2393</v>
      </c>
      <c r="AA164" t="s">
        <v>2393</v>
      </c>
      <c r="AB164" t="s">
        <v>2393</v>
      </c>
      <c r="AC164" t="s">
        <v>2393</v>
      </c>
      <c r="AD164" t="s">
        <v>2393</v>
      </c>
    </row>
    <row r="165" spans="1:30">
      <c r="A165" t="s">
        <v>2394</v>
      </c>
      <c r="B165">
        <v>4</v>
      </c>
      <c r="C165">
        <v>22</v>
      </c>
      <c r="D165">
        <v>2022</v>
      </c>
      <c r="E165" s="1">
        <v>44673</v>
      </c>
      <c r="F165" t="s">
        <v>2395</v>
      </c>
      <c r="G165">
        <v>0</v>
      </c>
      <c r="H165">
        <v>4</v>
      </c>
      <c r="I165">
        <v>4</v>
      </c>
      <c r="J165">
        <v>1</v>
      </c>
      <c r="K165" t="s">
        <v>2396</v>
      </c>
      <c r="L165" t="s">
        <v>2397</v>
      </c>
      <c r="M165" t="s">
        <v>2398</v>
      </c>
      <c r="N165" t="s">
        <v>2399</v>
      </c>
      <c r="O165" t="s">
        <v>2400</v>
      </c>
      <c r="P165" t="s">
        <v>2401</v>
      </c>
      <c r="Q165" t="s">
        <v>2402</v>
      </c>
      <c r="R165" t="s">
        <v>2403</v>
      </c>
      <c r="S165" t="s">
        <v>2404</v>
      </c>
      <c r="T165" s="2">
        <v>0.63888888888888884</v>
      </c>
      <c r="U165">
        <v>180</v>
      </c>
      <c r="V165" t="s">
        <v>2405</v>
      </c>
      <c r="W165" t="s">
        <v>2406</v>
      </c>
      <c r="X165" t="s">
        <v>2407</v>
      </c>
      <c r="Y165" t="s">
        <v>2408</v>
      </c>
      <c r="Z165" t="s">
        <v>2408</v>
      </c>
      <c r="AA165" t="s">
        <v>2409</v>
      </c>
      <c r="AC165" t="s">
        <v>2410</v>
      </c>
      <c r="AD165" t="s">
        <v>2411</v>
      </c>
    </row>
    <row r="166" spans="1:30">
      <c r="A166" t="s">
        <v>2412</v>
      </c>
      <c r="B166">
        <v>4</v>
      </c>
      <c r="C166">
        <v>22</v>
      </c>
      <c r="D166">
        <v>2022</v>
      </c>
      <c r="E166" s="1">
        <v>44673</v>
      </c>
      <c r="F166" t="s">
        <v>2413</v>
      </c>
      <c r="G166">
        <v>0</v>
      </c>
      <c r="H166">
        <v>0</v>
      </c>
      <c r="I166">
        <v>0</v>
      </c>
      <c r="J166">
        <v>0</v>
      </c>
      <c r="K166" t="s">
        <v>2414</v>
      </c>
      <c r="L166" t="s">
        <v>2415</v>
      </c>
      <c r="M166" t="s">
        <v>2416</v>
      </c>
      <c r="N166" t="s">
        <v>2417</v>
      </c>
      <c r="O166" t="s">
        <v>2418</v>
      </c>
      <c r="P166" t="s">
        <v>2419</v>
      </c>
      <c r="Q166" t="s">
        <v>2419</v>
      </c>
      <c r="R166" t="s">
        <v>2420</v>
      </c>
      <c r="S166" t="s">
        <v>2421</v>
      </c>
      <c r="T166" s="2">
        <v>0.99652777777777779</v>
      </c>
      <c r="U166">
        <v>1</v>
      </c>
      <c r="V166" t="s">
        <v>2422</v>
      </c>
      <c r="Y166" t="s">
        <v>2423</v>
      </c>
      <c r="Z166" t="s">
        <v>2423</v>
      </c>
      <c r="AA166" t="s">
        <v>2423</v>
      </c>
      <c r="AB166" t="s">
        <v>2423</v>
      </c>
      <c r="AC166" t="s">
        <v>2423</v>
      </c>
      <c r="AD166" t="s">
        <v>2423</v>
      </c>
    </row>
    <row r="167" spans="1:30">
      <c r="A167" t="s">
        <v>2424</v>
      </c>
      <c r="B167">
        <v>4</v>
      </c>
      <c r="C167">
        <v>22</v>
      </c>
      <c r="D167">
        <v>2022</v>
      </c>
      <c r="E167" s="1">
        <v>44673</v>
      </c>
      <c r="F167" t="s">
        <v>2425</v>
      </c>
      <c r="G167">
        <v>0</v>
      </c>
      <c r="H167">
        <v>0</v>
      </c>
      <c r="I167">
        <v>0</v>
      </c>
      <c r="J167">
        <v>0</v>
      </c>
      <c r="K167" t="s">
        <v>2426</v>
      </c>
      <c r="L167" t="s">
        <v>2427</v>
      </c>
      <c r="M167" t="s">
        <v>2428</v>
      </c>
      <c r="N167" t="s">
        <v>2429</v>
      </c>
      <c r="O167" t="s">
        <v>2430</v>
      </c>
      <c r="P167" t="s">
        <v>2431</v>
      </c>
      <c r="Q167" t="s">
        <v>2432</v>
      </c>
      <c r="R167" t="s">
        <v>2433</v>
      </c>
      <c r="S167" t="s">
        <v>2434</v>
      </c>
      <c r="T167" s="2">
        <v>0.75</v>
      </c>
      <c r="U167">
        <v>1</v>
      </c>
      <c r="V167" t="s">
        <v>2435</v>
      </c>
      <c r="X167" t="s">
        <v>2436</v>
      </c>
      <c r="Z167" t="s">
        <v>2437</v>
      </c>
      <c r="AA167" t="s">
        <v>2437</v>
      </c>
      <c r="AB167" t="s">
        <v>2437</v>
      </c>
      <c r="AC167" t="s">
        <v>2437</v>
      </c>
      <c r="AD167" t="s">
        <v>2437</v>
      </c>
    </row>
    <row r="168" spans="1:30">
      <c r="A168" t="s">
        <v>2438</v>
      </c>
      <c r="B168">
        <v>4</v>
      </c>
      <c r="C168">
        <v>21</v>
      </c>
      <c r="D168">
        <v>2022</v>
      </c>
      <c r="E168" s="1">
        <v>44672</v>
      </c>
      <c r="F168" t="s">
        <v>2439</v>
      </c>
      <c r="G168">
        <v>1</v>
      </c>
      <c r="H168">
        <v>0</v>
      </c>
      <c r="I168">
        <v>1</v>
      </c>
      <c r="J168">
        <v>0</v>
      </c>
      <c r="K168" t="s">
        <v>2440</v>
      </c>
      <c r="L168" t="s">
        <v>2441</v>
      </c>
      <c r="M168" t="s">
        <v>2442</v>
      </c>
      <c r="N168" t="s">
        <v>2443</v>
      </c>
      <c r="O168" t="s">
        <v>2444</v>
      </c>
      <c r="P168" t="s">
        <v>2445</v>
      </c>
      <c r="Q168" t="s">
        <v>2446</v>
      </c>
      <c r="R168" t="s">
        <v>2447</v>
      </c>
      <c r="S168" t="s">
        <v>2448</v>
      </c>
      <c r="T168" s="2">
        <v>0.62361111111111112</v>
      </c>
      <c r="U168">
        <v>1</v>
      </c>
      <c r="V168" t="s">
        <v>2449</v>
      </c>
      <c r="W168" t="s">
        <v>2450</v>
      </c>
      <c r="AD168" t="s">
        <v>2451</v>
      </c>
    </row>
    <row r="169" spans="1:30">
      <c r="A169" t="s">
        <v>2452</v>
      </c>
      <c r="B169">
        <v>4</v>
      </c>
      <c r="C169">
        <v>16</v>
      </c>
      <c r="D169">
        <v>2022</v>
      </c>
      <c r="E169" s="1">
        <v>44667</v>
      </c>
      <c r="F169" t="s">
        <v>2453</v>
      </c>
      <c r="G169">
        <v>0</v>
      </c>
      <c r="H169">
        <v>1</v>
      </c>
      <c r="I169">
        <v>1</v>
      </c>
      <c r="J169">
        <v>0</v>
      </c>
      <c r="K169" t="s">
        <v>2454</v>
      </c>
      <c r="L169" t="s">
        <v>2455</v>
      </c>
      <c r="M169" t="s">
        <v>2456</v>
      </c>
      <c r="N169" t="s">
        <v>2457</v>
      </c>
      <c r="O169" t="s">
        <v>2458</v>
      </c>
      <c r="P169" t="s">
        <v>2459</v>
      </c>
      <c r="Q169" t="s">
        <v>2460</v>
      </c>
      <c r="R169" t="s">
        <v>2461</v>
      </c>
      <c r="S169" t="s">
        <v>2462</v>
      </c>
      <c r="T169" s="2">
        <v>0.78472222222222221</v>
      </c>
      <c r="U169">
        <v>1</v>
      </c>
      <c r="V169" t="s">
        <v>2463</v>
      </c>
      <c r="Y169" t="s">
        <v>2464</v>
      </c>
      <c r="Z169" t="s">
        <v>2464</v>
      </c>
      <c r="AA169" t="s">
        <v>2464</v>
      </c>
      <c r="AB169" t="s">
        <v>2464</v>
      </c>
      <c r="AD169" t="s">
        <v>2464</v>
      </c>
    </row>
    <row r="170" spans="1:30">
      <c r="A170" t="s">
        <v>2465</v>
      </c>
      <c r="B170">
        <v>4</v>
      </c>
      <c r="C170">
        <v>15</v>
      </c>
      <c r="D170">
        <v>2022</v>
      </c>
      <c r="E170" s="1">
        <v>44666</v>
      </c>
      <c r="F170" t="s">
        <v>2466</v>
      </c>
      <c r="G170">
        <v>0</v>
      </c>
      <c r="H170">
        <v>1</v>
      </c>
      <c r="I170">
        <v>1</v>
      </c>
      <c r="J170">
        <v>0</v>
      </c>
      <c r="K170" t="s">
        <v>2467</v>
      </c>
      <c r="L170" t="s">
        <v>2468</v>
      </c>
      <c r="M170" t="s">
        <v>2469</v>
      </c>
      <c r="N170" t="s">
        <v>2470</v>
      </c>
      <c r="O170" t="s">
        <v>2471</v>
      </c>
      <c r="P170" t="s">
        <v>2472</v>
      </c>
      <c r="Q170" t="s">
        <v>2473</v>
      </c>
      <c r="R170" t="s">
        <v>2474</v>
      </c>
      <c r="S170" t="s">
        <v>2475</v>
      </c>
      <c r="T170" s="2">
        <v>0.89583333333333337</v>
      </c>
      <c r="U170">
        <v>1</v>
      </c>
      <c r="V170" t="s">
        <v>2476</v>
      </c>
      <c r="W170" t="s">
        <v>2477</v>
      </c>
      <c r="X170" t="s">
        <v>2478</v>
      </c>
      <c r="Y170" t="s">
        <v>2479</v>
      </c>
      <c r="Z170" t="s">
        <v>2479</v>
      </c>
      <c r="AA170" t="s">
        <v>2479</v>
      </c>
      <c r="AB170" t="s">
        <v>2479</v>
      </c>
      <c r="AC170" t="s">
        <v>2479</v>
      </c>
      <c r="AD170" t="s">
        <v>2479</v>
      </c>
    </row>
    <row r="171" spans="1:30">
      <c r="A171" t="s">
        <v>2480</v>
      </c>
      <c r="B171">
        <v>4</v>
      </c>
      <c r="C171">
        <v>14</v>
      </c>
      <c r="D171">
        <v>2022</v>
      </c>
      <c r="E171" s="1">
        <v>44665</v>
      </c>
      <c r="F171" t="s">
        <v>2481</v>
      </c>
      <c r="G171">
        <v>0</v>
      </c>
      <c r="H171">
        <v>2</v>
      </c>
      <c r="I171">
        <v>2</v>
      </c>
      <c r="J171">
        <v>0</v>
      </c>
      <c r="K171" t="s">
        <v>2482</v>
      </c>
      <c r="L171" t="s">
        <v>2483</v>
      </c>
      <c r="M171" t="s">
        <v>2484</v>
      </c>
      <c r="N171" t="s">
        <v>2485</v>
      </c>
      <c r="O171" t="s">
        <v>2486</v>
      </c>
      <c r="P171" t="s">
        <v>2487</v>
      </c>
      <c r="Q171" t="s">
        <v>2488</v>
      </c>
      <c r="R171" t="s">
        <v>2489</v>
      </c>
      <c r="S171" t="s">
        <v>2490</v>
      </c>
      <c r="T171" s="2">
        <v>0.51041666666666663</v>
      </c>
      <c r="U171">
        <v>1</v>
      </c>
      <c r="V171" t="s">
        <v>2491</v>
      </c>
      <c r="W171" t="s">
        <v>2492</v>
      </c>
      <c r="X171" t="s">
        <v>2493</v>
      </c>
      <c r="Y171" t="s">
        <v>2494</v>
      </c>
      <c r="Z171" t="s">
        <v>2495</v>
      </c>
      <c r="AA171" t="s">
        <v>2495</v>
      </c>
      <c r="AB171" t="s">
        <v>2495</v>
      </c>
      <c r="AC171" t="s">
        <v>2495</v>
      </c>
      <c r="AD171" t="s">
        <v>2495</v>
      </c>
    </row>
    <row r="172" spans="1:30">
      <c r="A172" t="s">
        <v>2496</v>
      </c>
      <c r="B172">
        <v>4</v>
      </c>
      <c r="C172">
        <v>13</v>
      </c>
      <c r="D172">
        <v>2022</v>
      </c>
      <c r="E172" s="1">
        <v>44664</v>
      </c>
      <c r="F172" t="s">
        <v>2497</v>
      </c>
      <c r="G172">
        <v>0</v>
      </c>
      <c r="H172">
        <v>0</v>
      </c>
      <c r="I172">
        <v>0</v>
      </c>
      <c r="J172">
        <v>0</v>
      </c>
      <c r="K172" t="s">
        <v>2498</v>
      </c>
      <c r="L172" t="s">
        <v>2499</v>
      </c>
      <c r="M172" t="s">
        <v>2500</v>
      </c>
      <c r="N172" t="s">
        <v>2501</v>
      </c>
      <c r="O172" t="s">
        <v>2502</v>
      </c>
      <c r="P172" t="s">
        <v>2503</v>
      </c>
      <c r="Q172" t="s">
        <v>2504</v>
      </c>
      <c r="R172" t="s">
        <v>2505</v>
      </c>
      <c r="S172" t="s">
        <v>2506</v>
      </c>
      <c r="T172" s="2">
        <v>0.54166666666666663</v>
      </c>
      <c r="U172">
        <v>1</v>
      </c>
      <c r="V172" t="s">
        <v>2507</v>
      </c>
      <c r="X172" t="s">
        <v>2508</v>
      </c>
      <c r="Y172" t="s">
        <v>2509</v>
      </c>
      <c r="Z172" t="s">
        <v>2509</v>
      </c>
      <c r="AA172" t="s">
        <v>2509</v>
      </c>
      <c r="AC172" t="s">
        <v>2509</v>
      </c>
      <c r="AD172" t="s">
        <v>2509</v>
      </c>
    </row>
    <row r="173" spans="1:30">
      <c r="A173" t="s">
        <v>2510</v>
      </c>
      <c r="B173">
        <v>4</v>
      </c>
      <c r="C173">
        <v>11</v>
      </c>
      <c r="D173">
        <v>2022</v>
      </c>
      <c r="E173" s="1">
        <v>44662</v>
      </c>
      <c r="F173" t="s">
        <v>2511</v>
      </c>
      <c r="G173">
        <v>0</v>
      </c>
      <c r="H173">
        <v>0</v>
      </c>
      <c r="I173">
        <v>0</v>
      </c>
      <c r="J173">
        <v>0</v>
      </c>
      <c r="K173" t="s">
        <v>2512</v>
      </c>
      <c r="L173" t="s">
        <v>2513</v>
      </c>
      <c r="M173" t="s">
        <v>2514</v>
      </c>
      <c r="N173" t="s">
        <v>2515</v>
      </c>
      <c r="O173" t="s">
        <v>2516</v>
      </c>
      <c r="P173" t="s">
        <v>2517</v>
      </c>
      <c r="Q173" t="s">
        <v>2518</v>
      </c>
      <c r="R173" t="s">
        <v>2519</v>
      </c>
      <c r="S173" t="s">
        <v>2520</v>
      </c>
      <c r="T173" s="2">
        <v>0.61458333333333337</v>
      </c>
      <c r="U173">
        <v>1</v>
      </c>
      <c r="V173" t="s">
        <v>2521</v>
      </c>
      <c r="Y173" t="s">
        <v>2522</v>
      </c>
      <c r="Z173" t="s">
        <v>2522</v>
      </c>
      <c r="AA173" t="s">
        <v>2522</v>
      </c>
      <c r="AB173" t="s">
        <v>2522</v>
      </c>
      <c r="AC173" t="s">
        <v>2522</v>
      </c>
      <c r="AD173" t="s">
        <v>2522</v>
      </c>
    </row>
    <row r="174" spans="1:30">
      <c r="A174" t="s">
        <v>2523</v>
      </c>
      <c r="B174">
        <v>4</v>
      </c>
      <c r="C174">
        <v>10</v>
      </c>
      <c r="D174">
        <v>2022</v>
      </c>
      <c r="E174" s="1">
        <v>44661</v>
      </c>
      <c r="F174" t="s">
        <v>2524</v>
      </c>
      <c r="G174">
        <v>1</v>
      </c>
      <c r="H174">
        <v>0</v>
      </c>
      <c r="I174">
        <v>1</v>
      </c>
      <c r="J174">
        <v>0</v>
      </c>
      <c r="K174" t="s">
        <v>2525</v>
      </c>
      <c r="L174" t="s">
        <v>2526</v>
      </c>
      <c r="M174" t="s">
        <v>2527</v>
      </c>
      <c r="N174" t="s">
        <v>2528</v>
      </c>
      <c r="O174" t="s">
        <v>2529</v>
      </c>
      <c r="P174" t="s">
        <v>2530</v>
      </c>
      <c r="Q174" t="s">
        <v>2531</v>
      </c>
      <c r="R174" t="s">
        <v>2532</v>
      </c>
      <c r="S174" t="s">
        <v>2533</v>
      </c>
      <c r="T174" s="2">
        <v>4.1666666666666664E-2</v>
      </c>
      <c r="U174">
        <v>1</v>
      </c>
      <c r="V174" t="s">
        <v>2534</v>
      </c>
      <c r="X174" t="s">
        <v>2535</v>
      </c>
      <c r="Y174" t="s">
        <v>2536</v>
      </c>
      <c r="Z174" t="s">
        <v>2536</v>
      </c>
      <c r="AA174" t="s">
        <v>2536</v>
      </c>
      <c r="AB174" t="s">
        <v>2536</v>
      </c>
      <c r="AC174" t="s">
        <v>2536</v>
      </c>
      <c r="AD174" t="s">
        <v>2536</v>
      </c>
    </row>
    <row r="175" spans="1:30">
      <c r="A175" t="s">
        <v>2537</v>
      </c>
      <c r="B175">
        <v>4</v>
      </c>
      <c r="C175">
        <v>6</v>
      </c>
      <c r="D175">
        <v>2022</v>
      </c>
      <c r="E175" s="1">
        <v>44657</v>
      </c>
      <c r="F175" t="s">
        <v>2538</v>
      </c>
      <c r="G175">
        <v>0</v>
      </c>
      <c r="H175">
        <v>0</v>
      </c>
      <c r="I175">
        <v>0</v>
      </c>
      <c r="J175">
        <v>0</v>
      </c>
      <c r="K175" t="s">
        <v>2539</v>
      </c>
      <c r="L175" t="s">
        <v>2540</v>
      </c>
      <c r="M175" t="s">
        <v>2541</v>
      </c>
      <c r="N175" t="s">
        <v>2542</v>
      </c>
      <c r="O175" t="s">
        <v>2543</v>
      </c>
      <c r="P175" t="s">
        <v>2544</v>
      </c>
      <c r="Q175" t="s">
        <v>2545</v>
      </c>
      <c r="R175" t="s">
        <v>2546</v>
      </c>
      <c r="S175" t="s">
        <v>2547</v>
      </c>
      <c r="T175" s="2">
        <v>0.5625</v>
      </c>
      <c r="U175">
        <v>1</v>
      </c>
      <c r="V175" t="s">
        <v>2548</v>
      </c>
      <c r="W175" t="s">
        <v>2549</v>
      </c>
      <c r="X175" t="s">
        <v>2550</v>
      </c>
      <c r="Y175" t="s">
        <v>2551</v>
      </c>
      <c r="Z175" t="s">
        <v>2552</v>
      </c>
      <c r="AA175" t="s">
        <v>2552</v>
      </c>
      <c r="AB175" t="s">
        <v>2552</v>
      </c>
      <c r="AC175" t="s">
        <v>2552</v>
      </c>
      <c r="AD175" t="s">
        <v>2552</v>
      </c>
    </row>
    <row r="176" spans="1:30">
      <c r="A176" t="s">
        <v>2553</v>
      </c>
      <c r="B176">
        <v>4</v>
      </c>
      <c r="C176">
        <v>6</v>
      </c>
      <c r="D176">
        <v>2022</v>
      </c>
      <c r="E176" s="1">
        <v>44657</v>
      </c>
      <c r="F176" t="s">
        <v>2554</v>
      </c>
      <c r="G176">
        <v>0</v>
      </c>
      <c r="H176">
        <v>1</v>
      </c>
      <c r="I176">
        <v>1</v>
      </c>
      <c r="J176">
        <v>0</v>
      </c>
      <c r="K176" t="s">
        <v>2555</v>
      </c>
      <c r="L176" t="s">
        <v>2556</v>
      </c>
      <c r="M176" t="s">
        <v>2557</v>
      </c>
      <c r="N176" t="s">
        <v>2558</v>
      </c>
      <c r="O176" t="s">
        <v>2559</v>
      </c>
      <c r="P176" t="s">
        <v>2560</v>
      </c>
      <c r="Q176" t="s">
        <v>2561</v>
      </c>
      <c r="R176" t="s">
        <v>2562</v>
      </c>
      <c r="S176" t="s">
        <v>2563</v>
      </c>
      <c r="T176" s="2">
        <v>0.89583333333333337</v>
      </c>
      <c r="U176">
        <v>1</v>
      </c>
      <c r="V176" t="s">
        <v>2564</v>
      </c>
      <c r="X176" t="s">
        <v>2565</v>
      </c>
      <c r="Y176" t="s">
        <v>2566</v>
      </c>
      <c r="Z176" t="s">
        <v>2566</v>
      </c>
      <c r="AA176" t="s">
        <v>2566</v>
      </c>
      <c r="AB176" t="s">
        <v>2566</v>
      </c>
      <c r="AC176" t="s">
        <v>2566</v>
      </c>
      <c r="AD176" t="s">
        <v>2566</v>
      </c>
    </row>
    <row r="177" spans="1:30">
      <c r="A177" t="s">
        <v>2567</v>
      </c>
      <c r="B177">
        <v>4</v>
      </c>
      <c r="C177">
        <v>6</v>
      </c>
      <c r="D177">
        <v>2022</v>
      </c>
      <c r="E177" s="1">
        <v>44657</v>
      </c>
      <c r="F177" t="s">
        <v>2568</v>
      </c>
      <c r="G177">
        <v>0</v>
      </c>
      <c r="H177">
        <v>0</v>
      </c>
      <c r="I177">
        <v>0</v>
      </c>
      <c r="J177">
        <v>0</v>
      </c>
      <c r="K177" t="s">
        <v>2569</v>
      </c>
      <c r="L177" t="s">
        <v>2570</v>
      </c>
      <c r="M177" t="s">
        <v>2571</v>
      </c>
      <c r="N177" t="s">
        <v>2572</v>
      </c>
      <c r="O177" t="s">
        <v>2573</v>
      </c>
      <c r="P177" t="s">
        <v>2574</v>
      </c>
      <c r="Q177" t="s">
        <v>2574</v>
      </c>
      <c r="R177" t="s">
        <v>2575</v>
      </c>
      <c r="S177" t="s">
        <v>2576</v>
      </c>
      <c r="T177" s="2">
        <v>0.33333333333333331</v>
      </c>
      <c r="U177">
        <v>1</v>
      </c>
      <c r="V177" t="s">
        <v>2577</v>
      </c>
      <c r="X177" t="s">
        <v>2578</v>
      </c>
      <c r="Y177" t="s">
        <v>2579</v>
      </c>
      <c r="Z177" t="s">
        <v>2580</v>
      </c>
      <c r="AA177" t="s">
        <v>2580</v>
      </c>
      <c r="AC177" t="s">
        <v>2580</v>
      </c>
      <c r="AD177" t="s">
        <v>2580</v>
      </c>
    </row>
    <row r="178" spans="1:30">
      <c r="A178" t="s">
        <v>2581</v>
      </c>
      <c r="B178">
        <v>4</v>
      </c>
      <c r="C178">
        <v>5</v>
      </c>
      <c r="D178">
        <v>2022</v>
      </c>
      <c r="E178" s="1">
        <v>44656</v>
      </c>
      <c r="F178" t="s">
        <v>2582</v>
      </c>
      <c r="G178">
        <v>0</v>
      </c>
      <c r="H178">
        <v>1</v>
      </c>
      <c r="I178">
        <v>1</v>
      </c>
      <c r="J178">
        <v>0</v>
      </c>
      <c r="K178" t="s">
        <v>2583</v>
      </c>
      <c r="L178" t="s">
        <v>2584</v>
      </c>
      <c r="M178" t="s">
        <v>2585</v>
      </c>
      <c r="N178" t="s">
        <v>2586</v>
      </c>
      <c r="O178" t="s">
        <v>2587</v>
      </c>
      <c r="P178" t="s">
        <v>2588</v>
      </c>
      <c r="Q178" t="s">
        <v>2589</v>
      </c>
      <c r="R178" t="s">
        <v>2590</v>
      </c>
      <c r="S178" t="s">
        <v>2591</v>
      </c>
      <c r="T178" s="2">
        <v>0.40277777777777779</v>
      </c>
      <c r="U178">
        <v>1</v>
      </c>
      <c r="V178" t="s">
        <v>2592</v>
      </c>
      <c r="X178" t="s">
        <v>2593</v>
      </c>
      <c r="Y178" t="s">
        <v>2594</v>
      </c>
      <c r="Z178" t="s">
        <v>2594</v>
      </c>
      <c r="AA178" t="s">
        <v>2594</v>
      </c>
      <c r="AC178" t="s">
        <v>2594</v>
      </c>
      <c r="AD178" t="s">
        <v>2594</v>
      </c>
    </row>
    <row r="179" spans="1:30">
      <c r="A179" t="s">
        <v>2595</v>
      </c>
      <c r="B179">
        <v>4</v>
      </c>
      <c r="C179">
        <v>3</v>
      </c>
      <c r="D179">
        <v>2022</v>
      </c>
      <c r="E179" s="1">
        <v>44654</v>
      </c>
      <c r="F179" t="s">
        <v>2596</v>
      </c>
      <c r="G179">
        <v>0</v>
      </c>
      <c r="H179">
        <v>1</v>
      </c>
      <c r="I179">
        <v>1</v>
      </c>
      <c r="J179">
        <v>0</v>
      </c>
      <c r="K179" t="s">
        <v>2597</v>
      </c>
      <c r="L179" t="s">
        <v>2598</v>
      </c>
      <c r="M179" t="s">
        <v>2599</v>
      </c>
      <c r="N179" t="s">
        <v>2600</v>
      </c>
      <c r="O179" t="s">
        <v>2601</v>
      </c>
      <c r="P179" t="s">
        <v>2602</v>
      </c>
      <c r="Q179" t="s">
        <v>2603</v>
      </c>
      <c r="R179" t="s">
        <v>2604</v>
      </c>
      <c r="S179" t="s">
        <v>2605</v>
      </c>
      <c r="T179" s="2">
        <v>0.79861111111111105</v>
      </c>
      <c r="U179">
        <v>1</v>
      </c>
      <c r="V179" t="s">
        <v>2606</v>
      </c>
      <c r="W179" t="s">
        <v>2607</v>
      </c>
      <c r="X179" t="s">
        <v>2608</v>
      </c>
      <c r="Y179" t="s">
        <v>2609</v>
      </c>
      <c r="Z179" t="s">
        <v>2609</v>
      </c>
      <c r="AA179" t="s">
        <v>2609</v>
      </c>
      <c r="AB179" t="s">
        <v>2609</v>
      </c>
      <c r="AC179" t="s">
        <v>2609</v>
      </c>
      <c r="AD179" t="s">
        <v>2609</v>
      </c>
    </row>
    <row r="180" spans="1:30">
      <c r="A180" t="s">
        <v>2610</v>
      </c>
      <c r="B180">
        <v>3</v>
      </c>
      <c r="C180">
        <v>31</v>
      </c>
      <c r="D180">
        <v>2022</v>
      </c>
      <c r="E180" s="1">
        <v>44651</v>
      </c>
      <c r="F180" t="s">
        <v>2611</v>
      </c>
      <c r="G180">
        <v>1</v>
      </c>
      <c r="H180">
        <v>0</v>
      </c>
      <c r="I180">
        <v>1</v>
      </c>
      <c r="J180">
        <v>0</v>
      </c>
      <c r="K180" t="s">
        <v>2612</v>
      </c>
      <c r="L180" t="s">
        <v>2613</v>
      </c>
      <c r="M180" t="s">
        <v>2614</v>
      </c>
      <c r="N180" t="s">
        <v>2615</v>
      </c>
      <c r="O180" t="s">
        <v>2616</v>
      </c>
      <c r="P180" t="s">
        <v>2617</v>
      </c>
      <c r="Q180" t="s">
        <v>2618</v>
      </c>
      <c r="R180" t="s">
        <v>2619</v>
      </c>
      <c r="S180" t="s">
        <v>2620</v>
      </c>
      <c r="T180" s="2">
        <v>0.52083333333333337</v>
      </c>
      <c r="U180">
        <v>1</v>
      </c>
      <c r="V180" t="s">
        <v>2621</v>
      </c>
      <c r="X180" t="s">
        <v>2622</v>
      </c>
      <c r="Y180" t="s">
        <v>2623</v>
      </c>
      <c r="Z180" t="s">
        <v>2623</v>
      </c>
      <c r="AA180" t="s">
        <v>2623</v>
      </c>
      <c r="AC180" t="s">
        <v>2623</v>
      </c>
      <c r="AD180" t="s">
        <v>2623</v>
      </c>
    </row>
    <row r="181" spans="1:30">
      <c r="A181" t="s">
        <v>2624</v>
      </c>
      <c r="B181">
        <v>3</v>
      </c>
      <c r="C181">
        <v>31</v>
      </c>
      <c r="D181">
        <v>2022</v>
      </c>
      <c r="E181" s="1">
        <v>44651</v>
      </c>
      <c r="F181" t="s">
        <v>2625</v>
      </c>
      <c r="G181">
        <v>0</v>
      </c>
      <c r="H181">
        <v>0</v>
      </c>
      <c r="I181">
        <v>0</v>
      </c>
      <c r="J181">
        <v>0</v>
      </c>
      <c r="K181" t="s">
        <v>2626</v>
      </c>
      <c r="L181" t="s">
        <v>2627</v>
      </c>
      <c r="M181" t="s">
        <v>2628</v>
      </c>
      <c r="N181" t="s">
        <v>2629</v>
      </c>
      <c r="O181" t="s">
        <v>2630</v>
      </c>
      <c r="P181" t="s">
        <v>2631</v>
      </c>
      <c r="Q181" t="s">
        <v>2632</v>
      </c>
      <c r="R181" t="s">
        <v>2633</v>
      </c>
      <c r="S181" t="s">
        <v>2634</v>
      </c>
      <c r="T181" s="2">
        <v>0.36458333333333331</v>
      </c>
      <c r="U181">
        <v>1</v>
      </c>
      <c r="V181" t="s">
        <v>2635</v>
      </c>
      <c r="W181" t="s">
        <v>2636</v>
      </c>
      <c r="X181" t="s">
        <v>2637</v>
      </c>
      <c r="Y181" t="s">
        <v>2638</v>
      </c>
      <c r="Z181" t="s">
        <v>2638</v>
      </c>
      <c r="AA181" t="s">
        <v>2638</v>
      </c>
      <c r="AB181" t="s">
        <v>2638</v>
      </c>
      <c r="AC181" t="s">
        <v>2638</v>
      </c>
      <c r="AD181" t="s">
        <v>2638</v>
      </c>
    </row>
    <row r="182" spans="1:30">
      <c r="A182" t="s">
        <v>2639</v>
      </c>
      <c r="B182">
        <v>3</v>
      </c>
      <c r="C182">
        <v>30</v>
      </c>
      <c r="D182">
        <v>2022</v>
      </c>
      <c r="E182" s="1">
        <v>44650</v>
      </c>
      <c r="F182" t="s">
        <v>2640</v>
      </c>
      <c r="G182">
        <v>0</v>
      </c>
      <c r="H182">
        <v>0</v>
      </c>
      <c r="I182">
        <v>0</v>
      </c>
      <c r="J182">
        <v>0</v>
      </c>
      <c r="K182" t="s">
        <v>2641</v>
      </c>
      <c r="L182" t="s">
        <v>2642</v>
      </c>
      <c r="M182" t="s">
        <v>2643</v>
      </c>
      <c r="N182" t="s">
        <v>2644</v>
      </c>
      <c r="O182" t="s">
        <v>2645</v>
      </c>
      <c r="P182" t="s">
        <v>2646</v>
      </c>
      <c r="Q182" t="s">
        <v>2647</v>
      </c>
      <c r="R182" t="s">
        <v>2648</v>
      </c>
      <c r="S182" t="s">
        <v>2649</v>
      </c>
      <c r="T182" s="2">
        <v>0.60416666666666674</v>
      </c>
      <c r="U182">
        <v>1</v>
      </c>
      <c r="V182" t="s">
        <v>2650</v>
      </c>
      <c r="W182" t="s">
        <v>2651</v>
      </c>
      <c r="X182" t="s">
        <v>2652</v>
      </c>
      <c r="Y182" t="s">
        <v>2653</v>
      </c>
      <c r="Z182" t="s">
        <v>2653</v>
      </c>
      <c r="AA182" t="s">
        <v>2653</v>
      </c>
      <c r="AB182" t="s">
        <v>2653</v>
      </c>
      <c r="AC182" t="s">
        <v>2653</v>
      </c>
      <c r="AD182" t="s">
        <v>2653</v>
      </c>
    </row>
    <row r="183" spans="1:30">
      <c r="A183" t="s">
        <v>2654</v>
      </c>
      <c r="B183">
        <v>3</v>
      </c>
      <c r="C183">
        <v>30</v>
      </c>
      <c r="D183">
        <v>2022</v>
      </c>
      <c r="E183" s="1">
        <v>44650</v>
      </c>
      <c r="F183" t="s">
        <v>2655</v>
      </c>
      <c r="G183">
        <v>0</v>
      </c>
      <c r="H183">
        <v>1</v>
      </c>
      <c r="I183">
        <v>1</v>
      </c>
      <c r="J183">
        <v>0</v>
      </c>
      <c r="K183" t="s">
        <v>2656</v>
      </c>
      <c r="L183" t="s">
        <v>2657</v>
      </c>
      <c r="M183" t="s">
        <v>2658</v>
      </c>
      <c r="N183" t="s">
        <v>2659</v>
      </c>
      <c r="O183" t="s">
        <v>2660</v>
      </c>
      <c r="P183" t="s">
        <v>2661</v>
      </c>
      <c r="Q183" t="s">
        <v>2661</v>
      </c>
      <c r="R183" t="s">
        <v>2662</v>
      </c>
      <c r="S183" t="s">
        <v>2663</v>
      </c>
      <c r="T183" s="2">
        <v>0.625</v>
      </c>
      <c r="U183">
        <v>1</v>
      </c>
      <c r="V183" t="s">
        <v>2664</v>
      </c>
      <c r="W183" t="s">
        <v>2665</v>
      </c>
      <c r="X183" t="s">
        <v>2666</v>
      </c>
      <c r="Y183" t="s">
        <v>2667</v>
      </c>
      <c r="Z183" t="s">
        <v>2667</v>
      </c>
      <c r="AA183" t="s">
        <v>2667</v>
      </c>
      <c r="AB183" t="s">
        <v>2667</v>
      </c>
      <c r="AC183" t="s">
        <v>2667</v>
      </c>
      <c r="AD183" t="s">
        <v>2667</v>
      </c>
    </row>
    <row r="184" spans="1:30">
      <c r="A184" t="s">
        <v>2668</v>
      </c>
      <c r="B184">
        <v>3</v>
      </c>
      <c r="C184">
        <v>29</v>
      </c>
      <c r="D184">
        <v>2022</v>
      </c>
      <c r="E184" s="1">
        <v>44649</v>
      </c>
      <c r="F184" t="s">
        <v>2669</v>
      </c>
      <c r="G184">
        <v>0</v>
      </c>
      <c r="H184">
        <v>0</v>
      </c>
      <c r="I184">
        <v>0</v>
      </c>
      <c r="J184">
        <v>0</v>
      </c>
      <c r="K184" t="s">
        <v>2670</v>
      </c>
      <c r="L184" t="s">
        <v>2671</v>
      </c>
      <c r="M184" t="s">
        <v>2672</v>
      </c>
      <c r="N184" t="s">
        <v>2673</v>
      </c>
      <c r="O184" t="s">
        <v>2674</v>
      </c>
      <c r="P184" t="s">
        <v>2675</v>
      </c>
      <c r="Q184" t="s">
        <v>2676</v>
      </c>
      <c r="R184" t="s">
        <v>2677</v>
      </c>
      <c r="S184" t="s">
        <v>2678</v>
      </c>
      <c r="T184" s="2">
        <v>0.59375</v>
      </c>
      <c r="U184">
        <v>1</v>
      </c>
      <c r="V184" t="s">
        <v>2679</v>
      </c>
      <c r="X184" t="s">
        <v>2680</v>
      </c>
      <c r="Y184" t="s">
        <v>2681</v>
      </c>
      <c r="Z184" t="s">
        <v>2681</v>
      </c>
      <c r="AA184" t="s">
        <v>2681</v>
      </c>
      <c r="AB184" t="s">
        <v>2681</v>
      </c>
      <c r="AC184" t="s">
        <v>2681</v>
      </c>
      <c r="AD184" t="s">
        <v>2681</v>
      </c>
    </row>
    <row r="185" spans="1:30">
      <c r="A185" t="s">
        <v>2682</v>
      </c>
      <c r="B185">
        <v>3</v>
      </c>
      <c r="C185">
        <v>29</v>
      </c>
      <c r="D185">
        <v>2022</v>
      </c>
      <c r="E185" s="1">
        <v>44649</v>
      </c>
      <c r="F185" t="s">
        <v>2683</v>
      </c>
      <c r="G185">
        <v>0</v>
      </c>
      <c r="H185">
        <v>2</v>
      </c>
      <c r="I185">
        <v>2</v>
      </c>
      <c r="J185">
        <v>0</v>
      </c>
      <c r="K185" t="s">
        <v>2684</v>
      </c>
      <c r="L185" t="s">
        <v>2685</v>
      </c>
      <c r="M185" t="s">
        <v>2686</v>
      </c>
      <c r="N185" t="s">
        <v>2687</v>
      </c>
      <c r="O185" t="s">
        <v>2688</v>
      </c>
      <c r="P185" t="s">
        <v>2689</v>
      </c>
      <c r="Q185" t="s">
        <v>2690</v>
      </c>
      <c r="R185" t="s">
        <v>2691</v>
      </c>
      <c r="S185" t="s">
        <v>2692</v>
      </c>
      <c r="T185" s="2">
        <v>0.59375</v>
      </c>
      <c r="U185">
        <v>1</v>
      </c>
      <c r="V185" t="s">
        <v>2693</v>
      </c>
      <c r="W185" t="s">
        <v>2694</v>
      </c>
      <c r="AD185" t="s">
        <v>2695</v>
      </c>
    </row>
    <row r="186" spans="1:30">
      <c r="A186" t="s">
        <v>2696</v>
      </c>
      <c r="B186">
        <v>3</v>
      </c>
      <c r="C186">
        <v>28</v>
      </c>
      <c r="D186">
        <v>2022</v>
      </c>
      <c r="E186" s="1">
        <v>44648</v>
      </c>
      <c r="F186" t="s">
        <v>2697</v>
      </c>
      <c r="G186">
        <v>0</v>
      </c>
      <c r="H186">
        <v>0</v>
      </c>
      <c r="I186">
        <v>0</v>
      </c>
      <c r="J186">
        <v>0</v>
      </c>
      <c r="K186" t="s">
        <v>2698</v>
      </c>
      <c r="L186" t="s">
        <v>2699</v>
      </c>
      <c r="M186" t="s">
        <v>2700</v>
      </c>
      <c r="N186" t="s">
        <v>2701</v>
      </c>
      <c r="O186" t="s">
        <v>2702</v>
      </c>
      <c r="P186" t="s">
        <v>2703</v>
      </c>
      <c r="Q186" t="s">
        <v>2704</v>
      </c>
      <c r="R186" t="s">
        <v>2705</v>
      </c>
      <c r="S186" t="s">
        <v>2706</v>
      </c>
      <c r="T186" s="2">
        <v>0.6875</v>
      </c>
      <c r="U186">
        <v>1</v>
      </c>
      <c r="V186" t="s">
        <v>2707</v>
      </c>
      <c r="W186" t="s">
        <v>2708</v>
      </c>
      <c r="Y186" t="s">
        <v>2709</v>
      </c>
      <c r="Z186" t="s">
        <v>2709</v>
      </c>
      <c r="AA186" t="s">
        <v>2709</v>
      </c>
      <c r="AB186" t="s">
        <v>2709</v>
      </c>
      <c r="AC186" t="s">
        <v>2709</v>
      </c>
      <c r="AD186" t="s">
        <v>2709</v>
      </c>
    </row>
    <row r="187" spans="1:30">
      <c r="A187" t="s">
        <v>2710</v>
      </c>
      <c r="B187">
        <v>3</v>
      </c>
      <c r="C187">
        <v>28</v>
      </c>
      <c r="D187">
        <v>2022</v>
      </c>
      <c r="E187" s="1">
        <v>44648</v>
      </c>
      <c r="F187" t="s">
        <v>2711</v>
      </c>
      <c r="G187">
        <v>0</v>
      </c>
      <c r="H187">
        <v>1</v>
      </c>
      <c r="I187">
        <v>1</v>
      </c>
      <c r="J187">
        <v>0</v>
      </c>
      <c r="K187" t="s">
        <v>2712</v>
      </c>
      <c r="L187" t="s">
        <v>2713</v>
      </c>
      <c r="M187" t="s">
        <v>2714</v>
      </c>
      <c r="N187" t="s">
        <v>2715</v>
      </c>
      <c r="O187" t="s">
        <v>2716</v>
      </c>
      <c r="P187" t="s">
        <v>2717</v>
      </c>
      <c r="Q187" t="s">
        <v>2718</v>
      </c>
      <c r="R187" t="s">
        <v>2719</v>
      </c>
      <c r="S187" t="s">
        <v>2720</v>
      </c>
      <c r="T187" s="2">
        <v>0.47916666666666663</v>
      </c>
      <c r="U187">
        <v>1</v>
      </c>
      <c r="V187" t="s">
        <v>2721</v>
      </c>
      <c r="W187" t="s">
        <v>2722</v>
      </c>
      <c r="X187" t="s">
        <v>2723</v>
      </c>
      <c r="Y187" t="s">
        <v>2724</v>
      </c>
      <c r="Z187" t="s">
        <v>2724</v>
      </c>
      <c r="AA187" t="s">
        <v>2724</v>
      </c>
      <c r="AB187" t="s">
        <v>2724</v>
      </c>
      <c r="AC187" t="s">
        <v>2724</v>
      </c>
      <c r="AD187" t="s">
        <v>2724</v>
      </c>
    </row>
    <row r="188" spans="1:30">
      <c r="A188" t="s">
        <v>2725</v>
      </c>
      <c r="B188">
        <v>3</v>
      </c>
      <c r="C188">
        <v>25</v>
      </c>
      <c r="D188">
        <v>2022</v>
      </c>
      <c r="E188" s="1">
        <v>44645</v>
      </c>
      <c r="F188" t="s">
        <v>2726</v>
      </c>
      <c r="G188">
        <v>0</v>
      </c>
      <c r="H188">
        <v>0</v>
      </c>
      <c r="I188">
        <v>0</v>
      </c>
      <c r="J188">
        <v>0</v>
      </c>
      <c r="K188" t="s">
        <v>2727</v>
      </c>
      <c r="L188" t="s">
        <v>2728</v>
      </c>
      <c r="M188" t="s">
        <v>2729</v>
      </c>
      <c r="N188" t="s">
        <v>2730</v>
      </c>
      <c r="O188" t="s">
        <v>2731</v>
      </c>
      <c r="P188" t="s">
        <v>2732</v>
      </c>
      <c r="Q188" t="s">
        <v>2733</v>
      </c>
      <c r="R188" t="s">
        <v>2734</v>
      </c>
      <c r="S188" t="s">
        <v>2735</v>
      </c>
      <c r="U188">
        <v>1</v>
      </c>
      <c r="V188" t="s">
        <v>2736</v>
      </c>
      <c r="W188" t="s">
        <v>2737</v>
      </c>
      <c r="X188" t="s">
        <v>2738</v>
      </c>
      <c r="Y188" t="s">
        <v>2739</v>
      </c>
      <c r="Z188" t="s">
        <v>2739</v>
      </c>
      <c r="AA188" t="s">
        <v>2739</v>
      </c>
      <c r="AB188" t="s">
        <v>2739</v>
      </c>
      <c r="AC188" t="s">
        <v>2739</v>
      </c>
      <c r="AD188" t="s">
        <v>2739</v>
      </c>
    </row>
    <row r="189" spans="1:30">
      <c r="A189" t="s">
        <v>2740</v>
      </c>
      <c r="B189">
        <v>3</v>
      </c>
      <c r="C189">
        <v>25</v>
      </c>
      <c r="D189">
        <v>2022</v>
      </c>
      <c r="E189" s="1">
        <v>44645</v>
      </c>
      <c r="F189" t="s">
        <v>2741</v>
      </c>
      <c r="G189">
        <v>0</v>
      </c>
      <c r="H189">
        <v>0</v>
      </c>
      <c r="I189">
        <v>0</v>
      </c>
      <c r="J189">
        <v>0</v>
      </c>
      <c r="K189" t="s">
        <v>2742</v>
      </c>
      <c r="L189" t="s">
        <v>2743</v>
      </c>
      <c r="M189" t="s">
        <v>2744</v>
      </c>
      <c r="N189" t="s">
        <v>2745</v>
      </c>
      <c r="O189" t="s">
        <v>2746</v>
      </c>
      <c r="P189" t="s">
        <v>2747</v>
      </c>
      <c r="Q189" t="s">
        <v>2748</v>
      </c>
      <c r="R189" t="s">
        <v>2749</v>
      </c>
      <c r="S189" t="s">
        <v>2750</v>
      </c>
      <c r="T189" s="2">
        <v>0.5</v>
      </c>
      <c r="U189">
        <v>1</v>
      </c>
      <c r="V189" t="s">
        <v>2751</v>
      </c>
      <c r="W189" t="s">
        <v>2752</v>
      </c>
      <c r="X189" t="s">
        <v>2753</v>
      </c>
      <c r="Y189" t="s">
        <v>2754</v>
      </c>
      <c r="Z189" t="s">
        <v>2754</v>
      </c>
      <c r="AA189" t="s">
        <v>2754</v>
      </c>
      <c r="AB189" t="s">
        <v>2754</v>
      </c>
      <c r="AC189" t="s">
        <v>2754</v>
      </c>
      <c r="AD189" t="s">
        <v>2754</v>
      </c>
    </row>
    <row r="190" spans="1:30">
      <c r="A190" t="s">
        <v>2755</v>
      </c>
      <c r="B190">
        <v>3</v>
      </c>
      <c r="C190">
        <v>25</v>
      </c>
      <c r="D190">
        <v>2022</v>
      </c>
      <c r="E190" s="1">
        <v>44645</v>
      </c>
      <c r="F190" t="s">
        <v>2756</v>
      </c>
      <c r="G190">
        <v>0</v>
      </c>
      <c r="H190">
        <v>0</v>
      </c>
      <c r="I190">
        <v>0</v>
      </c>
      <c r="J190">
        <v>0</v>
      </c>
      <c r="K190" t="s">
        <v>2757</v>
      </c>
      <c r="L190" t="s">
        <v>2758</v>
      </c>
      <c r="M190" t="s">
        <v>2759</v>
      </c>
      <c r="N190" t="s">
        <v>2760</v>
      </c>
      <c r="O190" t="s">
        <v>2761</v>
      </c>
      <c r="P190" t="s">
        <v>2762</v>
      </c>
      <c r="Q190" t="s">
        <v>2763</v>
      </c>
      <c r="R190" t="s">
        <v>2764</v>
      </c>
      <c r="S190" t="s">
        <v>2765</v>
      </c>
      <c r="T190" s="2">
        <v>0.34375</v>
      </c>
      <c r="U190">
        <v>1</v>
      </c>
      <c r="V190" t="s">
        <v>2766</v>
      </c>
      <c r="W190" t="s">
        <v>2767</v>
      </c>
      <c r="X190" t="s">
        <v>2768</v>
      </c>
      <c r="Y190" t="s">
        <v>2769</v>
      </c>
      <c r="Z190" t="s">
        <v>2770</v>
      </c>
      <c r="AA190" t="s">
        <v>2770</v>
      </c>
      <c r="AB190" t="s">
        <v>2770</v>
      </c>
      <c r="AC190" t="s">
        <v>2770</v>
      </c>
      <c r="AD190" t="s">
        <v>2770</v>
      </c>
    </row>
    <row r="191" spans="1:30">
      <c r="A191" t="s">
        <v>2771</v>
      </c>
      <c r="B191">
        <v>3</v>
      </c>
      <c r="C191">
        <v>24</v>
      </c>
      <c r="D191">
        <v>2022</v>
      </c>
      <c r="E191" s="1">
        <v>44644</v>
      </c>
      <c r="F191" t="s">
        <v>2772</v>
      </c>
      <c r="G191">
        <v>0</v>
      </c>
      <c r="H191">
        <v>0</v>
      </c>
      <c r="I191">
        <v>0</v>
      </c>
      <c r="J191">
        <v>0</v>
      </c>
      <c r="K191" t="s">
        <v>2773</v>
      </c>
      <c r="L191" t="s">
        <v>2774</v>
      </c>
      <c r="M191" t="s">
        <v>2775</v>
      </c>
      <c r="N191" t="s">
        <v>2776</v>
      </c>
      <c r="O191" t="s">
        <v>2777</v>
      </c>
      <c r="P191" t="s">
        <v>2778</v>
      </c>
      <c r="Q191" t="s">
        <v>2779</v>
      </c>
      <c r="R191" t="s">
        <v>2780</v>
      </c>
      <c r="S191" t="s">
        <v>2781</v>
      </c>
      <c r="T191" s="2">
        <v>0.46597222222222218</v>
      </c>
      <c r="U191">
        <v>1</v>
      </c>
      <c r="V191" t="s">
        <v>2782</v>
      </c>
      <c r="W191" t="s">
        <v>2783</v>
      </c>
      <c r="X191" t="s">
        <v>2784</v>
      </c>
      <c r="Y191" t="s">
        <v>2785</v>
      </c>
      <c r="Z191" t="s">
        <v>2785</v>
      </c>
      <c r="AA191" t="s">
        <v>2785</v>
      </c>
      <c r="AB191" t="s">
        <v>2785</v>
      </c>
      <c r="AC191" t="s">
        <v>2786</v>
      </c>
      <c r="AD191" t="s">
        <v>2787</v>
      </c>
    </row>
    <row r="192" spans="1:30">
      <c r="A192" t="s">
        <v>2788</v>
      </c>
      <c r="B192">
        <v>3</v>
      </c>
      <c r="C192">
        <v>22</v>
      </c>
      <c r="D192">
        <v>2022</v>
      </c>
      <c r="E192" s="1">
        <v>44642</v>
      </c>
      <c r="F192" t="s">
        <v>2789</v>
      </c>
      <c r="G192">
        <v>0</v>
      </c>
      <c r="H192">
        <v>0</v>
      </c>
      <c r="I192">
        <v>0</v>
      </c>
      <c r="J192">
        <v>0</v>
      </c>
      <c r="K192" t="s">
        <v>2790</v>
      </c>
      <c r="L192" t="s">
        <v>2791</v>
      </c>
      <c r="M192" t="s">
        <v>2792</v>
      </c>
      <c r="N192" t="s">
        <v>2793</v>
      </c>
      <c r="O192" t="s">
        <v>2794</v>
      </c>
      <c r="P192" t="s">
        <v>2795</v>
      </c>
      <c r="Q192" t="s">
        <v>2795</v>
      </c>
      <c r="R192" t="s">
        <v>2796</v>
      </c>
      <c r="S192" t="s">
        <v>2797</v>
      </c>
      <c r="T192" s="2">
        <v>0.66666666666666663</v>
      </c>
      <c r="U192">
        <v>1</v>
      </c>
      <c r="V192" t="s">
        <v>2798</v>
      </c>
      <c r="X192" t="s">
        <v>2799</v>
      </c>
      <c r="Y192" t="s">
        <v>2800</v>
      </c>
      <c r="Z192" t="s">
        <v>2800</v>
      </c>
      <c r="AA192" t="s">
        <v>2800</v>
      </c>
      <c r="AB192" t="s">
        <v>2800</v>
      </c>
      <c r="AC192" t="s">
        <v>2800</v>
      </c>
      <c r="AD192" t="s">
        <v>2800</v>
      </c>
    </row>
    <row r="193" spans="1:30">
      <c r="A193" t="s">
        <v>2801</v>
      </c>
      <c r="B193">
        <v>3</v>
      </c>
      <c r="C193">
        <v>22</v>
      </c>
      <c r="D193">
        <v>2022</v>
      </c>
      <c r="E193" s="1">
        <v>44642</v>
      </c>
      <c r="F193" t="s">
        <v>2802</v>
      </c>
      <c r="G193">
        <v>0</v>
      </c>
      <c r="H193">
        <v>0</v>
      </c>
      <c r="I193">
        <v>0</v>
      </c>
      <c r="J193">
        <v>0</v>
      </c>
      <c r="K193" t="s">
        <v>2803</v>
      </c>
      <c r="L193" t="s">
        <v>2804</v>
      </c>
      <c r="M193" t="s">
        <v>2805</v>
      </c>
      <c r="N193" t="s">
        <v>2806</v>
      </c>
      <c r="O193" t="s">
        <v>2807</v>
      </c>
      <c r="P193" t="s">
        <v>2808</v>
      </c>
      <c r="Q193" t="s">
        <v>2809</v>
      </c>
      <c r="R193" t="s">
        <v>2810</v>
      </c>
      <c r="S193" t="s">
        <v>2811</v>
      </c>
      <c r="T193" s="2">
        <v>0.625</v>
      </c>
      <c r="U193">
        <v>1</v>
      </c>
      <c r="V193" t="s">
        <v>2812</v>
      </c>
      <c r="W193" t="s">
        <v>2813</v>
      </c>
      <c r="X193" t="s">
        <v>2814</v>
      </c>
      <c r="Y193" t="s">
        <v>2815</v>
      </c>
      <c r="Z193" t="s">
        <v>2815</v>
      </c>
      <c r="AA193" t="s">
        <v>2815</v>
      </c>
      <c r="AB193" t="s">
        <v>2815</v>
      </c>
      <c r="AC193" t="s">
        <v>2815</v>
      </c>
      <c r="AD193" t="s">
        <v>2815</v>
      </c>
    </row>
    <row r="194" spans="1:30">
      <c r="A194" t="s">
        <v>2816</v>
      </c>
      <c r="B194">
        <v>3</v>
      </c>
      <c r="C194">
        <v>22</v>
      </c>
      <c r="D194">
        <v>2022</v>
      </c>
      <c r="E194" s="1">
        <v>44642</v>
      </c>
      <c r="F194" t="s">
        <v>2817</v>
      </c>
      <c r="G194">
        <v>0</v>
      </c>
      <c r="H194">
        <v>0</v>
      </c>
      <c r="I194">
        <v>0</v>
      </c>
      <c r="J194">
        <v>0</v>
      </c>
      <c r="K194" t="s">
        <v>2818</v>
      </c>
      <c r="L194" t="s">
        <v>2819</v>
      </c>
      <c r="M194" t="s">
        <v>2820</v>
      </c>
      <c r="N194" t="s">
        <v>2821</v>
      </c>
      <c r="O194" t="s">
        <v>2822</v>
      </c>
      <c r="P194" t="s">
        <v>2823</v>
      </c>
      <c r="Q194" t="s">
        <v>2824</v>
      </c>
      <c r="R194" t="s">
        <v>2825</v>
      </c>
      <c r="S194" t="s">
        <v>2826</v>
      </c>
      <c r="T194" s="2">
        <v>0.63888888888888884</v>
      </c>
      <c r="U194">
        <v>1</v>
      </c>
      <c r="V194" t="s">
        <v>2827</v>
      </c>
      <c r="W194" t="s">
        <v>2828</v>
      </c>
      <c r="X194" t="s">
        <v>2829</v>
      </c>
      <c r="Y194" t="s">
        <v>2830</v>
      </c>
      <c r="Z194" t="s">
        <v>2830</v>
      </c>
      <c r="AA194" t="s">
        <v>2830</v>
      </c>
      <c r="AB194" t="s">
        <v>2830</v>
      </c>
      <c r="AC194" t="s">
        <v>2830</v>
      </c>
      <c r="AD194" t="s">
        <v>2830</v>
      </c>
    </row>
    <row r="195" spans="1:30">
      <c r="A195" t="s">
        <v>2831</v>
      </c>
      <c r="B195">
        <v>3</v>
      </c>
      <c r="C195">
        <v>21</v>
      </c>
      <c r="D195">
        <v>2022</v>
      </c>
      <c r="E195" s="1">
        <v>44641</v>
      </c>
      <c r="F195" t="s">
        <v>2832</v>
      </c>
      <c r="G195">
        <v>0</v>
      </c>
      <c r="H195">
        <v>0</v>
      </c>
      <c r="I195">
        <v>0</v>
      </c>
      <c r="J195">
        <v>0</v>
      </c>
      <c r="K195" t="s">
        <v>2833</v>
      </c>
      <c r="L195" t="s">
        <v>2834</v>
      </c>
      <c r="M195" t="s">
        <v>2835</v>
      </c>
      <c r="N195" t="s">
        <v>2836</v>
      </c>
      <c r="O195" t="s">
        <v>2837</v>
      </c>
      <c r="P195" t="s">
        <v>2838</v>
      </c>
      <c r="Q195" t="s">
        <v>2839</v>
      </c>
      <c r="R195" t="s">
        <v>2840</v>
      </c>
      <c r="S195" t="s">
        <v>2841</v>
      </c>
      <c r="T195" s="2">
        <v>0.54166666666666663</v>
      </c>
      <c r="U195">
        <v>1</v>
      </c>
      <c r="V195" t="s">
        <v>2842</v>
      </c>
      <c r="W195" t="s">
        <v>2843</v>
      </c>
      <c r="X195" t="s">
        <v>2844</v>
      </c>
      <c r="Y195" t="s">
        <v>2845</v>
      </c>
      <c r="Z195" t="s">
        <v>2846</v>
      </c>
      <c r="AA195" t="s">
        <v>2846</v>
      </c>
      <c r="AB195" t="s">
        <v>2846</v>
      </c>
      <c r="AC195" t="s">
        <v>2846</v>
      </c>
      <c r="AD195" t="s">
        <v>2846</v>
      </c>
    </row>
    <row r="196" spans="1:30">
      <c r="A196" t="s">
        <v>2847</v>
      </c>
      <c r="B196">
        <v>3</v>
      </c>
      <c r="C196">
        <v>21</v>
      </c>
      <c r="D196">
        <v>2022</v>
      </c>
      <c r="E196" s="1">
        <v>44641</v>
      </c>
      <c r="F196" t="s">
        <v>2848</v>
      </c>
      <c r="G196">
        <v>0</v>
      </c>
      <c r="H196">
        <v>0</v>
      </c>
      <c r="I196">
        <v>0</v>
      </c>
      <c r="J196">
        <v>0</v>
      </c>
      <c r="K196" t="s">
        <v>2849</v>
      </c>
      <c r="L196" t="s">
        <v>2850</v>
      </c>
      <c r="M196" t="s">
        <v>2851</v>
      </c>
      <c r="N196" t="s">
        <v>2852</v>
      </c>
      <c r="O196" t="s">
        <v>2853</v>
      </c>
      <c r="P196" t="s">
        <v>2854</v>
      </c>
      <c r="Q196" t="s">
        <v>2855</v>
      </c>
      <c r="R196" t="s">
        <v>2856</v>
      </c>
      <c r="S196" t="s">
        <v>2857</v>
      </c>
      <c r="T196" s="2">
        <v>0.1423611111111111</v>
      </c>
      <c r="U196">
        <v>1</v>
      </c>
      <c r="V196" t="s">
        <v>2858</v>
      </c>
      <c r="W196" t="s">
        <v>2859</v>
      </c>
      <c r="X196" t="s">
        <v>2860</v>
      </c>
      <c r="Y196" t="s">
        <v>2861</v>
      </c>
      <c r="Z196" t="s">
        <v>2861</v>
      </c>
      <c r="AA196" t="s">
        <v>2861</v>
      </c>
      <c r="AB196" t="s">
        <v>2861</v>
      </c>
      <c r="AC196" t="s">
        <v>2861</v>
      </c>
      <c r="AD196" t="s">
        <v>2861</v>
      </c>
    </row>
    <row r="197" spans="1:30">
      <c r="A197" t="s">
        <v>2862</v>
      </c>
      <c r="B197">
        <v>3</v>
      </c>
      <c r="C197">
        <v>21</v>
      </c>
      <c r="D197">
        <v>2022</v>
      </c>
      <c r="E197" s="1">
        <v>44641</v>
      </c>
      <c r="F197" t="s">
        <v>2863</v>
      </c>
      <c r="G197">
        <v>0</v>
      </c>
      <c r="H197">
        <v>0</v>
      </c>
      <c r="I197">
        <v>0</v>
      </c>
      <c r="J197">
        <v>0</v>
      </c>
      <c r="K197" t="s">
        <v>2864</v>
      </c>
      <c r="L197" t="s">
        <v>2865</v>
      </c>
      <c r="M197" t="s">
        <v>2866</v>
      </c>
      <c r="N197" t="s">
        <v>2867</v>
      </c>
      <c r="O197" t="s">
        <v>2868</v>
      </c>
      <c r="P197" t="s">
        <v>2869</v>
      </c>
      <c r="Q197" t="s">
        <v>2869</v>
      </c>
      <c r="R197" t="s">
        <v>2870</v>
      </c>
      <c r="S197" t="s">
        <v>2871</v>
      </c>
      <c r="T197" s="2">
        <v>0.46875</v>
      </c>
      <c r="U197">
        <v>1</v>
      </c>
      <c r="V197" t="s">
        <v>2872</v>
      </c>
      <c r="X197" t="s">
        <v>2873</v>
      </c>
      <c r="Y197" t="s">
        <v>2874</v>
      </c>
      <c r="Z197" t="s">
        <v>2874</v>
      </c>
      <c r="AA197" t="s">
        <v>2874</v>
      </c>
      <c r="AB197" t="s">
        <v>2874</v>
      </c>
      <c r="AC197" t="s">
        <v>2874</v>
      </c>
      <c r="AD197" t="s">
        <v>2874</v>
      </c>
    </row>
    <row r="198" spans="1:30">
      <c r="A198" t="s">
        <v>2875</v>
      </c>
      <c r="B198">
        <v>3</v>
      </c>
      <c r="C198">
        <v>19</v>
      </c>
      <c r="D198">
        <v>2022</v>
      </c>
      <c r="E198" s="1">
        <v>44639</v>
      </c>
      <c r="F198" t="s">
        <v>2876</v>
      </c>
      <c r="G198">
        <v>0</v>
      </c>
      <c r="H198">
        <v>0</v>
      </c>
      <c r="I198">
        <v>0</v>
      </c>
      <c r="J198">
        <v>0</v>
      </c>
      <c r="K198" t="s">
        <v>2877</v>
      </c>
      <c r="L198" t="s">
        <v>2878</v>
      </c>
      <c r="M198" t="s">
        <v>2879</v>
      </c>
      <c r="N198" t="s">
        <v>2880</v>
      </c>
      <c r="O198" t="s">
        <v>2881</v>
      </c>
      <c r="P198" t="s">
        <v>2882</v>
      </c>
      <c r="Q198" t="s">
        <v>2883</v>
      </c>
      <c r="R198" t="s">
        <v>2884</v>
      </c>
      <c r="S198" t="s">
        <v>2885</v>
      </c>
      <c r="T198" s="2">
        <v>0.57638888888888884</v>
      </c>
      <c r="U198">
        <v>1</v>
      </c>
      <c r="V198" t="s">
        <v>2886</v>
      </c>
      <c r="W198" t="s">
        <v>2887</v>
      </c>
      <c r="X198" t="s">
        <v>2888</v>
      </c>
      <c r="Y198" t="s">
        <v>2889</v>
      </c>
      <c r="Z198" t="s">
        <v>2890</v>
      </c>
      <c r="AA198" t="s">
        <v>2890</v>
      </c>
      <c r="AB198" t="s">
        <v>2890</v>
      </c>
      <c r="AC198" t="s">
        <v>2890</v>
      </c>
      <c r="AD198" t="s">
        <v>2890</v>
      </c>
    </row>
    <row r="199" spans="1:30">
      <c r="A199" t="s">
        <v>2891</v>
      </c>
      <c r="B199">
        <v>3</v>
      </c>
      <c r="C199">
        <v>18</v>
      </c>
      <c r="D199">
        <v>2022</v>
      </c>
      <c r="E199" s="1">
        <v>44638</v>
      </c>
      <c r="F199" t="s">
        <v>2892</v>
      </c>
      <c r="G199">
        <v>0</v>
      </c>
      <c r="H199">
        <v>0</v>
      </c>
      <c r="I199">
        <v>0</v>
      </c>
      <c r="J199">
        <v>0</v>
      </c>
      <c r="K199" t="s">
        <v>2893</v>
      </c>
      <c r="L199" t="s">
        <v>2894</v>
      </c>
      <c r="M199" t="s">
        <v>2895</v>
      </c>
      <c r="N199" t="s">
        <v>2896</v>
      </c>
      <c r="O199" t="s">
        <v>2897</v>
      </c>
      <c r="P199" t="s">
        <v>2898</v>
      </c>
      <c r="Q199" t="s">
        <v>2899</v>
      </c>
      <c r="R199" t="s">
        <v>2900</v>
      </c>
      <c r="S199" t="s">
        <v>2901</v>
      </c>
      <c r="T199" s="2">
        <v>0.61805555555555558</v>
      </c>
      <c r="U199">
        <v>1</v>
      </c>
      <c r="V199" t="s">
        <v>2902</v>
      </c>
      <c r="W199" t="s">
        <v>2903</v>
      </c>
      <c r="X199" t="s">
        <v>2904</v>
      </c>
      <c r="Y199" t="s">
        <v>2905</v>
      </c>
      <c r="Z199" t="s">
        <v>2906</v>
      </c>
      <c r="AA199" t="s">
        <v>2906</v>
      </c>
      <c r="AB199" t="s">
        <v>2906</v>
      </c>
      <c r="AC199" t="s">
        <v>2906</v>
      </c>
      <c r="AD199" t="s">
        <v>2906</v>
      </c>
    </row>
    <row r="200" spans="1:30">
      <c r="A200" t="s">
        <v>2907</v>
      </c>
      <c r="B200">
        <v>3</v>
      </c>
      <c r="C200">
        <v>18</v>
      </c>
      <c r="D200">
        <v>2022</v>
      </c>
      <c r="E200" s="1">
        <v>44638</v>
      </c>
      <c r="F200" t="s">
        <v>2908</v>
      </c>
      <c r="G200">
        <v>0</v>
      </c>
      <c r="H200">
        <v>0</v>
      </c>
      <c r="I200">
        <v>0</v>
      </c>
      <c r="J200">
        <v>0</v>
      </c>
      <c r="K200" t="s">
        <v>2909</v>
      </c>
      <c r="L200" t="s">
        <v>2910</v>
      </c>
      <c r="M200" t="s">
        <v>2911</v>
      </c>
      <c r="N200" t="s">
        <v>2912</v>
      </c>
      <c r="O200" t="s">
        <v>2913</v>
      </c>
      <c r="P200" t="s">
        <v>2914</v>
      </c>
      <c r="Q200" t="s">
        <v>2914</v>
      </c>
      <c r="R200" t="s">
        <v>2915</v>
      </c>
      <c r="S200" t="s">
        <v>2916</v>
      </c>
      <c r="T200" s="2">
        <v>0.41666666666666669</v>
      </c>
      <c r="U200">
        <v>1</v>
      </c>
      <c r="V200" t="s">
        <v>2917</v>
      </c>
      <c r="W200" t="s">
        <v>2918</v>
      </c>
      <c r="X200" t="s">
        <v>2919</v>
      </c>
      <c r="Y200" t="s">
        <v>2920</v>
      </c>
      <c r="Z200" t="s">
        <v>2920</v>
      </c>
      <c r="AA200" t="s">
        <v>2920</v>
      </c>
      <c r="AB200" t="s">
        <v>2920</v>
      </c>
      <c r="AC200" t="s">
        <v>2920</v>
      </c>
      <c r="AD200" t="s">
        <v>2920</v>
      </c>
    </row>
    <row r="201" spans="1:30">
      <c r="A201" t="s">
        <v>2921</v>
      </c>
      <c r="B201">
        <v>3</v>
      </c>
      <c r="C201">
        <v>18</v>
      </c>
      <c r="D201">
        <v>2022</v>
      </c>
      <c r="E201" s="1">
        <v>44638</v>
      </c>
      <c r="F201" t="s">
        <v>2922</v>
      </c>
      <c r="G201">
        <v>0</v>
      </c>
      <c r="H201">
        <v>0</v>
      </c>
      <c r="I201">
        <v>0</v>
      </c>
      <c r="J201">
        <v>0</v>
      </c>
      <c r="K201" t="s">
        <v>2923</v>
      </c>
      <c r="L201" t="s">
        <v>2924</v>
      </c>
      <c r="M201" t="s">
        <v>2925</v>
      </c>
      <c r="N201" t="s">
        <v>2926</v>
      </c>
      <c r="O201" t="s">
        <v>2927</v>
      </c>
      <c r="P201" t="s">
        <v>2928</v>
      </c>
      <c r="Q201" t="s">
        <v>2929</v>
      </c>
      <c r="R201" t="s">
        <v>2930</v>
      </c>
      <c r="S201" t="s">
        <v>2931</v>
      </c>
      <c r="T201" s="2">
        <v>0.33333333333333331</v>
      </c>
      <c r="U201">
        <v>1</v>
      </c>
      <c r="V201" t="s">
        <v>2932</v>
      </c>
      <c r="W201" t="s">
        <v>2933</v>
      </c>
      <c r="X201" t="s">
        <v>2934</v>
      </c>
      <c r="Y201" t="s">
        <v>2935</v>
      </c>
      <c r="Z201" t="s">
        <v>2936</v>
      </c>
      <c r="AA201" t="s">
        <v>2936</v>
      </c>
      <c r="AB201" t="s">
        <v>2936</v>
      </c>
      <c r="AC201" t="s">
        <v>2936</v>
      </c>
      <c r="AD201" t="s">
        <v>2936</v>
      </c>
    </row>
    <row r="202" spans="1:30">
      <c r="A202" t="s">
        <v>2937</v>
      </c>
      <c r="B202">
        <v>3</v>
      </c>
      <c r="C202">
        <v>17</v>
      </c>
      <c r="D202">
        <v>2022</v>
      </c>
      <c r="E202" s="1">
        <v>44637</v>
      </c>
      <c r="F202" t="s">
        <v>2938</v>
      </c>
      <c r="G202">
        <v>0</v>
      </c>
      <c r="H202">
        <v>0</v>
      </c>
      <c r="I202">
        <v>0</v>
      </c>
      <c r="J202">
        <v>0</v>
      </c>
      <c r="K202" t="s">
        <v>2939</v>
      </c>
      <c r="L202" t="s">
        <v>2940</v>
      </c>
      <c r="M202" t="s">
        <v>2941</v>
      </c>
      <c r="N202" t="s">
        <v>2942</v>
      </c>
      <c r="O202" t="s">
        <v>2943</v>
      </c>
      <c r="P202" t="s">
        <v>2944</v>
      </c>
      <c r="Q202" t="s">
        <v>2945</v>
      </c>
      <c r="R202" t="s">
        <v>2946</v>
      </c>
      <c r="S202" t="s">
        <v>2947</v>
      </c>
      <c r="T202" s="2">
        <v>0.60416666666666674</v>
      </c>
      <c r="U202">
        <v>1</v>
      </c>
      <c r="V202" t="s">
        <v>2948</v>
      </c>
      <c r="Y202" t="s">
        <v>2949</v>
      </c>
      <c r="Z202" t="s">
        <v>2949</v>
      </c>
      <c r="AA202" t="s">
        <v>2949</v>
      </c>
      <c r="AB202" t="s">
        <v>2949</v>
      </c>
      <c r="AC202" t="s">
        <v>2949</v>
      </c>
      <c r="AD202" t="s">
        <v>2949</v>
      </c>
    </row>
    <row r="203" spans="1:30">
      <c r="A203" t="s">
        <v>2950</v>
      </c>
      <c r="B203">
        <v>3</v>
      </c>
      <c r="C203">
        <v>16</v>
      </c>
      <c r="D203">
        <v>2022</v>
      </c>
      <c r="E203" s="1">
        <v>44636</v>
      </c>
      <c r="F203" t="s">
        <v>2951</v>
      </c>
      <c r="G203">
        <v>0</v>
      </c>
      <c r="H203">
        <v>0</v>
      </c>
      <c r="I203">
        <v>0</v>
      </c>
      <c r="J203">
        <v>0</v>
      </c>
      <c r="K203" t="s">
        <v>2952</v>
      </c>
      <c r="L203" t="s">
        <v>2953</v>
      </c>
      <c r="M203" t="s">
        <v>2954</v>
      </c>
      <c r="N203" t="s">
        <v>2955</v>
      </c>
      <c r="O203" t="s">
        <v>2956</v>
      </c>
      <c r="P203" t="s">
        <v>2957</v>
      </c>
      <c r="Q203" t="s">
        <v>2958</v>
      </c>
      <c r="R203" t="s">
        <v>2959</v>
      </c>
      <c r="S203" t="s">
        <v>2960</v>
      </c>
      <c r="T203" s="2">
        <v>0.70833333333333337</v>
      </c>
      <c r="U203">
        <v>1</v>
      </c>
      <c r="V203" t="s">
        <v>2961</v>
      </c>
      <c r="W203" t="s">
        <v>2962</v>
      </c>
      <c r="X203" t="s">
        <v>2963</v>
      </c>
      <c r="Y203" t="s">
        <v>2964</v>
      </c>
      <c r="Z203" t="s">
        <v>2964</v>
      </c>
      <c r="AA203" t="s">
        <v>2964</v>
      </c>
      <c r="AB203" t="s">
        <v>2964</v>
      </c>
      <c r="AC203" t="s">
        <v>2964</v>
      </c>
      <c r="AD203" t="s">
        <v>2964</v>
      </c>
    </row>
    <row r="204" spans="1:30">
      <c r="A204" t="s">
        <v>2965</v>
      </c>
      <c r="B204">
        <v>3</v>
      </c>
      <c r="C204">
        <v>15</v>
      </c>
      <c r="D204">
        <v>2022</v>
      </c>
      <c r="E204" s="1">
        <v>44635</v>
      </c>
      <c r="F204" t="s">
        <v>2966</v>
      </c>
      <c r="G204">
        <v>1</v>
      </c>
      <c r="H204">
        <v>1</v>
      </c>
      <c r="I204">
        <v>2</v>
      </c>
      <c r="J204">
        <v>0</v>
      </c>
      <c r="K204" t="s">
        <v>2967</v>
      </c>
      <c r="L204" t="s">
        <v>2968</v>
      </c>
      <c r="M204" t="s">
        <v>2969</v>
      </c>
      <c r="N204" t="s">
        <v>2970</v>
      </c>
      <c r="O204" t="s">
        <v>2971</v>
      </c>
      <c r="P204" t="s">
        <v>2972</v>
      </c>
      <c r="Q204" t="s">
        <v>2973</v>
      </c>
      <c r="R204" t="s">
        <v>2974</v>
      </c>
      <c r="S204" t="s">
        <v>2975</v>
      </c>
      <c r="T204" s="2">
        <v>0.625</v>
      </c>
      <c r="U204">
        <v>1</v>
      </c>
      <c r="V204" t="s">
        <v>2976</v>
      </c>
      <c r="W204" t="s">
        <v>2977</v>
      </c>
      <c r="X204" t="s">
        <v>2978</v>
      </c>
      <c r="Y204" t="s">
        <v>2979</v>
      </c>
      <c r="Z204" t="s">
        <v>2979</v>
      </c>
      <c r="AA204" t="s">
        <v>2979</v>
      </c>
      <c r="AB204" t="s">
        <v>2979</v>
      </c>
      <c r="AC204" t="s">
        <v>2979</v>
      </c>
      <c r="AD204" t="s">
        <v>2979</v>
      </c>
    </row>
    <row r="205" spans="1:30">
      <c r="A205" t="s">
        <v>2980</v>
      </c>
      <c r="B205">
        <v>3</v>
      </c>
      <c r="C205">
        <v>15</v>
      </c>
      <c r="D205">
        <v>2022</v>
      </c>
      <c r="E205" s="1">
        <v>44635</v>
      </c>
      <c r="F205" t="s">
        <v>2981</v>
      </c>
      <c r="G205">
        <v>0</v>
      </c>
      <c r="H205">
        <v>1</v>
      </c>
      <c r="I205">
        <v>1</v>
      </c>
      <c r="J205">
        <v>0</v>
      </c>
      <c r="K205" t="s">
        <v>2982</v>
      </c>
      <c r="L205" t="s">
        <v>2983</v>
      </c>
      <c r="M205" t="s">
        <v>2984</v>
      </c>
      <c r="N205" t="s">
        <v>2985</v>
      </c>
      <c r="O205" t="s">
        <v>2986</v>
      </c>
      <c r="P205" t="s">
        <v>2987</v>
      </c>
      <c r="Q205" t="s">
        <v>2988</v>
      </c>
      <c r="R205" t="s">
        <v>2989</v>
      </c>
      <c r="S205" t="s">
        <v>2990</v>
      </c>
      <c r="T205" s="2">
        <v>0.63888888888888884</v>
      </c>
      <c r="U205">
        <v>1</v>
      </c>
      <c r="V205" t="s">
        <v>2991</v>
      </c>
      <c r="W205" t="s">
        <v>2992</v>
      </c>
      <c r="X205" t="s">
        <v>2993</v>
      </c>
      <c r="Y205" t="s">
        <v>2994</v>
      </c>
      <c r="Z205" t="s">
        <v>2994</v>
      </c>
      <c r="AA205" t="s">
        <v>2994</v>
      </c>
      <c r="AB205" t="s">
        <v>2994</v>
      </c>
      <c r="AC205" t="s">
        <v>2994</v>
      </c>
      <c r="AD205" t="s">
        <v>2994</v>
      </c>
    </row>
    <row r="206" spans="1:30">
      <c r="A206" t="s">
        <v>2995</v>
      </c>
      <c r="B206">
        <v>3</v>
      </c>
      <c r="C206">
        <v>15</v>
      </c>
      <c r="D206">
        <v>2022</v>
      </c>
      <c r="E206" s="1">
        <v>44635</v>
      </c>
      <c r="F206" t="s">
        <v>2996</v>
      </c>
      <c r="G206">
        <v>0</v>
      </c>
      <c r="H206">
        <v>0</v>
      </c>
      <c r="I206">
        <v>0</v>
      </c>
      <c r="J206">
        <v>0</v>
      </c>
      <c r="K206" t="s">
        <v>2997</v>
      </c>
      <c r="L206" t="s">
        <v>2998</v>
      </c>
      <c r="M206" t="s">
        <v>2999</v>
      </c>
      <c r="N206" t="s">
        <v>3000</v>
      </c>
      <c r="O206" t="s">
        <v>3001</v>
      </c>
      <c r="P206" t="s">
        <v>3002</v>
      </c>
      <c r="Q206" t="s">
        <v>3003</v>
      </c>
      <c r="R206" t="s">
        <v>3004</v>
      </c>
      <c r="S206" t="s">
        <v>3005</v>
      </c>
      <c r="U206">
        <v>1</v>
      </c>
      <c r="V206" t="s">
        <v>3006</v>
      </c>
      <c r="W206" t="s">
        <v>3007</v>
      </c>
      <c r="Y206" t="s">
        <v>3008</v>
      </c>
      <c r="Z206" t="s">
        <v>3008</v>
      </c>
      <c r="AA206" t="s">
        <v>3008</v>
      </c>
      <c r="AB206" t="s">
        <v>3008</v>
      </c>
      <c r="AC206" t="s">
        <v>3008</v>
      </c>
      <c r="AD206" t="s">
        <v>3008</v>
      </c>
    </row>
    <row r="207" spans="1:30">
      <c r="A207" t="s">
        <v>3009</v>
      </c>
      <c r="B207">
        <v>3</v>
      </c>
      <c r="C207">
        <v>15</v>
      </c>
      <c r="D207">
        <v>2022</v>
      </c>
      <c r="E207" s="1">
        <v>44635</v>
      </c>
      <c r="F207" t="s">
        <v>3010</v>
      </c>
      <c r="G207">
        <v>0</v>
      </c>
      <c r="H207">
        <v>2</v>
      </c>
      <c r="I207">
        <v>2</v>
      </c>
      <c r="J207">
        <v>0</v>
      </c>
      <c r="K207" t="s">
        <v>3011</v>
      </c>
      <c r="L207" t="s">
        <v>3012</v>
      </c>
      <c r="M207" t="s">
        <v>3013</v>
      </c>
      <c r="N207" t="s">
        <v>3014</v>
      </c>
      <c r="O207" t="s">
        <v>3015</v>
      </c>
      <c r="P207" t="s">
        <v>3016</v>
      </c>
      <c r="Q207" t="s">
        <v>3017</v>
      </c>
      <c r="R207" t="s">
        <v>3018</v>
      </c>
      <c r="S207" t="s">
        <v>3019</v>
      </c>
      <c r="T207" s="2">
        <v>0.73611111111111116</v>
      </c>
      <c r="U207">
        <v>1</v>
      </c>
      <c r="V207" t="s">
        <v>3020</v>
      </c>
      <c r="W207" t="s">
        <v>3021</v>
      </c>
      <c r="X207" t="s">
        <v>3022</v>
      </c>
      <c r="Y207" t="s">
        <v>3023</v>
      </c>
      <c r="Z207" t="s">
        <v>3024</v>
      </c>
      <c r="AA207" t="s">
        <v>3024</v>
      </c>
      <c r="AB207" t="s">
        <v>3024</v>
      </c>
      <c r="AC207" t="s">
        <v>3024</v>
      </c>
      <c r="AD207" t="s">
        <v>3024</v>
      </c>
    </row>
    <row r="208" spans="1:30">
      <c r="A208" t="s">
        <v>3025</v>
      </c>
      <c r="B208">
        <v>3</v>
      </c>
      <c r="C208">
        <v>14</v>
      </c>
      <c r="D208">
        <v>2022</v>
      </c>
      <c r="E208" s="1">
        <v>44634</v>
      </c>
      <c r="F208" t="s">
        <v>3026</v>
      </c>
      <c r="G208">
        <v>0</v>
      </c>
      <c r="H208">
        <v>0</v>
      </c>
      <c r="I208">
        <v>0</v>
      </c>
      <c r="J208">
        <v>1</v>
      </c>
      <c r="K208" t="s">
        <v>3027</v>
      </c>
      <c r="L208" t="s">
        <v>3028</v>
      </c>
      <c r="M208" t="s">
        <v>3029</v>
      </c>
      <c r="N208" t="s">
        <v>3030</v>
      </c>
      <c r="O208" t="s">
        <v>3031</v>
      </c>
      <c r="P208" t="s">
        <v>3032</v>
      </c>
      <c r="Q208" t="s">
        <v>3033</v>
      </c>
      <c r="R208" t="s">
        <v>3034</v>
      </c>
      <c r="S208" t="s">
        <v>3035</v>
      </c>
      <c r="T208" s="2">
        <v>0.375</v>
      </c>
      <c r="U208">
        <v>1</v>
      </c>
      <c r="V208" t="s">
        <v>3036</v>
      </c>
      <c r="W208" t="s">
        <v>3037</v>
      </c>
      <c r="X208" t="s">
        <v>3038</v>
      </c>
      <c r="Y208" t="s">
        <v>3039</v>
      </c>
      <c r="AA208" t="s">
        <v>3039</v>
      </c>
      <c r="AB208" t="s">
        <v>3039</v>
      </c>
      <c r="AC208" t="s">
        <v>3039</v>
      </c>
      <c r="AD208" t="s">
        <v>3039</v>
      </c>
    </row>
    <row r="209" spans="1:30">
      <c r="A209" t="s">
        <v>3040</v>
      </c>
      <c r="B209">
        <v>3</v>
      </c>
      <c r="C209">
        <v>13</v>
      </c>
      <c r="D209">
        <v>2022</v>
      </c>
      <c r="E209" s="1">
        <v>44633</v>
      </c>
      <c r="F209" t="s">
        <v>3041</v>
      </c>
      <c r="G209">
        <v>0</v>
      </c>
      <c r="H209">
        <v>0</v>
      </c>
      <c r="I209">
        <v>0</v>
      </c>
      <c r="J209">
        <v>0</v>
      </c>
      <c r="K209" t="s">
        <v>3042</v>
      </c>
      <c r="L209" t="s">
        <v>3043</v>
      </c>
      <c r="M209" t="s">
        <v>3044</v>
      </c>
      <c r="N209" t="s">
        <v>3045</v>
      </c>
      <c r="O209" t="s">
        <v>3046</v>
      </c>
      <c r="P209" t="s">
        <v>3047</v>
      </c>
      <c r="Q209" t="s">
        <v>3048</v>
      </c>
      <c r="R209" t="s">
        <v>3049</v>
      </c>
      <c r="S209" t="s">
        <v>3050</v>
      </c>
      <c r="U209">
        <v>1</v>
      </c>
      <c r="V209" t="s">
        <v>3051</v>
      </c>
      <c r="Y209" t="s">
        <v>3052</v>
      </c>
      <c r="Z209" t="s">
        <v>3052</v>
      </c>
      <c r="AA209" t="s">
        <v>3052</v>
      </c>
      <c r="AB209" t="s">
        <v>3052</v>
      </c>
      <c r="AC209" t="s">
        <v>3052</v>
      </c>
      <c r="AD209" t="s">
        <v>3052</v>
      </c>
    </row>
    <row r="210" spans="1:30">
      <c r="A210" t="s">
        <v>3053</v>
      </c>
      <c r="B210">
        <v>3</v>
      </c>
      <c r="C210">
        <v>11</v>
      </c>
      <c r="D210">
        <v>2022</v>
      </c>
      <c r="E210" s="1">
        <v>44631</v>
      </c>
      <c r="F210" t="s">
        <v>3054</v>
      </c>
      <c r="G210">
        <v>0</v>
      </c>
      <c r="H210">
        <v>0</v>
      </c>
      <c r="I210">
        <v>0</v>
      </c>
      <c r="J210">
        <v>0</v>
      </c>
      <c r="K210" t="s">
        <v>3055</v>
      </c>
      <c r="L210" t="s">
        <v>3056</v>
      </c>
      <c r="M210" t="s">
        <v>3057</v>
      </c>
      <c r="N210" t="s">
        <v>3058</v>
      </c>
      <c r="O210" t="s">
        <v>3059</v>
      </c>
      <c r="P210" t="s">
        <v>3060</v>
      </c>
      <c r="Q210" t="s">
        <v>3060</v>
      </c>
      <c r="R210" t="s">
        <v>3061</v>
      </c>
      <c r="S210" t="s">
        <v>3062</v>
      </c>
      <c r="T210" s="2">
        <v>0.625</v>
      </c>
      <c r="U210">
        <v>1</v>
      </c>
      <c r="V210" t="s">
        <v>3063</v>
      </c>
      <c r="W210" t="s">
        <v>3064</v>
      </c>
      <c r="X210" t="s">
        <v>3065</v>
      </c>
      <c r="Y210" t="s">
        <v>3066</v>
      </c>
      <c r="Z210" t="s">
        <v>3066</v>
      </c>
      <c r="AA210" t="s">
        <v>3066</v>
      </c>
      <c r="AB210" t="s">
        <v>3066</v>
      </c>
      <c r="AC210" t="s">
        <v>3066</v>
      </c>
      <c r="AD210" t="s">
        <v>3066</v>
      </c>
    </row>
    <row r="211" spans="1:30">
      <c r="A211" t="s">
        <v>3067</v>
      </c>
      <c r="B211">
        <v>3</v>
      </c>
      <c r="C211">
        <v>11</v>
      </c>
      <c r="D211">
        <v>2022</v>
      </c>
      <c r="E211" s="1">
        <v>44631</v>
      </c>
      <c r="F211" t="s">
        <v>3068</v>
      </c>
      <c r="G211">
        <v>0</v>
      </c>
      <c r="H211">
        <v>0</v>
      </c>
      <c r="I211">
        <v>0</v>
      </c>
      <c r="J211">
        <v>0</v>
      </c>
      <c r="K211" t="s">
        <v>3069</v>
      </c>
      <c r="L211" t="s">
        <v>3070</v>
      </c>
      <c r="M211" t="s">
        <v>3071</v>
      </c>
      <c r="N211" t="s">
        <v>3072</v>
      </c>
      <c r="O211" t="s">
        <v>3073</v>
      </c>
      <c r="P211" t="s">
        <v>3074</v>
      </c>
      <c r="Q211" t="s">
        <v>3075</v>
      </c>
      <c r="R211" t="s">
        <v>3076</v>
      </c>
      <c r="S211" t="s">
        <v>3077</v>
      </c>
      <c r="T211" s="2">
        <v>0.5</v>
      </c>
      <c r="U211">
        <v>1</v>
      </c>
      <c r="V211" t="s">
        <v>3078</v>
      </c>
      <c r="W211" t="s">
        <v>3079</v>
      </c>
      <c r="X211" t="s">
        <v>3080</v>
      </c>
      <c r="Y211" t="s">
        <v>3081</v>
      </c>
      <c r="Z211" t="s">
        <v>3081</v>
      </c>
      <c r="AA211" t="s">
        <v>3081</v>
      </c>
      <c r="AB211" t="s">
        <v>3081</v>
      </c>
      <c r="AC211" t="s">
        <v>3081</v>
      </c>
      <c r="AD211" t="s">
        <v>3081</v>
      </c>
    </row>
    <row r="212" spans="1:30">
      <c r="A212" t="s">
        <v>3082</v>
      </c>
      <c r="B212">
        <v>3</v>
      </c>
      <c r="C212">
        <v>11</v>
      </c>
      <c r="D212">
        <v>2022</v>
      </c>
      <c r="E212" s="1">
        <v>44631</v>
      </c>
      <c r="F212" t="s">
        <v>3083</v>
      </c>
      <c r="G212">
        <v>0</v>
      </c>
      <c r="H212">
        <v>0</v>
      </c>
      <c r="I212">
        <v>0</v>
      </c>
      <c r="J212">
        <v>0</v>
      </c>
      <c r="K212" t="s">
        <v>3084</v>
      </c>
      <c r="L212" t="s">
        <v>3085</v>
      </c>
      <c r="M212" t="s">
        <v>3086</v>
      </c>
      <c r="N212" t="s">
        <v>3087</v>
      </c>
      <c r="O212" t="s">
        <v>3088</v>
      </c>
      <c r="P212" t="s">
        <v>3089</v>
      </c>
      <c r="Q212" t="s">
        <v>3090</v>
      </c>
      <c r="R212" t="s">
        <v>3091</v>
      </c>
      <c r="U212">
        <v>1</v>
      </c>
      <c r="V212" t="s">
        <v>3092</v>
      </c>
      <c r="W212" t="s">
        <v>3093</v>
      </c>
      <c r="X212" t="s">
        <v>3094</v>
      </c>
      <c r="Y212" t="s">
        <v>3095</v>
      </c>
      <c r="Z212" t="s">
        <v>3096</v>
      </c>
      <c r="AA212" t="s">
        <v>3096</v>
      </c>
      <c r="AB212" t="s">
        <v>3096</v>
      </c>
      <c r="AC212" t="s">
        <v>3096</v>
      </c>
      <c r="AD212" t="s">
        <v>3096</v>
      </c>
    </row>
    <row r="213" spans="1:30">
      <c r="A213" t="s">
        <v>3097</v>
      </c>
      <c r="B213">
        <v>3</v>
      </c>
      <c r="C213">
        <v>10</v>
      </c>
      <c r="D213">
        <v>2022</v>
      </c>
      <c r="E213" s="1">
        <v>44630</v>
      </c>
      <c r="F213" t="s">
        <v>3098</v>
      </c>
      <c r="G213">
        <v>1</v>
      </c>
      <c r="H213">
        <v>0</v>
      </c>
      <c r="I213">
        <v>1</v>
      </c>
      <c r="J213">
        <v>0</v>
      </c>
      <c r="K213" t="s">
        <v>3099</v>
      </c>
      <c r="L213" t="s">
        <v>3100</v>
      </c>
      <c r="M213" t="s">
        <v>3101</v>
      </c>
      <c r="N213" t="s">
        <v>3102</v>
      </c>
      <c r="O213" t="s">
        <v>3103</v>
      </c>
      <c r="P213" t="s">
        <v>3104</v>
      </c>
      <c r="Q213" t="s">
        <v>3105</v>
      </c>
      <c r="R213" t="s">
        <v>3106</v>
      </c>
      <c r="S213" t="s">
        <v>3107</v>
      </c>
      <c r="T213" s="2">
        <v>9.375E-2</v>
      </c>
      <c r="U213">
        <v>1</v>
      </c>
      <c r="V213" t="s">
        <v>3108</v>
      </c>
      <c r="X213" t="s">
        <v>3109</v>
      </c>
      <c r="Y213" t="s">
        <v>3110</v>
      </c>
      <c r="Z213" t="s">
        <v>3110</v>
      </c>
      <c r="AA213" t="s">
        <v>3110</v>
      </c>
      <c r="AB213" t="s">
        <v>3110</v>
      </c>
      <c r="AC213" t="s">
        <v>3110</v>
      </c>
      <c r="AD213" t="s">
        <v>3110</v>
      </c>
    </row>
    <row r="214" spans="1:30">
      <c r="A214" t="s">
        <v>3111</v>
      </c>
      <c r="B214">
        <v>3</v>
      </c>
      <c r="C214">
        <v>10</v>
      </c>
      <c r="D214">
        <v>2022</v>
      </c>
      <c r="E214" s="1">
        <v>44630</v>
      </c>
      <c r="F214" t="s">
        <v>3112</v>
      </c>
      <c r="G214">
        <v>0</v>
      </c>
      <c r="H214">
        <v>0</v>
      </c>
      <c r="I214">
        <v>0</v>
      </c>
      <c r="J214">
        <v>0</v>
      </c>
      <c r="K214" t="s">
        <v>3113</v>
      </c>
      <c r="L214" t="s">
        <v>3114</v>
      </c>
      <c r="M214" t="s">
        <v>3115</v>
      </c>
      <c r="N214" t="s">
        <v>3116</v>
      </c>
      <c r="O214" t="s">
        <v>3117</v>
      </c>
      <c r="P214" t="s">
        <v>3118</v>
      </c>
      <c r="Q214" t="s">
        <v>3119</v>
      </c>
      <c r="R214" t="s">
        <v>3120</v>
      </c>
      <c r="S214" t="s">
        <v>3121</v>
      </c>
      <c r="T214" s="2">
        <v>0.39027777777777778</v>
      </c>
      <c r="U214">
        <v>1</v>
      </c>
      <c r="V214" t="s">
        <v>3122</v>
      </c>
      <c r="X214" t="s">
        <v>3123</v>
      </c>
      <c r="Y214" t="s">
        <v>3124</v>
      </c>
      <c r="Z214" t="s">
        <v>3124</v>
      </c>
      <c r="AA214" t="s">
        <v>3124</v>
      </c>
      <c r="AB214" t="s">
        <v>3124</v>
      </c>
      <c r="AC214" t="s">
        <v>3124</v>
      </c>
      <c r="AD214" t="s">
        <v>3124</v>
      </c>
    </row>
    <row r="215" spans="1:30">
      <c r="A215" t="s">
        <v>3125</v>
      </c>
      <c r="B215">
        <v>3</v>
      </c>
      <c r="C215">
        <v>10</v>
      </c>
      <c r="D215">
        <v>2022</v>
      </c>
      <c r="E215" s="1">
        <v>44630</v>
      </c>
      <c r="F215" t="s">
        <v>3126</v>
      </c>
      <c r="G215">
        <v>0</v>
      </c>
      <c r="H215">
        <v>0</v>
      </c>
      <c r="I215">
        <v>0</v>
      </c>
      <c r="J215">
        <v>0</v>
      </c>
      <c r="K215" t="s">
        <v>3127</v>
      </c>
      <c r="L215" t="s">
        <v>3128</v>
      </c>
      <c r="M215" t="s">
        <v>3129</v>
      </c>
      <c r="N215" t="s">
        <v>3130</v>
      </c>
      <c r="O215" t="s">
        <v>3131</v>
      </c>
      <c r="P215" t="s">
        <v>3132</v>
      </c>
      <c r="Q215" t="s">
        <v>3133</v>
      </c>
      <c r="R215" t="s">
        <v>3134</v>
      </c>
      <c r="S215" t="s">
        <v>3135</v>
      </c>
      <c r="T215" s="2">
        <v>0.33333333333333331</v>
      </c>
      <c r="U215">
        <v>1</v>
      </c>
      <c r="V215" t="s">
        <v>3136</v>
      </c>
      <c r="W215" t="s">
        <v>3137</v>
      </c>
      <c r="X215" t="s">
        <v>3138</v>
      </c>
      <c r="Y215" t="s">
        <v>3139</v>
      </c>
      <c r="Z215" t="s">
        <v>3139</v>
      </c>
      <c r="AA215" t="s">
        <v>3139</v>
      </c>
      <c r="AB215" t="s">
        <v>3139</v>
      </c>
      <c r="AC215" t="s">
        <v>3140</v>
      </c>
      <c r="AD215" t="s">
        <v>3141</v>
      </c>
    </row>
    <row r="216" spans="1:30">
      <c r="A216" t="s">
        <v>3142</v>
      </c>
      <c r="B216">
        <v>3</v>
      </c>
      <c r="C216">
        <v>9</v>
      </c>
      <c r="D216">
        <v>2022</v>
      </c>
      <c r="E216" s="1">
        <v>44629</v>
      </c>
      <c r="F216" t="s">
        <v>3143</v>
      </c>
      <c r="G216">
        <v>0</v>
      </c>
      <c r="H216">
        <v>3</v>
      </c>
      <c r="I216">
        <v>3</v>
      </c>
      <c r="J216">
        <v>0</v>
      </c>
      <c r="K216" t="s">
        <v>3144</v>
      </c>
      <c r="L216" t="s">
        <v>3145</v>
      </c>
      <c r="M216" t="s">
        <v>3146</v>
      </c>
      <c r="N216" t="s">
        <v>3147</v>
      </c>
      <c r="O216" t="s">
        <v>3148</v>
      </c>
      <c r="P216" t="s">
        <v>3149</v>
      </c>
      <c r="Q216" t="s">
        <v>3150</v>
      </c>
      <c r="R216" t="s">
        <v>3151</v>
      </c>
      <c r="S216" t="s">
        <v>3152</v>
      </c>
      <c r="T216" s="2">
        <v>0.5625</v>
      </c>
      <c r="U216">
        <v>1</v>
      </c>
      <c r="V216" t="s">
        <v>3153</v>
      </c>
      <c r="W216" t="s">
        <v>3154</v>
      </c>
      <c r="X216" t="s">
        <v>3155</v>
      </c>
      <c r="Y216" t="s">
        <v>3156</v>
      </c>
      <c r="Z216" t="s">
        <v>3157</v>
      </c>
      <c r="AA216" t="s">
        <v>3157</v>
      </c>
      <c r="AB216" t="s">
        <v>3157</v>
      </c>
      <c r="AC216" t="s">
        <v>3157</v>
      </c>
      <c r="AD216" t="s">
        <v>3157</v>
      </c>
    </row>
    <row r="217" spans="1:30">
      <c r="A217" t="s">
        <v>3158</v>
      </c>
      <c r="B217">
        <v>3</v>
      </c>
      <c r="C217">
        <v>9</v>
      </c>
      <c r="D217">
        <v>2022</v>
      </c>
      <c r="E217" s="1">
        <v>44629</v>
      </c>
      <c r="F217" t="s">
        <v>3159</v>
      </c>
      <c r="G217">
        <v>0</v>
      </c>
      <c r="H217">
        <v>1</v>
      </c>
      <c r="I217">
        <v>1</v>
      </c>
      <c r="J217">
        <v>0</v>
      </c>
      <c r="K217" t="s">
        <v>3160</v>
      </c>
      <c r="L217" t="s">
        <v>3161</v>
      </c>
      <c r="M217" t="s">
        <v>3162</v>
      </c>
      <c r="N217" t="s">
        <v>3163</v>
      </c>
      <c r="O217" t="s">
        <v>3164</v>
      </c>
      <c r="P217" t="s">
        <v>3165</v>
      </c>
      <c r="Q217" t="s">
        <v>3165</v>
      </c>
      <c r="R217" t="s">
        <v>3166</v>
      </c>
      <c r="S217" t="s">
        <v>3167</v>
      </c>
      <c r="T217" s="2">
        <v>0.79166666666666663</v>
      </c>
      <c r="U217">
        <v>1</v>
      </c>
      <c r="V217" t="s">
        <v>3168</v>
      </c>
      <c r="W217" t="s">
        <v>3169</v>
      </c>
      <c r="X217" t="s">
        <v>3170</v>
      </c>
      <c r="Y217" t="s">
        <v>3171</v>
      </c>
      <c r="Z217" t="s">
        <v>3171</v>
      </c>
      <c r="AA217" t="s">
        <v>3171</v>
      </c>
      <c r="AB217" t="s">
        <v>3171</v>
      </c>
      <c r="AC217" t="s">
        <v>3171</v>
      </c>
      <c r="AD217" t="s">
        <v>3171</v>
      </c>
    </row>
    <row r="218" spans="1:30">
      <c r="A218" t="s">
        <v>3172</v>
      </c>
      <c r="B218">
        <v>3</v>
      </c>
      <c r="C218">
        <v>9</v>
      </c>
      <c r="D218">
        <v>2022</v>
      </c>
      <c r="E218" s="1">
        <v>44629</v>
      </c>
      <c r="F218" t="s">
        <v>3173</v>
      </c>
      <c r="G218">
        <v>0</v>
      </c>
      <c r="H218">
        <v>0</v>
      </c>
      <c r="I218">
        <v>0</v>
      </c>
      <c r="J218">
        <v>0</v>
      </c>
      <c r="K218" t="s">
        <v>3174</v>
      </c>
      <c r="L218" t="s">
        <v>3175</v>
      </c>
      <c r="M218" t="s">
        <v>3176</v>
      </c>
      <c r="N218" t="s">
        <v>3177</v>
      </c>
      <c r="O218" t="s">
        <v>3178</v>
      </c>
      <c r="P218" t="s">
        <v>3179</v>
      </c>
      <c r="Q218" t="s">
        <v>3180</v>
      </c>
      <c r="R218" t="s">
        <v>3181</v>
      </c>
      <c r="S218" t="s">
        <v>3182</v>
      </c>
      <c r="T218" s="2">
        <v>0.875</v>
      </c>
      <c r="U218">
        <v>1</v>
      </c>
      <c r="V218" t="s">
        <v>3183</v>
      </c>
      <c r="W218" t="s">
        <v>3184</v>
      </c>
      <c r="X218" t="s">
        <v>3185</v>
      </c>
      <c r="Y218" t="s">
        <v>3186</v>
      </c>
      <c r="Z218" t="s">
        <v>3186</v>
      </c>
      <c r="AA218" t="s">
        <v>3186</v>
      </c>
      <c r="AB218" t="s">
        <v>3186</v>
      </c>
      <c r="AC218" t="s">
        <v>3186</v>
      </c>
      <c r="AD218" t="s">
        <v>3186</v>
      </c>
    </row>
    <row r="219" spans="1:30">
      <c r="A219" t="s">
        <v>3187</v>
      </c>
      <c r="B219">
        <v>3</v>
      </c>
      <c r="C219">
        <v>7</v>
      </c>
      <c r="D219">
        <v>2022</v>
      </c>
      <c r="E219" s="1">
        <v>44627</v>
      </c>
      <c r="F219" t="s">
        <v>3188</v>
      </c>
      <c r="G219">
        <v>1</v>
      </c>
      <c r="H219">
        <v>2</v>
      </c>
      <c r="I219">
        <v>3</v>
      </c>
      <c r="J219">
        <v>0</v>
      </c>
      <c r="K219" t="s">
        <v>3189</v>
      </c>
      <c r="L219" t="s">
        <v>3190</v>
      </c>
      <c r="M219" t="s">
        <v>3191</v>
      </c>
      <c r="N219" t="s">
        <v>3192</v>
      </c>
      <c r="O219" t="s">
        <v>3193</v>
      </c>
      <c r="P219" t="s">
        <v>3194</v>
      </c>
      <c r="Q219" t="s">
        <v>3195</v>
      </c>
      <c r="R219" t="s">
        <v>3196</v>
      </c>
      <c r="S219" t="s">
        <v>3197</v>
      </c>
      <c r="T219" s="2">
        <v>0.61805555555555558</v>
      </c>
      <c r="U219">
        <v>1</v>
      </c>
      <c r="V219" t="s">
        <v>3198</v>
      </c>
      <c r="W219" t="s">
        <v>3199</v>
      </c>
      <c r="X219" t="s">
        <v>3200</v>
      </c>
      <c r="Y219" t="s">
        <v>3201</v>
      </c>
      <c r="Z219" t="s">
        <v>3202</v>
      </c>
      <c r="AA219" t="s">
        <v>3202</v>
      </c>
      <c r="AB219" t="s">
        <v>3202</v>
      </c>
      <c r="AC219" t="s">
        <v>3202</v>
      </c>
      <c r="AD219" t="s">
        <v>3202</v>
      </c>
    </row>
    <row r="220" spans="1:30">
      <c r="A220" t="s">
        <v>3203</v>
      </c>
      <c r="B220">
        <v>3</v>
      </c>
      <c r="C220">
        <v>4</v>
      </c>
      <c r="D220">
        <v>2022</v>
      </c>
      <c r="E220" s="1">
        <v>44624</v>
      </c>
      <c r="F220" t="s">
        <v>3204</v>
      </c>
      <c r="G220">
        <v>0</v>
      </c>
      <c r="H220">
        <v>2</v>
      </c>
      <c r="I220">
        <v>2</v>
      </c>
      <c r="J220">
        <v>0</v>
      </c>
      <c r="K220" t="s">
        <v>3205</v>
      </c>
      <c r="L220" t="s">
        <v>3206</v>
      </c>
      <c r="M220" t="s">
        <v>3207</v>
      </c>
      <c r="N220" t="s">
        <v>3208</v>
      </c>
      <c r="O220" t="s">
        <v>3209</v>
      </c>
      <c r="P220" t="s">
        <v>3210</v>
      </c>
      <c r="Q220" t="s">
        <v>3211</v>
      </c>
      <c r="R220" t="s">
        <v>3212</v>
      </c>
      <c r="S220" t="s">
        <v>3213</v>
      </c>
      <c r="T220" s="2">
        <v>0.4375</v>
      </c>
      <c r="U220">
        <v>1</v>
      </c>
      <c r="V220" t="s">
        <v>3214</v>
      </c>
      <c r="W220" t="s">
        <v>3215</v>
      </c>
      <c r="X220" t="s">
        <v>3216</v>
      </c>
      <c r="Y220" t="s">
        <v>3217</v>
      </c>
      <c r="Z220" t="s">
        <v>3217</v>
      </c>
      <c r="AA220" t="s">
        <v>3217</v>
      </c>
      <c r="AB220" t="s">
        <v>3217</v>
      </c>
      <c r="AC220" t="s">
        <v>3217</v>
      </c>
      <c r="AD220" t="s">
        <v>3217</v>
      </c>
    </row>
    <row r="221" spans="1:30">
      <c r="A221" t="s">
        <v>3218</v>
      </c>
      <c r="B221">
        <v>3</v>
      </c>
      <c r="C221">
        <v>3</v>
      </c>
      <c r="D221">
        <v>2022</v>
      </c>
      <c r="E221" s="1">
        <v>44623</v>
      </c>
      <c r="F221" t="s">
        <v>3219</v>
      </c>
      <c r="G221">
        <v>0</v>
      </c>
      <c r="H221">
        <v>1</v>
      </c>
      <c r="I221">
        <v>1</v>
      </c>
      <c r="J221">
        <v>0</v>
      </c>
      <c r="K221" t="s">
        <v>3220</v>
      </c>
      <c r="L221" t="s">
        <v>3221</v>
      </c>
      <c r="M221" t="s">
        <v>3222</v>
      </c>
      <c r="N221" t="s">
        <v>3223</v>
      </c>
      <c r="O221" t="s">
        <v>3224</v>
      </c>
      <c r="P221" t="s">
        <v>3225</v>
      </c>
      <c r="Q221" t="s">
        <v>3226</v>
      </c>
      <c r="R221" t="s">
        <v>3227</v>
      </c>
      <c r="S221" t="s">
        <v>3228</v>
      </c>
      <c r="T221" s="2">
        <v>0.55208333333333326</v>
      </c>
      <c r="U221">
        <v>1</v>
      </c>
      <c r="V221" t="s">
        <v>3229</v>
      </c>
      <c r="W221" t="s">
        <v>3230</v>
      </c>
      <c r="X221" t="s">
        <v>3231</v>
      </c>
      <c r="Y221" t="s">
        <v>3232</v>
      </c>
      <c r="Z221" t="s">
        <v>3232</v>
      </c>
      <c r="AA221" t="s">
        <v>3232</v>
      </c>
      <c r="AB221" t="s">
        <v>3232</v>
      </c>
      <c r="AC221" t="s">
        <v>3232</v>
      </c>
      <c r="AD221" t="s">
        <v>3232</v>
      </c>
    </row>
    <row r="222" spans="1:30">
      <c r="A222" t="s">
        <v>3233</v>
      </c>
      <c r="B222">
        <v>2</v>
      </c>
      <c r="C222">
        <v>28</v>
      </c>
      <c r="D222">
        <v>2022</v>
      </c>
      <c r="E222" s="1">
        <v>44620</v>
      </c>
      <c r="F222" t="s">
        <v>3234</v>
      </c>
      <c r="G222">
        <v>0</v>
      </c>
      <c r="H222">
        <v>1</v>
      </c>
      <c r="I222">
        <v>1</v>
      </c>
      <c r="J222">
        <v>0</v>
      </c>
      <c r="K222" t="s">
        <v>3235</v>
      </c>
      <c r="L222" t="s">
        <v>3236</v>
      </c>
      <c r="M222" t="s">
        <v>3237</v>
      </c>
      <c r="N222" t="s">
        <v>3238</v>
      </c>
      <c r="O222" t="s">
        <v>3239</v>
      </c>
      <c r="P222" t="s">
        <v>3240</v>
      </c>
      <c r="Q222" t="s">
        <v>3241</v>
      </c>
      <c r="R222" t="s">
        <v>3242</v>
      </c>
      <c r="S222" t="s">
        <v>3243</v>
      </c>
      <c r="T222" s="2">
        <v>0.61805555555555558</v>
      </c>
      <c r="U222">
        <v>1</v>
      </c>
      <c r="V222" t="s">
        <v>3244</v>
      </c>
      <c r="W222" t="s">
        <v>3245</v>
      </c>
      <c r="X222" t="s">
        <v>3246</v>
      </c>
      <c r="Y222" t="s">
        <v>3247</v>
      </c>
      <c r="Z222" t="s">
        <v>3247</v>
      </c>
      <c r="AA222" t="s">
        <v>3247</v>
      </c>
      <c r="AB222" t="s">
        <v>3247</v>
      </c>
      <c r="AC222" t="s">
        <v>3247</v>
      </c>
      <c r="AD222" t="s">
        <v>3247</v>
      </c>
    </row>
    <row r="223" spans="1:30">
      <c r="A223" t="s">
        <v>3248</v>
      </c>
      <c r="B223">
        <v>2</v>
      </c>
      <c r="C223">
        <v>27</v>
      </c>
      <c r="D223">
        <v>2022</v>
      </c>
      <c r="E223" s="1">
        <v>44619</v>
      </c>
      <c r="F223" t="s">
        <v>3249</v>
      </c>
      <c r="G223">
        <v>1</v>
      </c>
      <c r="H223">
        <v>0</v>
      </c>
      <c r="I223">
        <v>1</v>
      </c>
      <c r="J223">
        <v>0</v>
      </c>
      <c r="K223" t="s">
        <v>3250</v>
      </c>
      <c r="L223" t="s">
        <v>3251</v>
      </c>
      <c r="M223" t="s">
        <v>3252</v>
      </c>
      <c r="N223" t="s">
        <v>3253</v>
      </c>
      <c r="O223" t="s">
        <v>3254</v>
      </c>
      <c r="P223" t="s">
        <v>3255</v>
      </c>
      <c r="Q223" t="s">
        <v>3256</v>
      </c>
      <c r="R223" t="s">
        <v>3257</v>
      </c>
      <c r="S223" t="s">
        <v>3258</v>
      </c>
      <c r="T223" s="2">
        <v>0.21527777777777779</v>
      </c>
      <c r="U223">
        <v>1</v>
      </c>
      <c r="V223" t="s">
        <v>3259</v>
      </c>
      <c r="X223" t="s">
        <v>3260</v>
      </c>
      <c r="Y223" t="s">
        <v>3261</v>
      </c>
      <c r="Z223" t="s">
        <v>3261</v>
      </c>
      <c r="AA223" t="s">
        <v>3261</v>
      </c>
      <c r="AB223" t="s">
        <v>3261</v>
      </c>
      <c r="AC223" t="s">
        <v>3261</v>
      </c>
      <c r="AD223" t="s">
        <v>3261</v>
      </c>
    </row>
    <row r="224" spans="1:30">
      <c r="A224" t="s">
        <v>3262</v>
      </c>
      <c r="B224">
        <v>2</v>
      </c>
      <c r="C224">
        <v>25</v>
      </c>
      <c r="D224">
        <v>2022</v>
      </c>
      <c r="E224" s="1">
        <v>44617</v>
      </c>
      <c r="F224" t="s">
        <v>3263</v>
      </c>
      <c r="G224">
        <v>1</v>
      </c>
      <c r="H224">
        <v>0</v>
      </c>
      <c r="I224">
        <v>1</v>
      </c>
      <c r="J224">
        <v>0</v>
      </c>
      <c r="K224" t="s">
        <v>3264</v>
      </c>
      <c r="L224" t="s">
        <v>3265</v>
      </c>
      <c r="M224" t="s">
        <v>3266</v>
      </c>
      <c r="N224" t="s">
        <v>3267</v>
      </c>
      <c r="O224" t="s">
        <v>3268</v>
      </c>
      <c r="P224" t="s">
        <v>3269</v>
      </c>
      <c r="Q224" t="s">
        <v>3270</v>
      </c>
      <c r="R224" t="s">
        <v>3271</v>
      </c>
      <c r="S224" t="s">
        <v>3272</v>
      </c>
      <c r="T224" s="2">
        <v>0.33333333333333331</v>
      </c>
      <c r="U224">
        <v>1</v>
      </c>
      <c r="V224" t="s">
        <v>3273</v>
      </c>
      <c r="W224" t="s">
        <v>3274</v>
      </c>
      <c r="X224" t="s">
        <v>3275</v>
      </c>
      <c r="Y224" t="s">
        <v>3276</v>
      </c>
      <c r="Z224" t="s">
        <v>3276</v>
      </c>
      <c r="AA224" t="s">
        <v>3276</v>
      </c>
      <c r="AB224" t="s">
        <v>3276</v>
      </c>
      <c r="AC224" t="s">
        <v>3276</v>
      </c>
      <c r="AD224" t="s">
        <v>3276</v>
      </c>
    </row>
    <row r="225" spans="1:30">
      <c r="A225" t="s">
        <v>3277</v>
      </c>
      <c r="B225">
        <v>2</v>
      </c>
      <c r="C225">
        <v>25</v>
      </c>
      <c r="D225">
        <v>2022</v>
      </c>
      <c r="E225" s="1">
        <v>44617</v>
      </c>
      <c r="F225" t="s">
        <v>3278</v>
      </c>
      <c r="G225">
        <v>0</v>
      </c>
      <c r="H225">
        <v>0</v>
      </c>
      <c r="I225">
        <v>0</v>
      </c>
      <c r="J225">
        <v>0</v>
      </c>
      <c r="K225" t="s">
        <v>3279</v>
      </c>
      <c r="L225" t="s">
        <v>3280</v>
      </c>
      <c r="M225" t="s">
        <v>3281</v>
      </c>
      <c r="N225" t="s">
        <v>3282</v>
      </c>
      <c r="O225" t="s">
        <v>3283</v>
      </c>
      <c r="P225" t="s">
        <v>3284</v>
      </c>
      <c r="Q225" t="s">
        <v>3285</v>
      </c>
      <c r="R225" t="s">
        <v>3286</v>
      </c>
      <c r="S225" t="s">
        <v>3287</v>
      </c>
      <c r="T225" s="2">
        <v>0.4375</v>
      </c>
      <c r="U225">
        <v>1</v>
      </c>
      <c r="V225" t="s">
        <v>3288</v>
      </c>
      <c r="W225" t="s">
        <v>3289</v>
      </c>
      <c r="X225" t="s">
        <v>3290</v>
      </c>
      <c r="Y225" t="s">
        <v>3291</v>
      </c>
      <c r="Z225" t="s">
        <v>3291</v>
      </c>
      <c r="AA225" t="s">
        <v>3291</v>
      </c>
      <c r="AB225" t="s">
        <v>3291</v>
      </c>
      <c r="AC225" t="s">
        <v>3291</v>
      </c>
      <c r="AD225" t="s">
        <v>3291</v>
      </c>
    </row>
    <row r="226" spans="1:30">
      <c r="A226" t="s">
        <v>3292</v>
      </c>
      <c r="B226">
        <v>2</v>
      </c>
      <c r="C226">
        <v>23</v>
      </c>
      <c r="D226">
        <v>2022</v>
      </c>
      <c r="E226" s="1">
        <v>44615</v>
      </c>
      <c r="F226" t="s">
        <v>3293</v>
      </c>
      <c r="G226">
        <v>0</v>
      </c>
      <c r="H226">
        <v>0</v>
      </c>
      <c r="I226">
        <v>0</v>
      </c>
      <c r="J226">
        <v>0</v>
      </c>
      <c r="K226" t="s">
        <v>3294</v>
      </c>
      <c r="L226" t="s">
        <v>3295</v>
      </c>
      <c r="M226" t="s">
        <v>3296</v>
      </c>
      <c r="N226" t="s">
        <v>3297</v>
      </c>
      <c r="O226" t="s">
        <v>3298</v>
      </c>
      <c r="P226" t="s">
        <v>3299</v>
      </c>
      <c r="Q226" t="s">
        <v>3300</v>
      </c>
      <c r="R226" t="s">
        <v>3301</v>
      </c>
      <c r="S226" t="s">
        <v>3302</v>
      </c>
      <c r="T226" s="2">
        <v>0.84027777777777779</v>
      </c>
      <c r="U226">
        <v>1</v>
      </c>
      <c r="V226" t="s">
        <v>3303</v>
      </c>
      <c r="W226" t="s">
        <v>3304</v>
      </c>
      <c r="X226" t="s">
        <v>3305</v>
      </c>
      <c r="Y226" t="s">
        <v>3306</v>
      </c>
      <c r="Z226" t="s">
        <v>3306</v>
      </c>
      <c r="AA226" t="s">
        <v>3306</v>
      </c>
      <c r="AB226" t="s">
        <v>3306</v>
      </c>
      <c r="AC226" t="s">
        <v>3306</v>
      </c>
      <c r="AD226" t="s">
        <v>3306</v>
      </c>
    </row>
    <row r="227" spans="1:30">
      <c r="A227" t="s">
        <v>3307</v>
      </c>
      <c r="B227">
        <v>2</v>
      </c>
      <c r="C227">
        <v>22</v>
      </c>
      <c r="D227">
        <v>2022</v>
      </c>
      <c r="E227" s="1">
        <v>44614</v>
      </c>
      <c r="F227" t="s">
        <v>3308</v>
      </c>
      <c r="G227">
        <v>1</v>
      </c>
      <c r="H227">
        <v>0</v>
      </c>
      <c r="I227">
        <v>1</v>
      </c>
      <c r="J227">
        <v>0</v>
      </c>
      <c r="K227" t="s">
        <v>3309</v>
      </c>
      <c r="L227" t="s">
        <v>3310</v>
      </c>
      <c r="M227" t="s">
        <v>3311</v>
      </c>
      <c r="N227" t="s">
        <v>3312</v>
      </c>
      <c r="O227" t="s">
        <v>3313</v>
      </c>
      <c r="P227" t="s">
        <v>3314</v>
      </c>
      <c r="Q227" t="s">
        <v>3315</v>
      </c>
      <c r="R227" t="s">
        <v>3316</v>
      </c>
      <c r="S227" t="s">
        <v>3317</v>
      </c>
      <c r="T227" s="2">
        <v>0.6875</v>
      </c>
      <c r="U227">
        <v>1</v>
      </c>
      <c r="V227" t="s">
        <v>3318</v>
      </c>
      <c r="W227" t="s">
        <v>3319</v>
      </c>
      <c r="X227" t="s">
        <v>3320</v>
      </c>
      <c r="Z227" t="s">
        <v>3321</v>
      </c>
      <c r="AA227" t="s">
        <v>3321</v>
      </c>
      <c r="AB227" t="s">
        <v>3321</v>
      </c>
      <c r="AC227" t="s">
        <v>3321</v>
      </c>
      <c r="AD227" t="s">
        <v>3321</v>
      </c>
    </row>
    <row r="228" spans="1:30">
      <c r="A228" t="s">
        <v>3322</v>
      </c>
      <c r="B228">
        <v>2</v>
      </c>
      <c r="C228">
        <v>22</v>
      </c>
      <c r="D228">
        <v>2022</v>
      </c>
      <c r="E228" s="1">
        <v>44614</v>
      </c>
      <c r="F228" t="s">
        <v>3323</v>
      </c>
      <c r="G228">
        <v>1</v>
      </c>
      <c r="H228">
        <v>0</v>
      </c>
      <c r="I228">
        <v>1</v>
      </c>
      <c r="J228">
        <v>0</v>
      </c>
      <c r="K228" t="s">
        <v>3324</v>
      </c>
      <c r="L228" t="s">
        <v>3325</v>
      </c>
      <c r="M228" t="s">
        <v>3326</v>
      </c>
      <c r="N228" t="s">
        <v>3327</v>
      </c>
      <c r="O228" t="s">
        <v>3328</v>
      </c>
      <c r="P228" t="s">
        <v>3329</v>
      </c>
      <c r="Q228" t="s">
        <v>3330</v>
      </c>
      <c r="R228" t="s">
        <v>3331</v>
      </c>
      <c r="S228" t="s">
        <v>3332</v>
      </c>
      <c r="T228" s="2">
        <v>0.63888888888888884</v>
      </c>
      <c r="U228">
        <v>1</v>
      </c>
      <c r="V228" t="s">
        <v>3333</v>
      </c>
      <c r="W228" t="s">
        <v>3334</v>
      </c>
      <c r="X228" t="s">
        <v>3335</v>
      </c>
    </row>
    <row r="229" spans="1:30">
      <c r="A229" t="s">
        <v>3336</v>
      </c>
      <c r="B229">
        <v>2</v>
      </c>
      <c r="C229">
        <v>21</v>
      </c>
      <c r="D229">
        <v>2022</v>
      </c>
      <c r="E229" s="1">
        <v>44613</v>
      </c>
      <c r="F229" t="s">
        <v>3337</v>
      </c>
      <c r="G229">
        <v>1</v>
      </c>
      <c r="H229">
        <v>0</v>
      </c>
      <c r="I229">
        <v>1</v>
      </c>
      <c r="J229">
        <v>0</v>
      </c>
      <c r="K229" t="s">
        <v>3338</v>
      </c>
      <c r="L229" t="s">
        <v>3339</v>
      </c>
      <c r="M229" t="s">
        <v>3340</v>
      </c>
      <c r="N229" t="s">
        <v>3341</v>
      </c>
      <c r="O229" t="s">
        <v>3342</v>
      </c>
      <c r="P229" t="s">
        <v>3343</v>
      </c>
      <c r="Q229" t="s">
        <v>3344</v>
      </c>
      <c r="R229" t="s">
        <v>3345</v>
      </c>
      <c r="S229" t="s">
        <v>3346</v>
      </c>
      <c r="T229" s="2">
        <v>0.72222222222222221</v>
      </c>
      <c r="U229">
        <v>1</v>
      </c>
      <c r="V229" t="s">
        <v>3347</v>
      </c>
      <c r="W229" t="s">
        <v>3348</v>
      </c>
      <c r="X229" t="s">
        <v>3349</v>
      </c>
      <c r="Y229" t="s">
        <v>3350</v>
      </c>
      <c r="Z229" t="s">
        <v>3350</v>
      </c>
      <c r="AA229" t="s">
        <v>3350</v>
      </c>
      <c r="AB229" t="s">
        <v>3350</v>
      </c>
      <c r="AC229" t="s">
        <v>3350</v>
      </c>
      <c r="AD229" t="s">
        <v>3350</v>
      </c>
    </row>
    <row r="230" spans="1:30">
      <c r="A230" t="s">
        <v>3351</v>
      </c>
      <c r="B230">
        <v>2</v>
      </c>
      <c r="C230">
        <v>20</v>
      </c>
      <c r="D230">
        <v>2022</v>
      </c>
      <c r="E230" s="1">
        <v>44612</v>
      </c>
      <c r="F230" t="s">
        <v>3352</v>
      </c>
      <c r="G230">
        <v>0</v>
      </c>
      <c r="H230">
        <v>1</v>
      </c>
      <c r="I230">
        <v>1</v>
      </c>
      <c r="J230">
        <v>0</v>
      </c>
      <c r="K230" t="s">
        <v>3353</v>
      </c>
      <c r="L230" t="s">
        <v>3354</v>
      </c>
      <c r="M230" t="s">
        <v>3355</v>
      </c>
      <c r="N230" t="s">
        <v>3356</v>
      </c>
      <c r="O230" t="s">
        <v>3357</v>
      </c>
      <c r="P230" t="s">
        <v>3358</v>
      </c>
      <c r="Q230" t="s">
        <v>3359</v>
      </c>
      <c r="R230" t="s">
        <v>3360</v>
      </c>
      <c r="S230" t="s">
        <v>3361</v>
      </c>
      <c r="T230" s="2">
        <v>0.14583333333333334</v>
      </c>
      <c r="U230">
        <v>1</v>
      </c>
      <c r="V230" t="s">
        <v>3362</v>
      </c>
      <c r="W230" t="s">
        <v>3363</v>
      </c>
      <c r="X230" t="s">
        <v>3364</v>
      </c>
      <c r="Y230" t="s">
        <v>3365</v>
      </c>
      <c r="Z230" t="s">
        <v>3365</v>
      </c>
      <c r="AA230" t="s">
        <v>3365</v>
      </c>
      <c r="AB230" t="s">
        <v>3365</v>
      </c>
      <c r="AC230" t="s">
        <v>3365</v>
      </c>
      <c r="AD230" t="s">
        <v>3365</v>
      </c>
    </row>
    <row r="231" spans="1:30">
      <c r="A231" t="s">
        <v>3366</v>
      </c>
      <c r="B231">
        <v>2</v>
      </c>
      <c r="C231">
        <v>20</v>
      </c>
      <c r="D231">
        <v>2022</v>
      </c>
      <c r="E231" s="1">
        <v>44612</v>
      </c>
      <c r="F231" t="s">
        <v>3367</v>
      </c>
      <c r="G231">
        <v>1</v>
      </c>
      <c r="H231">
        <v>4</v>
      </c>
      <c r="I231">
        <v>5</v>
      </c>
      <c r="J231">
        <v>0</v>
      </c>
      <c r="K231" t="s">
        <v>3368</v>
      </c>
      <c r="L231" t="s">
        <v>3369</v>
      </c>
      <c r="M231" t="s">
        <v>3370</v>
      </c>
      <c r="N231" t="s">
        <v>3371</v>
      </c>
      <c r="O231" t="s">
        <v>3372</v>
      </c>
      <c r="P231" t="s">
        <v>3373</v>
      </c>
      <c r="Q231" t="s">
        <v>3374</v>
      </c>
      <c r="R231" t="s">
        <v>3375</v>
      </c>
      <c r="S231" t="s">
        <v>3376</v>
      </c>
      <c r="T231" s="2">
        <v>0.70138888888888884</v>
      </c>
      <c r="U231">
        <v>1</v>
      </c>
      <c r="V231" t="s">
        <v>3377</v>
      </c>
      <c r="W231" t="s">
        <v>3378</v>
      </c>
      <c r="X231" t="s">
        <v>3379</v>
      </c>
      <c r="Y231" t="s">
        <v>3380</v>
      </c>
      <c r="Z231" t="s">
        <v>3381</v>
      </c>
      <c r="AA231" t="s">
        <v>3381</v>
      </c>
      <c r="AB231" t="s">
        <v>3381</v>
      </c>
      <c r="AC231" t="s">
        <v>3381</v>
      </c>
      <c r="AD231" t="s">
        <v>3381</v>
      </c>
    </row>
    <row r="232" spans="1:30">
      <c r="A232" t="s">
        <v>3382</v>
      </c>
      <c r="B232">
        <v>2</v>
      </c>
      <c r="C232">
        <v>19</v>
      </c>
      <c r="D232">
        <v>2022</v>
      </c>
      <c r="E232" s="1">
        <v>44611</v>
      </c>
      <c r="F232" t="s">
        <v>3383</v>
      </c>
      <c r="G232">
        <v>1</v>
      </c>
      <c r="H232">
        <v>0</v>
      </c>
      <c r="I232">
        <v>1</v>
      </c>
      <c r="J232">
        <v>0</v>
      </c>
      <c r="K232" t="s">
        <v>3384</v>
      </c>
      <c r="L232" t="s">
        <v>3385</v>
      </c>
      <c r="M232" t="s">
        <v>3386</v>
      </c>
      <c r="N232" t="s">
        <v>3387</v>
      </c>
      <c r="O232" t="s">
        <v>3388</v>
      </c>
      <c r="P232" t="s">
        <v>3389</v>
      </c>
      <c r="Q232" t="s">
        <v>3390</v>
      </c>
      <c r="R232" t="s">
        <v>3391</v>
      </c>
      <c r="S232" t="s">
        <v>3392</v>
      </c>
      <c r="T232" s="2">
        <v>0.54652777777777772</v>
      </c>
      <c r="U232">
        <v>1</v>
      </c>
      <c r="V232" t="s">
        <v>3393</v>
      </c>
      <c r="Y232" t="s">
        <v>3394</v>
      </c>
      <c r="Z232" t="s">
        <v>3394</v>
      </c>
      <c r="AA232" t="s">
        <v>3394</v>
      </c>
      <c r="AB232" t="s">
        <v>3394</v>
      </c>
      <c r="AD232" t="s">
        <v>3394</v>
      </c>
    </row>
    <row r="233" spans="1:30">
      <c r="A233" t="s">
        <v>3395</v>
      </c>
      <c r="B233">
        <v>2</v>
      </c>
      <c r="C233">
        <v>18</v>
      </c>
      <c r="D233">
        <v>2022</v>
      </c>
      <c r="E233" s="1">
        <v>44610</v>
      </c>
      <c r="F233" t="s">
        <v>3396</v>
      </c>
      <c r="G233">
        <v>0</v>
      </c>
      <c r="H233">
        <v>0</v>
      </c>
      <c r="I233">
        <v>0</v>
      </c>
      <c r="J233">
        <v>0</v>
      </c>
      <c r="K233" t="s">
        <v>3397</v>
      </c>
      <c r="L233" t="s">
        <v>3398</v>
      </c>
      <c r="M233" t="s">
        <v>3399</v>
      </c>
      <c r="N233" t="s">
        <v>3400</v>
      </c>
      <c r="O233" t="s">
        <v>3401</v>
      </c>
      <c r="P233" t="s">
        <v>3402</v>
      </c>
      <c r="Q233" t="s">
        <v>3403</v>
      </c>
      <c r="R233" t="s">
        <v>3404</v>
      </c>
      <c r="S233" t="s">
        <v>3405</v>
      </c>
      <c r="T233" s="2">
        <v>0.84027777777777779</v>
      </c>
      <c r="U233">
        <v>1</v>
      </c>
      <c r="V233" t="s">
        <v>3406</v>
      </c>
      <c r="W233" t="s">
        <v>3407</v>
      </c>
      <c r="X233" t="s">
        <v>3408</v>
      </c>
      <c r="Y233" t="s">
        <v>3409</v>
      </c>
      <c r="Z233" t="s">
        <v>3410</v>
      </c>
      <c r="AA233" t="s">
        <v>3410</v>
      </c>
      <c r="AB233" t="s">
        <v>3410</v>
      </c>
      <c r="AC233" t="s">
        <v>3410</v>
      </c>
      <c r="AD233" t="s">
        <v>3410</v>
      </c>
    </row>
    <row r="234" spans="1:30">
      <c r="A234" t="s">
        <v>3411</v>
      </c>
      <c r="B234">
        <v>2</v>
      </c>
      <c r="C234">
        <v>17</v>
      </c>
      <c r="D234">
        <v>2022</v>
      </c>
      <c r="E234" s="1">
        <v>44609</v>
      </c>
      <c r="F234" t="s">
        <v>3412</v>
      </c>
      <c r="G234">
        <v>0</v>
      </c>
      <c r="H234">
        <v>1</v>
      </c>
      <c r="I234">
        <v>1</v>
      </c>
      <c r="J234">
        <v>0</v>
      </c>
      <c r="K234" t="s">
        <v>3413</v>
      </c>
      <c r="L234" t="s">
        <v>3414</v>
      </c>
      <c r="M234" t="s">
        <v>3415</v>
      </c>
      <c r="N234" t="s">
        <v>3416</v>
      </c>
      <c r="O234" t="s">
        <v>3417</v>
      </c>
      <c r="P234" t="s">
        <v>3418</v>
      </c>
      <c r="Q234" t="s">
        <v>3418</v>
      </c>
      <c r="R234" t="s">
        <v>3419</v>
      </c>
      <c r="S234" t="s">
        <v>3420</v>
      </c>
      <c r="T234" s="2">
        <v>0.70833333333333337</v>
      </c>
      <c r="U234">
        <v>1</v>
      </c>
      <c r="V234" t="s">
        <v>3421</v>
      </c>
      <c r="W234" t="s">
        <v>3422</v>
      </c>
      <c r="X234" t="s">
        <v>3423</v>
      </c>
      <c r="Y234" t="s">
        <v>3424</v>
      </c>
      <c r="Z234" t="s">
        <v>3424</v>
      </c>
      <c r="AA234" t="s">
        <v>3424</v>
      </c>
      <c r="AB234" t="s">
        <v>3424</v>
      </c>
      <c r="AC234" t="s">
        <v>3424</v>
      </c>
      <c r="AD234" t="s">
        <v>3424</v>
      </c>
    </row>
    <row r="235" spans="1:30">
      <c r="A235" t="s">
        <v>3425</v>
      </c>
      <c r="B235">
        <v>2</v>
      </c>
      <c r="C235">
        <v>14</v>
      </c>
      <c r="D235">
        <v>2022</v>
      </c>
      <c r="E235" s="1">
        <v>44606</v>
      </c>
      <c r="F235" t="s">
        <v>3426</v>
      </c>
      <c r="G235">
        <v>0</v>
      </c>
      <c r="H235">
        <v>0</v>
      </c>
      <c r="I235">
        <v>0</v>
      </c>
      <c r="J235">
        <v>0</v>
      </c>
      <c r="K235" t="s">
        <v>3427</v>
      </c>
      <c r="L235" t="s">
        <v>3428</v>
      </c>
      <c r="M235" t="s">
        <v>3429</v>
      </c>
      <c r="N235" t="s">
        <v>3430</v>
      </c>
      <c r="O235" t="s">
        <v>3431</v>
      </c>
      <c r="P235" t="s">
        <v>3432</v>
      </c>
      <c r="Q235" t="s">
        <v>3433</v>
      </c>
      <c r="R235" t="s">
        <v>3434</v>
      </c>
      <c r="S235" t="s">
        <v>3435</v>
      </c>
      <c r="T235" s="2">
        <v>0.625</v>
      </c>
      <c r="U235">
        <v>1</v>
      </c>
      <c r="V235" t="s">
        <v>3436</v>
      </c>
      <c r="W235" t="s">
        <v>3437</v>
      </c>
      <c r="X235" t="s">
        <v>3438</v>
      </c>
      <c r="Y235" t="s">
        <v>3439</v>
      </c>
      <c r="Z235" t="s">
        <v>3439</v>
      </c>
      <c r="AA235" t="s">
        <v>3439</v>
      </c>
      <c r="AB235" t="s">
        <v>3439</v>
      </c>
      <c r="AC235" t="s">
        <v>3439</v>
      </c>
      <c r="AD235" t="s">
        <v>3439</v>
      </c>
    </row>
    <row r="236" spans="1:30">
      <c r="A236" t="s">
        <v>3440</v>
      </c>
      <c r="B236">
        <v>2</v>
      </c>
      <c r="C236">
        <v>11</v>
      </c>
      <c r="D236">
        <v>2022</v>
      </c>
      <c r="E236" s="1">
        <v>44603</v>
      </c>
      <c r="F236" t="s">
        <v>3441</v>
      </c>
      <c r="G236">
        <v>0</v>
      </c>
      <c r="H236">
        <v>1</v>
      </c>
      <c r="I236">
        <v>1</v>
      </c>
      <c r="J236">
        <v>0</v>
      </c>
      <c r="K236" t="s">
        <v>3442</v>
      </c>
      <c r="L236" t="s">
        <v>3443</v>
      </c>
      <c r="M236" t="s">
        <v>3444</v>
      </c>
      <c r="N236" t="s">
        <v>3445</v>
      </c>
      <c r="O236" t="s">
        <v>3446</v>
      </c>
      <c r="P236" t="s">
        <v>3447</v>
      </c>
      <c r="Q236" t="s">
        <v>3448</v>
      </c>
      <c r="R236" t="s">
        <v>3449</v>
      </c>
      <c r="S236" t="s">
        <v>3450</v>
      </c>
      <c r="T236" s="2">
        <v>0.58333333333333337</v>
      </c>
      <c r="U236">
        <v>1</v>
      </c>
      <c r="V236" t="s">
        <v>3451</v>
      </c>
      <c r="Z236" t="s">
        <v>3452</v>
      </c>
      <c r="AA236" t="s">
        <v>3452</v>
      </c>
      <c r="AB236" t="s">
        <v>3452</v>
      </c>
      <c r="AC236" t="s">
        <v>3452</v>
      </c>
      <c r="AD236" t="s">
        <v>3452</v>
      </c>
    </row>
    <row r="237" spans="1:30">
      <c r="A237" t="s">
        <v>3453</v>
      </c>
      <c r="B237">
        <v>2</v>
      </c>
      <c r="C237">
        <v>9</v>
      </c>
      <c r="D237">
        <v>2022</v>
      </c>
      <c r="E237" s="1">
        <v>44601</v>
      </c>
      <c r="F237" t="s">
        <v>3454</v>
      </c>
      <c r="G237">
        <v>0</v>
      </c>
      <c r="H237">
        <v>2</v>
      </c>
      <c r="I237">
        <v>2</v>
      </c>
      <c r="J237">
        <v>0</v>
      </c>
      <c r="K237" t="s">
        <v>3455</v>
      </c>
      <c r="L237" t="s">
        <v>3456</v>
      </c>
      <c r="M237" t="s">
        <v>3457</v>
      </c>
      <c r="N237" t="s">
        <v>3458</v>
      </c>
      <c r="O237" t="s">
        <v>3459</v>
      </c>
      <c r="P237" t="s">
        <v>3460</v>
      </c>
      <c r="Q237" t="s">
        <v>3461</v>
      </c>
      <c r="R237" t="s">
        <v>3462</v>
      </c>
      <c r="S237" t="s">
        <v>3463</v>
      </c>
      <c r="T237" s="2">
        <v>0.65625</v>
      </c>
      <c r="U237">
        <v>1</v>
      </c>
      <c r="V237" t="s">
        <v>3464</v>
      </c>
      <c r="W237" t="s">
        <v>3465</v>
      </c>
      <c r="X237" t="s">
        <v>3466</v>
      </c>
      <c r="Y237" t="s">
        <v>3467</v>
      </c>
      <c r="Z237" t="s">
        <v>3468</v>
      </c>
      <c r="AA237" t="s">
        <v>3468</v>
      </c>
      <c r="AB237" t="s">
        <v>3468</v>
      </c>
      <c r="AC237" t="s">
        <v>3468</v>
      </c>
      <c r="AD237" t="s">
        <v>3468</v>
      </c>
    </row>
    <row r="238" spans="1:30">
      <c r="A238" t="s">
        <v>3469</v>
      </c>
      <c r="B238">
        <v>2</v>
      </c>
      <c r="C238">
        <v>9</v>
      </c>
      <c r="D238">
        <v>2022</v>
      </c>
      <c r="E238" s="1">
        <v>44601</v>
      </c>
      <c r="F238" t="s">
        <v>3470</v>
      </c>
      <c r="G238">
        <v>0</v>
      </c>
      <c r="H238">
        <v>1</v>
      </c>
      <c r="I238">
        <v>1</v>
      </c>
      <c r="J238">
        <v>0</v>
      </c>
      <c r="K238" t="s">
        <v>3471</v>
      </c>
      <c r="L238" t="s">
        <v>3472</v>
      </c>
      <c r="M238" t="s">
        <v>3473</v>
      </c>
      <c r="N238" t="s">
        <v>3474</v>
      </c>
      <c r="O238" t="s">
        <v>3475</v>
      </c>
      <c r="P238" t="s">
        <v>3476</v>
      </c>
      <c r="Q238" t="s">
        <v>3476</v>
      </c>
      <c r="R238" t="s">
        <v>3477</v>
      </c>
      <c r="S238" t="s">
        <v>3478</v>
      </c>
      <c r="T238" s="2">
        <v>0.59375</v>
      </c>
      <c r="U238">
        <v>1</v>
      </c>
      <c r="V238" t="s">
        <v>3479</v>
      </c>
      <c r="W238" t="s">
        <v>3480</v>
      </c>
      <c r="X238" t="s">
        <v>3481</v>
      </c>
      <c r="Y238" t="s">
        <v>3482</v>
      </c>
      <c r="Z238" t="s">
        <v>3482</v>
      </c>
      <c r="AA238" t="s">
        <v>3482</v>
      </c>
      <c r="AB238" t="s">
        <v>3482</v>
      </c>
      <c r="AC238" t="s">
        <v>3482</v>
      </c>
      <c r="AD238" t="s">
        <v>3482</v>
      </c>
    </row>
    <row r="239" spans="1:30">
      <c r="A239" t="s">
        <v>3483</v>
      </c>
      <c r="B239">
        <v>2</v>
      </c>
      <c r="C239">
        <v>8</v>
      </c>
      <c r="D239">
        <v>2022</v>
      </c>
      <c r="E239" s="1">
        <v>44600</v>
      </c>
      <c r="F239" t="s">
        <v>3484</v>
      </c>
      <c r="G239">
        <v>0</v>
      </c>
      <c r="H239">
        <v>2</v>
      </c>
      <c r="I239">
        <v>2</v>
      </c>
      <c r="J239">
        <v>0</v>
      </c>
      <c r="K239" t="s">
        <v>3485</v>
      </c>
      <c r="L239" t="s">
        <v>3486</v>
      </c>
      <c r="M239" t="s">
        <v>3487</v>
      </c>
      <c r="N239" t="s">
        <v>3488</v>
      </c>
      <c r="O239" t="s">
        <v>3489</v>
      </c>
      <c r="P239" t="s">
        <v>3490</v>
      </c>
      <c r="Q239" t="s">
        <v>3491</v>
      </c>
      <c r="R239" t="s">
        <v>3492</v>
      </c>
      <c r="S239" t="s">
        <v>3493</v>
      </c>
      <c r="T239" s="2">
        <v>0.625</v>
      </c>
      <c r="U239">
        <v>1</v>
      </c>
      <c r="V239" t="s">
        <v>3494</v>
      </c>
      <c r="X239" t="s">
        <v>3495</v>
      </c>
      <c r="Y239" t="s">
        <v>3496</v>
      </c>
      <c r="Z239" t="s">
        <v>3496</v>
      </c>
      <c r="AA239" t="s">
        <v>3496</v>
      </c>
      <c r="AB239" t="s">
        <v>3496</v>
      </c>
      <c r="AC239" t="s">
        <v>3496</v>
      </c>
      <c r="AD239" t="s">
        <v>3496</v>
      </c>
    </row>
    <row r="240" spans="1:30">
      <c r="A240" t="s">
        <v>3497</v>
      </c>
      <c r="B240">
        <v>2</v>
      </c>
      <c r="C240">
        <v>8</v>
      </c>
      <c r="D240">
        <v>2022</v>
      </c>
      <c r="E240" s="1">
        <v>44600</v>
      </c>
      <c r="F240" t="s">
        <v>3498</v>
      </c>
      <c r="G240">
        <v>0</v>
      </c>
      <c r="H240">
        <v>0</v>
      </c>
      <c r="I240">
        <v>0</v>
      </c>
      <c r="J240">
        <v>0</v>
      </c>
      <c r="K240" t="s">
        <v>3499</v>
      </c>
      <c r="L240" t="s">
        <v>3500</v>
      </c>
      <c r="M240" t="s">
        <v>3501</v>
      </c>
      <c r="N240" t="s">
        <v>3502</v>
      </c>
      <c r="O240" t="s">
        <v>3503</v>
      </c>
      <c r="P240" t="s">
        <v>3504</v>
      </c>
      <c r="Q240" t="s">
        <v>3505</v>
      </c>
      <c r="R240" t="s">
        <v>3506</v>
      </c>
      <c r="S240" t="s">
        <v>3507</v>
      </c>
      <c r="T240" s="2">
        <v>0.60416666666666674</v>
      </c>
      <c r="U240">
        <v>1</v>
      </c>
      <c r="V240" t="s">
        <v>3508</v>
      </c>
      <c r="W240" t="s">
        <v>3509</v>
      </c>
      <c r="Y240" t="s">
        <v>3510</v>
      </c>
      <c r="Z240" t="s">
        <v>3510</v>
      </c>
      <c r="AA240" t="s">
        <v>3510</v>
      </c>
      <c r="AB240" t="s">
        <v>3510</v>
      </c>
      <c r="AC240" t="s">
        <v>3510</v>
      </c>
      <c r="AD240" t="s">
        <v>3510</v>
      </c>
    </row>
    <row r="241" spans="1:30">
      <c r="A241" t="s">
        <v>3511</v>
      </c>
      <c r="B241">
        <v>2</v>
      </c>
      <c r="C241">
        <v>4</v>
      </c>
      <c r="D241">
        <v>2022</v>
      </c>
      <c r="E241" s="1">
        <v>44596</v>
      </c>
      <c r="F241" t="s">
        <v>3512</v>
      </c>
      <c r="G241">
        <v>0</v>
      </c>
      <c r="H241">
        <v>0</v>
      </c>
      <c r="I241">
        <v>0</v>
      </c>
      <c r="J241">
        <v>0</v>
      </c>
      <c r="K241" t="s">
        <v>3513</v>
      </c>
      <c r="L241" t="s">
        <v>3514</v>
      </c>
      <c r="M241" t="s">
        <v>3515</v>
      </c>
      <c r="N241" t="s">
        <v>3516</v>
      </c>
      <c r="O241" t="s">
        <v>3517</v>
      </c>
      <c r="P241" t="s">
        <v>3518</v>
      </c>
      <c r="Q241" t="s">
        <v>3519</v>
      </c>
      <c r="R241" t="s">
        <v>3520</v>
      </c>
      <c r="S241" t="s">
        <v>3521</v>
      </c>
      <c r="T241" s="2">
        <v>0.58333333333333337</v>
      </c>
      <c r="U241">
        <v>1</v>
      </c>
      <c r="V241" t="s">
        <v>3522</v>
      </c>
      <c r="W241" t="s">
        <v>3523</v>
      </c>
      <c r="X241" t="s">
        <v>3524</v>
      </c>
      <c r="Y241" t="s">
        <v>3525</v>
      </c>
      <c r="Z241" t="s">
        <v>3525</v>
      </c>
      <c r="AA241" t="s">
        <v>3525</v>
      </c>
      <c r="AB241" t="s">
        <v>3525</v>
      </c>
      <c r="AC241" t="s">
        <v>3525</v>
      </c>
      <c r="AD241" t="s">
        <v>3525</v>
      </c>
    </row>
    <row r="242" spans="1:30">
      <c r="A242" t="s">
        <v>3526</v>
      </c>
      <c r="B242">
        <v>2</v>
      </c>
      <c r="C242">
        <v>4</v>
      </c>
      <c r="D242">
        <v>2022</v>
      </c>
      <c r="E242" s="1">
        <v>44596</v>
      </c>
      <c r="F242" t="s">
        <v>3527</v>
      </c>
      <c r="G242">
        <v>0</v>
      </c>
      <c r="H242">
        <v>1</v>
      </c>
      <c r="I242">
        <v>1</v>
      </c>
      <c r="J242">
        <v>0</v>
      </c>
      <c r="K242" t="s">
        <v>3528</v>
      </c>
      <c r="L242" t="s">
        <v>3529</v>
      </c>
      <c r="M242" t="s">
        <v>3530</v>
      </c>
      <c r="N242" t="s">
        <v>3531</v>
      </c>
      <c r="O242" t="s">
        <v>3532</v>
      </c>
      <c r="P242" t="s">
        <v>3533</v>
      </c>
      <c r="Q242" t="s">
        <v>3534</v>
      </c>
      <c r="R242" t="s">
        <v>3535</v>
      </c>
      <c r="S242" t="s">
        <v>3536</v>
      </c>
      <c r="T242" s="2">
        <v>0.88541666666666663</v>
      </c>
      <c r="U242">
        <v>1</v>
      </c>
      <c r="V242" t="s">
        <v>3537</v>
      </c>
      <c r="X242" t="s">
        <v>3538</v>
      </c>
      <c r="Y242" t="s">
        <v>3539</v>
      </c>
      <c r="Z242" t="s">
        <v>3539</v>
      </c>
      <c r="AA242" t="s">
        <v>3539</v>
      </c>
      <c r="AB242" t="s">
        <v>3539</v>
      </c>
      <c r="AC242" t="s">
        <v>3539</v>
      </c>
      <c r="AD242" t="s">
        <v>3539</v>
      </c>
    </row>
    <row r="243" spans="1:30">
      <c r="A243" t="s">
        <v>3540</v>
      </c>
      <c r="B243">
        <v>2</v>
      </c>
      <c r="C243">
        <v>3</v>
      </c>
      <c r="D243">
        <v>2022</v>
      </c>
      <c r="E243" s="1">
        <v>44595</v>
      </c>
      <c r="F243" t="s">
        <v>3541</v>
      </c>
      <c r="G243">
        <v>0</v>
      </c>
      <c r="H243">
        <v>0</v>
      </c>
      <c r="I243">
        <v>0</v>
      </c>
      <c r="J243">
        <v>0</v>
      </c>
      <c r="K243" t="s">
        <v>3542</v>
      </c>
      <c r="L243" t="s">
        <v>3543</v>
      </c>
      <c r="M243" t="s">
        <v>3544</v>
      </c>
      <c r="N243" t="s">
        <v>3545</v>
      </c>
      <c r="O243" t="s">
        <v>3546</v>
      </c>
      <c r="P243" t="s">
        <v>3547</v>
      </c>
      <c r="Q243" t="s">
        <v>3547</v>
      </c>
      <c r="R243" t="s">
        <v>3548</v>
      </c>
      <c r="S243" t="s">
        <v>3549</v>
      </c>
      <c r="T243" s="2">
        <v>0.69444444444444442</v>
      </c>
      <c r="U243">
        <v>1</v>
      </c>
      <c r="V243" t="s">
        <v>3550</v>
      </c>
      <c r="Y243" t="s">
        <v>3551</v>
      </c>
      <c r="Z243" t="s">
        <v>3551</v>
      </c>
      <c r="AA243" t="s">
        <v>3551</v>
      </c>
      <c r="AB243" t="s">
        <v>3551</v>
      </c>
      <c r="AC243" t="s">
        <v>3551</v>
      </c>
      <c r="AD243" t="s">
        <v>3551</v>
      </c>
    </row>
    <row r="244" spans="1:30">
      <c r="A244" t="s">
        <v>3552</v>
      </c>
      <c r="B244">
        <v>2</v>
      </c>
      <c r="C244">
        <v>2</v>
      </c>
      <c r="D244">
        <v>2022</v>
      </c>
      <c r="E244" s="1">
        <v>44594</v>
      </c>
      <c r="F244" t="s">
        <v>3553</v>
      </c>
      <c r="G244">
        <v>0</v>
      </c>
      <c r="H244">
        <v>0</v>
      </c>
      <c r="I244">
        <v>0</v>
      </c>
      <c r="J244">
        <v>0</v>
      </c>
      <c r="K244" t="s">
        <v>3554</v>
      </c>
      <c r="L244" t="s">
        <v>3555</v>
      </c>
      <c r="M244" t="s">
        <v>3556</v>
      </c>
      <c r="N244" t="s">
        <v>3557</v>
      </c>
      <c r="O244" t="s">
        <v>3558</v>
      </c>
      <c r="P244" t="s">
        <v>3559</v>
      </c>
      <c r="Q244" t="s">
        <v>3560</v>
      </c>
      <c r="R244" t="s">
        <v>3561</v>
      </c>
      <c r="S244" t="s">
        <v>3562</v>
      </c>
      <c r="T244" s="2">
        <v>0.34375</v>
      </c>
      <c r="U244">
        <v>1</v>
      </c>
      <c r="V244" t="s">
        <v>3563</v>
      </c>
      <c r="W244" t="s">
        <v>3564</v>
      </c>
      <c r="X244" t="s">
        <v>3565</v>
      </c>
      <c r="Y244" t="s">
        <v>3566</v>
      </c>
      <c r="Z244" t="s">
        <v>3566</v>
      </c>
      <c r="AA244" t="s">
        <v>3566</v>
      </c>
      <c r="AB244" t="s">
        <v>3566</v>
      </c>
      <c r="AC244" t="s">
        <v>3566</v>
      </c>
      <c r="AD244" t="s">
        <v>3566</v>
      </c>
    </row>
    <row r="245" spans="1:30">
      <c r="A245" t="s">
        <v>3567</v>
      </c>
      <c r="B245">
        <v>2</v>
      </c>
      <c r="C245">
        <v>1</v>
      </c>
      <c r="D245">
        <v>2022</v>
      </c>
      <c r="E245" s="1">
        <v>44593</v>
      </c>
      <c r="F245" t="s">
        <v>3568</v>
      </c>
      <c r="G245">
        <v>0</v>
      </c>
      <c r="H245">
        <v>0</v>
      </c>
      <c r="I245">
        <v>0</v>
      </c>
      <c r="J245">
        <v>0</v>
      </c>
      <c r="K245" t="s">
        <v>3569</v>
      </c>
      <c r="L245" t="s">
        <v>3570</v>
      </c>
      <c r="M245" t="s">
        <v>3571</v>
      </c>
      <c r="N245" t="s">
        <v>3572</v>
      </c>
      <c r="O245" t="s">
        <v>3573</v>
      </c>
      <c r="P245" t="s">
        <v>3574</v>
      </c>
      <c r="Q245" t="s">
        <v>3575</v>
      </c>
      <c r="R245" t="s">
        <v>3576</v>
      </c>
      <c r="S245" t="s">
        <v>3577</v>
      </c>
      <c r="T245" s="2">
        <v>0.63888888888888884</v>
      </c>
      <c r="U245">
        <v>1</v>
      </c>
      <c r="V245" t="s">
        <v>3578</v>
      </c>
      <c r="Y245" t="s">
        <v>3579</v>
      </c>
      <c r="Z245" t="s">
        <v>3579</v>
      </c>
      <c r="AA245" t="s">
        <v>3579</v>
      </c>
      <c r="AB245" t="s">
        <v>3579</v>
      </c>
      <c r="AC245" t="s">
        <v>3579</v>
      </c>
      <c r="AD245" t="s">
        <v>3579</v>
      </c>
    </row>
    <row r="246" spans="1:30">
      <c r="A246" t="s">
        <v>3580</v>
      </c>
      <c r="B246">
        <v>2</v>
      </c>
      <c r="C246">
        <v>1</v>
      </c>
      <c r="D246">
        <v>2022</v>
      </c>
      <c r="E246" s="1">
        <v>44593</v>
      </c>
      <c r="F246" t="s">
        <v>3581</v>
      </c>
      <c r="G246">
        <v>1</v>
      </c>
      <c r="H246">
        <v>2</v>
      </c>
      <c r="I246">
        <v>3</v>
      </c>
      <c r="J246">
        <v>0</v>
      </c>
      <c r="K246" t="s">
        <v>3582</v>
      </c>
      <c r="L246" t="s">
        <v>3583</v>
      </c>
      <c r="M246" t="s">
        <v>3584</v>
      </c>
      <c r="N246" t="s">
        <v>3585</v>
      </c>
      <c r="O246" t="s">
        <v>3586</v>
      </c>
      <c r="P246" t="s">
        <v>3587</v>
      </c>
      <c r="Q246" t="s">
        <v>3588</v>
      </c>
      <c r="R246" t="s">
        <v>3589</v>
      </c>
      <c r="S246" t="s">
        <v>3590</v>
      </c>
      <c r="T246" s="2">
        <v>0.50277777777777777</v>
      </c>
      <c r="U246">
        <v>1</v>
      </c>
      <c r="V246" t="s">
        <v>3591</v>
      </c>
      <c r="W246" t="s">
        <v>3592</v>
      </c>
      <c r="X246" t="s">
        <v>3593</v>
      </c>
      <c r="Y246" t="s">
        <v>3594</v>
      </c>
      <c r="Z246" t="s">
        <v>3595</v>
      </c>
      <c r="AA246" t="s">
        <v>3595</v>
      </c>
      <c r="AB246" t="s">
        <v>3595</v>
      </c>
      <c r="AC246" t="s">
        <v>3595</v>
      </c>
      <c r="AD246" t="s">
        <v>3595</v>
      </c>
    </row>
    <row r="247" spans="1:30">
      <c r="A247" t="s">
        <v>3596</v>
      </c>
      <c r="B247">
        <v>2</v>
      </c>
      <c r="C247">
        <v>1</v>
      </c>
      <c r="D247">
        <v>2022</v>
      </c>
      <c r="E247" s="1">
        <v>44593</v>
      </c>
      <c r="F247" t="s">
        <v>3597</v>
      </c>
      <c r="G247">
        <v>0</v>
      </c>
      <c r="H247">
        <v>1</v>
      </c>
      <c r="I247">
        <v>1</v>
      </c>
      <c r="J247">
        <v>0</v>
      </c>
      <c r="K247" t="s">
        <v>3598</v>
      </c>
      <c r="L247" t="s">
        <v>3599</v>
      </c>
      <c r="M247" t="s">
        <v>3600</v>
      </c>
      <c r="N247" t="s">
        <v>3601</v>
      </c>
      <c r="O247" t="s">
        <v>3602</v>
      </c>
      <c r="P247" t="s">
        <v>3603</v>
      </c>
      <c r="Q247" t="s">
        <v>3604</v>
      </c>
      <c r="R247" t="s">
        <v>3605</v>
      </c>
      <c r="S247" t="s">
        <v>3606</v>
      </c>
      <c r="T247" s="2">
        <v>0.41666666666666669</v>
      </c>
      <c r="U247">
        <v>1</v>
      </c>
      <c r="V247" t="s">
        <v>3607</v>
      </c>
      <c r="X247" t="s">
        <v>3608</v>
      </c>
      <c r="Y247" t="s">
        <v>3609</v>
      </c>
      <c r="Z247" t="s">
        <v>3609</v>
      </c>
      <c r="AA247" t="s">
        <v>3609</v>
      </c>
      <c r="AB247" t="s">
        <v>3609</v>
      </c>
      <c r="AC247" t="s">
        <v>3609</v>
      </c>
      <c r="AD247" t="s">
        <v>3609</v>
      </c>
    </row>
    <row r="248" spans="1:30">
      <c r="A248" t="s">
        <v>3610</v>
      </c>
      <c r="B248">
        <v>2</v>
      </c>
      <c r="C248">
        <v>1</v>
      </c>
      <c r="D248">
        <v>2022</v>
      </c>
      <c r="E248" s="1">
        <v>44593</v>
      </c>
      <c r="F248" t="s">
        <v>3611</v>
      </c>
      <c r="G248">
        <v>0</v>
      </c>
      <c r="H248">
        <v>5</v>
      </c>
      <c r="I248">
        <v>5</v>
      </c>
      <c r="J248">
        <v>0</v>
      </c>
      <c r="K248" t="s">
        <v>3612</v>
      </c>
      <c r="L248" t="s">
        <v>3613</v>
      </c>
      <c r="M248" t="s">
        <v>3614</v>
      </c>
      <c r="N248" t="s">
        <v>3615</v>
      </c>
      <c r="O248" t="s">
        <v>3616</v>
      </c>
      <c r="P248" t="s">
        <v>3617</v>
      </c>
      <c r="Q248" t="s">
        <v>3618</v>
      </c>
      <c r="R248" t="s">
        <v>3619</v>
      </c>
      <c r="S248" t="s">
        <v>3620</v>
      </c>
      <c r="T248" s="2">
        <v>0.82291666666666663</v>
      </c>
      <c r="U248">
        <v>1</v>
      </c>
      <c r="V248" t="s">
        <v>3621</v>
      </c>
      <c r="W248" t="s">
        <v>3622</v>
      </c>
      <c r="X248" t="s">
        <v>3623</v>
      </c>
      <c r="Y248" t="s">
        <v>3624</v>
      </c>
      <c r="Z248" t="s">
        <v>3624</v>
      </c>
      <c r="AA248" t="s">
        <v>3624</v>
      </c>
      <c r="AB248" t="s">
        <v>3624</v>
      </c>
      <c r="AC248" t="s">
        <v>3624</v>
      </c>
      <c r="AD248" t="s">
        <v>3624</v>
      </c>
    </row>
    <row r="249" spans="1:30">
      <c r="A249" t="s">
        <v>3625</v>
      </c>
      <c r="B249">
        <v>1</v>
      </c>
      <c r="C249">
        <v>29</v>
      </c>
      <c r="D249">
        <v>2022</v>
      </c>
      <c r="E249" s="1">
        <v>44590</v>
      </c>
      <c r="F249" t="s">
        <v>3626</v>
      </c>
      <c r="G249">
        <v>1</v>
      </c>
      <c r="H249">
        <v>0</v>
      </c>
      <c r="I249">
        <v>1</v>
      </c>
      <c r="J249">
        <v>0</v>
      </c>
      <c r="K249" t="s">
        <v>3627</v>
      </c>
      <c r="L249" t="s">
        <v>3628</v>
      </c>
      <c r="M249" t="s">
        <v>3629</v>
      </c>
      <c r="N249" t="s">
        <v>3630</v>
      </c>
      <c r="O249" t="s">
        <v>3631</v>
      </c>
      <c r="P249" t="s">
        <v>3632</v>
      </c>
      <c r="Q249" t="s">
        <v>3633</v>
      </c>
      <c r="R249" t="s">
        <v>3634</v>
      </c>
      <c r="S249" t="s">
        <v>3635</v>
      </c>
      <c r="T249" s="2">
        <v>0.87152777777777779</v>
      </c>
      <c r="U249">
        <v>1</v>
      </c>
      <c r="V249" t="s">
        <v>3636</v>
      </c>
      <c r="X249" t="s">
        <v>3637</v>
      </c>
      <c r="Y249" t="s">
        <v>3638</v>
      </c>
      <c r="Z249" t="s">
        <v>3638</v>
      </c>
      <c r="AA249" t="s">
        <v>3638</v>
      </c>
      <c r="AB249" t="s">
        <v>3638</v>
      </c>
      <c r="AC249" t="s">
        <v>3638</v>
      </c>
      <c r="AD249" t="s">
        <v>3638</v>
      </c>
    </row>
    <row r="250" spans="1:30">
      <c r="A250" t="s">
        <v>3639</v>
      </c>
      <c r="B250">
        <v>1</v>
      </c>
      <c r="C250">
        <v>28</v>
      </c>
      <c r="D250">
        <v>2022</v>
      </c>
      <c r="E250" s="1">
        <v>44589</v>
      </c>
      <c r="F250" t="s">
        <v>3640</v>
      </c>
      <c r="G250">
        <v>0</v>
      </c>
      <c r="H250">
        <v>0</v>
      </c>
      <c r="I250">
        <v>0</v>
      </c>
      <c r="J250">
        <v>0</v>
      </c>
      <c r="K250" t="s">
        <v>3641</v>
      </c>
      <c r="L250" t="s">
        <v>3642</v>
      </c>
      <c r="M250" t="s">
        <v>3643</v>
      </c>
      <c r="N250" t="s">
        <v>3644</v>
      </c>
      <c r="O250" t="s">
        <v>3645</v>
      </c>
      <c r="P250" t="s">
        <v>3646</v>
      </c>
      <c r="Q250" t="s">
        <v>3647</v>
      </c>
      <c r="R250" t="s">
        <v>3648</v>
      </c>
      <c r="S250" t="s">
        <v>3649</v>
      </c>
      <c r="T250" s="2">
        <v>0.79166666666666663</v>
      </c>
      <c r="U250">
        <v>1</v>
      </c>
      <c r="V250" t="s">
        <v>3650</v>
      </c>
      <c r="W250" t="s">
        <v>3651</v>
      </c>
      <c r="X250" t="s">
        <v>3652</v>
      </c>
      <c r="Y250" t="s">
        <v>3653</v>
      </c>
      <c r="Z250" t="s">
        <v>3654</v>
      </c>
      <c r="AA250" t="s">
        <v>3654</v>
      </c>
      <c r="AB250" t="s">
        <v>3654</v>
      </c>
      <c r="AC250" t="s">
        <v>3654</v>
      </c>
      <c r="AD250" t="s">
        <v>3654</v>
      </c>
    </row>
    <row r="251" spans="1:30">
      <c r="A251" t="s">
        <v>3655</v>
      </c>
      <c r="B251">
        <v>1</v>
      </c>
      <c r="C251">
        <v>27</v>
      </c>
      <c r="D251">
        <v>2022</v>
      </c>
      <c r="E251" s="1">
        <v>44588</v>
      </c>
      <c r="F251" t="s">
        <v>3656</v>
      </c>
      <c r="G251">
        <v>0</v>
      </c>
      <c r="H251">
        <v>1</v>
      </c>
      <c r="I251">
        <v>1</v>
      </c>
      <c r="J251">
        <v>0</v>
      </c>
      <c r="K251" t="s">
        <v>3657</v>
      </c>
      <c r="L251" t="s">
        <v>3658</v>
      </c>
      <c r="M251" t="s">
        <v>3659</v>
      </c>
      <c r="N251" t="s">
        <v>3660</v>
      </c>
      <c r="O251" t="s">
        <v>3661</v>
      </c>
      <c r="P251" t="s">
        <v>3662</v>
      </c>
      <c r="Q251" t="s">
        <v>3663</v>
      </c>
      <c r="R251" t="s">
        <v>3664</v>
      </c>
      <c r="S251" t="s">
        <v>3665</v>
      </c>
      <c r="T251" s="2">
        <v>0.91666666666666663</v>
      </c>
      <c r="U251">
        <v>1</v>
      </c>
      <c r="V251" t="s">
        <v>3666</v>
      </c>
      <c r="W251" t="s">
        <v>3667</v>
      </c>
      <c r="X251" t="s">
        <v>3668</v>
      </c>
      <c r="Y251" t="s">
        <v>3669</v>
      </c>
      <c r="Z251" t="s">
        <v>3670</v>
      </c>
      <c r="AA251" t="s">
        <v>3670</v>
      </c>
      <c r="AB251" t="s">
        <v>3670</v>
      </c>
      <c r="AC251" t="s">
        <v>3670</v>
      </c>
      <c r="AD251" t="s">
        <v>3670</v>
      </c>
    </row>
    <row r="252" spans="1:30">
      <c r="A252" t="s">
        <v>3671</v>
      </c>
      <c r="B252">
        <v>1</v>
      </c>
      <c r="C252">
        <v>26</v>
      </c>
      <c r="D252">
        <v>2022</v>
      </c>
      <c r="E252" s="1">
        <v>44587</v>
      </c>
      <c r="F252" t="s">
        <v>3672</v>
      </c>
      <c r="G252">
        <v>1</v>
      </c>
      <c r="H252">
        <v>0</v>
      </c>
      <c r="I252">
        <v>1</v>
      </c>
      <c r="J252">
        <v>0</v>
      </c>
      <c r="K252" t="s">
        <v>3673</v>
      </c>
      <c r="L252" t="s">
        <v>3674</v>
      </c>
      <c r="M252" t="s">
        <v>3675</v>
      </c>
      <c r="N252" t="s">
        <v>3676</v>
      </c>
      <c r="O252" t="s">
        <v>3677</v>
      </c>
      <c r="P252" t="s">
        <v>3678</v>
      </c>
      <c r="Q252" t="s">
        <v>3679</v>
      </c>
      <c r="R252" t="s">
        <v>3680</v>
      </c>
      <c r="S252" t="s">
        <v>3681</v>
      </c>
      <c r="T252" s="2">
        <v>0.62083333333333335</v>
      </c>
      <c r="U252">
        <v>1</v>
      </c>
      <c r="V252" t="s">
        <v>3682</v>
      </c>
      <c r="X252" t="s">
        <v>3683</v>
      </c>
      <c r="Y252" t="s">
        <v>3684</v>
      </c>
      <c r="Z252" t="s">
        <v>3684</v>
      </c>
      <c r="AA252" t="s">
        <v>3684</v>
      </c>
      <c r="AB252" t="s">
        <v>3684</v>
      </c>
      <c r="AC252" t="s">
        <v>3684</v>
      </c>
      <c r="AD252" t="s">
        <v>3684</v>
      </c>
    </row>
    <row r="253" spans="1:30">
      <c r="A253" t="s">
        <v>3685</v>
      </c>
      <c r="B253">
        <v>1</v>
      </c>
      <c r="C253">
        <v>24</v>
      </c>
      <c r="D253">
        <v>2022</v>
      </c>
      <c r="E253" s="1">
        <v>44585</v>
      </c>
      <c r="F253" t="s">
        <v>3686</v>
      </c>
      <c r="G253">
        <v>0</v>
      </c>
      <c r="H253">
        <v>1</v>
      </c>
      <c r="I253">
        <v>1</v>
      </c>
      <c r="J253">
        <v>0</v>
      </c>
      <c r="K253" t="s">
        <v>3687</v>
      </c>
      <c r="L253" t="s">
        <v>3688</v>
      </c>
      <c r="M253" t="s">
        <v>3689</v>
      </c>
      <c r="N253" t="s">
        <v>3690</v>
      </c>
      <c r="O253" t="s">
        <v>3691</v>
      </c>
      <c r="P253" t="s">
        <v>3692</v>
      </c>
      <c r="Q253" t="s">
        <v>3693</v>
      </c>
      <c r="R253" t="s">
        <v>3694</v>
      </c>
      <c r="S253" t="s">
        <v>3695</v>
      </c>
      <c r="T253" s="2">
        <v>0.52083333333333337</v>
      </c>
      <c r="U253">
        <v>1</v>
      </c>
      <c r="V253" t="s">
        <v>3696</v>
      </c>
      <c r="X253" t="s">
        <v>3697</v>
      </c>
      <c r="Y253" t="s">
        <v>3698</v>
      </c>
      <c r="Z253" t="s">
        <v>3698</v>
      </c>
      <c r="AA253" t="s">
        <v>3698</v>
      </c>
      <c r="AB253" t="s">
        <v>3698</v>
      </c>
      <c r="AC253" t="s">
        <v>3698</v>
      </c>
      <c r="AD253" t="s">
        <v>3698</v>
      </c>
    </row>
    <row r="254" spans="1:30">
      <c r="A254" t="s">
        <v>3699</v>
      </c>
      <c r="B254">
        <v>1</v>
      </c>
      <c r="C254">
        <v>21</v>
      </c>
      <c r="D254">
        <v>2022</v>
      </c>
      <c r="E254" s="1">
        <v>44582</v>
      </c>
      <c r="F254" t="s">
        <v>3700</v>
      </c>
      <c r="G254">
        <v>0</v>
      </c>
      <c r="H254">
        <v>1</v>
      </c>
      <c r="I254">
        <v>1</v>
      </c>
      <c r="J254">
        <v>0</v>
      </c>
      <c r="K254" t="s">
        <v>3701</v>
      </c>
      <c r="L254" t="s">
        <v>3702</v>
      </c>
      <c r="M254" t="s">
        <v>3703</v>
      </c>
      <c r="N254" t="s">
        <v>3704</v>
      </c>
      <c r="O254" t="s">
        <v>3705</v>
      </c>
      <c r="P254" t="s">
        <v>3706</v>
      </c>
      <c r="Q254" t="s">
        <v>3707</v>
      </c>
      <c r="R254" t="s">
        <v>3708</v>
      </c>
      <c r="S254" t="s">
        <v>3709</v>
      </c>
      <c r="T254" s="2">
        <v>0.53680555555555554</v>
      </c>
      <c r="U254">
        <v>1</v>
      </c>
      <c r="V254" t="s">
        <v>3710</v>
      </c>
      <c r="W254" t="s">
        <v>3711</v>
      </c>
      <c r="X254" t="s">
        <v>3712</v>
      </c>
      <c r="Y254" t="s">
        <v>3713</v>
      </c>
      <c r="Z254" t="s">
        <v>3713</v>
      </c>
      <c r="AA254" t="s">
        <v>3713</v>
      </c>
      <c r="AB254" t="s">
        <v>3713</v>
      </c>
      <c r="AC254" t="s">
        <v>3713</v>
      </c>
      <c r="AD254" t="s">
        <v>3713</v>
      </c>
    </row>
    <row r="255" spans="1:30">
      <c r="A255" t="s">
        <v>3714</v>
      </c>
      <c r="B255">
        <v>1</v>
      </c>
      <c r="C255">
        <v>21</v>
      </c>
      <c r="D255">
        <v>2022</v>
      </c>
      <c r="E255" s="1">
        <v>44582</v>
      </c>
      <c r="F255" t="s">
        <v>3715</v>
      </c>
      <c r="G255">
        <v>0</v>
      </c>
      <c r="H255">
        <v>0</v>
      </c>
      <c r="I255">
        <v>0</v>
      </c>
      <c r="J255">
        <v>0</v>
      </c>
      <c r="K255" t="s">
        <v>3716</v>
      </c>
      <c r="L255" t="s">
        <v>3717</v>
      </c>
      <c r="M255" t="s">
        <v>3718</v>
      </c>
      <c r="N255" t="s">
        <v>3719</v>
      </c>
      <c r="O255" t="s">
        <v>3720</v>
      </c>
      <c r="P255" t="s">
        <v>3721</v>
      </c>
      <c r="Q255" t="s">
        <v>3722</v>
      </c>
      <c r="R255" t="s">
        <v>3723</v>
      </c>
      <c r="S255" t="s">
        <v>3724</v>
      </c>
      <c r="T255" s="2">
        <v>0.60416666666666674</v>
      </c>
      <c r="U255">
        <v>1</v>
      </c>
      <c r="V255" t="s">
        <v>3725</v>
      </c>
      <c r="W255" t="s">
        <v>3726</v>
      </c>
      <c r="Y255" t="s">
        <v>3727</v>
      </c>
      <c r="Z255" t="s">
        <v>3727</v>
      </c>
      <c r="AA255" t="s">
        <v>3727</v>
      </c>
      <c r="AB255" t="s">
        <v>3727</v>
      </c>
      <c r="AC255" t="s">
        <v>3727</v>
      </c>
      <c r="AD255" t="s">
        <v>3727</v>
      </c>
    </row>
    <row r="256" spans="1:30">
      <c r="A256" t="s">
        <v>3728</v>
      </c>
      <c r="B256">
        <v>1</v>
      </c>
      <c r="C256">
        <v>19</v>
      </c>
      <c r="D256">
        <v>2022</v>
      </c>
      <c r="E256" s="1">
        <v>44580</v>
      </c>
      <c r="F256" t="s">
        <v>3729</v>
      </c>
      <c r="G256">
        <v>0</v>
      </c>
      <c r="H256">
        <v>0</v>
      </c>
      <c r="I256">
        <v>0</v>
      </c>
      <c r="J256">
        <v>0</v>
      </c>
      <c r="K256" t="s">
        <v>3730</v>
      </c>
      <c r="L256" t="s">
        <v>3731</v>
      </c>
      <c r="M256" t="s">
        <v>3732</v>
      </c>
      <c r="N256" t="s">
        <v>3733</v>
      </c>
      <c r="O256" t="s">
        <v>3734</v>
      </c>
      <c r="P256" t="s">
        <v>3735</v>
      </c>
      <c r="Q256" t="s">
        <v>3736</v>
      </c>
      <c r="R256" t="s">
        <v>3737</v>
      </c>
      <c r="S256" t="s">
        <v>3738</v>
      </c>
      <c r="T256" s="2">
        <v>0.66666666666666663</v>
      </c>
      <c r="U256">
        <v>1</v>
      </c>
      <c r="V256" t="s">
        <v>3739</v>
      </c>
      <c r="X256" t="s">
        <v>3740</v>
      </c>
      <c r="Y256" t="s">
        <v>3741</v>
      </c>
      <c r="Z256" t="s">
        <v>3741</v>
      </c>
      <c r="AA256" t="s">
        <v>3741</v>
      </c>
      <c r="AB256" t="s">
        <v>3741</v>
      </c>
      <c r="AC256" t="s">
        <v>3741</v>
      </c>
      <c r="AD256" t="s">
        <v>3741</v>
      </c>
    </row>
    <row r="257" spans="1:30">
      <c r="A257" t="s">
        <v>3742</v>
      </c>
      <c r="B257">
        <v>1</v>
      </c>
      <c r="C257">
        <v>19</v>
      </c>
      <c r="D257">
        <v>2022</v>
      </c>
      <c r="E257" s="1">
        <v>44580</v>
      </c>
      <c r="F257" t="s">
        <v>3743</v>
      </c>
      <c r="G257">
        <v>0</v>
      </c>
      <c r="H257">
        <v>1</v>
      </c>
      <c r="I257">
        <v>1</v>
      </c>
      <c r="J257">
        <v>0</v>
      </c>
      <c r="K257" t="s">
        <v>3744</v>
      </c>
      <c r="L257" t="s">
        <v>3745</v>
      </c>
      <c r="M257" t="s">
        <v>3746</v>
      </c>
      <c r="N257" t="s">
        <v>3747</v>
      </c>
      <c r="O257" t="s">
        <v>3748</v>
      </c>
      <c r="P257" t="s">
        <v>3749</v>
      </c>
      <c r="Q257" t="s">
        <v>3750</v>
      </c>
      <c r="R257" t="s">
        <v>3751</v>
      </c>
      <c r="S257" t="s">
        <v>3752</v>
      </c>
      <c r="T257" s="2">
        <v>0.625</v>
      </c>
      <c r="U257">
        <v>1</v>
      </c>
      <c r="V257" t="s">
        <v>3753</v>
      </c>
      <c r="X257" t="s">
        <v>3754</v>
      </c>
      <c r="Y257" t="s">
        <v>3755</v>
      </c>
      <c r="Z257" t="s">
        <v>3756</v>
      </c>
      <c r="AA257" t="s">
        <v>3756</v>
      </c>
      <c r="AB257" t="s">
        <v>3756</v>
      </c>
      <c r="AC257" t="s">
        <v>3756</v>
      </c>
      <c r="AD257" t="s">
        <v>3756</v>
      </c>
    </row>
    <row r="258" spans="1:30">
      <c r="A258" t="s">
        <v>3757</v>
      </c>
      <c r="B258">
        <v>1</v>
      </c>
      <c r="C258">
        <v>19</v>
      </c>
      <c r="D258">
        <v>2022</v>
      </c>
      <c r="E258" s="1">
        <v>44580</v>
      </c>
      <c r="F258" t="s">
        <v>3758</v>
      </c>
      <c r="G258">
        <v>1</v>
      </c>
      <c r="H258">
        <v>0</v>
      </c>
      <c r="I258">
        <v>1</v>
      </c>
      <c r="J258">
        <v>0</v>
      </c>
      <c r="K258" t="s">
        <v>3759</v>
      </c>
      <c r="L258" t="s">
        <v>3760</v>
      </c>
      <c r="M258" t="s">
        <v>3761</v>
      </c>
      <c r="N258" t="s">
        <v>3762</v>
      </c>
      <c r="O258" t="s">
        <v>3763</v>
      </c>
      <c r="P258" t="s">
        <v>3764</v>
      </c>
      <c r="Q258" t="s">
        <v>3765</v>
      </c>
      <c r="R258" t="s">
        <v>3766</v>
      </c>
      <c r="S258" t="s">
        <v>3767</v>
      </c>
      <c r="T258" s="2">
        <v>0.58333333333333337</v>
      </c>
      <c r="U258">
        <v>1</v>
      </c>
      <c r="V258" t="s">
        <v>3768</v>
      </c>
      <c r="X258" t="s">
        <v>3769</v>
      </c>
      <c r="Y258" t="s">
        <v>3770</v>
      </c>
      <c r="Z258" t="s">
        <v>3771</v>
      </c>
      <c r="AA258" t="s">
        <v>3771</v>
      </c>
      <c r="AB258" t="s">
        <v>3771</v>
      </c>
      <c r="AC258" t="s">
        <v>3771</v>
      </c>
      <c r="AD258" t="s">
        <v>3771</v>
      </c>
    </row>
    <row r="259" spans="1:30">
      <c r="A259" t="s">
        <v>3772</v>
      </c>
      <c r="B259">
        <v>1</v>
      </c>
      <c r="C259">
        <v>19</v>
      </c>
      <c r="D259">
        <v>2022</v>
      </c>
      <c r="E259" s="1">
        <v>44580</v>
      </c>
      <c r="F259" t="s">
        <v>3773</v>
      </c>
      <c r="G259">
        <v>0</v>
      </c>
      <c r="H259">
        <v>1</v>
      </c>
      <c r="I259">
        <v>1</v>
      </c>
      <c r="J259">
        <v>0</v>
      </c>
      <c r="K259" t="s">
        <v>3774</v>
      </c>
      <c r="L259" t="s">
        <v>3775</v>
      </c>
      <c r="M259" t="s">
        <v>3776</v>
      </c>
      <c r="N259" t="s">
        <v>3777</v>
      </c>
      <c r="O259" t="s">
        <v>3778</v>
      </c>
      <c r="P259" t="s">
        <v>3779</v>
      </c>
      <c r="Q259" t="s">
        <v>3780</v>
      </c>
      <c r="R259" t="s">
        <v>3781</v>
      </c>
      <c r="S259" t="s">
        <v>3782</v>
      </c>
      <c r="T259" s="2">
        <v>0.99791666666666667</v>
      </c>
      <c r="U259">
        <v>1</v>
      </c>
      <c r="V259" t="s">
        <v>3783</v>
      </c>
      <c r="W259" t="s">
        <v>3784</v>
      </c>
      <c r="X259" t="s">
        <v>3785</v>
      </c>
      <c r="Y259" t="s">
        <v>3786</v>
      </c>
      <c r="Z259" t="s">
        <v>3786</v>
      </c>
      <c r="AA259" t="s">
        <v>3786</v>
      </c>
      <c r="AB259" t="s">
        <v>3786</v>
      </c>
      <c r="AC259" t="s">
        <v>3787</v>
      </c>
      <c r="AD259" t="s">
        <v>3788</v>
      </c>
    </row>
    <row r="260" spans="1:30">
      <c r="A260" t="s">
        <v>3789</v>
      </c>
      <c r="B260">
        <v>1</v>
      </c>
      <c r="C260">
        <v>17</v>
      </c>
      <c r="D260">
        <v>2022</v>
      </c>
      <c r="E260" s="1">
        <v>44578</v>
      </c>
      <c r="F260" t="s">
        <v>3790</v>
      </c>
      <c r="G260">
        <v>2</v>
      </c>
      <c r="H260">
        <v>0</v>
      </c>
      <c r="I260">
        <v>2</v>
      </c>
      <c r="J260">
        <v>0</v>
      </c>
      <c r="K260" t="s">
        <v>3791</v>
      </c>
      <c r="L260" t="s">
        <v>3792</v>
      </c>
      <c r="M260" t="s">
        <v>3793</v>
      </c>
      <c r="N260" t="s">
        <v>3794</v>
      </c>
      <c r="O260" t="s">
        <v>3795</v>
      </c>
      <c r="P260" t="s">
        <v>3796</v>
      </c>
      <c r="Q260" t="s">
        <v>3797</v>
      </c>
      <c r="R260" t="s">
        <v>3798</v>
      </c>
      <c r="S260" t="s">
        <v>3799</v>
      </c>
      <c r="T260" s="2">
        <v>0.47222222222222221</v>
      </c>
      <c r="U260">
        <v>1</v>
      </c>
      <c r="V260" t="s">
        <v>3800</v>
      </c>
      <c r="W260" t="s">
        <v>3801</v>
      </c>
      <c r="X260" t="s">
        <v>3802</v>
      </c>
      <c r="Y260" t="s">
        <v>3803</v>
      </c>
      <c r="Z260" t="s">
        <v>3804</v>
      </c>
      <c r="AA260" t="s">
        <v>3804</v>
      </c>
      <c r="AB260" t="s">
        <v>3804</v>
      </c>
      <c r="AC260" t="s">
        <v>3804</v>
      </c>
      <c r="AD260" t="s">
        <v>3804</v>
      </c>
    </row>
    <row r="261" spans="1:30">
      <c r="A261" t="s">
        <v>3805</v>
      </c>
      <c r="B261">
        <v>1</v>
      </c>
      <c r="C261">
        <v>14</v>
      </c>
      <c r="D261">
        <v>2022</v>
      </c>
      <c r="E261" s="1">
        <v>44575</v>
      </c>
      <c r="F261" t="s">
        <v>3806</v>
      </c>
      <c r="G261">
        <v>0</v>
      </c>
      <c r="H261">
        <v>0</v>
      </c>
      <c r="I261">
        <v>0</v>
      </c>
      <c r="J261">
        <v>0</v>
      </c>
      <c r="K261" t="s">
        <v>3807</v>
      </c>
      <c r="L261" t="s">
        <v>3808</v>
      </c>
      <c r="M261" t="s">
        <v>3809</v>
      </c>
      <c r="N261" t="s">
        <v>3810</v>
      </c>
      <c r="O261" t="s">
        <v>3811</v>
      </c>
      <c r="P261" t="s">
        <v>3812</v>
      </c>
      <c r="Q261" t="s">
        <v>3813</v>
      </c>
      <c r="R261" t="s">
        <v>3814</v>
      </c>
      <c r="S261" t="s">
        <v>3815</v>
      </c>
      <c r="T261" s="2">
        <v>0.28472222222222221</v>
      </c>
      <c r="U261">
        <v>1</v>
      </c>
      <c r="V261" t="s">
        <v>3816</v>
      </c>
      <c r="W261" t="s">
        <v>3817</v>
      </c>
      <c r="Y261" t="s">
        <v>3818</v>
      </c>
      <c r="Z261" t="s">
        <v>3818</v>
      </c>
      <c r="AA261" t="s">
        <v>3818</v>
      </c>
      <c r="AB261" t="s">
        <v>3818</v>
      </c>
      <c r="AC261" t="s">
        <v>3818</v>
      </c>
      <c r="AD261" t="s">
        <v>3818</v>
      </c>
    </row>
    <row r="262" spans="1:30">
      <c r="A262" t="s">
        <v>3819</v>
      </c>
      <c r="B262">
        <v>1</v>
      </c>
      <c r="C262">
        <v>11</v>
      </c>
      <c r="D262">
        <v>2022</v>
      </c>
      <c r="E262" s="1">
        <v>44572</v>
      </c>
      <c r="F262" t="s">
        <v>3820</v>
      </c>
      <c r="G262">
        <v>0</v>
      </c>
      <c r="H262">
        <v>0</v>
      </c>
      <c r="I262">
        <v>0</v>
      </c>
      <c r="J262">
        <v>0</v>
      </c>
      <c r="K262" t="s">
        <v>3821</v>
      </c>
      <c r="L262" t="s">
        <v>3822</v>
      </c>
      <c r="M262" t="s">
        <v>3823</v>
      </c>
      <c r="N262" t="s">
        <v>3824</v>
      </c>
      <c r="O262" t="s">
        <v>3825</v>
      </c>
      <c r="P262" t="s">
        <v>3826</v>
      </c>
      <c r="Q262" t="s">
        <v>3827</v>
      </c>
      <c r="R262" t="s">
        <v>3828</v>
      </c>
      <c r="S262" t="s">
        <v>3829</v>
      </c>
      <c r="T262" s="2">
        <v>0.81944444444444442</v>
      </c>
      <c r="U262">
        <v>1</v>
      </c>
      <c r="V262" t="s">
        <v>3830</v>
      </c>
      <c r="Y262" t="s">
        <v>3831</v>
      </c>
      <c r="Z262" t="s">
        <v>3831</v>
      </c>
      <c r="AA262" t="s">
        <v>3831</v>
      </c>
      <c r="AB262" t="s">
        <v>3831</v>
      </c>
      <c r="AC262" t="s">
        <v>3831</v>
      </c>
      <c r="AD262" t="s">
        <v>3831</v>
      </c>
    </row>
    <row r="263" spans="1:30">
      <c r="A263" t="s">
        <v>3832</v>
      </c>
      <c r="B263">
        <v>1</v>
      </c>
      <c r="C263">
        <v>6</v>
      </c>
      <c r="D263">
        <v>2022</v>
      </c>
      <c r="E263" s="1">
        <v>44567</v>
      </c>
      <c r="F263" t="s">
        <v>3833</v>
      </c>
      <c r="G263">
        <v>0</v>
      </c>
      <c r="H263">
        <v>2</v>
      </c>
      <c r="I263">
        <v>2</v>
      </c>
      <c r="J263">
        <v>0</v>
      </c>
      <c r="K263" t="s">
        <v>3834</v>
      </c>
      <c r="L263" t="s">
        <v>3835</v>
      </c>
      <c r="M263" t="s">
        <v>3836</v>
      </c>
      <c r="N263" t="s">
        <v>3837</v>
      </c>
      <c r="O263" t="s">
        <v>3838</v>
      </c>
      <c r="P263" t="s">
        <v>3839</v>
      </c>
      <c r="Q263" t="s">
        <v>3840</v>
      </c>
      <c r="R263" t="s">
        <v>3841</v>
      </c>
      <c r="S263" t="s">
        <v>3842</v>
      </c>
      <c r="T263" s="2">
        <v>0.65277777777777779</v>
      </c>
      <c r="U263">
        <v>1</v>
      </c>
      <c r="V263" t="s">
        <v>3843</v>
      </c>
      <c r="W263" t="s">
        <v>3844</v>
      </c>
      <c r="X263" t="s">
        <v>3845</v>
      </c>
      <c r="Y263" t="s">
        <v>3846</v>
      </c>
      <c r="Z263" t="s">
        <v>3846</v>
      </c>
      <c r="AA263" t="s">
        <v>3846</v>
      </c>
      <c r="AB263" t="s">
        <v>3846</v>
      </c>
      <c r="AC263" t="s">
        <v>3846</v>
      </c>
      <c r="AD263" t="s">
        <v>3846</v>
      </c>
    </row>
    <row r="264" spans="1:30">
      <c r="A264" t="s">
        <v>3847</v>
      </c>
      <c r="B264">
        <v>1</v>
      </c>
      <c r="C264">
        <v>4</v>
      </c>
      <c r="D264">
        <v>2022</v>
      </c>
      <c r="E264" s="1">
        <v>44565</v>
      </c>
      <c r="F264" t="s">
        <v>3848</v>
      </c>
      <c r="G264">
        <v>0</v>
      </c>
      <c r="H264">
        <v>2</v>
      </c>
      <c r="I264">
        <v>2</v>
      </c>
      <c r="J264">
        <v>0</v>
      </c>
      <c r="K264" t="s">
        <v>3849</v>
      </c>
      <c r="L264" t="s">
        <v>3850</v>
      </c>
      <c r="M264" t="s">
        <v>3851</v>
      </c>
      <c r="N264" t="s">
        <v>3852</v>
      </c>
      <c r="O264" t="s">
        <v>3853</v>
      </c>
      <c r="P264" t="s">
        <v>3854</v>
      </c>
      <c r="Q264" t="s">
        <v>3855</v>
      </c>
      <c r="R264" t="s">
        <v>3856</v>
      </c>
      <c r="S264" t="s">
        <v>3857</v>
      </c>
      <c r="T264" s="2">
        <v>0.57638888888888884</v>
      </c>
      <c r="U264">
        <v>1</v>
      </c>
      <c r="V264" t="s">
        <v>3858</v>
      </c>
      <c r="X264" t="s">
        <v>3859</v>
      </c>
      <c r="Y264" t="s">
        <v>3860</v>
      </c>
      <c r="Z264" t="s">
        <v>3861</v>
      </c>
      <c r="AA264" t="s">
        <v>3861</v>
      </c>
      <c r="AB264" t="s">
        <v>3861</v>
      </c>
      <c r="AC264" t="s">
        <v>3861</v>
      </c>
      <c r="AD264" t="s">
        <v>3861</v>
      </c>
    </row>
    <row r="265" spans="1:30">
      <c r="A265" t="s">
        <v>3862</v>
      </c>
      <c r="B265">
        <v>1</v>
      </c>
      <c r="C265">
        <v>3</v>
      </c>
      <c r="D265">
        <v>2022</v>
      </c>
      <c r="E265" s="1">
        <v>44564</v>
      </c>
      <c r="F265" t="s">
        <v>3863</v>
      </c>
      <c r="G265">
        <v>0</v>
      </c>
      <c r="H265">
        <v>0</v>
      </c>
      <c r="I265">
        <v>0</v>
      </c>
      <c r="J265">
        <v>0</v>
      </c>
      <c r="K265" t="s">
        <v>3864</v>
      </c>
      <c r="L265" t="s">
        <v>3865</v>
      </c>
      <c r="M265" t="s">
        <v>3866</v>
      </c>
      <c r="N265" t="s">
        <v>3867</v>
      </c>
      <c r="O265" t="s">
        <v>3868</v>
      </c>
      <c r="P265" t="s">
        <v>3869</v>
      </c>
      <c r="Q265" t="s">
        <v>3870</v>
      </c>
      <c r="R265" t="s">
        <v>3871</v>
      </c>
      <c r="S265" t="s">
        <v>3872</v>
      </c>
      <c r="T265" s="2">
        <v>0.54166666666666663</v>
      </c>
      <c r="U265">
        <v>1</v>
      </c>
      <c r="V265" t="s">
        <v>3873</v>
      </c>
      <c r="W265" t="s">
        <v>3874</v>
      </c>
      <c r="X265" t="s">
        <v>3875</v>
      </c>
      <c r="Y265" t="s">
        <v>3876</v>
      </c>
      <c r="Z265" t="s">
        <v>3876</v>
      </c>
      <c r="AA265" t="s">
        <v>3876</v>
      </c>
      <c r="AB265" t="s">
        <v>3876</v>
      </c>
      <c r="AC265" t="s">
        <v>3876</v>
      </c>
      <c r="AD265" t="s">
        <v>3876</v>
      </c>
    </row>
    <row r="266" spans="1:30">
      <c r="A266" t="s">
        <v>3877</v>
      </c>
      <c r="B266">
        <v>1</v>
      </c>
      <c r="C266">
        <v>3</v>
      </c>
      <c r="D266">
        <v>2022</v>
      </c>
      <c r="E266" s="1">
        <v>44564</v>
      </c>
      <c r="F266" t="s">
        <v>3878</v>
      </c>
      <c r="G266">
        <v>0</v>
      </c>
      <c r="H266">
        <v>0</v>
      </c>
      <c r="I266">
        <v>0</v>
      </c>
      <c r="J266">
        <v>0</v>
      </c>
      <c r="K266" t="s">
        <v>3879</v>
      </c>
      <c r="L266" t="s">
        <v>3880</v>
      </c>
      <c r="M266" t="s">
        <v>3881</v>
      </c>
      <c r="N266" t="s">
        <v>3882</v>
      </c>
      <c r="P266" t="s">
        <v>3883</v>
      </c>
      <c r="Q266" t="s">
        <v>3883</v>
      </c>
      <c r="R266" t="s">
        <v>3884</v>
      </c>
      <c r="S266" t="s">
        <v>3885</v>
      </c>
      <c r="T266" s="2">
        <v>0.2361111111111111</v>
      </c>
      <c r="U266">
        <v>1</v>
      </c>
      <c r="V266" t="s">
        <v>3886</v>
      </c>
      <c r="Y266" t="s">
        <v>3887</v>
      </c>
      <c r="Z266" t="s">
        <v>3887</v>
      </c>
      <c r="AA266" t="s">
        <v>3887</v>
      </c>
      <c r="AB266" t="s">
        <v>3887</v>
      </c>
      <c r="AC266" t="s">
        <v>3887</v>
      </c>
      <c r="AD266" t="s">
        <v>3887</v>
      </c>
    </row>
    <row r="267" spans="1:30">
      <c r="A267" t="s">
        <v>3888</v>
      </c>
      <c r="B267">
        <v>12</v>
      </c>
      <c r="C267">
        <v>29</v>
      </c>
      <c r="D267">
        <v>2021</v>
      </c>
      <c r="E267" s="1">
        <v>44559</v>
      </c>
      <c r="F267" t="s">
        <v>3889</v>
      </c>
      <c r="G267">
        <v>0</v>
      </c>
      <c r="H267">
        <v>2</v>
      </c>
      <c r="I267">
        <v>2</v>
      </c>
      <c r="J267">
        <v>0</v>
      </c>
      <c r="K267" t="s">
        <v>3890</v>
      </c>
      <c r="L267" t="s">
        <v>3891</v>
      </c>
      <c r="M267" t="s">
        <v>3892</v>
      </c>
      <c r="N267" t="s">
        <v>3893</v>
      </c>
      <c r="O267" t="s">
        <v>3894</v>
      </c>
      <c r="P267" t="s">
        <v>3895</v>
      </c>
      <c r="Q267" t="s">
        <v>3896</v>
      </c>
      <c r="R267" t="s">
        <v>3897</v>
      </c>
      <c r="S267" t="s">
        <v>3898</v>
      </c>
      <c r="T267" s="2">
        <v>0.84375</v>
      </c>
      <c r="U267">
        <v>1</v>
      </c>
      <c r="V267" t="s">
        <v>3899</v>
      </c>
      <c r="W267" t="s">
        <v>3900</v>
      </c>
      <c r="X267" t="s">
        <v>3901</v>
      </c>
      <c r="Y267" t="s">
        <v>3902</v>
      </c>
      <c r="Z267" t="s">
        <v>3903</v>
      </c>
      <c r="AA267" t="s">
        <v>3903</v>
      </c>
      <c r="AB267" t="s">
        <v>3903</v>
      </c>
      <c r="AC267" t="s">
        <v>3903</v>
      </c>
      <c r="AD267" t="s">
        <v>3903</v>
      </c>
    </row>
    <row r="268" spans="1:30">
      <c r="A268" t="s">
        <v>3904</v>
      </c>
      <c r="B268">
        <v>12</v>
      </c>
      <c r="C268">
        <v>17</v>
      </c>
      <c r="D268">
        <v>2021</v>
      </c>
      <c r="E268" s="1">
        <v>44547</v>
      </c>
      <c r="F268" t="s">
        <v>3905</v>
      </c>
      <c r="G268">
        <v>0</v>
      </c>
      <c r="H268">
        <v>0</v>
      </c>
      <c r="I268">
        <v>0</v>
      </c>
      <c r="J268">
        <v>0</v>
      </c>
      <c r="K268" t="s">
        <v>3906</v>
      </c>
      <c r="L268" t="s">
        <v>3907</v>
      </c>
      <c r="M268" t="s">
        <v>3908</v>
      </c>
      <c r="N268" t="s">
        <v>3909</v>
      </c>
      <c r="O268" t="s">
        <v>3910</v>
      </c>
      <c r="P268" t="s">
        <v>3911</v>
      </c>
      <c r="Q268" t="s">
        <v>3911</v>
      </c>
      <c r="R268" t="s">
        <v>3912</v>
      </c>
      <c r="S268" t="s">
        <v>3913</v>
      </c>
      <c r="T268" s="2">
        <v>0.625</v>
      </c>
      <c r="U268">
        <v>1</v>
      </c>
      <c r="V268" t="s">
        <v>3914</v>
      </c>
      <c r="W268" t="s">
        <v>3915</v>
      </c>
      <c r="X268" t="s">
        <v>3916</v>
      </c>
      <c r="Y268" t="s">
        <v>3917</v>
      </c>
      <c r="Z268" t="s">
        <v>3918</v>
      </c>
      <c r="AA268" t="s">
        <v>3918</v>
      </c>
      <c r="AB268" t="s">
        <v>3918</v>
      </c>
      <c r="AC268" t="s">
        <v>3918</v>
      </c>
      <c r="AD268" t="s">
        <v>3918</v>
      </c>
    </row>
    <row r="269" spans="1:30">
      <c r="A269" t="s">
        <v>3919</v>
      </c>
      <c r="B269">
        <v>12</v>
      </c>
      <c r="C269">
        <v>16</v>
      </c>
      <c r="D269">
        <v>2021</v>
      </c>
      <c r="E269" s="1">
        <v>44546</v>
      </c>
      <c r="F269" t="s">
        <v>3920</v>
      </c>
      <c r="G269">
        <v>0</v>
      </c>
      <c r="H269">
        <v>0</v>
      </c>
      <c r="I269">
        <v>0</v>
      </c>
      <c r="J269">
        <v>0</v>
      </c>
      <c r="K269" t="s">
        <v>3921</v>
      </c>
      <c r="L269" t="s">
        <v>3922</v>
      </c>
      <c r="M269" t="s">
        <v>3923</v>
      </c>
      <c r="N269" t="s">
        <v>3924</v>
      </c>
      <c r="O269" t="s">
        <v>3925</v>
      </c>
      <c r="P269" t="s">
        <v>3926</v>
      </c>
      <c r="Q269" t="s">
        <v>3927</v>
      </c>
      <c r="R269" t="s">
        <v>3928</v>
      </c>
      <c r="S269" t="s">
        <v>3929</v>
      </c>
      <c r="T269" s="2">
        <v>0.625</v>
      </c>
      <c r="U269">
        <v>1</v>
      </c>
      <c r="V269" t="s">
        <v>3930</v>
      </c>
      <c r="W269" t="s">
        <v>3931</v>
      </c>
      <c r="X269" t="s">
        <v>3932</v>
      </c>
      <c r="Y269" t="s">
        <v>3933</v>
      </c>
      <c r="Z269" t="s">
        <v>3933</v>
      </c>
      <c r="AA269" t="s">
        <v>3933</v>
      </c>
      <c r="AC269" t="s">
        <v>3933</v>
      </c>
      <c r="AD269" t="s">
        <v>3933</v>
      </c>
    </row>
    <row r="270" spans="1:30">
      <c r="A270" t="s">
        <v>3934</v>
      </c>
      <c r="B270">
        <v>12</v>
      </c>
      <c r="C270">
        <v>16</v>
      </c>
      <c r="D270">
        <v>2021</v>
      </c>
      <c r="E270" s="1">
        <v>44546</v>
      </c>
      <c r="F270" t="s">
        <v>3935</v>
      </c>
      <c r="G270">
        <v>0</v>
      </c>
      <c r="H270">
        <v>0</v>
      </c>
      <c r="I270">
        <v>0</v>
      </c>
      <c r="J270">
        <v>0</v>
      </c>
      <c r="K270" t="s">
        <v>3936</v>
      </c>
      <c r="L270" t="s">
        <v>3937</v>
      </c>
      <c r="M270" t="s">
        <v>3938</v>
      </c>
      <c r="N270" t="s">
        <v>3939</v>
      </c>
      <c r="O270" t="s">
        <v>3940</v>
      </c>
      <c r="P270" t="s">
        <v>3941</v>
      </c>
      <c r="Q270" t="s">
        <v>3942</v>
      </c>
      <c r="R270" t="s">
        <v>3943</v>
      </c>
      <c r="S270" t="s">
        <v>3944</v>
      </c>
      <c r="T270" s="2">
        <v>0.37152777777777779</v>
      </c>
      <c r="U270">
        <v>1</v>
      </c>
      <c r="V270" t="s">
        <v>3945</v>
      </c>
      <c r="Y270" t="s">
        <v>3946</v>
      </c>
      <c r="Z270" t="s">
        <v>3946</v>
      </c>
      <c r="AA270" t="s">
        <v>3946</v>
      </c>
      <c r="AB270" t="s">
        <v>3946</v>
      </c>
      <c r="AC270" t="s">
        <v>3946</v>
      </c>
      <c r="AD270" t="s">
        <v>3946</v>
      </c>
    </row>
    <row r="271" spans="1:30">
      <c r="A271" t="s">
        <v>3947</v>
      </c>
      <c r="B271">
        <v>12</v>
      </c>
      <c r="C271">
        <v>14</v>
      </c>
      <c r="D271">
        <v>2021</v>
      </c>
      <c r="E271" s="1">
        <v>44544</v>
      </c>
      <c r="F271" t="s">
        <v>3948</v>
      </c>
      <c r="G271">
        <v>0</v>
      </c>
      <c r="H271">
        <v>0</v>
      </c>
      <c r="I271">
        <v>0</v>
      </c>
      <c r="J271">
        <v>0</v>
      </c>
      <c r="K271" t="s">
        <v>3949</v>
      </c>
      <c r="L271" t="s">
        <v>3950</v>
      </c>
      <c r="M271" t="s">
        <v>3951</v>
      </c>
      <c r="N271" t="s">
        <v>3952</v>
      </c>
      <c r="O271" t="s">
        <v>3953</v>
      </c>
      <c r="P271" t="s">
        <v>3954</v>
      </c>
      <c r="Q271" t="s">
        <v>3955</v>
      </c>
      <c r="R271" t="s">
        <v>3956</v>
      </c>
      <c r="S271" t="s">
        <v>3957</v>
      </c>
      <c r="T271" s="2">
        <v>0.47916666666666663</v>
      </c>
      <c r="U271">
        <v>1</v>
      </c>
      <c r="V271" t="s">
        <v>3958</v>
      </c>
      <c r="W271" t="s">
        <v>3959</v>
      </c>
      <c r="X271" t="s">
        <v>3960</v>
      </c>
      <c r="Y271" t="s">
        <v>3961</v>
      </c>
      <c r="Z271" t="s">
        <v>3961</v>
      </c>
      <c r="AA271" t="s">
        <v>3961</v>
      </c>
      <c r="AB271" t="s">
        <v>3961</v>
      </c>
      <c r="AC271" t="s">
        <v>3961</v>
      </c>
      <c r="AD271" t="s">
        <v>3961</v>
      </c>
    </row>
    <row r="272" spans="1:30">
      <c r="A272" t="s">
        <v>3962</v>
      </c>
      <c r="B272">
        <v>12</v>
      </c>
      <c r="C272">
        <v>14</v>
      </c>
      <c r="D272">
        <v>2021</v>
      </c>
      <c r="E272" s="1">
        <v>44544</v>
      </c>
      <c r="F272" t="s">
        <v>3963</v>
      </c>
      <c r="G272">
        <v>1</v>
      </c>
      <c r="H272">
        <v>0</v>
      </c>
      <c r="I272">
        <v>1</v>
      </c>
      <c r="J272">
        <v>0</v>
      </c>
      <c r="K272" t="s">
        <v>3964</v>
      </c>
      <c r="L272" t="s">
        <v>3965</v>
      </c>
      <c r="M272" t="s">
        <v>3966</v>
      </c>
      <c r="N272" t="s">
        <v>3967</v>
      </c>
      <c r="O272" t="s">
        <v>3968</v>
      </c>
      <c r="P272" t="s">
        <v>3969</v>
      </c>
      <c r="Q272" t="s">
        <v>3970</v>
      </c>
      <c r="R272" t="s">
        <v>3971</v>
      </c>
      <c r="S272" t="s">
        <v>3972</v>
      </c>
      <c r="T272" s="2">
        <v>0.86111111111111116</v>
      </c>
      <c r="U272">
        <v>1</v>
      </c>
      <c r="V272" t="s">
        <v>3973</v>
      </c>
      <c r="W272" t="s">
        <v>3974</v>
      </c>
      <c r="X272" t="s">
        <v>3975</v>
      </c>
      <c r="Y272" t="s">
        <v>3976</v>
      </c>
      <c r="Z272" t="s">
        <v>3977</v>
      </c>
      <c r="AA272" t="s">
        <v>3977</v>
      </c>
      <c r="AB272" t="s">
        <v>3977</v>
      </c>
      <c r="AC272" t="s">
        <v>3977</v>
      </c>
      <c r="AD272" t="s">
        <v>3977</v>
      </c>
    </row>
    <row r="273" spans="1:30">
      <c r="A273" t="s">
        <v>3978</v>
      </c>
      <c r="B273">
        <v>12</v>
      </c>
      <c r="C273">
        <v>13</v>
      </c>
      <c r="D273">
        <v>2021</v>
      </c>
      <c r="E273" s="1">
        <v>44543</v>
      </c>
      <c r="F273" t="s">
        <v>3979</v>
      </c>
      <c r="G273">
        <v>0</v>
      </c>
      <c r="H273">
        <v>0</v>
      </c>
      <c r="I273">
        <v>0</v>
      </c>
      <c r="J273">
        <v>0</v>
      </c>
      <c r="K273" t="s">
        <v>3980</v>
      </c>
      <c r="L273" t="s">
        <v>3981</v>
      </c>
      <c r="M273" t="s">
        <v>3982</v>
      </c>
      <c r="N273" t="s">
        <v>3983</v>
      </c>
      <c r="O273" t="s">
        <v>3984</v>
      </c>
      <c r="P273" t="s">
        <v>3985</v>
      </c>
      <c r="Q273" t="s">
        <v>3986</v>
      </c>
      <c r="R273" t="s">
        <v>3987</v>
      </c>
      <c r="S273" t="s">
        <v>3988</v>
      </c>
      <c r="T273" s="2">
        <v>0.59444444444444444</v>
      </c>
      <c r="U273">
        <v>1</v>
      </c>
      <c r="V273" t="s">
        <v>3989</v>
      </c>
      <c r="W273" t="s">
        <v>3990</v>
      </c>
      <c r="X273" t="s">
        <v>3991</v>
      </c>
      <c r="Y273" t="s">
        <v>3992</v>
      </c>
      <c r="Z273" t="s">
        <v>3992</v>
      </c>
      <c r="AA273" t="s">
        <v>3992</v>
      </c>
      <c r="AB273" t="s">
        <v>3992</v>
      </c>
      <c r="AC273" t="s">
        <v>3992</v>
      </c>
      <c r="AD273" t="s">
        <v>3992</v>
      </c>
    </row>
    <row r="274" spans="1:30">
      <c r="A274" t="s">
        <v>3993</v>
      </c>
      <c r="B274">
        <v>12</v>
      </c>
      <c r="C274">
        <v>13</v>
      </c>
      <c r="D274">
        <v>2021</v>
      </c>
      <c r="E274" s="1">
        <v>44543</v>
      </c>
      <c r="F274" t="s">
        <v>3994</v>
      </c>
      <c r="G274">
        <v>0</v>
      </c>
      <c r="H274">
        <v>0</v>
      </c>
      <c r="I274">
        <v>0</v>
      </c>
      <c r="J274">
        <v>0</v>
      </c>
      <c r="K274" t="s">
        <v>3995</v>
      </c>
      <c r="L274" t="s">
        <v>3996</v>
      </c>
      <c r="M274" t="s">
        <v>3997</v>
      </c>
      <c r="N274" t="s">
        <v>3998</v>
      </c>
      <c r="O274" t="s">
        <v>3999</v>
      </c>
      <c r="P274" t="s">
        <v>4000</v>
      </c>
      <c r="Q274" t="s">
        <v>4001</v>
      </c>
      <c r="R274" t="s">
        <v>4002</v>
      </c>
      <c r="S274" t="s">
        <v>4003</v>
      </c>
      <c r="T274" s="2">
        <v>0.625</v>
      </c>
      <c r="U274">
        <v>1</v>
      </c>
      <c r="V274" t="s">
        <v>4004</v>
      </c>
      <c r="Y274" t="s">
        <v>4005</v>
      </c>
      <c r="Z274" t="s">
        <v>4005</v>
      </c>
      <c r="AA274" t="s">
        <v>4005</v>
      </c>
      <c r="AB274" t="s">
        <v>4005</v>
      </c>
      <c r="AC274" t="s">
        <v>4005</v>
      </c>
      <c r="AD274" t="s">
        <v>4005</v>
      </c>
    </row>
    <row r="275" spans="1:30">
      <c r="A275" t="s">
        <v>4006</v>
      </c>
      <c r="B275">
        <v>12</v>
      </c>
      <c r="C275">
        <v>12</v>
      </c>
      <c r="D275">
        <v>2021</v>
      </c>
      <c r="E275" s="1">
        <v>44542</v>
      </c>
      <c r="F275" t="s">
        <v>4007</v>
      </c>
      <c r="G275">
        <v>1</v>
      </c>
      <c r="H275">
        <v>0</v>
      </c>
      <c r="I275">
        <v>1</v>
      </c>
      <c r="J275">
        <v>0</v>
      </c>
      <c r="K275" t="s">
        <v>4008</v>
      </c>
      <c r="L275" t="s">
        <v>4009</v>
      </c>
      <c r="M275" t="s">
        <v>4010</v>
      </c>
      <c r="N275" t="s">
        <v>4011</v>
      </c>
      <c r="O275" t="s">
        <v>4012</v>
      </c>
      <c r="P275" t="s">
        <v>4013</v>
      </c>
      <c r="Q275" t="s">
        <v>4014</v>
      </c>
      <c r="R275" t="s">
        <v>4015</v>
      </c>
      <c r="S275" t="s">
        <v>4016</v>
      </c>
      <c r="T275" s="2">
        <v>0.77083333333333337</v>
      </c>
      <c r="U275">
        <v>1</v>
      </c>
      <c r="V275" t="s">
        <v>4017</v>
      </c>
      <c r="W275" t="s">
        <v>4018</v>
      </c>
      <c r="X275" t="s">
        <v>4019</v>
      </c>
      <c r="Y275" t="s">
        <v>4020</v>
      </c>
      <c r="Z275" t="s">
        <v>4020</v>
      </c>
      <c r="AA275" t="s">
        <v>4020</v>
      </c>
      <c r="AB275" t="s">
        <v>4020</v>
      </c>
      <c r="AC275" t="s">
        <v>4020</v>
      </c>
      <c r="AD275" t="s">
        <v>4020</v>
      </c>
    </row>
    <row r="276" spans="1:30">
      <c r="A276" t="s">
        <v>4021</v>
      </c>
      <c r="B276">
        <v>12</v>
      </c>
      <c r="C276">
        <v>11</v>
      </c>
      <c r="D276">
        <v>2021</v>
      </c>
      <c r="E276" s="1">
        <v>44541</v>
      </c>
      <c r="F276" t="s">
        <v>4022</v>
      </c>
      <c r="G276">
        <v>0</v>
      </c>
      <c r="H276">
        <v>0</v>
      </c>
      <c r="I276">
        <v>0</v>
      </c>
      <c r="J276">
        <v>0</v>
      </c>
      <c r="K276" t="s">
        <v>4023</v>
      </c>
      <c r="L276" t="s">
        <v>4024</v>
      </c>
      <c r="M276" t="s">
        <v>4025</v>
      </c>
      <c r="N276" t="s">
        <v>4026</v>
      </c>
      <c r="O276" t="s">
        <v>4027</v>
      </c>
      <c r="P276" t="s">
        <v>4028</v>
      </c>
      <c r="Q276" t="s">
        <v>4029</v>
      </c>
      <c r="R276" t="s">
        <v>4030</v>
      </c>
      <c r="S276" t="s">
        <v>4031</v>
      </c>
      <c r="T276" s="2">
        <v>0.84375</v>
      </c>
      <c r="U276">
        <v>1</v>
      </c>
      <c r="V276" t="s">
        <v>4032</v>
      </c>
      <c r="W276" t="s">
        <v>4033</v>
      </c>
      <c r="X276" t="s">
        <v>4034</v>
      </c>
      <c r="Y276" t="s">
        <v>4035</v>
      </c>
      <c r="Z276" t="s">
        <v>4036</v>
      </c>
      <c r="AA276" t="s">
        <v>4036</v>
      </c>
      <c r="AB276" t="s">
        <v>4036</v>
      </c>
      <c r="AC276" t="s">
        <v>4036</v>
      </c>
      <c r="AD276" t="s">
        <v>4036</v>
      </c>
    </row>
    <row r="277" spans="1:30">
      <c r="A277" t="s">
        <v>4037</v>
      </c>
      <c r="B277">
        <v>12</v>
      </c>
      <c r="C277">
        <v>11</v>
      </c>
      <c r="D277">
        <v>2021</v>
      </c>
      <c r="E277" s="1">
        <v>44541</v>
      </c>
      <c r="F277" t="s">
        <v>4038</v>
      </c>
      <c r="G277">
        <v>0</v>
      </c>
      <c r="H277">
        <v>1</v>
      </c>
      <c r="I277">
        <v>1</v>
      </c>
      <c r="J277">
        <v>0</v>
      </c>
      <c r="K277" t="s">
        <v>4039</v>
      </c>
      <c r="L277" t="s">
        <v>4040</v>
      </c>
      <c r="M277" t="s">
        <v>4041</v>
      </c>
      <c r="N277" t="s">
        <v>4042</v>
      </c>
      <c r="O277" t="s">
        <v>4043</v>
      </c>
      <c r="P277" t="s">
        <v>4044</v>
      </c>
      <c r="Q277" t="s">
        <v>4045</v>
      </c>
      <c r="R277" t="s">
        <v>4046</v>
      </c>
      <c r="S277" t="s">
        <v>4047</v>
      </c>
      <c r="T277" s="2">
        <v>0.58333333333333337</v>
      </c>
      <c r="U277">
        <v>1</v>
      </c>
      <c r="V277" t="s">
        <v>4048</v>
      </c>
      <c r="X277" t="s">
        <v>4049</v>
      </c>
      <c r="Y277" t="s">
        <v>4050</v>
      </c>
      <c r="Z277" t="s">
        <v>4050</v>
      </c>
      <c r="AA277" t="s">
        <v>4050</v>
      </c>
      <c r="AB277" t="s">
        <v>4050</v>
      </c>
      <c r="AD277" t="s">
        <v>4050</v>
      </c>
    </row>
    <row r="278" spans="1:30">
      <c r="A278" t="s">
        <v>4051</v>
      </c>
      <c r="B278">
        <v>12</v>
      </c>
      <c r="C278">
        <v>10</v>
      </c>
      <c r="D278">
        <v>2021</v>
      </c>
      <c r="E278" s="1">
        <v>44540</v>
      </c>
      <c r="F278" t="s">
        <v>4052</v>
      </c>
      <c r="G278">
        <v>0</v>
      </c>
      <c r="H278">
        <v>0</v>
      </c>
      <c r="I278">
        <v>0</v>
      </c>
      <c r="J278">
        <v>0</v>
      </c>
      <c r="K278" t="s">
        <v>4053</v>
      </c>
      <c r="L278" t="s">
        <v>4054</v>
      </c>
      <c r="M278" t="s">
        <v>4055</v>
      </c>
      <c r="N278" t="s">
        <v>4056</v>
      </c>
      <c r="O278" t="s">
        <v>4057</v>
      </c>
      <c r="P278" t="s">
        <v>4058</v>
      </c>
      <c r="Q278" t="s">
        <v>4059</v>
      </c>
      <c r="R278" t="s">
        <v>4060</v>
      </c>
      <c r="S278" t="s">
        <v>4061</v>
      </c>
      <c r="T278" s="2">
        <v>0.24305555555555558</v>
      </c>
      <c r="U278">
        <v>1</v>
      </c>
      <c r="V278" t="s">
        <v>4062</v>
      </c>
      <c r="W278" t="s">
        <v>4063</v>
      </c>
      <c r="X278" t="s">
        <v>4064</v>
      </c>
      <c r="Y278" t="s">
        <v>4065</v>
      </c>
      <c r="Z278" t="s">
        <v>4065</v>
      </c>
      <c r="AA278" t="s">
        <v>4065</v>
      </c>
      <c r="AB278" t="s">
        <v>4065</v>
      </c>
      <c r="AC278" t="s">
        <v>4065</v>
      </c>
      <c r="AD278" t="s">
        <v>4065</v>
      </c>
    </row>
    <row r="279" spans="1:30">
      <c r="A279" t="s">
        <v>4066</v>
      </c>
      <c r="B279">
        <v>12</v>
      </c>
      <c r="C279">
        <v>9</v>
      </c>
      <c r="D279">
        <v>2021</v>
      </c>
      <c r="E279" s="1">
        <v>44539</v>
      </c>
      <c r="F279" t="s">
        <v>4067</v>
      </c>
      <c r="G279">
        <v>0</v>
      </c>
      <c r="H279">
        <v>0</v>
      </c>
      <c r="I279">
        <v>0</v>
      </c>
      <c r="J279">
        <v>0</v>
      </c>
      <c r="K279" t="s">
        <v>4068</v>
      </c>
      <c r="L279" t="s">
        <v>4069</v>
      </c>
      <c r="M279" t="s">
        <v>4070</v>
      </c>
      <c r="N279" t="s">
        <v>4071</v>
      </c>
      <c r="O279" t="s">
        <v>4072</v>
      </c>
      <c r="P279" t="s">
        <v>4073</v>
      </c>
      <c r="Q279" t="s">
        <v>4074</v>
      </c>
      <c r="R279" t="s">
        <v>4075</v>
      </c>
      <c r="S279" t="s">
        <v>4076</v>
      </c>
      <c r="T279" s="2">
        <v>0.58333333333333337</v>
      </c>
      <c r="U279">
        <v>1</v>
      </c>
      <c r="V279" t="s">
        <v>4077</v>
      </c>
      <c r="W279" t="s">
        <v>4078</v>
      </c>
      <c r="X279" t="s">
        <v>4079</v>
      </c>
      <c r="Y279" t="s">
        <v>4080</v>
      </c>
      <c r="Z279" t="s">
        <v>4081</v>
      </c>
      <c r="AA279" t="s">
        <v>4081</v>
      </c>
      <c r="AB279" t="s">
        <v>4081</v>
      </c>
      <c r="AC279" t="s">
        <v>4081</v>
      </c>
      <c r="AD279" t="s">
        <v>4081</v>
      </c>
    </row>
    <row r="280" spans="1:30">
      <c r="A280" t="s">
        <v>4082</v>
      </c>
      <c r="B280">
        <v>12</v>
      </c>
      <c r="C280">
        <v>9</v>
      </c>
      <c r="D280">
        <v>2021</v>
      </c>
      <c r="E280" s="1">
        <v>44539</v>
      </c>
      <c r="F280" t="s">
        <v>4083</v>
      </c>
      <c r="G280">
        <v>0</v>
      </c>
      <c r="H280">
        <v>0</v>
      </c>
      <c r="I280">
        <v>0</v>
      </c>
      <c r="J280">
        <v>0</v>
      </c>
      <c r="K280" t="s">
        <v>4084</v>
      </c>
      <c r="L280" t="s">
        <v>4085</v>
      </c>
      <c r="M280" t="s">
        <v>4086</v>
      </c>
      <c r="N280" t="s">
        <v>4087</v>
      </c>
      <c r="O280" t="s">
        <v>4088</v>
      </c>
      <c r="P280" t="s">
        <v>4089</v>
      </c>
      <c r="Q280" t="s">
        <v>4090</v>
      </c>
      <c r="R280" t="s">
        <v>4091</v>
      </c>
      <c r="S280" t="s">
        <v>4092</v>
      </c>
      <c r="T280" s="2">
        <v>0.39583333333333331</v>
      </c>
      <c r="U280">
        <v>1</v>
      </c>
      <c r="V280" t="s">
        <v>4093</v>
      </c>
      <c r="W280" t="s">
        <v>4094</v>
      </c>
      <c r="X280" t="s">
        <v>4095</v>
      </c>
      <c r="Y280" t="s">
        <v>4096</v>
      </c>
      <c r="Z280" t="s">
        <v>4096</v>
      </c>
      <c r="AA280" t="s">
        <v>4096</v>
      </c>
      <c r="AB280" t="s">
        <v>4096</v>
      </c>
      <c r="AC280" t="s">
        <v>4096</v>
      </c>
      <c r="AD280" t="s">
        <v>4096</v>
      </c>
    </row>
    <row r="281" spans="1:30">
      <c r="A281" t="s">
        <v>4097</v>
      </c>
      <c r="B281">
        <v>12</v>
      </c>
      <c r="C281">
        <v>8</v>
      </c>
      <c r="D281">
        <v>2021</v>
      </c>
      <c r="E281" s="1">
        <v>44538</v>
      </c>
      <c r="F281" t="s">
        <v>4098</v>
      </c>
      <c r="G281">
        <v>0</v>
      </c>
      <c r="H281">
        <v>0</v>
      </c>
      <c r="I281">
        <v>0</v>
      </c>
      <c r="J281">
        <v>0</v>
      </c>
      <c r="K281" t="s">
        <v>4099</v>
      </c>
      <c r="L281" t="s">
        <v>4100</v>
      </c>
      <c r="M281" t="s">
        <v>4101</v>
      </c>
      <c r="N281" t="s">
        <v>4102</v>
      </c>
      <c r="O281" t="s">
        <v>4103</v>
      </c>
      <c r="P281" t="s">
        <v>4104</v>
      </c>
      <c r="Q281" t="s">
        <v>4105</v>
      </c>
      <c r="R281" t="s">
        <v>4106</v>
      </c>
      <c r="S281" t="s">
        <v>4107</v>
      </c>
      <c r="T281" s="2">
        <v>0.89583333333333337</v>
      </c>
      <c r="U281">
        <v>1</v>
      </c>
      <c r="V281" t="s">
        <v>4108</v>
      </c>
      <c r="X281" t="s">
        <v>4109</v>
      </c>
      <c r="Z281" t="s">
        <v>4110</v>
      </c>
      <c r="AA281" t="s">
        <v>4110</v>
      </c>
      <c r="AB281" t="s">
        <v>4110</v>
      </c>
      <c r="AD281" t="s">
        <v>4110</v>
      </c>
    </row>
    <row r="282" spans="1:30">
      <c r="A282" t="s">
        <v>4111</v>
      </c>
      <c r="B282">
        <v>12</v>
      </c>
      <c r="C282">
        <v>8</v>
      </c>
      <c r="D282">
        <v>2021</v>
      </c>
      <c r="E282" s="1">
        <v>44538</v>
      </c>
      <c r="F282" t="s">
        <v>4112</v>
      </c>
      <c r="G282">
        <v>0</v>
      </c>
      <c r="H282">
        <v>2</v>
      </c>
      <c r="I282">
        <v>2</v>
      </c>
      <c r="J282">
        <v>0</v>
      </c>
      <c r="K282" t="s">
        <v>4113</v>
      </c>
      <c r="L282" t="s">
        <v>4114</v>
      </c>
      <c r="M282" t="s">
        <v>4115</v>
      </c>
      <c r="N282" t="s">
        <v>4116</v>
      </c>
      <c r="O282" t="s">
        <v>4117</v>
      </c>
      <c r="P282" t="s">
        <v>4118</v>
      </c>
      <c r="Q282" t="s">
        <v>4119</v>
      </c>
      <c r="R282" t="s">
        <v>4120</v>
      </c>
      <c r="S282" t="s">
        <v>4121</v>
      </c>
      <c r="T282" s="2">
        <v>0.85416666666666674</v>
      </c>
      <c r="U282">
        <v>1</v>
      </c>
      <c r="V282" t="s">
        <v>4122</v>
      </c>
      <c r="Z282" t="s">
        <v>4123</v>
      </c>
      <c r="AA282" t="s">
        <v>4123</v>
      </c>
      <c r="AB282" t="s">
        <v>4123</v>
      </c>
      <c r="AC282" t="s">
        <v>4123</v>
      </c>
      <c r="AD282" t="s">
        <v>4123</v>
      </c>
    </row>
    <row r="283" spans="1:30">
      <c r="A283" t="s">
        <v>4124</v>
      </c>
      <c r="B283">
        <v>12</v>
      </c>
      <c r="C283">
        <v>7</v>
      </c>
      <c r="D283">
        <v>2021</v>
      </c>
      <c r="E283" s="1">
        <v>44537</v>
      </c>
      <c r="F283" t="s">
        <v>4125</v>
      </c>
      <c r="G283">
        <v>1</v>
      </c>
      <c r="H283">
        <v>0</v>
      </c>
      <c r="I283">
        <v>1</v>
      </c>
      <c r="J283">
        <v>0</v>
      </c>
      <c r="K283" t="s">
        <v>4126</v>
      </c>
      <c r="L283" t="s">
        <v>4127</v>
      </c>
      <c r="M283" t="s">
        <v>4128</v>
      </c>
      <c r="N283" t="s">
        <v>4129</v>
      </c>
      <c r="O283" t="s">
        <v>4130</v>
      </c>
      <c r="P283" t="s">
        <v>4131</v>
      </c>
      <c r="Q283" t="s">
        <v>4132</v>
      </c>
      <c r="R283" t="s">
        <v>4133</v>
      </c>
      <c r="S283" t="s">
        <v>4134</v>
      </c>
      <c r="T283" s="2">
        <v>0.52083333333333337</v>
      </c>
      <c r="U283">
        <v>1</v>
      </c>
      <c r="V283" t="s">
        <v>4135</v>
      </c>
      <c r="W283" t="s">
        <v>4136</v>
      </c>
      <c r="X283" t="s">
        <v>4137</v>
      </c>
      <c r="Y283" t="s">
        <v>4138</v>
      </c>
      <c r="AA283" t="s">
        <v>4138</v>
      </c>
      <c r="AB283" t="s">
        <v>4138</v>
      </c>
      <c r="AC283" t="s">
        <v>4138</v>
      </c>
      <c r="AD283" t="s">
        <v>4138</v>
      </c>
    </row>
    <row r="284" spans="1:30">
      <c r="A284" t="s">
        <v>4139</v>
      </c>
      <c r="B284">
        <v>12</v>
      </c>
      <c r="C284">
        <v>6</v>
      </c>
      <c r="D284">
        <v>2021</v>
      </c>
      <c r="E284" s="1">
        <v>44536</v>
      </c>
      <c r="F284" t="s">
        <v>4140</v>
      </c>
      <c r="G284">
        <v>1</v>
      </c>
      <c r="H284">
        <v>2</v>
      </c>
      <c r="I284">
        <v>3</v>
      </c>
      <c r="J284">
        <v>0</v>
      </c>
      <c r="K284" t="s">
        <v>4141</v>
      </c>
      <c r="L284" t="s">
        <v>4142</v>
      </c>
      <c r="M284" t="s">
        <v>4143</v>
      </c>
      <c r="N284" t="s">
        <v>4144</v>
      </c>
      <c r="O284" t="s">
        <v>4145</v>
      </c>
      <c r="P284" t="s">
        <v>4146</v>
      </c>
      <c r="Q284" t="s">
        <v>4147</v>
      </c>
      <c r="R284" t="s">
        <v>4148</v>
      </c>
      <c r="S284" t="s">
        <v>4149</v>
      </c>
      <c r="T284" s="2">
        <v>0.69861111111111107</v>
      </c>
      <c r="U284">
        <v>1</v>
      </c>
      <c r="V284" t="s">
        <v>4150</v>
      </c>
      <c r="X284" t="s">
        <v>4151</v>
      </c>
      <c r="Y284" t="s">
        <v>4152</v>
      </c>
      <c r="Z284" t="s">
        <v>4153</v>
      </c>
      <c r="AA284" t="s">
        <v>4153</v>
      </c>
      <c r="AB284" t="s">
        <v>4153</v>
      </c>
      <c r="AD284" t="s">
        <v>4153</v>
      </c>
    </row>
    <row r="285" spans="1:30">
      <c r="A285" t="s">
        <v>4154</v>
      </c>
      <c r="B285">
        <v>12</v>
      </c>
      <c r="C285">
        <v>6</v>
      </c>
      <c r="D285">
        <v>2021</v>
      </c>
      <c r="E285" s="1">
        <v>44536</v>
      </c>
      <c r="F285" t="s">
        <v>4155</v>
      </c>
      <c r="G285">
        <v>0</v>
      </c>
      <c r="H285">
        <v>1</v>
      </c>
      <c r="I285">
        <v>1</v>
      </c>
      <c r="J285">
        <v>0</v>
      </c>
      <c r="K285" t="s">
        <v>4156</v>
      </c>
      <c r="L285" t="s">
        <v>4157</v>
      </c>
      <c r="M285" t="s">
        <v>4158</v>
      </c>
      <c r="N285" t="s">
        <v>4159</v>
      </c>
      <c r="O285" t="s">
        <v>4160</v>
      </c>
      <c r="P285" t="s">
        <v>4161</v>
      </c>
      <c r="Q285" t="s">
        <v>4162</v>
      </c>
      <c r="R285" t="s">
        <v>4163</v>
      </c>
      <c r="S285" t="s">
        <v>4164</v>
      </c>
      <c r="T285" s="2">
        <v>0.625</v>
      </c>
      <c r="U285">
        <v>1</v>
      </c>
      <c r="V285" t="s">
        <v>4165</v>
      </c>
      <c r="X285" t="s">
        <v>4166</v>
      </c>
      <c r="Y285" t="s">
        <v>4167</v>
      </c>
      <c r="Z285" t="s">
        <v>4168</v>
      </c>
      <c r="AA285" t="s">
        <v>4168</v>
      </c>
      <c r="AC285" t="s">
        <v>4168</v>
      </c>
      <c r="AD285" t="s">
        <v>4168</v>
      </c>
    </row>
    <row r="286" spans="1:30">
      <c r="A286" t="s">
        <v>4169</v>
      </c>
      <c r="B286">
        <v>12</v>
      </c>
      <c r="C286">
        <v>3</v>
      </c>
      <c r="D286">
        <v>2021</v>
      </c>
      <c r="E286" s="1">
        <v>44533</v>
      </c>
      <c r="F286" t="s">
        <v>4170</v>
      </c>
      <c r="G286">
        <v>0</v>
      </c>
      <c r="H286">
        <v>0</v>
      </c>
      <c r="I286">
        <v>0</v>
      </c>
      <c r="J286">
        <v>0</v>
      </c>
      <c r="K286" t="s">
        <v>4171</v>
      </c>
      <c r="L286" t="s">
        <v>4172</v>
      </c>
      <c r="M286" t="s">
        <v>4173</v>
      </c>
      <c r="N286" t="s">
        <v>4174</v>
      </c>
      <c r="O286" t="s">
        <v>4175</v>
      </c>
      <c r="P286" t="s">
        <v>4176</v>
      </c>
      <c r="Q286" t="s">
        <v>4177</v>
      </c>
      <c r="R286" t="s">
        <v>4178</v>
      </c>
      <c r="S286" t="s">
        <v>4179</v>
      </c>
      <c r="T286" s="2">
        <v>0.6875</v>
      </c>
      <c r="U286">
        <v>1</v>
      </c>
      <c r="V286" t="s">
        <v>4180</v>
      </c>
      <c r="X286" t="s">
        <v>4181</v>
      </c>
      <c r="Y286" t="s">
        <v>4182</v>
      </c>
      <c r="Z286" t="s">
        <v>4182</v>
      </c>
      <c r="AA286" t="s">
        <v>4182</v>
      </c>
      <c r="AC286" t="s">
        <v>4182</v>
      </c>
      <c r="AD286" t="s">
        <v>4182</v>
      </c>
    </row>
    <row r="287" spans="1:30">
      <c r="A287" t="s">
        <v>4183</v>
      </c>
      <c r="B287">
        <v>12</v>
      </c>
      <c r="C287">
        <v>3</v>
      </c>
      <c r="D287">
        <v>2021</v>
      </c>
      <c r="E287" s="1">
        <v>44533</v>
      </c>
      <c r="F287" t="s">
        <v>4184</v>
      </c>
      <c r="G287">
        <v>0</v>
      </c>
      <c r="H287">
        <v>0</v>
      </c>
      <c r="I287">
        <v>0</v>
      </c>
      <c r="J287">
        <v>0</v>
      </c>
      <c r="K287" t="s">
        <v>4185</v>
      </c>
      <c r="L287" t="s">
        <v>4186</v>
      </c>
      <c r="M287" t="s">
        <v>4187</v>
      </c>
      <c r="N287" t="s">
        <v>4188</v>
      </c>
      <c r="O287" t="s">
        <v>4189</v>
      </c>
      <c r="P287" t="s">
        <v>4190</v>
      </c>
      <c r="Q287" t="s">
        <v>4191</v>
      </c>
      <c r="R287" t="s">
        <v>4192</v>
      </c>
      <c r="S287" t="s">
        <v>4193</v>
      </c>
      <c r="T287" s="2">
        <v>0.88541666666666663</v>
      </c>
      <c r="U287">
        <v>1</v>
      </c>
      <c r="V287" t="s">
        <v>4194</v>
      </c>
      <c r="W287" t="s">
        <v>4195</v>
      </c>
      <c r="X287" t="s">
        <v>4196</v>
      </c>
      <c r="Y287" t="s">
        <v>4197</v>
      </c>
      <c r="Z287" t="s">
        <v>4197</v>
      </c>
      <c r="AA287" t="s">
        <v>4197</v>
      </c>
      <c r="AB287" t="s">
        <v>4197</v>
      </c>
      <c r="AC287" t="s">
        <v>4197</v>
      </c>
      <c r="AD287" t="s">
        <v>4197</v>
      </c>
    </row>
    <row r="288" spans="1:30">
      <c r="A288" t="s">
        <v>4198</v>
      </c>
      <c r="B288">
        <v>12</v>
      </c>
      <c r="C288">
        <v>1</v>
      </c>
      <c r="D288">
        <v>2021</v>
      </c>
      <c r="E288" s="1">
        <v>44531</v>
      </c>
      <c r="F288" t="s">
        <v>4199</v>
      </c>
      <c r="G288">
        <v>0</v>
      </c>
      <c r="H288">
        <v>0</v>
      </c>
      <c r="I288">
        <v>0</v>
      </c>
      <c r="J288">
        <v>0</v>
      </c>
      <c r="K288" t="s">
        <v>4200</v>
      </c>
      <c r="L288" t="s">
        <v>4201</v>
      </c>
      <c r="M288" t="s">
        <v>4202</v>
      </c>
      <c r="N288" t="s">
        <v>4203</v>
      </c>
      <c r="O288" t="s">
        <v>4204</v>
      </c>
      <c r="P288" t="s">
        <v>4205</v>
      </c>
      <c r="Q288" t="s">
        <v>4206</v>
      </c>
      <c r="R288" t="s">
        <v>4207</v>
      </c>
      <c r="S288" t="s">
        <v>4208</v>
      </c>
      <c r="T288" s="2">
        <v>0.45833333333333331</v>
      </c>
      <c r="U288">
        <v>1</v>
      </c>
      <c r="V288" t="s">
        <v>4209</v>
      </c>
      <c r="W288" t="s">
        <v>4210</v>
      </c>
      <c r="X288" t="s">
        <v>4211</v>
      </c>
      <c r="Y288" t="s">
        <v>4212</v>
      </c>
      <c r="Z288" t="s">
        <v>4212</v>
      </c>
      <c r="AA288" t="s">
        <v>4212</v>
      </c>
      <c r="AB288" t="s">
        <v>4212</v>
      </c>
      <c r="AC288" t="s">
        <v>4212</v>
      </c>
      <c r="AD288" t="s">
        <v>4212</v>
      </c>
    </row>
    <row r="289" spans="1:30">
      <c r="A289" t="s">
        <v>4213</v>
      </c>
      <c r="B289">
        <v>11</v>
      </c>
      <c r="C289">
        <v>30</v>
      </c>
      <c r="D289">
        <v>2021</v>
      </c>
      <c r="E289" s="1">
        <v>44530</v>
      </c>
      <c r="F289" t="s">
        <v>4214</v>
      </c>
      <c r="G289">
        <v>4</v>
      </c>
      <c r="H289">
        <v>7</v>
      </c>
      <c r="I289">
        <v>11</v>
      </c>
      <c r="J289">
        <v>0</v>
      </c>
      <c r="K289" t="s">
        <v>4215</v>
      </c>
      <c r="L289" t="s">
        <v>4216</v>
      </c>
      <c r="M289" t="s">
        <v>4217</v>
      </c>
      <c r="N289" t="s">
        <v>4218</v>
      </c>
      <c r="O289" t="s">
        <v>4219</v>
      </c>
      <c r="P289" t="s">
        <v>4220</v>
      </c>
      <c r="Q289" t="s">
        <v>4220</v>
      </c>
      <c r="R289" t="s">
        <v>4221</v>
      </c>
      <c r="S289" t="s">
        <v>4222</v>
      </c>
      <c r="T289" s="2">
        <v>0.53541666666666665</v>
      </c>
      <c r="U289">
        <v>10</v>
      </c>
      <c r="V289" t="s">
        <v>4223</v>
      </c>
      <c r="W289" t="s">
        <v>4224</v>
      </c>
      <c r="X289" t="s">
        <v>4225</v>
      </c>
      <c r="Y289" t="s">
        <v>4226</v>
      </c>
      <c r="Z289" t="s">
        <v>4226</v>
      </c>
      <c r="AA289" t="s">
        <v>4226</v>
      </c>
      <c r="AC289" t="s">
        <v>4226</v>
      </c>
      <c r="AD289" t="s">
        <v>4227</v>
      </c>
    </row>
    <row r="290" spans="1:30">
      <c r="A290" t="s">
        <v>4228</v>
      </c>
      <c r="B290">
        <v>11</v>
      </c>
      <c r="C290">
        <v>30</v>
      </c>
      <c r="D290">
        <v>2021</v>
      </c>
      <c r="E290" s="1">
        <v>44530</v>
      </c>
      <c r="F290" t="s">
        <v>4229</v>
      </c>
      <c r="G290">
        <v>0</v>
      </c>
      <c r="H290">
        <v>0</v>
      </c>
      <c r="I290">
        <v>0</v>
      </c>
      <c r="J290">
        <v>0</v>
      </c>
      <c r="K290" t="s">
        <v>4230</v>
      </c>
      <c r="L290" t="s">
        <v>4231</v>
      </c>
      <c r="M290" t="s">
        <v>4232</v>
      </c>
      <c r="N290" t="s">
        <v>4233</v>
      </c>
      <c r="O290" t="s">
        <v>4234</v>
      </c>
      <c r="P290" t="s">
        <v>4235</v>
      </c>
      <c r="Q290" t="s">
        <v>4236</v>
      </c>
      <c r="R290" t="s">
        <v>4237</v>
      </c>
      <c r="S290" t="s">
        <v>4238</v>
      </c>
      <c r="T290" s="2">
        <v>0.75</v>
      </c>
      <c r="U290">
        <v>1</v>
      </c>
      <c r="V290" t="s">
        <v>4239</v>
      </c>
      <c r="W290" t="s">
        <v>4240</v>
      </c>
      <c r="X290" t="s">
        <v>4241</v>
      </c>
      <c r="Y290" t="s">
        <v>4242</v>
      </c>
      <c r="Z290" t="s">
        <v>4243</v>
      </c>
      <c r="AA290" t="s">
        <v>4243</v>
      </c>
      <c r="AB290" t="s">
        <v>4243</v>
      </c>
      <c r="AC290" t="s">
        <v>4243</v>
      </c>
      <c r="AD290" t="s">
        <v>4243</v>
      </c>
    </row>
    <row r="291" spans="1:30">
      <c r="A291" t="s">
        <v>4244</v>
      </c>
      <c r="B291">
        <v>11</v>
      </c>
      <c r="C291">
        <v>30</v>
      </c>
      <c r="D291">
        <v>2021</v>
      </c>
      <c r="E291" s="1">
        <v>44530</v>
      </c>
      <c r="F291" t="s">
        <v>4245</v>
      </c>
      <c r="G291">
        <v>0</v>
      </c>
      <c r="H291">
        <v>0</v>
      </c>
      <c r="I291">
        <v>0</v>
      </c>
      <c r="J291">
        <v>0</v>
      </c>
      <c r="K291" t="s">
        <v>4246</v>
      </c>
      <c r="L291" t="s">
        <v>4247</v>
      </c>
      <c r="M291" t="s">
        <v>4248</v>
      </c>
      <c r="N291" t="s">
        <v>4249</v>
      </c>
      <c r="P291" t="s">
        <v>4250</v>
      </c>
      <c r="Q291" t="s">
        <v>4250</v>
      </c>
      <c r="R291" t="s">
        <v>4251</v>
      </c>
      <c r="S291" t="s">
        <v>4252</v>
      </c>
      <c r="T291" s="2">
        <v>0.72916666666666674</v>
      </c>
      <c r="U291">
        <v>1</v>
      </c>
      <c r="V291" t="s">
        <v>4253</v>
      </c>
      <c r="W291" t="s">
        <v>4254</v>
      </c>
      <c r="X291" t="s">
        <v>4255</v>
      </c>
      <c r="Y291" t="s">
        <v>4256</v>
      </c>
      <c r="Z291" t="s">
        <v>4256</v>
      </c>
      <c r="AA291" t="s">
        <v>4256</v>
      </c>
      <c r="AB291" t="s">
        <v>4256</v>
      </c>
      <c r="AC291" t="s">
        <v>4256</v>
      </c>
      <c r="AD291" t="s">
        <v>4256</v>
      </c>
    </row>
    <row r="292" spans="1:30">
      <c r="A292" t="s">
        <v>4257</v>
      </c>
      <c r="B292">
        <v>11</v>
      </c>
      <c r="C292">
        <v>30</v>
      </c>
      <c r="D292">
        <v>2021</v>
      </c>
      <c r="E292" s="1">
        <v>44530</v>
      </c>
      <c r="F292" t="s">
        <v>4258</v>
      </c>
      <c r="G292">
        <v>1</v>
      </c>
      <c r="H292">
        <v>2</v>
      </c>
      <c r="I292">
        <v>3</v>
      </c>
      <c r="J292">
        <v>0</v>
      </c>
      <c r="K292" t="s">
        <v>4259</v>
      </c>
      <c r="L292" t="s">
        <v>4260</v>
      </c>
      <c r="M292" t="s">
        <v>4261</v>
      </c>
      <c r="N292" t="s">
        <v>4262</v>
      </c>
      <c r="O292" t="s">
        <v>4263</v>
      </c>
      <c r="P292" t="s">
        <v>4264</v>
      </c>
      <c r="Q292" t="s">
        <v>4265</v>
      </c>
      <c r="R292" t="s">
        <v>4266</v>
      </c>
      <c r="S292" t="s">
        <v>4267</v>
      </c>
      <c r="T292" s="2">
        <v>0.85416666666666674</v>
      </c>
      <c r="U292">
        <v>1</v>
      </c>
      <c r="V292" t="s">
        <v>4268</v>
      </c>
      <c r="W292" t="s">
        <v>4269</v>
      </c>
      <c r="X292" t="s">
        <v>4270</v>
      </c>
      <c r="Y292" t="s">
        <v>4271</v>
      </c>
      <c r="Z292" t="s">
        <v>4271</v>
      </c>
      <c r="AA292" t="s">
        <v>4271</v>
      </c>
      <c r="AB292" t="s">
        <v>4271</v>
      </c>
      <c r="AC292" t="s">
        <v>4271</v>
      </c>
      <c r="AD292" t="s">
        <v>4271</v>
      </c>
    </row>
    <row r="293" spans="1:30">
      <c r="A293" t="s">
        <v>4272</v>
      </c>
      <c r="B293">
        <v>11</v>
      </c>
      <c r="C293">
        <v>29</v>
      </c>
      <c r="D293">
        <v>2021</v>
      </c>
      <c r="E293" s="1">
        <v>44529</v>
      </c>
      <c r="F293" t="s">
        <v>4273</v>
      </c>
      <c r="G293">
        <v>0</v>
      </c>
      <c r="H293">
        <v>0</v>
      </c>
      <c r="I293">
        <v>0</v>
      </c>
      <c r="J293">
        <v>0</v>
      </c>
      <c r="K293" t="s">
        <v>4274</v>
      </c>
      <c r="L293" t="s">
        <v>4275</v>
      </c>
      <c r="M293" t="s">
        <v>4276</v>
      </c>
      <c r="N293" t="s">
        <v>4277</v>
      </c>
      <c r="O293" t="s">
        <v>4278</v>
      </c>
      <c r="P293" t="s">
        <v>4279</v>
      </c>
      <c r="Q293" t="s">
        <v>4280</v>
      </c>
      <c r="R293" t="s">
        <v>4281</v>
      </c>
      <c r="S293" t="s">
        <v>4282</v>
      </c>
      <c r="T293" s="2">
        <v>0.66666666666666663</v>
      </c>
      <c r="U293">
        <v>1</v>
      </c>
      <c r="V293" t="s">
        <v>4283</v>
      </c>
      <c r="Y293" t="s">
        <v>4284</v>
      </c>
      <c r="Z293" t="s">
        <v>4284</v>
      </c>
      <c r="AA293" t="s">
        <v>4284</v>
      </c>
      <c r="AB293" t="s">
        <v>4284</v>
      </c>
      <c r="AC293" t="s">
        <v>4284</v>
      </c>
      <c r="AD293" t="s">
        <v>4284</v>
      </c>
    </row>
    <row r="294" spans="1:30">
      <c r="A294" t="s">
        <v>4285</v>
      </c>
      <c r="B294">
        <v>11</v>
      </c>
      <c r="C294">
        <v>29</v>
      </c>
      <c r="D294">
        <v>2021</v>
      </c>
      <c r="E294" s="1">
        <v>44529</v>
      </c>
      <c r="F294" t="s">
        <v>4286</v>
      </c>
      <c r="G294">
        <v>0</v>
      </c>
      <c r="H294">
        <v>1</v>
      </c>
      <c r="I294">
        <v>1</v>
      </c>
      <c r="J294">
        <v>0</v>
      </c>
      <c r="K294" t="s">
        <v>4287</v>
      </c>
      <c r="L294" t="s">
        <v>4288</v>
      </c>
      <c r="M294" t="s">
        <v>4289</v>
      </c>
      <c r="N294" t="s">
        <v>4290</v>
      </c>
      <c r="O294" t="s">
        <v>4291</v>
      </c>
      <c r="P294" t="s">
        <v>4292</v>
      </c>
      <c r="Q294" t="s">
        <v>4293</v>
      </c>
      <c r="R294" t="s">
        <v>4294</v>
      </c>
      <c r="S294" t="s">
        <v>4295</v>
      </c>
      <c r="T294" s="2">
        <v>0.625</v>
      </c>
      <c r="U294">
        <v>1</v>
      </c>
      <c r="V294" t="s">
        <v>4296</v>
      </c>
      <c r="W294" t="s">
        <v>4297</v>
      </c>
      <c r="X294" t="s">
        <v>4298</v>
      </c>
      <c r="Y294" t="s">
        <v>4299</v>
      </c>
      <c r="Z294" t="s">
        <v>4299</v>
      </c>
      <c r="AA294" t="s">
        <v>4299</v>
      </c>
      <c r="AC294" t="s">
        <v>4299</v>
      </c>
      <c r="AD294" t="s">
        <v>4299</v>
      </c>
    </row>
    <row r="295" spans="1:30">
      <c r="A295" t="s">
        <v>4300</v>
      </c>
      <c r="B295">
        <v>11</v>
      </c>
      <c r="C295">
        <v>26</v>
      </c>
      <c r="D295">
        <v>2021</v>
      </c>
      <c r="E295" s="1">
        <v>44526</v>
      </c>
      <c r="F295" t="s">
        <v>4301</v>
      </c>
      <c r="G295">
        <v>0</v>
      </c>
      <c r="H295">
        <v>2</v>
      </c>
      <c r="I295">
        <v>2</v>
      </c>
      <c r="J295">
        <v>0</v>
      </c>
      <c r="K295" t="s">
        <v>4302</v>
      </c>
      <c r="L295" t="s">
        <v>4303</v>
      </c>
      <c r="M295" t="s">
        <v>4304</v>
      </c>
      <c r="N295" t="s">
        <v>4305</v>
      </c>
      <c r="O295" t="s">
        <v>4306</v>
      </c>
      <c r="P295" t="s">
        <v>4307</v>
      </c>
      <c r="Q295" t="s">
        <v>4308</v>
      </c>
      <c r="R295" t="s">
        <v>4309</v>
      </c>
      <c r="S295" t="s">
        <v>4310</v>
      </c>
      <c r="T295" s="2">
        <v>0.875</v>
      </c>
      <c r="U295">
        <v>1</v>
      </c>
      <c r="V295" t="s">
        <v>4311</v>
      </c>
      <c r="W295" t="s">
        <v>4312</v>
      </c>
      <c r="X295" t="s">
        <v>4313</v>
      </c>
      <c r="Y295" t="s">
        <v>4314</v>
      </c>
      <c r="Z295" t="s">
        <v>4314</v>
      </c>
      <c r="AA295" t="s">
        <v>4314</v>
      </c>
      <c r="AB295" t="s">
        <v>4314</v>
      </c>
      <c r="AC295" t="s">
        <v>4314</v>
      </c>
      <c r="AD295" t="s">
        <v>4314</v>
      </c>
    </row>
    <row r="296" spans="1:30">
      <c r="A296" t="s">
        <v>4315</v>
      </c>
      <c r="B296">
        <v>11</v>
      </c>
      <c r="C296">
        <v>24</v>
      </c>
      <c r="D296">
        <v>2021</v>
      </c>
      <c r="E296" s="1">
        <v>44524</v>
      </c>
      <c r="F296" t="s">
        <v>4316</v>
      </c>
      <c r="G296">
        <v>0</v>
      </c>
      <c r="H296">
        <v>0</v>
      </c>
      <c r="I296">
        <v>0</v>
      </c>
      <c r="J296">
        <v>0</v>
      </c>
      <c r="K296" t="s">
        <v>4317</v>
      </c>
      <c r="L296" t="s">
        <v>4318</v>
      </c>
      <c r="M296" t="s">
        <v>4319</v>
      </c>
      <c r="N296" t="s">
        <v>4320</v>
      </c>
      <c r="O296" t="s">
        <v>4321</v>
      </c>
      <c r="P296" t="s">
        <v>4322</v>
      </c>
      <c r="Q296" t="s">
        <v>4323</v>
      </c>
      <c r="R296" t="s">
        <v>4324</v>
      </c>
      <c r="S296" t="s">
        <v>4325</v>
      </c>
      <c r="T296" s="2">
        <v>0.625</v>
      </c>
      <c r="U296">
        <v>1</v>
      </c>
      <c r="V296" t="s">
        <v>4326</v>
      </c>
      <c r="Y296" t="s">
        <v>4327</v>
      </c>
      <c r="Z296" t="s">
        <v>4327</v>
      </c>
      <c r="AA296" t="s">
        <v>4327</v>
      </c>
      <c r="AB296" t="s">
        <v>4327</v>
      </c>
      <c r="AC296" t="s">
        <v>4327</v>
      </c>
      <c r="AD296" t="s">
        <v>4327</v>
      </c>
    </row>
    <row r="297" spans="1:30">
      <c r="A297" t="s">
        <v>4328</v>
      </c>
      <c r="B297">
        <v>11</v>
      </c>
      <c r="C297">
        <v>23</v>
      </c>
      <c r="D297">
        <v>2021</v>
      </c>
      <c r="E297" s="1">
        <v>44523</v>
      </c>
      <c r="F297" t="s">
        <v>4329</v>
      </c>
      <c r="G297">
        <v>0</v>
      </c>
      <c r="H297">
        <v>0</v>
      </c>
      <c r="I297">
        <v>0</v>
      </c>
      <c r="J297">
        <v>0</v>
      </c>
      <c r="K297" t="s">
        <v>4330</v>
      </c>
      <c r="L297" t="s">
        <v>4331</v>
      </c>
      <c r="M297" t="s">
        <v>4332</v>
      </c>
      <c r="N297" t="s">
        <v>4333</v>
      </c>
      <c r="P297" t="s">
        <v>4334</v>
      </c>
      <c r="Q297" t="s">
        <v>4334</v>
      </c>
      <c r="R297" t="s">
        <v>4335</v>
      </c>
      <c r="S297" t="s">
        <v>4336</v>
      </c>
      <c r="T297" s="2">
        <v>0.3125</v>
      </c>
      <c r="U297">
        <v>1</v>
      </c>
      <c r="V297" t="s">
        <v>4337</v>
      </c>
      <c r="W297" t="s">
        <v>4338</v>
      </c>
      <c r="X297" t="s">
        <v>4339</v>
      </c>
      <c r="Y297" t="s">
        <v>4340</v>
      </c>
      <c r="Z297" t="s">
        <v>4340</v>
      </c>
      <c r="AA297" t="s">
        <v>4340</v>
      </c>
      <c r="AB297" t="s">
        <v>4340</v>
      </c>
      <c r="AC297" t="s">
        <v>4340</v>
      </c>
      <c r="AD297" t="s">
        <v>4340</v>
      </c>
    </row>
    <row r="298" spans="1:30">
      <c r="A298" t="s">
        <v>4341</v>
      </c>
      <c r="B298">
        <v>11</v>
      </c>
      <c r="C298">
        <v>19</v>
      </c>
      <c r="D298">
        <v>2021</v>
      </c>
      <c r="E298" s="1">
        <v>44519</v>
      </c>
      <c r="F298" t="s">
        <v>4342</v>
      </c>
      <c r="G298">
        <v>0</v>
      </c>
      <c r="H298">
        <v>3</v>
      </c>
      <c r="I298">
        <v>3</v>
      </c>
      <c r="J298">
        <v>0</v>
      </c>
      <c r="K298" t="s">
        <v>4343</v>
      </c>
      <c r="L298" t="s">
        <v>4344</v>
      </c>
      <c r="M298" t="s">
        <v>4345</v>
      </c>
      <c r="N298" t="s">
        <v>4346</v>
      </c>
      <c r="O298" t="s">
        <v>4347</v>
      </c>
      <c r="P298" t="s">
        <v>4348</v>
      </c>
      <c r="Q298" t="s">
        <v>4349</v>
      </c>
      <c r="T298" s="2">
        <v>0.57638888888888884</v>
      </c>
      <c r="U298">
        <v>1</v>
      </c>
      <c r="V298" t="s">
        <v>4350</v>
      </c>
      <c r="W298" t="s">
        <v>4351</v>
      </c>
      <c r="X298" t="s">
        <v>4352</v>
      </c>
      <c r="Y298" t="s">
        <v>4353</v>
      </c>
      <c r="Z298" t="s">
        <v>4354</v>
      </c>
      <c r="AA298" t="s">
        <v>4354</v>
      </c>
      <c r="AB298" t="s">
        <v>4354</v>
      </c>
      <c r="AC298" t="s">
        <v>4354</v>
      </c>
      <c r="AD298" t="s">
        <v>4354</v>
      </c>
    </row>
    <row r="299" spans="1:30">
      <c r="A299" t="s">
        <v>4355</v>
      </c>
      <c r="B299">
        <v>11</v>
      </c>
      <c r="C299">
        <v>18</v>
      </c>
      <c r="D299">
        <v>2021</v>
      </c>
      <c r="E299" s="1">
        <v>44518</v>
      </c>
      <c r="F299" t="s">
        <v>4356</v>
      </c>
      <c r="G299">
        <v>1</v>
      </c>
      <c r="H299">
        <v>0</v>
      </c>
      <c r="I299">
        <v>1</v>
      </c>
      <c r="J299">
        <v>0</v>
      </c>
      <c r="K299" t="s">
        <v>4357</v>
      </c>
      <c r="L299" t="s">
        <v>4358</v>
      </c>
      <c r="M299" t="s">
        <v>4359</v>
      </c>
      <c r="N299" t="s">
        <v>4360</v>
      </c>
      <c r="O299" t="s">
        <v>4361</v>
      </c>
      <c r="P299" t="s">
        <v>4362</v>
      </c>
      <c r="Q299" t="s">
        <v>4363</v>
      </c>
      <c r="R299" t="s">
        <v>4364</v>
      </c>
      <c r="S299" t="s">
        <v>4365</v>
      </c>
      <c r="T299" s="2">
        <v>0.7944444444444444</v>
      </c>
      <c r="U299">
        <v>1</v>
      </c>
      <c r="V299" t="s">
        <v>4366</v>
      </c>
      <c r="X299" t="s">
        <v>4367</v>
      </c>
      <c r="Z299" t="s">
        <v>4368</v>
      </c>
      <c r="AA299" t="s">
        <v>4368</v>
      </c>
      <c r="AB299" t="s">
        <v>4368</v>
      </c>
      <c r="AD299" t="s">
        <v>4368</v>
      </c>
    </row>
    <row r="300" spans="1:30">
      <c r="A300" t="s">
        <v>4369</v>
      </c>
      <c r="B300">
        <v>11</v>
      </c>
      <c r="C300">
        <v>16</v>
      </c>
      <c r="D300">
        <v>2021</v>
      </c>
      <c r="E300" s="1">
        <v>44516</v>
      </c>
      <c r="F300" t="s">
        <v>4370</v>
      </c>
      <c r="G300">
        <v>0</v>
      </c>
      <c r="H300">
        <v>0</v>
      </c>
      <c r="I300">
        <v>0</v>
      </c>
      <c r="J300">
        <v>0</v>
      </c>
      <c r="K300" t="s">
        <v>4371</v>
      </c>
      <c r="L300" t="s">
        <v>4372</v>
      </c>
      <c r="M300" t="s">
        <v>4373</v>
      </c>
      <c r="N300" t="s">
        <v>4374</v>
      </c>
      <c r="O300" t="s">
        <v>4375</v>
      </c>
      <c r="P300" t="s">
        <v>4376</v>
      </c>
      <c r="Q300" t="s">
        <v>4377</v>
      </c>
      <c r="R300" t="s">
        <v>4378</v>
      </c>
      <c r="S300" t="s">
        <v>4379</v>
      </c>
      <c r="T300" s="2">
        <v>0.59375</v>
      </c>
      <c r="U300">
        <v>1</v>
      </c>
      <c r="V300" t="s">
        <v>4380</v>
      </c>
      <c r="X300" t="s">
        <v>4381</v>
      </c>
      <c r="Y300" t="s">
        <v>4382</v>
      </c>
      <c r="Z300" t="s">
        <v>4382</v>
      </c>
      <c r="AA300" t="s">
        <v>4382</v>
      </c>
      <c r="AB300" t="s">
        <v>4382</v>
      </c>
      <c r="AC300" t="s">
        <v>4382</v>
      </c>
      <c r="AD300" t="s">
        <v>4382</v>
      </c>
    </row>
    <row r="301" spans="1:30">
      <c r="A301" t="s">
        <v>4383</v>
      </c>
      <c r="B301">
        <v>11</v>
      </c>
      <c r="C301">
        <v>16</v>
      </c>
      <c r="D301">
        <v>2021</v>
      </c>
      <c r="E301" s="1">
        <v>44516</v>
      </c>
      <c r="F301" t="s">
        <v>4384</v>
      </c>
      <c r="G301">
        <v>0</v>
      </c>
      <c r="H301">
        <v>0</v>
      </c>
      <c r="I301">
        <v>0</v>
      </c>
      <c r="J301">
        <v>0</v>
      </c>
      <c r="K301" t="s">
        <v>4385</v>
      </c>
      <c r="L301" t="s">
        <v>4386</v>
      </c>
      <c r="M301" t="s">
        <v>4387</v>
      </c>
      <c r="N301" t="s">
        <v>4388</v>
      </c>
      <c r="P301" t="s">
        <v>4389</v>
      </c>
      <c r="Q301" t="s">
        <v>4389</v>
      </c>
      <c r="R301" t="s">
        <v>4390</v>
      </c>
      <c r="S301" t="s">
        <v>4391</v>
      </c>
      <c r="T301" s="2">
        <v>0.75</v>
      </c>
      <c r="U301">
        <v>1</v>
      </c>
      <c r="V301" t="s">
        <v>4392</v>
      </c>
      <c r="X301" t="s">
        <v>4393</v>
      </c>
      <c r="Z301" t="s">
        <v>4394</v>
      </c>
      <c r="AA301" t="s">
        <v>4394</v>
      </c>
      <c r="AB301" t="s">
        <v>4394</v>
      </c>
      <c r="AC301" t="s">
        <v>4394</v>
      </c>
      <c r="AD301" t="s">
        <v>4394</v>
      </c>
    </row>
    <row r="302" spans="1:30">
      <c r="A302" t="s">
        <v>4395</v>
      </c>
      <c r="B302">
        <v>11</v>
      </c>
      <c r="C302">
        <v>15</v>
      </c>
      <c r="D302">
        <v>2021</v>
      </c>
      <c r="E302" s="1">
        <v>44515</v>
      </c>
      <c r="F302" t="s">
        <v>4396</v>
      </c>
      <c r="G302">
        <v>0</v>
      </c>
      <c r="H302">
        <v>0</v>
      </c>
      <c r="I302">
        <v>0</v>
      </c>
      <c r="J302">
        <v>0</v>
      </c>
      <c r="K302" t="s">
        <v>4397</v>
      </c>
      <c r="L302" t="s">
        <v>4398</v>
      </c>
      <c r="M302" t="s">
        <v>4399</v>
      </c>
      <c r="N302" t="s">
        <v>4400</v>
      </c>
      <c r="O302" t="s">
        <v>4401</v>
      </c>
      <c r="P302" t="s">
        <v>4402</v>
      </c>
      <c r="Q302" t="s">
        <v>4403</v>
      </c>
      <c r="R302" t="s">
        <v>4404</v>
      </c>
      <c r="S302" t="s">
        <v>4405</v>
      </c>
      <c r="T302" s="2">
        <v>0.63541666666666663</v>
      </c>
      <c r="U302">
        <v>1</v>
      </c>
      <c r="V302" t="s">
        <v>4406</v>
      </c>
      <c r="W302" t="s">
        <v>4407</v>
      </c>
      <c r="X302" t="s">
        <v>4408</v>
      </c>
      <c r="Y302" t="s">
        <v>4409</v>
      </c>
      <c r="Z302" t="s">
        <v>4410</v>
      </c>
      <c r="AA302" t="s">
        <v>4410</v>
      </c>
      <c r="AB302" t="s">
        <v>4410</v>
      </c>
      <c r="AC302" t="s">
        <v>4410</v>
      </c>
      <c r="AD302" t="s">
        <v>4410</v>
      </c>
    </row>
    <row r="303" spans="1:30">
      <c r="A303" t="s">
        <v>4411</v>
      </c>
      <c r="B303">
        <v>11</v>
      </c>
      <c r="C303">
        <v>10</v>
      </c>
      <c r="D303">
        <v>2021</v>
      </c>
      <c r="E303" s="1">
        <v>44510</v>
      </c>
      <c r="F303" t="s">
        <v>4412</v>
      </c>
      <c r="G303">
        <v>0</v>
      </c>
      <c r="H303">
        <v>0</v>
      </c>
      <c r="I303">
        <v>0</v>
      </c>
      <c r="J303">
        <v>0</v>
      </c>
      <c r="K303" t="s">
        <v>4413</v>
      </c>
      <c r="L303" t="s">
        <v>4414</v>
      </c>
      <c r="M303" t="s">
        <v>4415</v>
      </c>
      <c r="N303" t="s">
        <v>4416</v>
      </c>
      <c r="O303" t="s">
        <v>4417</v>
      </c>
      <c r="P303" t="s">
        <v>4418</v>
      </c>
      <c r="Q303" t="s">
        <v>4418</v>
      </c>
      <c r="R303" t="s">
        <v>4419</v>
      </c>
      <c r="S303" t="s">
        <v>4420</v>
      </c>
      <c r="T303" s="2">
        <v>0.77083333333333337</v>
      </c>
      <c r="U303">
        <v>1</v>
      </c>
      <c r="V303" t="s">
        <v>4421</v>
      </c>
      <c r="Y303" t="s">
        <v>4422</v>
      </c>
      <c r="Z303" t="s">
        <v>4422</v>
      </c>
      <c r="AA303" t="s">
        <v>4422</v>
      </c>
      <c r="AB303" t="s">
        <v>4422</v>
      </c>
      <c r="AC303" t="s">
        <v>4422</v>
      </c>
      <c r="AD303" t="s">
        <v>4422</v>
      </c>
    </row>
    <row r="304" spans="1:30">
      <c r="A304" t="s">
        <v>4423</v>
      </c>
      <c r="B304">
        <v>11</v>
      </c>
      <c r="C304">
        <v>9</v>
      </c>
      <c r="D304">
        <v>2021</v>
      </c>
      <c r="E304" s="1">
        <v>44509</v>
      </c>
      <c r="F304" t="s">
        <v>4424</v>
      </c>
      <c r="G304">
        <v>0</v>
      </c>
      <c r="H304">
        <v>0</v>
      </c>
      <c r="I304">
        <v>0</v>
      </c>
      <c r="J304">
        <v>1</v>
      </c>
      <c r="K304" t="s">
        <v>4425</v>
      </c>
      <c r="L304" t="s">
        <v>4426</v>
      </c>
      <c r="M304" t="s">
        <v>4427</v>
      </c>
      <c r="N304" t="s">
        <v>4428</v>
      </c>
      <c r="P304" t="s">
        <v>4429</v>
      </c>
      <c r="Q304" t="s">
        <v>4430</v>
      </c>
      <c r="R304" t="s">
        <v>4431</v>
      </c>
      <c r="S304" t="s">
        <v>4432</v>
      </c>
      <c r="T304" s="2">
        <v>0.33333333333333331</v>
      </c>
      <c r="U304">
        <v>210</v>
      </c>
      <c r="V304" t="s">
        <v>4433</v>
      </c>
      <c r="W304" t="s">
        <v>4434</v>
      </c>
      <c r="X304" t="s">
        <v>4435</v>
      </c>
      <c r="Y304" t="s">
        <v>4436</v>
      </c>
      <c r="Z304" t="s">
        <v>4436</v>
      </c>
      <c r="AA304" t="s">
        <v>4436</v>
      </c>
      <c r="AB304" t="s">
        <v>4436</v>
      </c>
      <c r="AC304" t="s">
        <v>4436</v>
      </c>
      <c r="AD304" t="s">
        <v>4436</v>
      </c>
    </row>
    <row r="305" spans="1:30">
      <c r="A305" t="s">
        <v>4437</v>
      </c>
      <c r="B305">
        <v>11</v>
      </c>
      <c r="C305">
        <v>8</v>
      </c>
      <c r="D305">
        <v>2021</v>
      </c>
      <c r="E305" s="1">
        <v>44508</v>
      </c>
      <c r="F305" t="s">
        <v>4438</v>
      </c>
      <c r="G305">
        <v>0</v>
      </c>
      <c r="H305">
        <v>1</v>
      </c>
      <c r="I305">
        <v>1</v>
      </c>
      <c r="J305">
        <v>0</v>
      </c>
      <c r="K305" t="s">
        <v>4439</v>
      </c>
      <c r="L305" t="s">
        <v>4440</v>
      </c>
      <c r="M305" t="s">
        <v>4441</v>
      </c>
      <c r="N305" t="s">
        <v>4442</v>
      </c>
      <c r="O305" t="s">
        <v>4443</v>
      </c>
      <c r="P305" t="s">
        <v>4444</v>
      </c>
      <c r="Q305" t="s">
        <v>4445</v>
      </c>
      <c r="R305" t="s">
        <v>4446</v>
      </c>
      <c r="S305" t="s">
        <v>4447</v>
      </c>
      <c r="T305" s="2">
        <v>0.61111111111111116</v>
      </c>
      <c r="U305">
        <v>1</v>
      </c>
      <c r="V305" t="s">
        <v>4448</v>
      </c>
      <c r="W305" t="s">
        <v>4449</v>
      </c>
      <c r="X305" t="s">
        <v>4450</v>
      </c>
      <c r="Y305" t="s">
        <v>4451</v>
      </c>
      <c r="Z305" t="s">
        <v>4452</v>
      </c>
      <c r="AA305" t="s">
        <v>4452</v>
      </c>
      <c r="AB305" t="s">
        <v>4452</v>
      </c>
      <c r="AC305" t="s">
        <v>4452</v>
      </c>
      <c r="AD305" t="s">
        <v>4452</v>
      </c>
    </row>
    <row r="306" spans="1:30">
      <c r="A306" t="s">
        <v>4453</v>
      </c>
      <c r="B306">
        <v>11</v>
      </c>
      <c r="C306">
        <v>6</v>
      </c>
      <c r="D306">
        <v>2021</v>
      </c>
      <c r="E306" s="1">
        <v>44506</v>
      </c>
      <c r="F306" t="s">
        <v>4454</v>
      </c>
      <c r="G306">
        <v>0</v>
      </c>
      <c r="H306">
        <v>0</v>
      </c>
      <c r="I306">
        <v>0</v>
      </c>
      <c r="J306">
        <v>0</v>
      </c>
      <c r="K306" t="s">
        <v>4455</v>
      </c>
      <c r="L306" t="s">
        <v>4456</v>
      </c>
      <c r="M306" t="s">
        <v>4457</v>
      </c>
      <c r="N306" t="s">
        <v>4458</v>
      </c>
      <c r="O306" t="s">
        <v>4459</v>
      </c>
      <c r="P306" t="s">
        <v>4460</v>
      </c>
      <c r="Q306" t="s">
        <v>4461</v>
      </c>
      <c r="R306" t="s">
        <v>4462</v>
      </c>
      <c r="S306" t="s">
        <v>4463</v>
      </c>
      <c r="T306" s="2">
        <v>0.91666666666666663</v>
      </c>
      <c r="U306">
        <v>1</v>
      </c>
      <c r="V306" t="s">
        <v>4464</v>
      </c>
      <c r="W306" t="s">
        <v>4465</v>
      </c>
      <c r="X306" t="s">
        <v>4466</v>
      </c>
      <c r="Y306" t="s">
        <v>4467</v>
      </c>
      <c r="Z306" t="s">
        <v>4467</v>
      </c>
      <c r="AA306" t="s">
        <v>4467</v>
      </c>
      <c r="AB306" t="s">
        <v>4467</v>
      </c>
      <c r="AC306" t="s">
        <v>4467</v>
      </c>
      <c r="AD306" t="s">
        <v>4467</v>
      </c>
    </row>
    <row r="307" spans="1:30">
      <c r="A307" t="s">
        <v>4468</v>
      </c>
      <c r="B307">
        <v>11</v>
      </c>
      <c r="C307">
        <v>4</v>
      </c>
      <c r="D307">
        <v>2021</v>
      </c>
      <c r="E307" s="1">
        <v>44504</v>
      </c>
      <c r="F307" t="s">
        <v>4469</v>
      </c>
      <c r="G307">
        <v>0</v>
      </c>
      <c r="H307">
        <v>0</v>
      </c>
      <c r="I307">
        <v>0</v>
      </c>
      <c r="J307">
        <v>0</v>
      </c>
      <c r="K307" t="s">
        <v>4470</v>
      </c>
      <c r="L307" t="s">
        <v>4471</v>
      </c>
      <c r="M307" t="s">
        <v>4472</v>
      </c>
      <c r="N307" t="s">
        <v>4473</v>
      </c>
      <c r="O307" t="s">
        <v>4474</v>
      </c>
      <c r="P307" t="s">
        <v>4475</v>
      </c>
      <c r="Q307" t="s">
        <v>4475</v>
      </c>
      <c r="R307" t="s">
        <v>4476</v>
      </c>
      <c r="S307" t="s">
        <v>4477</v>
      </c>
      <c r="U307">
        <v>1</v>
      </c>
      <c r="V307" t="s">
        <v>4478</v>
      </c>
      <c r="Z307" t="s">
        <v>4479</v>
      </c>
      <c r="AA307" t="s">
        <v>4479</v>
      </c>
      <c r="AC307" t="s">
        <v>4479</v>
      </c>
      <c r="AD307" t="s">
        <v>4479</v>
      </c>
    </row>
    <row r="308" spans="1:30">
      <c r="A308" t="s">
        <v>4480</v>
      </c>
      <c r="B308">
        <v>11</v>
      </c>
      <c r="C308">
        <v>2</v>
      </c>
      <c r="D308">
        <v>2021</v>
      </c>
      <c r="E308" s="1">
        <v>44502</v>
      </c>
      <c r="F308" t="s">
        <v>4481</v>
      </c>
      <c r="G308">
        <v>0</v>
      </c>
      <c r="H308">
        <v>3</v>
      </c>
      <c r="I308">
        <v>3</v>
      </c>
      <c r="J308">
        <v>0</v>
      </c>
      <c r="K308" t="s">
        <v>4482</v>
      </c>
      <c r="L308" t="s">
        <v>4483</v>
      </c>
      <c r="M308" t="s">
        <v>4484</v>
      </c>
      <c r="N308" t="s">
        <v>4485</v>
      </c>
      <c r="O308" t="s">
        <v>4486</v>
      </c>
      <c r="P308" t="s">
        <v>4487</v>
      </c>
      <c r="Q308" t="s">
        <v>4488</v>
      </c>
      <c r="R308" t="s">
        <v>4489</v>
      </c>
      <c r="S308" t="s">
        <v>4490</v>
      </c>
      <c r="T308" s="2">
        <v>0.625</v>
      </c>
      <c r="U308">
        <v>1</v>
      </c>
      <c r="V308" t="s">
        <v>4491</v>
      </c>
      <c r="W308" t="s">
        <v>4492</v>
      </c>
      <c r="X308" t="s">
        <v>4493</v>
      </c>
      <c r="Y308" t="s">
        <v>4494</v>
      </c>
      <c r="Z308" t="s">
        <v>4495</v>
      </c>
      <c r="AA308" t="s">
        <v>4495</v>
      </c>
      <c r="AB308" t="s">
        <v>4495</v>
      </c>
      <c r="AC308" t="s">
        <v>4495</v>
      </c>
      <c r="AD308" t="s">
        <v>4495</v>
      </c>
    </row>
    <row r="309" spans="1:30">
      <c r="A309" t="s">
        <v>4496</v>
      </c>
      <c r="B309">
        <v>10</v>
      </c>
      <c r="C309">
        <v>30</v>
      </c>
      <c r="D309">
        <v>2021</v>
      </c>
      <c r="E309" s="1">
        <v>44499</v>
      </c>
      <c r="F309" t="s">
        <v>4497</v>
      </c>
      <c r="G309">
        <v>0</v>
      </c>
      <c r="H309">
        <v>1</v>
      </c>
      <c r="I309">
        <v>1</v>
      </c>
      <c r="J309">
        <v>0</v>
      </c>
      <c r="K309" t="s">
        <v>4498</v>
      </c>
      <c r="L309" t="s">
        <v>4499</v>
      </c>
      <c r="M309" t="s">
        <v>4500</v>
      </c>
      <c r="N309" t="s">
        <v>4501</v>
      </c>
      <c r="O309" t="s">
        <v>4502</v>
      </c>
      <c r="P309" t="s">
        <v>4503</v>
      </c>
      <c r="Q309" t="s">
        <v>4504</v>
      </c>
      <c r="R309" t="s">
        <v>4505</v>
      </c>
      <c r="S309" t="s">
        <v>4506</v>
      </c>
      <c r="T309" s="2">
        <v>0.69791666666666663</v>
      </c>
      <c r="U309">
        <v>1</v>
      </c>
      <c r="V309" t="s">
        <v>4507</v>
      </c>
      <c r="W309" t="s">
        <v>4508</v>
      </c>
      <c r="X309" t="s">
        <v>4509</v>
      </c>
      <c r="Y309" t="s">
        <v>4510</v>
      </c>
      <c r="Z309" t="s">
        <v>4510</v>
      </c>
      <c r="AA309" t="s">
        <v>4510</v>
      </c>
      <c r="AB309" t="s">
        <v>4510</v>
      </c>
      <c r="AC309" t="s">
        <v>4510</v>
      </c>
      <c r="AD309" t="s">
        <v>4510</v>
      </c>
    </row>
    <row r="310" spans="1:30">
      <c r="A310" t="s">
        <v>4511</v>
      </c>
      <c r="B310">
        <v>10</v>
      </c>
      <c r="C310">
        <v>27</v>
      </c>
      <c r="D310">
        <v>2021</v>
      </c>
      <c r="E310" s="1">
        <v>44496</v>
      </c>
      <c r="F310" t="s">
        <v>4512</v>
      </c>
      <c r="G310">
        <v>0</v>
      </c>
      <c r="H310">
        <v>0</v>
      </c>
      <c r="I310">
        <v>0</v>
      </c>
      <c r="J310">
        <v>0</v>
      </c>
      <c r="K310" t="s">
        <v>4513</v>
      </c>
      <c r="L310" t="s">
        <v>4514</v>
      </c>
      <c r="M310" t="s">
        <v>4515</v>
      </c>
      <c r="N310" t="s">
        <v>4516</v>
      </c>
      <c r="O310" t="s">
        <v>4517</v>
      </c>
      <c r="P310" t="s">
        <v>4518</v>
      </c>
      <c r="Q310" t="s">
        <v>4519</v>
      </c>
      <c r="R310" t="s">
        <v>4520</v>
      </c>
      <c r="S310" t="s">
        <v>4521</v>
      </c>
      <c r="T310" s="2">
        <v>0.83333333333333337</v>
      </c>
      <c r="U310">
        <v>1</v>
      </c>
      <c r="V310" t="s">
        <v>4522</v>
      </c>
      <c r="W310" t="s">
        <v>4523</v>
      </c>
      <c r="X310" t="s">
        <v>4524</v>
      </c>
      <c r="Y310" t="s">
        <v>4525</v>
      </c>
      <c r="Z310" t="s">
        <v>4525</v>
      </c>
      <c r="AA310" t="s">
        <v>4525</v>
      </c>
      <c r="AB310" t="s">
        <v>4525</v>
      </c>
      <c r="AC310" t="s">
        <v>4525</v>
      </c>
      <c r="AD310" t="s">
        <v>4525</v>
      </c>
    </row>
    <row r="311" spans="1:30">
      <c r="A311" t="s">
        <v>4526</v>
      </c>
      <c r="B311">
        <v>10</v>
      </c>
      <c r="C311">
        <v>26</v>
      </c>
      <c r="D311">
        <v>2021</v>
      </c>
      <c r="E311" s="1">
        <v>44495</v>
      </c>
      <c r="F311" t="s">
        <v>4527</v>
      </c>
      <c r="G311">
        <v>0</v>
      </c>
      <c r="H311">
        <v>0</v>
      </c>
      <c r="I311">
        <v>0</v>
      </c>
      <c r="J311">
        <v>0</v>
      </c>
      <c r="K311" t="s">
        <v>4528</v>
      </c>
      <c r="M311" t="s">
        <v>4529</v>
      </c>
      <c r="N311" t="s">
        <v>4530</v>
      </c>
      <c r="O311" t="s">
        <v>4531</v>
      </c>
      <c r="P311" t="s">
        <v>4532</v>
      </c>
      <c r="Q311" t="s">
        <v>4533</v>
      </c>
      <c r="R311" t="s">
        <v>4534</v>
      </c>
      <c r="S311" t="s">
        <v>4535</v>
      </c>
      <c r="T311" s="2">
        <v>0.65694444444444444</v>
      </c>
      <c r="U311">
        <v>1</v>
      </c>
      <c r="V311" t="s">
        <v>4536</v>
      </c>
      <c r="W311" t="s">
        <v>4537</v>
      </c>
      <c r="X311" t="s">
        <v>4538</v>
      </c>
      <c r="Y311" t="s">
        <v>4539</v>
      </c>
      <c r="Z311" t="s">
        <v>4539</v>
      </c>
      <c r="AA311" t="s">
        <v>4539</v>
      </c>
      <c r="AB311" t="s">
        <v>4539</v>
      </c>
      <c r="AC311" t="s">
        <v>4539</v>
      </c>
      <c r="AD311" t="s">
        <v>4539</v>
      </c>
    </row>
    <row r="312" spans="1:30">
      <c r="A312" t="s">
        <v>4540</v>
      </c>
      <c r="B312">
        <v>10</v>
      </c>
      <c r="C312">
        <v>26</v>
      </c>
      <c r="D312">
        <v>2021</v>
      </c>
      <c r="E312" s="1">
        <v>44495</v>
      </c>
      <c r="F312" t="s">
        <v>4541</v>
      </c>
      <c r="G312">
        <v>0</v>
      </c>
      <c r="H312">
        <v>0</v>
      </c>
      <c r="I312">
        <v>0</v>
      </c>
      <c r="J312">
        <v>0</v>
      </c>
      <c r="K312" t="s">
        <v>4542</v>
      </c>
      <c r="L312" t="s">
        <v>4543</v>
      </c>
      <c r="M312" t="s">
        <v>4544</v>
      </c>
      <c r="N312" t="s">
        <v>4545</v>
      </c>
      <c r="O312" t="s">
        <v>4546</v>
      </c>
      <c r="P312" t="s">
        <v>4547</v>
      </c>
      <c r="Q312" t="s">
        <v>4548</v>
      </c>
      <c r="R312" t="s">
        <v>4549</v>
      </c>
      <c r="S312" t="s">
        <v>4550</v>
      </c>
      <c r="T312" s="2">
        <v>0.3888888888888889</v>
      </c>
      <c r="U312">
        <v>1</v>
      </c>
      <c r="V312" t="s">
        <v>4551</v>
      </c>
      <c r="W312" t="s">
        <v>4552</v>
      </c>
      <c r="X312" t="s">
        <v>4553</v>
      </c>
      <c r="Y312" t="s">
        <v>4554</v>
      </c>
      <c r="Z312" t="s">
        <v>4554</v>
      </c>
      <c r="AA312" t="s">
        <v>4554</v>
      </c>
      <c r="AB312" t="s">
        <v>4554</v>
      </c>
      <c r="AC312" t="s">
        <v>4554</v>
      </c>
      <c r="AD312" t="s">
        <v>4554</v>
      </c>
    </row>
    <row r="313" spans="1:30">
      <c r="A313" t="s">
        <v>4555</v>
      </c>
      <c r="B313">
        <v>10</v>
      </c>
      <c r="C313">
        <v>22</v>
      </c>
      <c r="D313">
        <v>2021</v>
      </c>
      <c r="E313" s="1">
        <v>44491</v>
      </c>
      <c r="F313" t="s">
        <v>4556</v>
      </c>
      <c r="G313">
        <v>0</v>
      </c>
      <c r="H313">
        <v>0</v>
      </c>
      <c r="I313">
        <v>0</v>
      </c>
      <c r="J313">
        <v>0</v>
      </c>
      <c r="K313" t="s">
        <v>4557</v>
      </c>
      <c r="L313" t="s">
        <v>4558</v>
      </c>
      <c r="M313" t="s">
        <v>4559</v>
      </c>
      <c r="N313" t="s">
        <v>4560</v>
      </c>
      <c r="O313" t="s">
        <v>4561</v>
      </c>
      <c r="P313" t="s">
        <v>4562</v>
      </c>
      <c r="Q313" t="s">
        <v>4563</v>
      </c>
      <c r="R313" t="s">
        <v>4564</v>
      </c>
      <c r="S313" t="s">
        <v>4565</v>
      </c>
      <c r="T313" s="2">
        <v>0.54166666666666663</v>
      </c>
      <c r="U313">
        <v>1</v>
      </c>
      <c r="V313" t="s">
        <v>4566</v>
      </c>
      <c r="W313" t="s">
        <v>4567</v>
      </c>
      <c r="X313" t="s">
        <v>4568</v>
      </c>
      <c r="Y313" t="s">
        <v>4569</v>
      </c>
      <c r="Z313" t="s">
        <v>4570</v>
      </c>
      <c r="AA313" t="s">
        <v>4570</v>
      </c>
      <c r="AB313" t="s">
        <v>4570</v>
      </c>
      <c r="AC313" t="s">
        <v>4570</v>
      </c>
      <c r="AD313" t="s">
        <v>4570</v>
      </c>
    </row>
    <row r="314" spans="1:30">
      <c r="A314" t="s">
        <v>4571</v>
      </c>
      <c r="B314">
        <v>10</v>
      </c>
      <c r="C314">
        <v>21</v>
      </c>
      <c r="D314">
        <v>2021</v>
      </c>
      <c r="E314" s="1">
        <v>44490</v>
      </c>
      <c r="F314" t="s">
        <v>4572</v>
      </c>
      <c r="G314">
        <v>0</v>
      </c>
      <c r="H314">
        <v>1</v>
      </c>
      <c r="I314">
        <v>1</v>
      </c>
      <c r="J314">
        <v>0</v>
      </c>
      <c r="K314" t="s">
        <v>4573</v>
      </c>
      <c r="L314" t="s">
        <v>4574</v>
      </c>
      <c r="M314" t="s">
        <v>4575</v>
      </c>
      <c r="N314" t="s">
        <v>4576</v>
      </c>
      <c r="O314" t="s">
        <v>4577</v>
      </c>
      <c r="P314" t="s">
        <v>4578</v>
      </c>
      <c r="Q314" t="s">
        <v>4579</v>
      </c>
      <c r="R314" t="s">
        <v>4580</v>
      </c>
      <c r="S314" t="s">
        <v>4581</v>
      </c>
      <c r="T314" s="2">
        <v>0.58333333333333337</v>
      </c>
      <c r="U314">
        <v>1</v>
      </c>
      <c r="V314" t="s">
        <v>4582</v>
      </c>
      <c r="W314" t="s">
        <v>4583</v>
      </c>
      <c r="X314" t="s">
        <v>4584</v>
      </c>
      <c r="Y314" t="s">
        <v>4585</v>
      </c>
      <c r="Z314" t="s">
        <v>4585</v>
      </c>
      <c r="AA314" t="s">
        <v>4585</v>
      </c>
      <c r="AB314" t="s">
        <v>4585</v>
      </c>
      <c r="AC314" t="s">
        <v>4585</v>
      </c>
      <c r="AD314" t="s">
        <v>4585</v>
      </c>
    </row>
    <row r="315" spans="1:30">
      <c r="A315" t="s">
        <v>4586</v>
      </c>
      <c r="B315">
        <v>10</v>
      </c>
      <c r="C315">
        <v>21</v>
      </c>
      <c r="D315">
        <v>2021</v>
      </c>
      <c r="E315" s="1">
        <v>44490</v>
      </c>
      <c r="F315" t="s">
        <v>4587</v>
      </c>
      <c r="G315">
        <v>0</v>
      </c>
      <c r="H315">
        <v>0</v>
      </c>
      <c r="I315">
        <v>0</v>
      </c>
      <c r="J315">
        <v>0</v>
      </c>
      <c r="K315" t="s">
        <v>4588</v>
      </c>
      <c r="L315" t="s">
        <v>4589</v>
      </c>
      <c r="M315" t="s">
        <v>4590</v>
      </c>
      <c r="N315" t="s">
        <v>4591</v>
      </c>
      <c r="O315" t="s">
        <v>4592</v>
      </c>
      <c r="P315" t="s">
        <v>4593</v>
      </c>
      <c r="Q315" t="s">
        <v>4594</v>
      </c>
      <c r="R315" t="s">
        <v>4595</v>
      </c>
      <c r="S315" t="s">
        <v>4596</v>
      </c>
      <c r="T315" s="2">
        <v>0.79166666666666663</v>
      </c>
      <c r="U315">
        <v>1</v>
      </c>
      <c r="V315" t="s">
        <v>4597</v>
      </c>
      <c r="W315" t="s">
        <v>4598</v>
      </c>
      <c r="X315" t="s">
        <v>4599</v>
      </c>
      <c r="Y315" t="s">
        <v>4600</v>
      </c>
      <c r="Z315" t="s">
        <v>4600</v>
      </c>
      <c r="AA315" t="s">
        <v>4600</v>
      </c>
      <c r="AB315" t="s">
        <v>4600</v>
      </c>
      <c r="AC315" t="s">
        <v>4600</v>
      </c>
      <c r="AD315" t="s">
        <v>4601</v>
      </c>
    </row>
    <row r="316" spans="1:30">
      <c r="A316" t="s">
        <v>4602</v>
      </c>
      <c r="B316">
        <v>10</v>
      </c>
      <c r="C316">
        <v>18</v>
      </c>
      <c r="D316">
        <v>2021</v>
      </c>
      <c r="E316" s="1">
        <v>44487</v>
      </c>
      <c r="F316" t="s">
        <v>4603</v>
      </c>
      <c r="G316">
        <v>0</v>
      </c>
      <c r="H316">
        <v>2</v>
      </c>
      <c r="I316">
        <v>2</v>
      </c>
      <c r="J316">
        <v>0</v>
      </c>
      <c r="K316" t="s">
        <v>4604</v>
      </c>
      <c r="L316" t="s">
        <v>4605</v>
      </c>
      <c r="M316" t="s">
        <v>4606</v>
      </c>
      <c r="N316" t="s">
        <v>4607</v>
      </c>
      <c r="O316" t="s">
        <v>4608</v>
      </c>
      <c r="P316" t="s">
        <v>4609</v>
      </c>
      <c r="Q316" t="s">
        <v>4610</v>
      </c>
      <c r="R316" t="s">
        <v>4611</v>
      </c>
      <c r="S316" t="s">
        <v>4612</v>
      </c>
      <c r="T316" s="2">
        <v>0.61458333333333337</v>
      </c>
      <c r="U316">
        <v>1</v>
      </c>
      <c r="V316" t="s">
        <v>4613</v>
      </c>
      <c r="W316" t="s">
        <v>4614</v>
      </c>
      <c r="X316" t="s">
        <v>4615</v>
      </c>
      <c r="Y316" t="s">
        <v>4616</v>
      </c>
      <c r="Z316" t="s">
        <v>4616</v>
      </c>
      <c r="AA316" t="s">
        <v>4616</v>
      </c>
      <c r="AB316" t="s">
        <v>4616</v>
      </c>
      <c r="AC316" t="s">
        <v>4616</v>
      </c>
      <c r="AD316" t="s">
        <v>4616</v>
      </c>
    </row>
    <row r="317" spans="1:30">
      <c r="A317" t="s">
        <v>4617</v>
      </c>
      <c r="B317">
        <v>10</v>
      </c>
      <c r="C317">
        <v>17</v>
      </c>
      <c r="D317">
        <v>2021</v>
      </c>
      <c r="E317" s="1">
        <v>44486</v>
      </c>
      <c r="F317" t="s">
        <v>4618</v>
      </c>
      <c r="G317">
        <v>0</v>
      </c>
      <c r="H317">
        <v>0</v>
      </c>
      <c r="I317">
        <v>0</v>
      </c>
      <c r="J317">
        <v>0</v>
      </c>
      <c r="K317" t="s">
        <v>4619</v>
      </c>
      <c r="M317" t="s">
        <v>4620</v>
      </c>
      <c r="N317" t="s">
        <v>4621</v>
      </c>
      <c r="O317" t="s">
        <v>4622</v>
      </c>
      <c r="P317" t="s">
        <v>4623</v>
      </c>
      <c r="Q317" t="s">
        <v>4624</v>
      </c>
      <c r="R317" t="s">
        <v>4625</v>
      </c>
      <c r="S317" t="s">
        <v>4626</v>
      </c>
      <c r="T317" s="2">
        <v>0.83680555555555558</v>
      </c>
      <c r="U317">
        <v>1</v>
      </c>
      <c r="V317" t="s">
        <v>4627</v>
      </c>
      <c r="W317" t="s">
        <v>4628</v>
      </c>
      <c r="X317" t="s">
        <v>4629</v>
      </c>
      <c r="Y317" t="s">
        <v>4630</v>
      </c>
      <c r="Z317" t="s">
        <v>4630</v>
      </c>
      <c r="AA317" t="s">
        <v>4630</v>
      </c>
      <c r="AB317" t="s">
        <v>4630</v>
      </c>
      <c r="AC317" t="s">
        <v>4630</v>
      </c>
      <c r="AD317" t="s">
        <v>4630</v>
      </c>
    </row>
    <row r="318" spans="1:30">
      <c r="A318" t="s">
        <v>4631</v>
      </c>
      <c r="B318">
        <v>10</v>
      </c>
      <c r="C318">
        <v>15</v>
      </c>
      <c r="D318">
        <v>2021</v>
      </c>
      <c r="E318" s="1">
        <v>44484</v>
      </c>
      <c r="F318" t="s">
        <v>4632</v>
      </c>
      <c r="G318">
        <v>0</v>
      </c>
      <c r="H318">
        <v>1</v>
      </c>
      <c r="I318">
        <v>1</v>
      </c>
      <c r="J318">
        <v>0</v>
      </c>
      <c r="K318" t="s">
        <v>4633</v>
      </c>
      <c r="L318" t="s">
        <v>4634</v>
      </c>
      <c r="M318" t="s">
        <v>4635</v>
      </c>
      <c r="N318" t="s">
        <v>4636</v>
      </c>
      <c r="O318" t="s">
        <v>4637</v>
      </c>
      <c r="P318" t="s">
        <v>4638</v>
      </c>
      <c r="Q318" t="s">
        <v>4639</v>
      </c>
      <c r="R318" t="s">
        <v>4640</v>
      </c>
      <c r="S318" t="s">
        <v>4641</v>
      </c>
      <c r="T318" s="2">
        <v>0.43055555555555558</v>
      </c>
      <c r="U318">
        <v>1</v>
      </c>
      <c r="V318" t="s">
        <v>4642</v>
      </c>
      <c r="W318" t="s">
        <v>4643</v>
      </c>
      <c r="X318" t="s">
        <v>4644</v>
      </c>
      <c r="Y318" t="s">
        <v>4645</v>
      </c>
      <c r="Z318" t="s">
        <v>4645</v>
      </c>
      <c r="AA318" t="s">
        <v>4645</v>
      </c>
      <c r="AB318" t="s">
        <v>4645</v>
      </c>
      <c r="AC318" t="s">
        <v>4645</v>
      </c>
      <c r="AD318" t="s">
        <v>4645</v>
      </c>
    </row>
    <row r="319" spans="1:30">
      <c r="A319" t="s">
        <v>4646</v>
      </c>
      <c r="B319">
        <v>10</v>
      </c>
      <c r="C319">
        <v>15</v>
      </c>
      <c r="D319">
        <v>2021</v>
      </c>
      <c r="E319" s="1">
        <v>44484</v>
      </c>
      <c r="F319" t="s">
        <v>4647</v>
      </c>
      <c r="G319">
        <v>0</v>
      </c>
      <c r="H319">
        <v>4</v>
      </c>
      <c r="I319">
        <v>4</v>
      </c>
      <c r="J319">
        <v>0</v>
      </c>
      <c r="K319" t="s">
        <v>4648</v>
      </c>
      <c r="M319" t="s">
        <v>4649</v>
      </c>
      <c r="N319" t="s">
        <v>4650</v>
      </c>
      <c r="O319" t="s">
        <v>4651</v>
      </c>
      <c r="P319" t="s">
        <v>4652</v>
      </c>
      <c r="Q319" t="s">
        <v>4653</v>
      </c>
      <c r="R319" t="s">
        <v>4654</v>
      </c>
      <c r="S319" t="s">
        <v>4655</v>
      </c>
      <c r="T319" s="2">
        <v>0.91388888888888886</v>
      </c>
      <c r="U319">
        <v>1</v>
      </c>
      <c r="V319" t="s">
        <v>4656</v>
      </c>
      <c r="X319" t="s">
        <v>4657</v>
      </c>
      <c r="Y319" t="s">
        <v>4658</v>
      </c>
      <c r="Z319" t="s">
        <v>4659</v>
      </c>
      <c r="AA319" t="s">
        <v>4659</v>
      </c>
      <c r="AB319" t="s">
        <v>4659</v>
      </c>
      <c r="AC319" t="s">
        <v>4659</v>
      </c>
      <c r="AD319" t="s">
        <v>4659</v>
      </c>
    </row>
    <row r="320" spans="1:30">
      <c r="A320" t="s">
        <v>4660</v>
      </c>
      <c r="B320">
        <v>10</v>
      </c>
      <c r="C320">
        <v>14</v>
      </c>
      <c r="D320">
        <v>2021</v>
      </c>
      <c r="E320" s="1">
        <v>44483</v>
      </c>
      <c r="F320" t="s">
        <v>4661</v>
      </c>
      <c r="G320">
        <v>1</v>
      </c>
      <c r="H320">
        <v>0</v>
      </c>
      <c r="I320">
        <v>1</v>
      </c>
      <c r="J320">
        <v>0</v>
      </c>
      <c r="K320" t="s">
        <v>4662</v>
      </c>
      <c r="L320" t="s">
        <v>4663</v>
      </c>
      <c r="M320" t="s">
        <v>4664</v>
      </c>
      <c r="N320" t="s">
        <v>4665</v>
      </c>
      <c r="O320" t="s">
        <v>4666</v>
      </c>
      <c r="P320" t="s">
        <v>4667</v>
      </c>
      <c r="Q320" t="s">
        <v>4668</v>
      </c>
      <c r="R320" t="s">
        <v>4669</v>
      </c>
      <c r="S320" t="s">
        <v>4670</v>
      </c>
      <c r="T320" s="2">
        <v>0.96875</v>
      </c>
      <c r="U320">
        <v>1</v>
      </c>
      <c r="V320" t="s">
        <v>4671</v>
      </c>
      <c r="X320" t="s">
        <v>4672</v>
      </c>
      <c r="Y320" t="s">
        <v>4673</v>
      </c>
      <c r="Z320" t="s">
        <v>4673</v>
      </c>
      <c r="AA320" t="s">
        <v>4673</v>
      </c>
      <c r="AB320" t="s">
        <v>4673</v>
      </c>
      <c r="AC320" t="s">
        <v>4673</v>
      </c>
      <c r="AD320" t="s">
        <v>4673</v>
      </c>
    </row>
    <row r="321" spans="1:30">
      <c r="A321" t="s">
        <v>4674</v>
      </c>
      <c r="B321">
        <v>10</v>
      </c>
      <c r="C321">
        <v>13</v>
      </c>
      <c r="D321">
        <v>2021</v>
      </c>
      <c r="E321" s="1">
        <v>44482</v>
      </c>
      <c r="F321" t="s">
        <v>4675</v>
      </c>
      <c r="G321">
        <v>0</v>
      </c>
      <c r="H321">
        <v>0</v>
      </c>
      <c r="I321">
        <v>0</v>
      </c>
      <c r="J321">
        <v>0</v>
      </c>
      <c r="K321" t="s">
        <v>4676</v>
      </c>
      <c r="L321" t="s">
        <v>4677</v>
      </c>
      <c r="M321" t="s">
        <v>4678</v>
      </c>
      <c r="N321" t="s">
        <v>4679</v>
      </c>
      <c r="O321" t="s">
        <v>4680</v>
      </c>
      <c r="P321" t="s">
        <v>4681</v>
      </c>
      <c r="Q321" t="s">
        <v>4681</v>
      </c>
      <c r="R321" t="s">
        <v>4682</v>
      </c>
      <c r="S321" t="s">
        <v>4683</v>
      </c>
      <c r="T321" s="2">
        <v>0.33333333333333331</v>
      </c>
      <c r="U321">
        <v>10</v>
      </c>
      <c r="V321" t="s">
        <v>4684</v>
      </c>
      <c r="W321" t="s">
        <v>4685</v>
      </c>
      <c r="X321" t="s">
        <v>4686</v>
      </c>
      <c r="Y321" t="s">
        <v>4687</v>
      </c>
      <c r="Z321" t="s">
        <v>4688</v>
      </c>
      <c r="AA321" t="s">
        <v>4688</v>
      </c>
      <c r="AB321" t="s">
        <v>4688</v>
      </c>
      <c r="AC321" t="s">
        <v>4688</v>
      </c>
      <c r="AD321" t="s">
        <v>4688</v>
      </c>
    </row>
    <row r="322" spans="1:30">
      <c r="A322" t="s">
        <v>4689</v>
      </c>
      <c r="B322">
        <v>10</v>
      </c>
      <c r="C322">
        <v>13</v>
      </c>
      <c r="D322">
        <v>2021</v>
      </c>
      <c r="E322" s="1">
        <v>44482</v>
      </c>
      <c r="F322" t="s">
        <v>4690</v>
      </c>
      <c r="G322">
        <v>0</v>
      </c>
      <c r="H322">
        <v>0</v>
      </c>
      <c r="I322">
        <v>0</v>
      </c>
      <c r="J322">
        <v>0</v>
      </c>
      <c r="K322" t="s">
        <v>4691</v>
      </c>
      <c r="L322" t="s">
        <v>4692</v>
      </c>
      <c r="M322" t="s">
        <v>4693</v>
      </c>
      <c r="N322" t="s">
        <v>4694</v>
      </c>
      <c r="O322" t="s">
        <v>4695</v>
      </c>
      <c r="P322" t="s">
        <v>4696</v>
      </c>
      <c r="Q322" t="s">
        <v>4697</v>
      </c>
      <c r="R322" t="s">
        <v>4698</v>
      </c>
      <c r="S322" t="s">
        <v>4699</v>
      </c>
      <c r="T322" s="2">
        <v>0.36041666666666666</v>
      </c>
      <c r="U322">
        <v>1</v>
      </c>
      <c r="V322" t="s">
        <v>4700</v>
      </c>
      <c r="W322" t="s">
        <v>4701</v>
      </c>
      <c r="X322" t="s">
        <v>4702</v>
      </c>
      <c r="Z322" t="s">
        <v>4703</v>
      </c>
      <c r="AA322" t="s">
        <v>4703</v>
      </c>
      <c r="AB322" t="s">
        <v>4703</v>
      </c>
      <c r="AC322" t="s">
        <v>4703</v>
      </c>
      <c r="AD322" t="s">
        <v>4703</v>
      </c>
    </row>
    <row r="323" spans="1:30">
      <c r="A323" t="s">
        <v>4704</v>
      </c>
      <c r="B323">
        <v>10</v>
      </c>
      <c r="C323">
        <v>12</v>
      </c>
      <c r="D323">
        <v>2021</v>
      </c>
      <c r="E323" s="1">
        <v>44481</v>
      </c>
      <c r="F323" t="s">
        <v>4705</v>
      </c>
      <c r="G323">
        <v>0</v>
      </c>
      <c r="H323">
        <v>2</v>
      </c>
      <c r="I323">
        <v>2</v>
      </c>
      <c r="J323">
        <v>0</v>
      </c>
      <c r="K323" t="s">
        <v>4706</v>
      </c>
      <c r="L323" t="s">
        <v>4707</v>
      </c>
      <c r="M323" t="s">
        <v>4708</v>
      </c>
      <c r="N323" t="s">
        <v>4709</v>
      </c>
      <c r="O323" t="s">
        <v>4710</v>
      </c>
      <c r="P323" t="s">
        <v>4711</v>
      </c>
      <c r="Q323" t="s">
        <v>4712</v>
      </c>
      <c r="R323" t="s">
        <v>4713</v>
      </c>
      <c r="S323" t="s">
        <v>4714</v>
      </c>
      <c r="T323" s="2">
        <v>0.66666666666666663</v>
      </c>
      <c r="U323">
        <v>1</v>
      </c>
      <c r="V323" t="s">
        <v>4715</v>
      </c>
      <c r="X323" t="s">
        <v>4716</v>
      </c>
      <c r="Y323" t="s">
        <v>4717</v>
      </c>
      <c r="Z323" t="s">
        <v>4717</v>
      </c>
      <c r="AA323" t="s">
        <v>4717</v>
      </c>
      <c r="AB323" t="s">
        <v>4717</v>
      </c>
      <c r="AC323" t="s">
        <v>4717</v>
      </c>
      <c r="AD323" t="s">
        <v>4717</v>
      </c>
    </row>
    <row r="324" spans="1:30">
      <c r="A324" t="s">
        <v>4718</v>
      </c>
      <c r="B324">
        <v>10</v>
      </c>
      <c r="C324">
        <v>12</v>
      </c>
      <c r="D324">
        <v>2021</v>
      </c>
      <c r="E324" s="1">
        <v>44481</v>
      </c>
      <c r="F324" t="s">
        <v>4719</v>
      </c>
      <c r="G324">
        <v>0</v>
      </c>
      <c r="H324">
        <v>0</v>
      </c>
      <c r="I324">
        <v>0</v>
      </c>
      <c r="J324">
        <v>0</v>
      </c>
      <c r="K324" t="s">
        <v>4720</v>
      </c>
      <c r="L324" t="s">
        <v>4721</v>
      </c>
      <c r="M324" t="s">
        <v>4722</v>
      </c>
      <c r="N324" t="s">
        <v>4723</v>
      </c>
      <c r="O324" t="s">
        <v>4724</v>
      </c>
      <c r="P324" t="s">
        <v>4725</v>
      </c>
      <c r="Q324" t="s">
        <v>4726</v>
      </c>
      <c r="R324" t="s">
        <v>4727</v>
      </c>
      <c r="S324" t="s">
        <v>4728</v>
      </c>
      <c r="T324" s="2">
        <v>0.60416666666666674</v>
      </c>
      <c r="U324">
        <v>1</v>
      </c>
      <c r="V324" t="s">
        <v>4729</v>
      </c>
      <c r="W324" t="s">
        <v>4730</v>
      </c>
      <c r="X324" t="s">
        <v>4731</v>
      </c>
      <c r="Y324" t="s">
        <v>4732</v>
      </c>
      <c r="Z324" t="s">
        <v>4733</v>
      </c>
      <c r="AA324" t="s">
        <v>4733</v>
      </c>
      <c r="AB324" t="s">
        <v>4733</v>
      </c>
      <c r="AC324" t="s">
        <v>4733</v>
      </c>
      <c r="AD324" t="s">
        <v>4733</v>
      </c>
    </row>
    <row r="325" spans="1:30">
      <c r="A325" t="s">
        <v>4734</v>
      </c>
      <c r="B325">
        <v>10</v>
      </c>
      <c r="C325">
        <v>12</v>
      </c>
      <c r="D325">
        <v>2021</v>
      </c>
      <c r="E325" s="1">
        <v>44481</v>
      </c>
      <c r="F325" t="s">
        <v>4735</v>
      </c>
      <c r="G325">
        <v>0</v>
      </c>
      <c r="H325">
        <v>2</v>
      </c>
      <c r="I325">
        <v>2</v>
      </c>
      <c r="J325">
        <v>0</v>
      </c>
      <c r="K325" t="s">
        <v>4736</v>
      </c>
      <c r="L325" t="s">
        <v>4737</v>
      </c>
      <c r="M325" t="s">
        <v>4738</v>
      </c>
      <c r="N325" t="s">
        <v>4739</v>
      </c>
      <c r="O325" t="s">
        <v>4740</v>
      </c>
      <c r="P325" t="s">
        <v>4741</v>
      </c>
      <c r="Q325" t="s">
        <v>4742</v>
      </c>
      <c r="R325" t="s">
        <v>4743</v>
      </c>
      <c r="S325" t="s">
        <v>4744</v>
      </c>
      <c r="T325" s="2">
        <v>0.60416666666666674</v>
      </c>
      <c r="U325">
        <v>1</v>
      </c>
      <c r="V325" t="s">
        <v>4745</v>
      </c>
      <c r="X325" t="s">
        <v>4746</v>
      </c>
      <c r="Y325" t="s">
        <v>4747</v>
      </c>
      <c r="Z325" t="s">
        <v>4747</v>
      </c>
      <c r="AA325" t="s">
        <v>4747</v>
      </c>
      <c r="AB325" t="s">
        <v>4747</v>
      </c>
      <c r="AC325" t="s">
        <v>4747</v>
      </c>
      <c r="AD325" t="s">
        <v>4747</v>
      </c>
    </row>
    <row r="326" spans="1:30">
      <c r="A326" t="s">
        <v>4748</v>
      </c>
      <c r="B326">
        <v>10</v>
      </c>
      <c r="C326">
        <v>12</v>
      </c>
      <c r="D326">
        <v>2021</v>
      </c>
      <c r="E326" s="1">
        <v>44481</v>
      </c>
      <c r="F326" t="s">
        <v>4749</v>
      </c>
      <c r="G326">
        <v>0</v>
      </c>
      <c r="H326">
        <v>0</v>
      </c>
      <c r="I326">
        <v>0</v>
      </c>
      <c r="J326">
        <v>0</v>
      </c>
      <c r="K326" t="s">
        <v>4750</v>
      </c>
      <c r="L326" t="s">
        <v>4751</v>
      </c>
      <c r="M326" t="s">
        <v>4752</v>
      </c>
      <c r="N326" t="s">
        <v>4753</v>
      </c>
      <c r="O326" t="s">
        <v>4754</v>
      </c>
      <c r="P326" t="s">
        <v>4755</v>
      </c>
      <c r="Q326" t="s">
        <v>4756</v>
      </c>
      <c r="R326" t="s">
        <v>4757</v>
      </c>
      <c r="S326" t="s">
        <v>4758</v>
      </c>
      <c r="T326" s="2">
        <v>0.49305555555555552</v>
      </c>
      <c r="U326">
        <v>1</v>
      </c>
      <c r="V326" t="s">
        <v>4759</v>
      </c>
      <c r="W326" t="s">
        <v>4760</v>
      </c>
      <c r="X326" t="s">
        <v>4761</v>
      </c>
      <c r="Z326" t="s">
        <v>4762</v>
      </c>
      <c r="AA326" t="s">
        <v>4762</v>
      </c>
      <c r="AB326" t="s">
        <v>4762</v>
      </c>
      <c r="AC326" t="s">
        <v>4762</v>
      </c>
      <c r="AD326" t="s">
        <v>4762</v>
      </c>
    </row>
    <row r="327" spans="1:30">
      <c r="A327" t="s">
        <v>4763</v>
      </c>
      <c r="B327">
        <v>10</v>
      </c>
      <c r="C327">
        <v>11</v>
      </c>
      <c r="D327">
        <v>2021</v>
      </c>
      <c r="E327" s="1">
        <v>44480</v>
      </c>
      <c r="F327" t="s">
        <v>4764</v>
      </c>
      <c r="G327">
        <v>0</v>
      </c>
      <c r="H327">
        <v>1</v>
      </c>
      <c r="I327">
        <v>1</v>
      </c>
      <c r="J327">
        <v>0</v>
      </c>
      <c r="K327" t="s">
        <v>4765</v>
      </c>
      <c r="L327" t="s">
        <v>4766</v>
      </c>
      <c r="M327" t="s">
        <v>4767</v>
      </c>
      <c r="N327" t="s">
        <v>4768</v>
      </c>
      <c r="O327" t="s">
        <v>4769</v>
      </c>
      <c r="P327" t="s">
        <v>4770</v>
      </c>
      <c r="Q327" t="s">
        <v>4770</v>
      </c>
      <c r="R327" t="s">
        <v>4771</v>
      </c>
      <c r="S327" t="s">
        <v>4772</v>
      </c>
      <c r="T327" s="2">
        <v>0.375</v>
      </c>
      <c r="U327">
        <v>1</v>
      </c>
      <c r="V327" t="s">
        <v>4773</v>
      </c>
      <c r="Y327" t="s">
        <v>4774</v>
      </c>
      <c r="Z327" t="s">
        <v>4774</v>
      </c>
      <c r="AA327" t="s">
        <v>4774</v>
      </c>
      <c r="AB327" t="s">
        <v>4774</v>
      </c>
      <c r="AC327" t="s">
        <v>4774</v>
      </c>
      <c r="AD327" t="s">
        <v>4774</v>
      </c>
    </row>
    <row r="328" spans="1:30">
      <c r="A328" t="s">
        <v>4775</v>
      </c>
      <c r="B328">
        <v>10</v>
      </c>
      <c r="C328">
        <v>8</v>
      </c>
      <c r="D328">
        <v>2021</v>
      </c>
      <c r="E328" s="1">
        <v>44477</v>
      </c>
      <c r="F328" t="s">
        <v>4776</v>
      </c>
      <c r="G328">
        <v>0</v>
      </c>
      <c r="H328">
        <v>0</v>
      </c>
      <c r="I328">
        <v>0</v>
      </c>
      <c r="J328">
        <v>0</v>
      </c>
      <c r="K328" t="s">
        <v>4777</v>
      </c>
      <c r="L328" t="s">
        <v>4778</v>
      </c>
      <c r="M328" t="s">
        <v>4779</v>
      </c>
      <c r="N328" t="s">
        <v>4780</v>
      </c>
      <c r="O328" t="s">
        <v>4781</v>
      </c>
      <c r="P328" t="s">
        <v>4782</v>
      </c>
      <c r="Q328" t="s">
        <v>4783</v>
      </c>
      <c r="R328" t="s">
        <v>4784</v>
      </c>
      <c r="S328" t="s">
        <v>4785</v>
      </c>
      <c r="T328" s="2">
        <v>0.6875</v>
      </c>
      <c r="U328">
        <v>1</v>
      </c>
      <c r="V328" t="s">
        <v>4786</v>
      </c>
      <c r="X328" t="s">
        <v>4787</v>
      </c>
      <c r="Y328" t="s">
        <v>4788</v>
      </c>
      <c r="Z328" t="s">
        <v>4788</v>
      </c>
      <c r="AA328" t="s">
        <v>4788</v>
      </c>
      <c r="AB328" t="s">
        <v>4788</v>
      </c>
      <c r="AC328" t="s">
        <v>4788</v>
      </c>
      <c r="AD328" t="s">
        <v>4788</v>
      </c>
    </row>
    <row r="329" spans="1:30">
      <c r="A329" t="s">
        <v>4789</v>
      </c>
      <c r="B329">
        <v>10</v>
      </c>
      <c r="C329">
        <v>7</v>
      </c>
      <c r="D329">
        <v>2021</v>
      </c>
      <c r="E329" s="1">
        <v>44476</v>
      </c>
      <c r="F329" t="s">
        <v>4790</v>
      </c>
      <c r="G329">
        <v>0</v>
      </c>
      <c r="H329">
        <v>0</v>
      </c>
      <c r="I329">
        <v>0</v>
      </c>
      <c r="J329">
        <v>1</v>
      </c>
      <c r="K329" t="s">
        <v>4791</v>
      </c>
      <c r="L329" t="s">
        <v>4792</v>
      </c>
      <c r="M329" t="s">
        <v>4793</v>
      </c>
      <c r="N329" t="s">
        <v>4794</v>
      </c>
      <c r="O329" t="s">
        <v>4795</v>
      </c>
      <c r="P329" t="s">
        <v>4796</v>
      </c>
      <c r="Q329" t="s">
        <v>4797</v>
      </c>
      <c r="R329" t="s">
        <v>4798</v>
      </c>
      <c r="S329" t="s">
        <v>4799</v>
      </c>
      <c r="T329" s="2">
        <v>0.6875</v>
      </c>
      <c r="U329">
        <v>1</v>
      </c>
      <c r="V329" t="s">
        <v>4800</v>
      </c>
      <c r="W329" t="s">
        <v>4801</v>
      </c>
      <c r="X329" t="s">
        <v>4802</v>
      </c>
      <c r="Y329" t="s">
        <v>4803</v>
      </c>
      <c r="Z329" t="s">
        <v>4803</v>
      </c>
      <c r="AA329" t="s">
        <v>4803</v>
      </c>
      <c r="AB329" t="s">
        <v>4803</v>
      </c>
      <c r="AC329" t="s">
        <v>4803</v>
      </c>
      <c r="AD329" t="s">
        <v>4803</v>
      </c>
    </row>
    <row r="330" spans="1:30">
      <c r="A330" t="s">
        <v>4804</v>
      </c>
      <c r="B330">
        <v>10</v>
      </c>
      <c r="C330">
        <v>7</v>
      </c>
      <c r="D330">
        <v>2021</v>
      </c>
      <c r="E330" s="1">
        <v>44476</v>
      </c>
      <c r="F330" t="s">
        <v>4805</v>
      </c>
      <c r="G330">
        <v>0</v>
      </c>
      <c r="H330">
        <v>0</v>
      </c>
      <c r="I330">
        <v>0</v>
      </c>
      <c r="J330">
        <v>0</v>
      </c>
      <c r="K330" t="s">
        <v>4806</v>
      </c>
      <c r="L330" t="s">
        <v>4807</v>
      </c>
      <c r="M330" t="s">
        <v>4808</v>
      </c>
      <c r="N330" t="s">
        <v>4809</v>
      </c>
      <c r="O330" t="s">
        <v>4810</v>
      </c>
      <c r="P330" t="s">
        <v>4811</v>
      </c>
      <c r="Q330" t="s">
        <v>4812</v>
      </c>
      <c r="R330" t="s">
        <v>4813</v>
      </c>
      <c r="S330" t="s">
        <v>4814</v>
      </c>
      <c r="U330">
        <v>1</v>
      </c>
      <c r="V330" t="s">
        <v>4815</v>
      </c>
      <c r="W330" t="s">
        <v>4816</v>
      </c>
      <c r="X330" t="s">
        <v>4817</v>
      </c>
      <c r="Z330" t="s">
        <v>4818</v>
      </c>
      <c r="AA330" t="s">
        <v>4818</v>
      </c>
      <c r="AB330" t="s">
        <v>4818</v>
      </c>
      <c r="AC330" t="s">
        <v>4818</v>
      </c>
      <c r="AD330" t="s">
        <v>4818</v>
      </c>
    </row>
    <row r="331" spans="1:30">
      <c r="A331" t="s">
        <v>4819</v>
      </c>
      <c r="B331">
        <v>10</v>
      </c>
      <c r="C331">
        <v>7</v>
      </c>
      <c r="D331">
        <v>2021</v>
      </c>
      <c r="E331" s="1">
        <v>44476</v>
      </c>
      <c r="F331" t="s">
        <v>4820</v>
      </c>
      <c r="G331">
        <v>0</v>
      </c>
      <c r="H331">
        <v>1</v>
      </c>
      <c r="I331">
        <v>1</v>
      </c>
      <c r="J331">
        <v>0</v>
      </c>
      <c r="K331" t="s">
        <v>4821</v>
      </c>
      <c r="L331" t="s">
        <v>4822</v>
      </c>
      <c r="M331" t="s">
        <v>4823</v>
      </c>
      <c r="N331" t="s">
        <v>4824</v>
      </c>
      <c r="O331" t="s">
        <v>4825</v>
      </c>
      <c r="P331" t="s">
        <v>4826</v>
      </c>
      <c r="Q331" t="s">
        <v>4827</v>
      </c>
      <c r="R331" t="s">
        <v>4828</v>
      </c>
      <c r="S331" t="s">
        <v>4829</v>
      </c>
      <c r="T331" s="2">
        <v>0.83333333333333337</v>
      </c>
      <c r="U331">
        <v>1</v>
      </c>
      <c r="V331" t="s">
        <v>4830</v>
      </c>
      <c r="W331" t="s">
        <v>4831</v>
      </c>
      <c r="X331" t="s">
        <v>4832</v>
      </c>
      <c r="Y331" t="s">
        <v>4833</v>
      </c>
      <c r="Z331" t="s">
        <v>4833</v>
      </c>
      <c r="AA331" t="s">
        <v>4833</v>
      </c>
      <c r="AB331" t="s">
        <v>4833</v>
      </c>
      <c r="AC331" t="s">
        <v>4833</v>
      </c>
      <c r="AD331" t="s">
        <v>4833</v>
      </c>
    </row>
    <row r="332" spans="1:30">
      <c r="A332" t="s">
        <v>4834</v>
      </c>
      <c r="B332">
        <v>10</v>
      </c>
      <c r="C332">
        <v>7</v>
      </c>
      <c r="D332">
        <v>2021</v>
      </c>
      <c r="E332" s="1">
        <v>44476</v>
      </c>
      <c r="F332" t="s">
        <v>4835</v>
      </c>
      <c r="G332">
        <v>1</v>
      </c>
      <c r="H332">
        <v>0</v>
      </c>
      <c r="I332">
        <v>1</v>
      </c>
      <c r="J332">
        <v>0</v>
      </c>
      <c r="K332" t="s">
        <v>4836</v>
      </c>
      <c r="L332" t="s">
        <v>4837</v>
      </c>
      <c r="M332" t="s">
        <v>4838</v>
      </c>
      <c r="N332" t="s">
        <v>4839</v>
      </c>
      <c r="O332" t="s">
        <v>4840</v>
      </c>
      <c r="P332" t="s">
        <v>4841</v>
      </c>
      <c r="Q332" t="s">
        <v>4842</v>
      </c>
      <c r="R332" t="s">
        <v>4843</v>
      </c>
      <c r="S332" t="s">
        <v>4844</v>
      </c>
      <c r="T332" s="2">
        <v>0.90763888888888888</v>
      </c>
      <c r="U332">
        <v>1</v>
      </c>
      <c r="V332" t="s">
        <v>4845</v>
      </c>
      <c r="W332" t="s">
        <v>4846</v>
      </c>
      <c r="X332" t="s">
        <v>4847</v>
      </c>
      <c r="Z332" t="s">
        <v>4848</v>
      </c>
      <c r="AA332" t="s">
        <v>4848</v>
      </c>
      <c r="AB332" t="s">
        <v>4848</v>
      </c>
      <c r="AC332" t="s">
        <v>4848</v>
      </c>
      <c r="AD332" t="s">
        <v>4848</v>
      </c>
    </row>
    <row r="333" spans="1:30">
      <c r="A333" t="s">
        <v>4849</v>
      </c>
      <c r="B333">
        <v>10</v>
      </c>
      <c r="C333">
        <v>6</v>
      </c>
      <c r="D333">
        <v>2021</v>
      </c>
      <c r="E333" s="1">
        <v>44475</v>
      </c>
      <c r="F333" t="s">
        <v>4850</v>
      </c>
      <c r="G333">
        <v>0</v>
      </c>
      <c r="H333">
        <v>3</v>
      </c>
      <c r="I333">
        <v>3</v>
      </c>
      <c r="J333">
        <v>0</v>
      </c>
      <c r="K333" t="s">
        <v>4851</v>
      </c>
      <c r="L333" t="s">
        <v>4852</v>
      </c>
      <c r="M333" t="s">
        <v>4853</v>
      </c>
      <c r="N333" t="s">
        <v>4854</v>
      </c>
      <c r="O333" t="s">
        <v>4855</v>
      </c>
      <c r="P333" t="s">
        <v>4856</v>
      </c>
      <c r="Q333" t="s">
        <v>4857</v>
      </c>
      <c r="R333" t="s">
        <v>4858</v>
      </c>
      <c r="S333" t="s">
        <v>4859</v>
      </c>
      <c r="T333" s="2">
        <v>0.38541666666666669</v>
      </c>
      <c r="U333">
        <v>1</v>
      </c>
      <c r="V333" t="s">
        <v>4860</v>
      </c>
      <c r="W333" t="s">
        <v>4861</v>
      </c>
      <c r="X333" t="s">
        <v>4862</v>
      </c>
      <c r="Y333" t="s">
        <v>4863</v>
      </c>
      <c r="Z333" t="s">
        <v>4863</v>
      </c>
      <c r="AA333" t="s">
        <v>4863</v>
      </c>
      <c r="AB333" t="s">
        <v>4863</v>
      </c>
      <c r="AC333" t="s">
        <v>4863</v>
      </c>
      <c r="AD333" t="s">
        <v>4863</v>
      </c>
    </row>
    <row r="334" spans="1:30">
      <c r="A334" t="s">
        <v>4864</v>
      </c>
      <c r="B334">
        <v>10</v>
      </c>
      <c r="C334">
        <v>5</v>
      </c>
      <c r="D334">
        <v>2021</v>
      </c>
      <c r="E334" s="1">
        <v>44474</v>
      </c>
      <c r="F334" t="s">
        <v>4865</v>
      </c>
      <c r="G334">
        <v>0</v>
      </c>
      <c r="H334">
        <v>0</v>
      </c>
      <c r="I334">
        <v>0</v>
      </c>
      <c r="J334">
        <v>0</v>
      </c>
      <c r="K334" t="s">
        <v>4866</v>
      </c>
      <c r="L334" t="s">
        <v>4867</v>
      </c>
      <c r="M334" t="s">
        <v>4868</v>
      </c>
      <c r="N334" t="s">
        <v>4869</v>
      </c>
      <c r="O334" t="s">
        <v>4870</v>
      </c>
      <c r="P334" t="s">
        <v>4871</v>
      </c>
      <c r="Q334" t="s">
        <v>4872</v>
      </c>
      <c r="R334" t="s">
        <v>4873</v>
      </c>
      <c r="S334" t="s">
        <v>4874</v>
      </c>
      <c r="T334" s="2">
        <v>0.40208333333333335</v>
      </c>
      <c r="U334">
        <v>1</v>
      </c>
      <c r="V334" t="s">
        <v>4875</v>
      </c>
      <c r="W334" t="s">
        <v>4876</v>
      </c>
      <c r="X334" t="s">
        <v>4877</v>
      </c>
      <c r="Y334" t="s">
        <v>4878</v>
      </c>
      <c r="Z334" t="s">
        <v>4878</v>
      </c>
      <c r="AA334" t="s">
        <v>4878</v>
      </c>
      <c r="AC334" t="s">
        <v>4878</v>
      </c>
      <c r="AD334" t="s">
        <v>4878</v>
      </c>
    </row>
    <row r="335" spans="1:30">
      <c r="A335" t="s">
        <v>4879</v>
      </c>
      <c r="B335">
        <v>10</v>
      </c>
      <c r="C335">
        <v>5</v>
      </c>
      <c r="D335">
        <v>2021</v>
      </c>
      <c r="E335" s="1">
        <v>44474</v>
      </c>
      <c r="F335" t="s">
        <v>4880</v>
      </c>
      <c r="G335">
        <v>0</v>
      </c>
      <c r="H335">
        <v>0</v>
      </c>
      <c r="I335">
        <v>0</v>
      </c>
      <c r="J335">
        <v>0</v>
      </c>
      <c r="K335" t="s">
        <v>4881</v>
      </c>
      <c r="L335" t="s">
        <v>4882</v>
      </c>
      <c r="M335" t="s">
        <v>4883</v>
      </c>
      <c r="N335" t="s">
        <v>4884</v>
      </c>
      <c r="O335" t="s">
        <v>4885</v>
      </c>
      <c r="P335" t="s">
        <v>4886</v>
      </c>
      <c r="Q335" t="s">
        <v>4887</v>
      </c>
      <c r="R335" t="s">
        <v>4888</v>
      </c>
      <c r="S335" t="s">
        <v>4889</v>
      </c>
      <c r="T335" s="2">
        <v>0.29166666666666669</v>
      </c>
      <c r="U335">
        <v>1</v>
      </c>
      <c r="V335" t="s">
        <v>4890</v>
      </c>
      <c r="W335" t="s">
        <v>4891</v>
      </c>
      <c r="X335" t="s">
        <v>4892</v>
      </c>
      <c r="Y335" t="s">
        <v>4893</v>
      </c>
      <c r="AA335" t="s">
        <v>4894</v>
      </c>
      <c r="AB335" t="s">
        <v>4894</v>
      </c>
      <c r="AC335" t="s">
        <v>4894</v>
      </c>
      <c r="AD335" t="s">
        <v>4894</v>
      </c>
    </row>
    <row r="336" spans="1:30">
      <c r="A336" t="s">
        <v>4895</v>
      </c>
      <c r="B336">
        <v>10</v>
      </c>
      <c r="C336">
        <v>4</v>
      </c>
      <c r="D336">
        <v>2021</v>
      </c>
      <c r="E336" s="1">
        <v>44473</v>
      </c>
      <c r="F336" t="s">
        <v>4896</v>
      </c>
      <c r="G336">
        <v>0</v>
      </c>
      <c r="H336">
        <v>1</v>
      </c>
      <c r="I336">
        <v>1</v>
      </c>
      <c r="J336">
        <v>0</v>
      </c>
      <c r="K336" t="s">
        <v>4897</v>
      </c>
      <c r="L336" t="s">
        <v>4898</v>
      </c>
      <c r="M336" t="s">
        <v>4899</v>
      </c>
      <c r="N336" t="s">
        <v>4900</v>
      </c>
      <c r="O336" t="s">
        <v>4901</v>
      </c>
      <c r="P336" t="s">
        <v>4902</v>
      </c>
      <c r="Q336" t="s">
        <v>4902</v>
      </c>
      <c r="R336" t="s">
        <v>4903</v>
      </c>
      <c r="S336" t="s">
        <v>4904</v>
      </c>
      <c r="T336" s="2">
        <v>0.6875</v>
      </c>
      <c r="U336">
        <v>1</v>
      </c>
      <c r="V336" t="s">
        <v>4905</v>
      </c>
      <c r="Y336" t="s">
        <v>4906</v>
      </c>
      <c r="Z336" t="s">
        <v>4906</v>
      </c>
      <c r="AA336" t="s">
        <v>4906</v>
      </c>
      <c r="AB336" t="s">
        <v>4906</v>
      </c>
      <c r="AC336" t="s">
        <v>4906</v>
      </c>
      <c r="AD336" t="s">
        <v>4906</v>
      </c>
    </row>
    <row r="337" spans="1:30">
      <c r="A337" t="s">
        <v>4907</v>
      </c>
      <c r="B337">
        <v>10</v>
      </c>
      <c r="C337">
        <v>4</v>
      </c>
      <c r="D337">
        <v>2021</v>
      </c>
      <c r="E337" s="1">
        <v>44473</v>
      </c>
      <c r="F337" t="s">
        <v>4908</v>
      </c>
      <c r="G337">
        <v>0</v>
      </c>
      <c r="H337">
        <v>2</v>
      </c>
      <c r="I337">
        <v>2</v>
      </c>
      <c r="J337">
        <v>0</v>
      </c>
      <c r="K337" t="s">
        <v>4909</v>
      </c>
      <c r="L337" t="s">
        <v>4910</v>
      </c>
      <c r="M337" t="s">
        <v>4911</v>
      </c>
      <c r="N337" t="s">
        <v>4912</v>
      </c>
      <c r="O337" t="s">
        <v>4913</v>
      </c>
      <c r="P337" t="s">
        <v>4914</v>
      </c>
      <c r="Q337" t="s">
        <v>4914</v>
      </c>
      <c r="R337" t="s">
        <v>4915</v>
      </c>
      <c r="S337" t="s">
        <v>4916</v>
      </c>
      <c r="T337" s="2">
        <v>5.9027777777777776E-2</v>
      </c>
      <c r="U337">
        <v>1</v>
      </c>
      <c r="V337" t="s">
        <v>4917</v>
      </c>
      <c r="X337" t="s">
        <v>4918</v>
      </c>
      <c r="Y337" t="s">
        <v>4919</v>
      </c>
      <c r="Z337" t="s">
        <v>4919</v>
      </c>
      <c r="AA337" t="s">
        <v>4919</v>
      </c>
      <c r="AB337" t="s">
        <v>4919</v>
      </c>
      <c r="AD337" t="s">
        <v>4920</v>
      </c>
    </row>
    <row r="338" spans="1:30">
      <c r="A338" t="s">
        <v>4921</v>
      </c>
      <c r="B338">
        <v>10</v>
      </c>
      <c r="C338">
        <v>4</v>
      </c>
      <c r="D338">
        <v>2021</v>
      </c>
      <c r="E338" s="1">
        <v>44473</v>
      </c>
      <c r="F338" t="s">
        <v>4922</v>
      </c>
      <c r="G338">
        <v>0</v>
      </c>
      <c r="H338">
        <v>0</v>
      </c>
      <c r="I338">
        <v>0</v>
      </c>
      <c r="J338">
        <v>0</v>
      </c>
      <c r="K338" t="s">
        <v>4923</v>
      </c>
      <c r="L338" t="s">
        <v>4924</v>
      </c>
      <c r="M338" t="s">
        <v>4925</v>
      </c>
      <c r="N338" t="s">
        <v>4926</v>
      </c>
      <c r="O338" t="s">
        <v>4927</v>
      </c>
      <c r="P338" t="s">
        <v>4928</v>
      </c>
      <c r="Q338" t="s">
        <v>4928</v>
      </c>
      <c r="R338" t="s">
        <v>4929</v>
      </c>
      <c r="V338" t="s">
        <v>4930</v>
      </c>
      <c r="W338" t="s">
        <v>4931</v>
      </c>
      <c r="X338" t="s">
        <v>4932</v>
      </c>
      <c r="Y338" t="s">
        <v>4933</v>
      </c>
      <c r="Z338" t="s">
        <v>4933</v>
      </c>
      <c r="AA338" t="s">
        <v>4933</v>
      </c>
      <c r="AB338" t="s">
        <v>4933</v>
      </c>
      <c r="AC338" t="s">
        <v>4933</v>
      </c>
      <c r="AD338" t="s">
        <v>4933</v>
      </c>
    </row>
    <row r="339" spans="1:30">
      <c r="A339" t="s">
        <v>4934</v>
      </c>
      <c r="B339">
        <v>10</v>
      </c>
      <c r="C339">
        <v>4</v>
      </c>
      <c r="D339">
        <v>2021</v>
      </c>
      <c r="E339" s="1">
        <v>44473</v>
      </c>
      <c r="F339" t="s">
        <v>4935</v>
      </c>
      <c r="G339">
        <v>0</v>
      </c>
      <c r="H339">
        <v>0</v>
      </c>
      <c r="I339">
        <v>0</v>
      </c>
      <c r="J339">
        <v>0</v>
      </c>
      <c r="K339" t="s">
        <v>4936</v>
      </c>
      <c r="L339" t="s">
        <v>4937</v>
      </c>
      <c r="M339" t="s">
        <v>4938</v>
      </c>
      <c r="N339" t="s">
        <v>4939</v>
      </c>
      <c r="O339" t="s">
        <v>4940</v>
      </c>
      <c r="P339" t="s">
        <v>4941</v>
      </c>
      <c r="Q339" t="s">
        <v>4942</v>
      </c>
      <c r="U339">
        <v>1</v>
      </c>
      <c r="V339" t="s">
        <v>4943</v>
      </c>
      <c r="Z339" t="s">
        <v>4944</v>
      </c>
      <c r="AA339" t="s">
        <v>4944</v>
      </c>
      <c r="AB339" t="s">
        <v>4944</v>
      </c>
      <c r="AC339" t="s">
        <v>4944</v>
      </c>
      <c r="AD339" t="s">
        <v>4944</v>
      </c>
    </row>
    <row r="340" spans="1:30">
      <c r="A340" t="s">
        <v>4945</v>
      </c>
      <c r="B340">
        <v>10</v>
      </c>
      <c r="C340">
        <v>1</v>
      </c>
      <c r="D340">
        <v>2021</v>
      </c>
      <c r="E340" s="1">
        <v>44470</v>
      </c>
      <c r="F340" t="s">
        <v>4946</v>
      </c>
      <c r="G340">
        <v>0</v>
      </c>
      <c r="H340">
        <v>1</v>
      </c>
      <c r="I340">
        <v>1</v>
      </c>
      <c r="J340">
        <v>0</v>
      </c>
      <c r="K340" t="s">
        <v>4947</v>
      </c>
      <c r="L340" t="s">
        <v>4948</v>
      </c>
      <c r="M340" t="s">
        <v>4949</v>
      </c>
      <c r="N340" t="s">
        <v>4950</v>
      </c>
      <c r="O340" t="s">
        <v>4951</v>
      </c>
      <c r="P340" t="s">
        <v>4952</v>
      </c>
      <c r="Q340" t="s">
        <v>4953</v>
      </c>
      <c r="R340" t="s">
        <v>4954</v>
      </c>
      <c r="S340" t="s">
        <v>4955</v>
      </c>
      <c r="T340" s="2">
        <v>0.48958333333333331</v>
      </c>
      <c r="V340" t="s">
        <v>4956</v>
      </c>
      <c r="W340" t="s">
        <v>4957</v>
      </c>
      <c r="X340" t="s">
        <v>4958</v>
      </c>
      <c r="Y340" t="s">
        <v>4959</v>
      </c>
      <c r="Z340" t="s">
        <v>4959</v>
      </c>
      <c r="AA340" t="s">
        <v>4959</v>
      </c>
      <c r="AB340" t="s">
        <v>4959</v>
      </c>
      <c r="AC340" t="s">
        <v>4959</v>
      </c>
      <c r="AD340" t="s">
        <v>4960</v>
      </c>
    </row>
    <row r="341" spans="1:30">
      <c r="A341" t="s">
        <v>4961</v>
      </c>
      <c r="B341">
        <v>10</v>
      </c>
      <c r="C341">
        <v>1</v>
      </c>
      <c r="D341">
        <v>2021</v>
      </c>
      <c r="E341" s="1">
        <v>44470</v>
      </c>
      <c r="F341" t="s">
        <v>4962</v>
      </c>
      <c r="G341">
        <v>0</v>
      </c>
      <c r="H341">
        <v>0</v>
      </c>
      <c r="I341">
        <v>0</v>
      </c>
      <c r="J341">
        <v>0</v>
      </c>
      <c r="K341" t="s">
        <v>4963</v>
      </c>
      <c r="L341" t="s">
        <v>4964</v>
      </c>
      <c r="M341" t="s">
        <v>4965</v>
      </c>
      <c r="N341" t="s">
        <v>4966</v>
      </c>
      <c r="O341" t="s">
        <v>4967</v>
      </c>
      <c r="P341" t="s">
        <v>4968</v>
      </c>
      <c r="Q341" t="s">
        <v>4969</v>
      </c>
      <c r="R341" t="s">
        <v>4970</v>
      </c>
      <c r="S341" t="s">
        <v>4971</v>
      </c>
      <c r="T341" s="2">
        <v>0.86458333333333337</v>
      </c>
      <c r="U341">
        <v>1</v>
      </c>
      <c r="V341" t="s">
        <v>4972</v>
      </c>
      <c r="W341" t="s">
        <v>4973</v>
      </c>
      <c r="X341" t="s">
        <v>4974</v>
      </c>
      <c r="Y341" t="s">
        <v>4975</v>
      </c>
      <c r="Z341" t="s">
        <v>4975</v>
      </c>
      <c r="AA341" t="s">
        <v>4975</v>
      </c>
      <c r="AB341" t="s">
        <v>4975</v>
      </c>
      <c r="AC341" t="s">
        <v>4975</v>
      </c>
      <c r="AD341" t="s">
        <v>4975</v>
      </c>
    </row>
    <row r="342" spans="1:30">
      <c r="A342" t="s">
        <v>4976</v>
      </c>
      <c r="B342">
        <v>10</v>
      </c>
      <c r="C342">
        <v>1</v>
      </c>
      <c r="D342">
        <v>2021</v>
      </c>
      <c r="E342" s="1">
        <v>44470</v>
      </c>
      <c r="F342" t="s">
        <v>4977</v>
      </c>
      <c r="G342">
        <v>0</v>
      </c>
      <c r="H342">
        <v>2</v>
      </c>
      <c r="I342">
        <v>2</v>
      </c>
      <c r="J342">
        <v>0</v>
      </c>
      <c r="K342" t="s">
        <v>4978</v>
      </c>
      <c r="L342" t="s">
        <v>4979</v>
      </c>
      <c r="M342" t="s">
        <v>4980</v>
      </c>
      <c r="N342" t="s">
        <v>4981</v>
      </c>
      <c r="O342" t="s">
        <v>4982</v>
      </c>
      <c r="P342" t="s">
        <v>4983</v>
      </c>
      <c r="Q342" t="s">
        <v>4984</v>
      </c>
      <c r="R342" t="s">
        <v>4985</v>
      </c>
      <c r="S342" t="s">
        <v>4986</v>
      </c>
      <c r="T342" s="2">
        <v>0.91666666666666663</v>
      </c>
      <c r="U342">
        <v>1</v>
      </c>
      <c r="V342" t="s">
        <v>4987</v>
      </c>
      <c r="W342" t="s">
        <v>4988</v>
      </c>
      <c r="X342" t="s">
        <v>4989</v>
      </c>
      <c r="Y342" t="s">
        <v>4990</v>
      </c>
      <c r="Z342" t="s">
        <v>4990</v>
      </c>
      <c r="AA342" t="s">
        <v>4990</v>
      </c>
      <c r="AB342" t="s">
        <v>4990</v>
      </c>
      <c r="AC342" t="s">
        <v>4990</v>
      </c>
      <c r="AD342" t="s">
        <v>4990</v>
      </c>
    </row>
    <row r="343" spans="1:30">
      <c r="A343" t="s">
        <v>4991</v>
      </c>
      <c r="B343">
        <v>10</v>
      </c>
      <c r="C343">
        <v>1</v>
      </c>
      <c r="D343">
        <v>2021</v>
      </c>
      <c r="E343" s="1">
        <v>44470</v>
      </c>
      <c r="F343" t="s">
        <v>4992</v>
      </c>
      <c r="G343">
        <v>0</v>
      </c>
      <c r="H343">
        <v>1</v>
      </c>
      <c r="I343">
        <v>1</v>
      </c>
      <c r="J343">
        <v>0</v>
      </c>
      <c r="K343" t="s">
        <v>4993</v>
      </c>
      <c r="L343" t="s">
        <v>4994</v>
      </c>
      <c r="M343" t="s">
        <v>4995</v>
      </c>
      <c r="N343" t="s">
        <v>4996</v>
      </c>
      <c r="O343" t="s">
        <v>4997</v>
      </c>
      <c r="P343" t="s">
        <v>4998</v>
      </c>
      <c r="Q343" t="s">
        <v>4999</v>
      </c>
      <c r="R343" t="s">
        <v>5000</v>
      </c>
      <c r="S343" t="s">
        <v>5001</v>
      </c>
      <c r="T343" s="2">
        <v>0.90416666666666667</v>
      </c>
      <c r="U343">
        <v>1</v>
      </c>
      <c r="V343" t="s">
        <v>5002</v>
      </c>
      <c r="W343" t="s">
        <v>5003</v>
      </c>
      <c r="X343" t="s">
        <v>5004</v>
      </c>
      <c r="Z343" t="s">
        <v>5005</v>
      </c>
      <c r="AA343" t="s">
        <v>5005</v>
      </c>
      <c r="AB343" t="s">
        <v>5005</v>
      </c>
      <c r="AC343" t="s">
        <v>5005</v>
      </c>
      <c r="AD343" t="s">
        <v>5005</v>
      </c>
    </row>
    <row r="344" spans="1:30">
      <c r="A344" t="s">
        <v>5006</v>
      </c>
      <c r="B344">
        <v>10</v>
      </c>
      <c r="C344">
        <v>1</v>
      </c>
      <c r="D344">
        <v>2021</v>
      </c>
      <c r="E344" s="1">
        <v>44470</v>
      </c>
      <c r="F344" t="s">
        <v>5007</v>
      </c>
      <c r="G344">
        <v>0</v>
      </c>
      <c r="H344">
        <v>1</v>
      </c>
      <c r="I344">
        <v>1</v>
      </c>
      <c r="J344">
        <v>0</v>
      </c>
      <c r="K344" t="s">
        <v>5008</v>
      </c>
      <c r="L344" t="s">
        <v>5009</v>
      </c>
      <c r="M344" t="s">
        <v>5010</v>
      </c>
      <c r="N344" t="s">
        <v>5011</v>
      </c>
      <c r="O344" t="s">
        <v>5012</v>
      </c>
      <c r="P344" t="s">
        <v>5013</v>
      </c>
      <c r="Q344" t="s">
        <v>5014</v>
      </c>
      <c r="R344" t="s">
        <v>5015</v>
      </c>
      <c r="S344" t="s">
        <v>5016</v>
      </c>
      <c r="T344" s="2">
        <v>0.875</v>
      </c>
      <c r="U344">
        <v>1</v>
      </c>
      <c r="V344" t="s">
        <v>5017</v>
      </c>
      <c r="W344" t="s">
        <v>5018</v>
      </c>
      <c r="X344" t="s">
        <v>5019</v>
      </c>
      <c r="Y344" t="s">
        <v>5020</v>
      </c>
      <c r="Z344" t="s">
        <v>5020</v>
      </c>
      <c r="AA344" t="s">
        <v>5020</v>
      </c>
      <c r="AB344" t="s">
        <v>5020</v>
      </c>
      <c r="AC344" t="s">
        <v>5020</v>
      </c>
      <c r="AD344" t="s">
        <v>5020</v>
      </c>
    </row>
    <row r="345" spans="1:30">
      <c r="A345" t="s">
        <v>5021</v>
      </c>
      <c r="B345">
        <v>9</v>
      </c>
      <c r="C345">
        <v>30</v>
      </c>
      <c r="D345">
        <v>2021</v>
      </c>
      <c r="E345" s="1">
        <v>44469</v>
      </c>
      <c r="F345" t="s">
        <v>5022</v>
      </c>
      <c r="G345">
        <v>0</v>
      </c>
      <c r="H345">
        <v>1</v>
      </c>
      <c r="I345">
        <v>1</v>
      </c>
      <c r="J345">
        <v>0</v>
      </c>
      <c r="K345" t="s">
        <v>5023</v>
      </c>
      <c r="L345" t="s">
        <v>5024</v>
      </c>
      <c r="M345" t="s">
        <v>5025</v>
      </c>
      <c r="N345" t="s">
        <v>5026</v>
      </c>
      <c r="O345" t="s">
        <v>5027</v>
      </c>
      <c r="P345" t="s">
        <v>5028</v>
      </c>
      <c r="Q345" t="s">
        <v>5028</v>
      </c>
      <c r="R345" t="s">
        <v>5029</v>
      </c>
      <c r="S345" t="s">
        <v>5030</v>
      </c>
      <c r="T345" s="2">
        <v>0.6875</v>
      </c>
      <c r="U345">
        <v>1</v>
      </c>
      <c r="V345" t="s">
        <v>5031</v>
      </c>
      <c r="W345" t="s">
        <v>5032</v>
      </c>
      <c r="X345" t="s">
        <v>5033</v>
      </c>
      <c r="Y345" t="s">
        <v>5034</v>
      </c>
      <c r="Z345" t="s">
        <v>5034</v>
      </c>
      <c r="AA345" t="s">
        <v>5034</v>
      </c>
      <c r="AB345" t="s">
        <v>5034</v>
      </c>
      <c r="AC345" t="s">
        <v>5034</v>
      </c>
      <c r="AD345" t="s">
        <v>5034</v>
      </c>
    </row>
    <row r="346" spans="1:30">
      <c r="A346" t="s">
        <v>5035</v>
      </c>
      <c r="B346">
        <v>9</v>
      </c>
      <c r="C346">
        <v>30</v>
      </c>
      <c r="D346">
        <v>2021</v>
      </c>
      <c r="E346" s="1">
        <v>44469</v>
      </c>
      <c r="F346" t="s">
        <v>5036</v>
      </c>
      <c r="G346">
        <v>0</v>
      </c>
      <c r="H346">
        <v>1</v>
      </c>
      <c r="I346">
        <v>1</v>
      </c>
      <c r="J346">
        <v>0</v>
      </c>
      <c r="K346" t="s">
        <v>5037</v>
      </c>
      <c r="L346" t="s">
        <v>5038</v>
      </c>
      <c r="M346" t="s">
        <v>5039</v>
      </c>
      <c r="N346" t="s">
        <v>5040</v>
      </c>
      <c r="O346" t="s">
        <v>5041</v>
      </c>
      <c r="P346" t="s">
        <v>5042</v>
      </c>
      <c r="Q346" t="s">
        <v>5043</v>
      </c>
      <c r="R346" t="s">
        <v>5044</v>
      </c>
      <c r="S346" t="s">
        <v>5045</v>
      </c>
      <c r="T346" s="2">
        <v>0.38541666666666669</v>
      </c>
      <c r="U346">
        <v>1</v>
      </c>
      <c r="V346" t="s">
        <v>5046</v>
      </c>
      <c r="W346" t="s">
        <v>5047</v>
      </c>
      <c r="X346" t="s">
        <v>5048</v>
      </c>
      <c r="Y346" t="s">
        <v>5049</v>
      </c>
      <c r="Z346" t="s">
        <v>5050</v>
      </c>
      <c r="AA346" t="s">
        <v>5050</v>
      </c>
      <c r="AC346" t="s">
        <v>5050</v>
      </c>
      <c r="AD346" t="s">
        <v>5050</v>
      </c>
    </row>
    <row r="347" spans="1:30">
      <c r="A347" t="s">
        <v>5051</v>
      </c>
      <c r="B347">
        <v>9</v>
      </c>
      <c r="C347">
        <v>29</v>
      </c>
      <c r="D347">
        <v>2021</v>
      </c>
      <c r="E347" s="1">
        <v>44468</v>
      </c>
      <c r="F347" t="s">
        <v>5052</v>
      </c>
      <c r="G347">
        <v>0</v>
      </c>
      <c r="H347">
        <v>0</v>
      </c>
      <c r="I347">
        <v>0</v>
      </c>
      <c r="J347">
        <v>0</v>
      </c>
      <c r="K347" t="s">
        <v>5053</v>
      </c>
      <c r="L347" t="s">
        <v>5054</v>
      </c>
      <c r="M347" t="s">
        <v>5055</v>
      </c>
      <c r="N347" t="s">
        <v>5056</v>
      </c>
      <c r="O347" t="s">
        <v>5057</v>
      </c>
      <c r="P347" t="s">
        <v>5058</v>
      </c>
      <c r="Q347" t="s">
        <v>5059</v>
      </c>
      <c r="R347" t="s">
        <v>5060</v>
      </c>
      <c r="S347" t="s">
        <v>5061</v>
      </c>
      <c r="T347" s="2">
        <v>0.77083333333333337</v>
      </c>
      <c r="U347">
        <v>1</v>
      </c>
      <c r="V347" t="s">
        <v>5062</v>
      </c>
      <c r="W347" t="s">
        <v>5063</v>
      </c>
      <c r="X347" t="s">
        <v>5064</v>
      </c>
      <c r="Y347" t="s">
        <v>5065</v>
      </c>
      <c r="Z347" t="s">
        <v>5065</v>
      </c>
      <c r="AA347" t="s">
        <v>5065</v>
      </c>
      <c r="AB347" t="s">
        <v>5065</v>
      </c>
      <c r="AC347" t="s">
        <v>5065</v>
      </c>
      <c r="AD347" t="s">
        <v>5065</v>
      </c>
    </row>
    <row r="348" spans="1:30">
      <c r="A348" t="s">
        <v>5066</v>
      </c>
      <c r="B348">
        <v>9</v>
      </c>
      <c r="C348">
        <v>28</v>
      </c>
      <c r="D348">
        <v>2021</v>
      </c>
      <c r="E348" s="1">
        <v>44467</v>
      </c>
      <c r="F348" t="s">
        <v>5067</v>
      </c>
      <c r="G348">
        <v>0</v>
      </c>
      <c r="H348">
        <v>1</v>
      </c>
      <c r="I348">
        <v>1</v>
      </c>
      <c r="J348">
        <v>0</v>
      </c>
      <c r="K348" t="s">
        <v>5068</v>
      </c>
      <c r="L348" t="s">
        <v>5069</v>
      </c>
      <c r="M348" t="s">
        <v>5070</v>
      </c>
      <c r="N348" t="s">
        <v>5071</v>
      </c>
      <c r="O348" t="s">
        <v>5072</v>
      </c>
      <c r="P348" t="s">
        <v>5073</v>
      </c>
      <c r="Q348" t="s">
        <v>5074</v>
      </c>
      <c r="R348" t="s">
        <v>5075</v>
      </c>
      <c r="S348" t="s">
        <v>5076</v>
      </c>
      <c r="T348" s="2">
        <v>0.85972222222222228</v>
      </c>
      <c r="U348">
        <v>1</v>
      </c>
      <c r="V348" t="s">
        <v>5077</v>
      </c>
      <c r="X348" t="s">
        <v>5078</v>
      </c>
      <c r="Y348" t="s">
        <v>5079</v>
      </c>
      <c r="Z348" t="s">
        <v>5079</v>
      </c>
      <c r="AA348" t="s">
        <v>5079</v>
      </c>
      <c r="AB348" t="s">
        <v>5079</v>
      </c>
      <c r="AC348" t="s">
        <v>5079</v>
      </c>
      <c r="AD348" t="s">
        <v>5079</v>
      </c>
    </row>
    <row r="349" spans="1:30">
      <c r="A349" t="s">
        <v>5080</v>
      </c>
      <c r="B349">
        <v>9</v>
      </c>
      <c r="C349">
        <v>27</v>
      </c>
      <c r="D349">
        <v>2021</v>
      </c>
      <c r="E349" s="1">
        <v>44466</v>
      </c>
      <c r="F349" t="s">
        <v>5081</v>
      </c>
      <c r="G349">
        <v>0</v>
      </c>
      <c r="H349">
        <v>0</v>
      </c>
      <c r="I349">
        <v>0</v>
      </c>
      <c r="J349">
        <v>0</v>
      </c>
      <c r="K349" t="s">
        <v>5082</v>
      </c>
      <c r="L349" t="s">
        <v>5083</v>
      </c>
      <c r="M349" t="s">
        <v>5084</v>
      </c>
      <c r="N349" t="s">
        <v>5085</v>
      </c>
      <c r="O349" t="s">
        <v>5086</v>
      </c>
      <c r="P349" t="s">
        <v>5087</v>
      </c>
      <c r="Q349" t="s">
        <v>5088</v>
      </c>
      <c r="R349" t="s">
        <v>5089</v>
      </c>
      <c r="S349" t="s">
        <v>5090</v>
      </c>
      <c r="T349" s="2">
        <v>0.5</v>
      </c>
      <c r="V349" t="s">
        <v>5091</v>
      </c>
      <c r="Y349" t="s">
        <v>5092</v>
      </c>
      <c r="Z349" t="s">
        <v>5092</v>
      </c>
      <c r="AA349" t="s">
        <v>5092</v>
      </c>
      <c r="AC349" t="s">
        <v>5092</v>
      </c>
      <c r="AD349" t="s">
        <v>5092</v>
      </c>
    </row>
    <row r="350" spans="1:30">
      <c r="A350" t="s">
        <v>5093</v>
      </c>
      <c r="B350">
        <v>9</v>
      </c>
      <c r="C350">
        <v>24</v>
      </c>
      <c r="D350">
        <v>2021</v>
      </c>
      <c r="E350" s="1">
        <v>44463</v>
      </c>
      <c r="F350" t="s">
        <v>5094</v>
      </c>
      <c r="G350">
        <v>0</v>
      </c>
      <c r="H350">
        <v>1</v>
      </c>
      <c r="I350">
        <v>1</v>
      </c>
      <c r="J350">
        <v>0</v>
      </c>
      <c r="K350" t="s">
        <v>5095</v>
      </c>
      <c r="L350" t="s">
        <v>5096</v>
      </c>
      <c r="M350" t="s">
        <v>5097</v>
      </c>
      <c r="N350" t="s">
        <v>5098</v>
      </c>
      <c r="O350" t="s">
        <v>5099</v>
      </c>
      <c r="P350" t="s">
        <v>5100</v>
      </c>
      <c r="Q350" t="s">
        <v>5100</v>
      </c>
      <c r="R350" t="s">
        <v>5101</v>
      </c>
      <c r="S350" t="s">
        <v>5102</v>
      </c>
      <c r="T350" s="2">
        <v>0.79930555555555549</v>
      </c>
      <c r="U350">
        <v>1</v>
      </c>
      <c r="V350" t="s">
        <v>5103</v>
      </c>
      <c r="X350" t="s">
        <v>5104</v>
      </c>
      <c r="Y350" t="s">
        <v>5105</v>
      </c>
      <c r="Z350" t="s">
        <v>5105</v>
      </c>
      <c r="AA350" t="s">
        <v>5105</v>
      </c>
      <c r="AB350" t="s">
        <v>5105</v>
      </c>
      <c r="AC350" t="s">
        <v>5105</v>
      </c>
      <c r="AD350" t="s">
        <v>5105</v>
      </c>
    </row>
    <row r="351" spans="1:30">
      <c r="A351" t="s">
        <v>5106</v>
      </c>
      <c r="B351">
        <v>9</v>
      </c>
      <c r="C351">
        <v>24</v>
      </c>
      <c r="D351">
        <v>2021</v>
      </c>
      <c r="E351" s="1">
        <v>44463</v>
      </c>
      <c r="F351" t="s">
        <v>5107</v>
      </c>
      <c r="G351">
        <v>0</v>
      </c>
      <c r="H351">
        <v>0</v>
      </c>
      <c r="I351">
        <v>0</v>
      </c>
      <c r="J351">
        <v>0</v>
      </c>
      <c r="K351" t="s">
        <v>5108</v>
      </c>
      <c r="L351" t="s">
        <v>5109</v>
      </c>
      <c r="M351" t="s">
        <v>5110</v>
      </c>
      <c r="N351" t="s">
        <v>5111</v>
      </c>
      <c r="O351" t="s">
        <v>5112</v>
      </c>
      <c r="P351" t="s">
        <v>5113</v>
      </c>
      <c r="Q351" t="s">
        <v>5114</v>
      </c>
      <c r="R351" t="s">
        <v>5115</v>
      </c>
      <c r="S351" t="s">
        <v>5116</v>
      </c>
      <c r="T351" s="2">
        <v>0.84722222222222221</v>
      </c>
      <c r="U351">
        <v>10</v>
      </c>
      <c r="V351" t="s">
        <v>5117</v>
      </c>
      <c r="W351" t="s">
        <v>5118</v>
      </c>
      <c r="X351" t="s">
        <v>5119</v>
      </c>
      <c r="Y351" t="s">
        <v>5120</v>
      </c>
      <c r="Z351" t="s">
        <v>5120</v>
      </c>
      <c r="AA351" t="s">
        <v>5120</v>
      </c>
      <c r="AB351" t="s">
        <v>5120</v>
      </c>
      <c r="AC351" t="s">
        <v>5120</v>
      </c>
      <c r="AD351" t="s">
        <v>5120</v>
      </c>
    </row>
    <row r="352" spans="1:30">
      <c r="A352" t="s">
        <v>5121</v>
      </c>
      <c r="B352">
        <v>9</v>
      </c>
      <c r="C352">
        <v>24</v>
      </c>
      <c r="D352">
        <v>2021</v>
      </c>
      <c r="E352" s="1">
        <v>44463</v>
      </c>
      <c r="F352" t="s">
        <v>5122</v>
      </c>
      <c r="G352">
        <v>0</v>
      </c>
      <c r="H352">
        <v>0</v>
      </c>
      <c r="I352">
        <v>0</v>
      </c>
      <c r="J352">
        <v>0</v>
      </c>
      <c r="K352" t="s">
        <v>5123</v>
      </c>
      <c r="L352" t="s">
        <v>5124</v>
      </c>
      <c r="M352" t="s">
        <v>5125</v>
      </c>
      <c r="N352" t="s">
        <v>5126</v>
      </c>
      <c r="O352" t="s">
        <v>5127</v>
      </c>
      <c r="P352" t="s">
        <v>5128</v>
      </c>
      <c r="Q352" t="s">
        <v>5129</v>
      </c>
      <c r="R352" t="s">
        <v>5130</v>
      </c>
      <c r="S352" t="s">
        <v>5131</v>
      </c>
      <c r="T352" s="2">
        <v>0.85416666666666674</v>
      </c>
      <c r="U352">
        <v>1</v>
      </c>
      <c r="V352" t="s">
        <v>5132</v>
      </c>
      <c r="W352" t="s">
        <v>5133</v>
      </c>
      <c r="X352" t="s">
        <v>5134</v>
      </c>
      <c r="Y352" t="s">
        <v>5135</v>
      </c>
      <c r="AA352" t="s">
        <v>5135</v>
      </c>
      <c r="AB352" t="s">
        <v>5135</v>
      </c>
      <c r="AC352" t="s">
        <v>5135</v>
      </c>
      <c r="AD352" t="s">
        <v>5135</v>
      </c>
    </row>
    <row r="353" spans="1:30">
      <c r="A353" t="s">
        <v>5136</v>
      </c>
      <c r="B353">
        <v>9</v>
      </c>
      <c r="C353">
        <v>24</v>
      </c>
      <c r="D353">
        <v>2021</v>
      </c>
      <c r="E353" s="1">
        <v>44463</v>
      </c>
      <c r="F353" t="s">
        <v>5137</v>
      </c>
      <c r="G353">
        <v>0</v>
      </c>
      <c r="H353">
        <v>1</v>
      </c>
      <c r="I353">
        <v>1</v>
      </c>
      <c r="J353">
        <v>0</v>
      </c>
      <c r="K353" t="s">
        <v>5138</v>
      </c>
      <c r="L353" t="s">
        <v>5139</v>
      </c>
      <c r="M353" t="s">
        <v>5140</v>
      </c>
      <c r="N353" t="s">
        <v>5141</v>
      </c>
      <c r="O353" t="s">
        <v>5142</v>
      </c>
      <c r="P353" t="s">
        <v>5143</v>
      </c>
      <c r="Q353" t="s">
        <v>5144</v>
      </c>
      <c r="R353" t="s">
        <v>5145</v>
      </c>
      <c r="S353" t="s">
        <v>5146</v>
      </c>
      <c r="T353" s="2">
        <v>0.90763888888888888</v>
      </c>
      <c r="U353">
        <v>1</v>
      </c>
      <c r="V353" t="s">
        <v>5147</v>
      </c>
      <c r="W353" t="s">
        <v>5148</v>
      </c>
      <c r="X353" t="s">
        <v>5149</v>
      </c>
      <c r="Y353" t="s">
        <v>5150</v>
      </c>
      <c r="Z353" t="s">
        <v>5150</v>
      </c>
      <c r="AA353" t="s">
        <v>5150</v>
      </c>
      <c r="AB353" t="s">
        <v>5150</v>
      </c>
      <c r="AC353" t="s">
        <v>5150</v>
      </c>
      <c r="AD353" t="s">
        <v>5150</v>
      </c>
    </row>
    <row r="354" spans="1:30">
      <c r="A354" t="s">
        <v>5151</v>
      </c>
      <c r="B354">
        <v>9</v>
      </c>
      <c r="C354">
        <v>23</v>
      </c>
      <c r="D354">
        <v>2021</v>
      </c>
      <c r="E354" s="1">
        <v>44462</v>
      </c>
      <c r="F354" t="s">
        <v>5152</v>
      </c>
      <c r="G354">
        <v>0</v>
      </c>
      <c r="H354">
        <v>0</v>
      </c>
      <c r="I354">
        <v>0</v>
      </c>
      <c r="J354">
        <v>0</v>
      </c>
      <c r="K354" t="s">
        <v>5153</v>
      </c>
      <c r="L354" t="s">
        <v>5154</v>
      </c>
      <c r="M354" t="s">
        <v>5155</v>
      </c>
      <c r="N354" t="s">
        <v>5156</v>
      </c>
      <c r="O354" t="s">
        <v>5157</v>
      </c>
      <c r="P354" t="s">
        <v>5158</v>
      </c>
      <c r="Q354" t="s">
        <v>5159</v>
      </c>
      <c r="R354" t="s">
        <v>5160</v>
      </c>
      <c r="S354" t="s">
        <v>5161</v>
      </c>
      <c r="U354">
        <v>1</v>
      </c>
      <c r="V354" t="s">
        <v>5162</v>
      </c>
      <c r="W354" t="s">
        <v>5163</v>
      </c>
      <c r="X354" t="s">
        <v>5164</v>
      </c>
      <c r="Y354" t="s">
        <v>5165</v>
      </c>
      <c r="Z354" t="s">
        <v>5165</v>
      </c>
      <c r="AA354" t="s">
        <v>5165</v>
      </c>
      <c r="AB354" t="s">
        <v>5165</v>
      </c>
      <c r="AC354" t="s">
        <v>5165</v>
      </c>
      <c r="AD354" t="s">
        <v>5165</v>
      </c>
    </row>
    <row r="355" spans="1:30">
      <c r="A355" t="s">
        <v>5166</v>
      </c>
      <c r="B355">
        <v>9</v>
      </c>
      <c r="C355">
        <v>22</v>
      </c>
      <c r="D355">
        <v>2021</v>
      </c>
      <c r="E355" s="1">
        <v>44461</v>
      </c>
      <c r="F355" t="s">
        <v>5167</v>
      </c>
      <c r="G355">
        <v>0</v>
      </c>
      <c r="H355">
        <v>0</v>
      </c>
      <c r="I355">
        <v>0</v>
      </c>
      <c r="J355">
        <v>0</v>
      </c>
      <c r="K355" t="s">
        <v>5168</v>
      </c>
      <c r="L355" t="s">
        <v>5169</v>
      </c>
      <c r="M355" t="s">
        <v>5170</v>
      </c>
      <c r="N355" t="s">
        <v>5171</v>
      </c>
      <c r="O355" t="s">
        <v>5172</v>
      </c>
      <c r="P355" t="s">
        <v>5173</v>
      </c>
      <c r="Q355" t="s">
        <v>5174</v>
      </c>
      <c r="R355" t="s">
        <v>5175</v>
      </c>
      <c r="S355" t="s">
        <v>5176</v>
      </c>
      <c r="T355" s="2">
        <v>0.45833333333333331</v>
      </c>
      <c r="U355">
        <v>1</v>
      </c>
      <c r="V355" t="s">
        <v>5177</v>
      </c>
      <c r="W355" t="s">
        <v>5178</v>
      </c>
      <c r="X355" t="s">
        <v>5179</v>
      </c>
      <c r="Y355" t="s">
        <v>5180</v>
      </c>
      <c r="Z355" t="s">
        <v>5180</v>
      </c>
      <c r="AA355" t="s">
        <v>5180</v>
      </c>
      <c r="AB355" t="s">
        <v>5180</v>
      </c>
      <c r="AC355" t="s">
        <v>5180</v>
      </c>
      <c r="AD355" t="s">
        <v>5180</v>
      </c>
    </row>
    <row r="356" spans="1:30">
      <c r="A356" t="s">
        <v>5181</v>
      </c>
      <c r="B356">
        <v>9</v>
      </c>
      <c r="C356">
        <v>22</v>
      </c>
      <c r="D356">
        <v>2021</v>
      </c>
      <c r="E356" s="1">
        <v>44461</v>
      </c>
      <c r="F356" t="s">
        <v>5182</v>
      </c>
      <c r="G356">
        <v>0</v>
      </c>
      <c r="H356">
        <v>1</v>
      </c>
      <c r="I356">
        <v>1</v>
      </c>
      <c r="J356">
        <v>0</v>
      </c>
      <c r="K356" t="s">
        <v>5183</v>
      </c>
      <c r="L356" t="s">
        <v>5184</v>
      </c>
      <c r="M356" t="s">
        <v>5185</v>
      </c>
      <c r="N356" t="s">
        <v>5186</v>
      </c>
      <c r="O356" t="s">
        <v>5187</v>
      </c>
      <c r="P356" t="s">
        <v>5188</v>
      </c>
      <c r="Q356" t="s">
        <v>5189</v>
      </c>
      <c r="R356" t="s">
        <v>5190</v>
      </c>
      <c r="S356" t="s">
        <v>5191</v>
      </c>
      <c r="T356" s="2">
        <v>0.36458333333333331</v>
      </c>
      <c r="U356">
        <v>1</v>
      </c>
      <c r="V356" t="s">
        <v>5192</v>
      </c>
      <c r="Y356" t="s">
        <v>5193</v>
      </c>
      <c r="Z356" t="s">
        <v>5193</v>
      </c>
      <c r="AA356" t="s">
        <v>5193</v>
      </c>
      <c r="AB356" t="s">
        <v>5193</v>
      </c>
      <c r="AC356" t="s">
        <v>5193</v>
      </c>
      <c r="AD356" t="s">
        <v>5193</v>
      </c>
    </row>
    <row r="357" spans="1:30">
      <c r="A357" t="s">
        <v>5194</v>
      </c>
      <c r="B357">
        <v>9</v>
      </c>
      <c r="C357">
        <v>21</v>
      </c>
      <c r="D357">
        <v>2021</v>
      </c>
      <c r="E357" s="1">
        <v>44460</v>
      </c>
      <c r="F357" t="s">
        <v>5195</v>
      </c>
      <c r="G357">
        <v>0</v>
      </c>
      <c r="H357">
        <v>1</v>
      </c>
      <c r="I357">
        <v>1</v>
      </c>
      <c r="J357">
        <v>0</v>
      </c>
      <c r="K357" t="s">
        <v>5196</v>
      </c>
      <c r="L357" t="s">
        <v>5197</v>
      </c>
      <c r="M357" t="s">
        <v>5198</v>
      </c>
      <c r="N357" t="s">
        <v>5199</v>
      </c>
      <c r="O357" t="s">
        <v>5200</v>
      </c>
      <c r="P357" t="s">
        <v>5201</v>
      </c>
      <c r="Q357" t="s">
        <v>5202</v>
      </c>
      <c r="R357" t="s">
        <v>5203</v>
      </c>
      <c r="S357" t="s">
        <v>5204</v>
      </c>
      <c r="T357" s="2">
        <v>0.62291666666666667</v>
      </c>
      <c r="U357">
        <v>1</v>
      </c>
      <c r="V357" t="s">
        <v>5205</v>
      </c>
      <c r="X357" t="s">
        <v>5206</v>
      </c>
      <c r="Y357" t="s">
        <v>5207</v>
      </c>
      <c r="Z357" t="s">
        <v>5207</v>
      </c>
      <c r="AA357" t="s">
        <v>5207</v>
      </c>
      <c r="AB357" t="s">
        <v>5207</v>
      </c>
      <c r="AC357" t="s">
        <v>5207</v>
      </c>
      <c r="AD357" t="s">
        <v>5207</v>
      </c>
    </row>
    <row r="358" spans="1:30">
      <c r="A358" t="s">
        <v>5208</v>
      </c>
      <c r="B358">
        <v>9</v>
      </c>
      <c r="C358">
        <v>21</v>
      </c>
      <c r="D358">
        <v>2021</v>
      </c>
      <c r="E358" s="1">
        <v>44460</v>
      </c>
      <c r="F358" t="s">
        <v>5209</v>
      </c>
      <c r="G358">
        <v>0</v>
      </c>
      <c r="H358">
        <v>0</v>
      </c>
      <c r="I358">
        <v>0</v>
      </c>
      <c r="J358">
        <v>0</v>
      </c>
      <c r="K358" t="s">
        <v>5210</v>
      </c>
      <c r="L358" t="s">
        <v>5211</v>
      </c>
      <c r="M358" t="s">
        <v>5212</v>
      </c>
      <c r="N358" t="s">
        <v>5213</v>
      </c>
      <c r="O358" t="s">
        <v>5214</v>
      </c>
      <c r="P358" t="s">
        <v>5215</v>
      </c>
      <c r="Q358" t="s">
        <v>5215</v>
      </c>
      <c r="R358" t="s">
        <v>5216</v>
      </c>
      <c r="S358" t="s">
        <v>5217</v>
      </c>
      <c r="T358" s="2">
        <v>0.625</v>
      </c>
      <c r="U358">
        <v>1</v>
      </c>
      <c r="V358" t="s">
        <v>5218</v>
      </c>
      <c r="W358" t="s">
        <v>5219</v>
      </c>
      <c r="X358" t="s">
        <v>5220</v>
      </c>
      <c r="Y358" t="s">
        <v>5221</v>
      </c>
      <c r="Z358" t="s">
        <v>5221</v>
      </c>
      <c r="AA358" t="s">
        <v>5221</v>
      </c>
      <c r="AB358" t="s">
        <v>5221</v>
      </c>
      <c r="AC358" t="s">
        <v>5221</v>
      </c>
      <c r="AD358" t="s">
        <v>5221</v>
      </c>
    </row>
    <row r="359" spans="1:30">
      <c r="A359" t="s">
        <v>5222</v>
      </c>
      <c r="B359">
        <v>9</v>
      </c>
      <c r="C359">
        <v>21</v>
      </c>
      <c r="D359">
        <v>2021</v>
      </c>
      <c r="E359" s="1">
        <v>44460</v>
      </c>
      <c r="F359" t="s">
        <v>5223</v>
      </c>
      <c r="G359">
        <v>0</v>
      </c>
      <c r="H359">
        <v>3</v>
      </c>
      <c r="I359">
        <v>3</v>
      </c>
      <c r="J359">
        <v>0</v>
      </c>
      <c r="K359" t="s">
        <v>5224</v>
      </c>
      <c r="L359" t="s">
        <v>5225</v>
      </c>
      <c r="M359" t="s">
        <v>5226</v>
      </c>
      <c r="N359" t="s">
        <v>5227</v>
      </c>
      <c r="O359" t="s">
        <v>5228</v>
      </c>
      <c r="P359" t="s">
        <v>5229</v>
      </c>
      <c r="Q359" t="s">
        <v>5230</v>
      </c>
      <c r="R359" t="s">
        <v>5231</v>
      </c>
      <c r="S359" t="s">
        <v>5232</v>
      </c>
      <c r="T359" s="2">
        <v>0.52083333333333337</v>
      </c>
      <c r="U359">
        <v>1</v>
      </c>
      <c r="V359" t="s">
        <v>5233</v>
      </c>
      <c r="W359" t="s">
        <v>5234</v>
      </c>
      <c r="X359" t="s">
        <v>5235</v>
      </c>
      <c r="Y359" t="s">
        <v>5236</v>
      </c>
      <c r="Z359" t="s">
        <v>5237</v>
      </c>
      <c r="AA359" t="s">
        <v>5237</v>
      </c>
      <c r="AB359" t="s">
        <v>5237</v>
      </c>
      <c r="AC359" t="s">
        <v>5237</v>
      </c>
      <c r="AD359" t="s">
        <v>5237</v>
      </c>
    </row>
    <row r="360" spans="1:30">
      <c r="A360" t="s">
        <v>5238</v>
      </c>
      <c r="B360">
        <v>9</v>
      </c>
      <c r="C360">
        <v>21</v>
      </c>
      <c r="D360">
        <v>2021</v>
      </c>
      <c r="E360" s="1">
        <v>44460</v>
      </c>
      <c r="F360" t="s">
        <v>5239</v>
      </c>
      <c r="G360">
        <v>0</v>
      </c>
      <c r="H360">
        <v>0</v>
      </c>
      <c r="I360">
        <v>0</v>
      </c>
      <c r="J360">
        <v>0</v>
      </c>
      <c r="K360" t="s">
        <v>5240</v>
      </c>
      <c r="L360" t="s">
        <v>5241</v>
      </c>
      <c r="M360" t="s">
        <v>5242</v>
      </c>
      <c r="N360" t="s">
        <v>5243</v>
      </c>
      <c r="O360" t="s">
        <v>5244</v>
      </c>
      <c r="P360" t="s">
        <v>5245</v>
      </c>
      <c r="Q360" t="s">
        <v>5245</v>
      </c>
      <c r="R360" t="s">
        <v>5246</v>
      </c>
      <c r="S360" t="s">
        <v>5247</v>
      </c>
      <c r="T360" s="2">
        <v>0.32291666666666669</v>
      </c>
      <c r="U360">
        <v>1</v>
      </c>
      <c r="V360" t="s">
        <v>5248</v>
      </c>
      <c r="W360" t="s">
        <v>5249</v>
      </c>
      <c r="X360" t="s">
        <v>5250</v>
      </c>
      <c r="Y360" t="s">
        <v>5251</v>
      </c>
      <c r="Z360" t="s">
        <v>5251</v>
      </c>
      <c r="AA360" t="s">
        <v>5251</v>
      </c>
      <c r="AB360" t="s">
        <v>5251</v>
      </c>
      <c r="AC360" t="s">
        <v>5251</v>
      </c>
      <c r="AD360" t="s">
        <v>5251</v>
      </c>
    </row>
    <row r="361" spans="1:30">
      <c r="A361" t="s">
        <v>5252</v>
      </c>
      <c r="B361">
        <v>9</v>
      </c>
      <c r="C361">
        <v>21</v>
      </c>
      <c r="D361">
        <v>2021</v>
      </c>
      <c r="E361" s="1">
        <v>44460</v>
      </c>
      <c r="F361" t="s">
        <v>5253</v>
      </c>
      <c r="G361">
        <v>0</v>
      </c>
      <c r="H361">
        <v>0</v>
      </c>
      <c r="I361">
        <v>0</v>
      </c>
      <c r="J361">
        <v>0</v>
      </c>
      <c r="K361" t="s">
        <v>5254</v>
      </c>
      <c r="L361" t="s">
        <v>5255</v>
      </c>
      <c r="M361" t="s">
        <v>5256</v>
      </c>
      <c r="N361" t="s">
        <v>5257</v>
      </c>
      <c r="O361" t="s">
        <v>5258</v>
      </c>
      <c r="P361" t="s">
        <v>5259</v>
      </c>
      <c r="Q361" t="s">
        <v>5259</v>
      </c>
      <c r="R361" t="s">
        <v>5260</v>
      </c>
      <c r="S361" t="s">
        <v>5261</v>
      </c>
      <c r="T361" s="2">
        <v>0.24652777777777779</v>
      </c>
      <c r="U361">
        <v>10</v>
      </c>
      <c r="V361" t="s">
        <v>5262</v>
      </c>
      <c r="W361" t="s">
        <v>5263</v>
      </c>
      <c r="X361" t="s">
        <v>5264</v>
      </c>
      <c r="Y361" t="s">
        <v>5265</v>
      </c>
      <c r="Z361" t="s">
        <v>5265</v>
      </c>
      <c r="AA361" t="s">
        <v>5265</v>
      </c>
      <c r="AB361" t="s">
        <v>5265</v>
      </c>
      <c r="AC361" t="s">
        <v>5265</v>
      </c>
      <c r="AD361" t="s">
        <v>5265</v>
      </c>
    </row>
    <row r="362" spans="1:30">
      <c r="A362" t="s">
        <v>5266</v>
      </c>
      <c r="B362">
        <v>9</v>
      </c>
      <c r="C362">
        <v>20</v>
      </c>
      <c r="D362">
        <v>2021</v>
      </c>
      <c r="E362" s="1">
        <v>44459</v>
      </c>
      <c r="F362" t="s">
        <v>5267</v>
      </c>
      <c r="G362">
        <v>0</v>
      </c>
      <c r="H362">
        <v>3</v>
      </c>
      <c r="I362">
        <v>3</v>
      </c>
      <c r="J362">
        <v>0</v>
      </c>
      <c r="K362" t="s">
        <v>5268</v>
      </c>
      <c r="L362" t="s">
        <v>5269</v>
      </c>
      <c r="M362" t="s">
        <v>5270</v>
      </c>
      <c r="N362" t="s">
        <v>5271</v>
      </c>
      <c r="O362" t="s">
        <v>5272</v>
      </c>
      <c r="P362" t="s">
        <v>5273</v>
      </c>
      <c r="Q362" t="s">
        <v>5274</v>
      </c>
      <c r="R362" t="s">
        <v>5275</v>
      </c>
      <c r="S362" t="s">
        <v>5276</v>
      </c>
      <c r="T362" s="2">
        <v>0.75138888888888888</v>
      </c>
      <c r="U362">
        <v>1</v>
      </c>
      <c r="V362" t="s">
        <v>5277</v>
      </c>
      <c r="Y362" t="s">
        <v>5278</v>
      </c>
      <c r="Z362" t="s">
        <v>5279</v>
      </c>
      <c r="AA362" t="s">
        <v>5279</v>
      </c>
      <c r="AB362" t="s">
        <v>5279</v>
      </c>
      <c r="AC362" t="s">
        <v>5279</v>
      </c>
      <c r="AD362" t="s">
        <v>5279</v>
      </c>
    </row>
    <row r="363" spans="1:30">
      <c r="A363" t="s">
        <v>5280</v>
      </c>
      <c r="B363">
        <v>9</v>
      </c>
      <c r="C363">
        <v>20</v>
      </c>
      <c r="D363">
        <v>2021</v>
      </c>
      <c r="E363" s="1">
        <v>44459</v>
      </c>
      <c r="F363" t="s">
        <v>5281</v>
      </c>
      <c r="G363">
        <v>0</v>
      </c>
      <c r="H363">
        <v>2</v>
      </c>
      <c r="I363">
        <v>2</v>
      </c>
      <c r="J363">
        <v>0</v>
      </c>
      <c r="K363" t="s">
        <v>5282</v>
      </c>
      <c r="L363" t="s">
        <v>5283</v>
      </c>
      <c r="M363" t="s">
        <v>5284</v>
      </c>
      <c r="N363" t="s">
        <v>5285</v>
      </c>
      <c r="O363" t="s">
        <v>5286</v>
      </c>
      <c r="P363" t="s">
        <v>5287</v>
      </c>
      <c r="Q363" t="s">
        <v>5288</v>
      </c>
      <c r="R363" t="s">
        <v>5289</v>
      </c>
      <c r="S363" t="s">
        <v>5290</v>
      </c>
      <c r="T363" s="2">
        <v>0.4861111111111111</v>
      </c>
      <c r="U363">
        <v>1</v>
      </c>
      <c r="V363" t="s">
        <v>5291</v>
      </c>
      <c r="W363" t="s">
        <v>5292</v>
      </c>
      <c r="X363" t="s">
        <v>5293</v>
      </c>
      <c r="Y363" t="s">
        <v>5294</v>
      </c>
      <c r="Z363" t="s">
        <v>5294</v>
      </c>
      <c r="AA363" t="s">
        <v>5294</v>
      </c>
      <c r="AB363" t="s">
        <v>5294</v>
      </c>
      <c r="AC363" t="s">
        <v>5294</v>
      </c>
      <c r="AD363" t="s">
        <v>5294</v>
      </c>
    </row>
    <row r="364" spans="1:30">
      <c r="A364" t="s">
        <v>5295</v>
      </c>
      <c r="B364">
        <v>9</v>
      </c>
      <c r="C364">
        <v>18</v>
      </c>
      <c r="D364">
        <v>2021</v>
      </c>
      <c r="E364" s="1">
        <v>44457</v>
      </c>
      <c r="F364" t="s">
        <v>5296</v>
      </c>
      <c r="G364">
        <v>0</v>
      </c>
      <c r="H364">
        <v>3</v>
      </c>
      <c r="I364">
        <v>3</v>
      </c>
      <c r="J364">
        <v>0</v>
      </c>
      <c r="K364" t="s">
        <v>5297</v>
      </c>
      <c r="L364" t="s">
        <v>5298</v>
      </c>
      <c r="M364" t="s">
        <v>5299</v>
      </c>
      <c r="N364" t="s">
        <v>5300</v>
      </c>
      <c r="O364" t="s">
        <v>5301</v>
      </c>
      <c r="P364" t="s">
        <v>5302</v>
      </c>
      <c r="Q364" t="s">
        <v>5303</v>
      </c>
      <c r="R364" t="s">
        <v>5304</v>
      </c>
      <c r="S364" t="s">
        <v>5305</v>
      </c>
      <c r="T364" s="2">
        <v>0.68124999999999991</v>
      </c>
      <c r="U364">
        <v>1</v>
      </c>
      <c r="V364" t="s">
        <v>5306</v>
      </c>
      <c r="X364" t="s">
        <v>5307</v>
      </c>
      <c r="Y364" t="s">
        <v>5308</v>
      </c>
      <c r="Z364" t="s">
        <v>5308</v>
      </c>
      <c r="AA364" t="s">
        <v>5308</v>
      </c>
      <c r="AB364" t="s">
        <v>5308</v>
      </c>
      <c r="AC364" t="s">
        <v>5308</v>
      </c>
      <c r="AD364" t="s">
        <v>5308</v>
      </c>
    </row>
    <row r="365" spans="1:30">
      <c r="A365" t="s">
        <v>5309</v>
      </c>
      <c r="B365">
        <v>9</v>
      </c>
      <c r="C365">
        <v>17</v>
      </c>
      <c r="D365">
        <v>2021</v>
      </c>
      <c r="E365" s="1">
        <v>44456</v>
      </c>
      <c r="F365" t="s">
        <v>5310</v>
      </c>
      <c r="G365">
        <v>0</v>
      </c>
      <c r="H365">
        <v>0</v>
      </c>
      <c r="I365">
        <v>0</v>
      </c>
      <c r="J365">
        <v>0</v>
      </c>
      <c r="K365" t="s">
        <v>5311</v>
      </c>
      <c r="L365" t="s">
        <v>5312</v>
      </c>
      <c r="M365" t="s">
        <v>5313</v>
      </c>
      <c r="N365" t="s">
        <v>5314</v>
      </c>
      <c r="O365" t="s">
        <v>5315</v>
      </c>
      <c r="P365" t="s">
        <v>5316</v>
      </c>
      <c r="Q365" t="s">
        <v>5317</v>
      </c>
      <c r="R365" t="s">
        <v>5318</v>
      </c>
      <c r="S365" t="s">
        <v>5319</v>
      </c>
      <c r="T365" s="2">
        <v>0.66666666666666663</v>
      </c>
      <c r="U365">
        <v>1</v>
      </c>
      <c r="V365" t="s">
        <v>5320</v>
      </c>
      <c r="W365" t="s">
        <v>5321</v>
      </c>
      <c r="X365" t="s">
        <v>5322</v>
      </c>
      <c r="Y365" t="s">
        <v>5323</v>
      </c>
      <c r="Z365" t="s">
        <v>5323</v>
      </c>
      <c r="AA365" t="s">
        <v>5323</v>
      </c>
      <c r="AB365" t="s">
        <v>5323</v>
      </c>
      <c r="AC365" t="s">
        <v>5323</v>
      </c>
      <c r="AD365" t="s">
        <v>5323</v>
      </c>
    </row>
    <row r="366" spans="1:30">
      <c r="A366" t="s">
        <v>5324</v>
      </c>
      <c r="B366">
        <v>9</v>
      </c>
      <c r="C366">
        <v>17</v>
      </c>
      <c r="D366">
        <v>2021</v>
      </c>
      <c r="E366" s="1">
        <v>44456</v>
      </c>
      <c r="F366" t="s">
        <v>5325</v>
      </c>
      <c r="G366">
        <v>0</v>
      </c>
      <c r="H366">
        <v>0</v>
      </c>
      <c r="I366">
        <v>0</v>
      </c>
      <c r="J366">
        <v>0</v>
      </c>
      <c r="K366" t="s">
        <v>5326</v>
      </c>
      <c r="L366" t="s">
        <v>5327</v>
      </c>
      <c r="M366" t="s">
        <v>5328</v>
      </c>
      <c r="N366" t="s">
        <v>5329</v>
      </c>
      <c r="O366" t="s">
        <v>5330</v>
      </c>
      <c r="P366" t="s">
        <v>5331</v>
      </c>
      <c r="Q366" t="s">
        <v>5332</v>
      </c>
      <c r="R366" t="s">
        <v>5333</v>
      </c>
      <c r="S366" t="s">
        <v>5334</v>
      </c>
      <c r="T366" s="2">
        <v>0.95833333333333337</v>
      </c>
      <c r="U366">
        <v>1</v>
      </c>
      <c r="V366" t="s">
        <v>5335</v>
      </c>
      <c r="W366" t="s">
        <v>5336</v>
      </c>
      <c r="X366" t="s">
        <v>5337</v>
      </c>
      <c r="Y366" t="s">
        <v>5338</v>
      </c>
      <c r="Z366" t="s">
        <v>5338</v>
      </c>
      <c r="AA366" t="s">
        <v>5338</v>
      </c>
      <c r="AB366" t="s">
        <v>5338</v>
      </c>
      <c r="AC366" t="s">
        <v>5338</v>
      </c>
      <c r="AD366" t="s">
        <v>5338</v>
      </c>
    </row>
    <row r="367" spans="1:30">
      <c r="A367" t="s">
        <v>5339</v>
      </c>
      <c r="B367">
        <v>9</v>
      </c>
      <c r="C367">
        <v>17</v>
      </c>
      <c r="D367">
        <v>2021</v>
      </c>
      <c r="E367" s="1">
        <v>44456</v>
      </c>
      <c r="F367" t="s">
        <v>5340</v>
      </c>
      <c r="G367">
        <v>0</v>
      </c>
      <c r="H367">
        <v>1</v>
      </c>
      <c r="I367">
        <v>1</v>
      </c>
      <c r="J367">
        <v>0</v>
      </c>
      <c r="K367" t="s">
        <v>5341</v>
      </c>
      <c r="L367" t="s">
        <v>5342</v>
      </c>
      <c r="M367" t="s">
        <v>5343</v>
      </c>
      <c r="N367" t="s">
        <v>5344</v>
      </c>
      <c r="O367" t="s">
        <v>5345</v>
      </c>
      <c r="P367" t="s">
        <v>5346</v>
      </c>
      <c r="Q367" t="s">
        <v>5346</v>
      </c>
      <c r="R367" t="s">
        <v>5347</v>
      </c>
      <c r="S367" t="s">
        <v>5348</v>
      </c>
      <c r="T367" s="2">
        <v>0.86736111111111114</v>
      </c>
      <c r="U367">
        <v>1</v>
      </c>
      <c r="V367" t="s">
        <v>5349</v>
      </c>
      <c r="Y367" t="s">
        <v>5350</v>
      </c>
      <c r="Z367" t="s">
        <v>5350</v>
      </c>
      <c r="AA367" t="s">
        <v>5350</v>
      </c>
      <c r="AB367" t="s">
        <v>5350</v>
      </c>
      <c r="AC367" t="s">
        <v>5350</v>
      </c>
      <c r="AD367" t="s">
        <v>5350</v>
      </c>
    </row>
    <row r="368" spans="1:30">
      <c r="A368" t="s">
        <v>5351</v>
      </c>
      <c r="B368">
        <v>9</v>
      </c>
      <c r="C368">
        <v>17</v>
      </c>
      <c r="D368">
        <v>2021</v>
      </c>
      <c r="E368" s="1">
        <v>44456</v>
      </c>
      <c r="F368" t="s">
        <v>5352</v>
      </c>
      <c r="G368">
        <v>0</v>
      </c>
      <c r="H368">
        <v>2</v>
      </c>
      <c r="I368">
        <v>2</v>
      </c>
      <c r="J368">
        <v>0</v>
      </c>
      <c r="K368" t="s">
        <v>5353</v>
      </c>
      <c r="L368" t="s">
        <v>5354</v>
      </c>
      <c r="M368" t="s">
        <v>5355</v>
      </c>
      <c r="N368" t="s">
        <v>5356</v>
      </c>
      <c r="O368" t="s">
        <v>5357</v>
      </c>
      <c r="P368" t="s">
        <v>5358</v>
      </c>
      <c r="Q368" t="s">
        <v>5359</v>
      </c>
      <c r="R368" t="s">
        <v>5360</v>
      </c>
      <c r="S368" t="s">
        <v>5361</v>
      </c>
      <c r="T368" s="2">
        <v>0.83333333333333337</v>
      </c>
      <c r="U368">
        <v>1</v>
      </c>
      <c r="V368" t="s">
        <v>5362</v>
      </c>
      <c r="W368" t="s">
        <v>5363</v>
      </c>
      <c r="Y368" t="s">
        <v>5364</v>
      </c>
      <c r="Z368" t="s">
        <v>5364</v>
      </c>
      <c r="AA368" t="s">
        <v>5364</v>
      </c>
      <c r="AB368" t="s">
        <v>5364</v>
      </c>
      <c r="AC368" t="s">
        <v>5364</v>
      </c>
      <c r="AD368" t="s">
        <v>5364</v>
      </c>
    </row>
    <row r="369" spans="1:30">
      <c r="A369" t="s">
        <v>5365</v>
      </c>
      <c r="B369">
        <v>9</v>
      </c>
      <c r="C369">
        <v>17</v>
      </c>
      <c r="D369">
        <v>2021</v>
      </c>
      <c r="E369" s="1">
        <v>44456</v>
      </c>
      <c r="F369" t="s">
        <v>5366</v>
      </c>
      <c r="G369">
        <v>0</v>
      </c>
      <c r="H369">
        <v>0</v>
      </c>
      <c r="I369">
        <v>0</v>
      </c>
      <c r="J369">
        <v>0</v>
      </c>
      <c r="K369" t="s">
        <v>5367</v>
      </c>
      <c r="L369" t="s">
        <v>5368</v>
      </c>
      <c r="M369" t="s">
        <v>5369</v>
      </c>
      <c r="N369" t="s">
        <v>5370</v>
      </c>
      <c r="O369" t="s">
        <v>5371</v>
      </c>
      <c r="P369" t="s">
        <v>5372</v>
      </c>
      <c r="Q369" t="s">
        <v>5373</v>
      </c>
      <c r="R369" t="s">
        <v>5374</v>
      </c>
      <c r="S369" t="s">
        <v>5375</v>
      </c>
      <c r="T369" s="2">
        <v>0.875</v>
      </c>
      <c r="U369">
        <v>1</v>
      </c>
      <c r="V369" t="s">
        <v>5376</v>
      </c>
      <c r="W369" t="s">
        <v>5377</v>
      </c>
      <c r="X369" t="s">
        <v>5378</v>
      </c>
      <c r="Y369" t="s">
        <v>5379</v>
      </c>
      <c r="Z369" t="s">
        <v>5379</v>
      </c>
      <c r="AA369" t="s">
        <v>5379</v>
      </c>
      <c r="AB369" t="s">
        <v>5379</v>
      </c>
      <c r="AC369" t="s">
        <v>5379</v>
      </c>
      <c r="AD369" t="s">
        <v>5379</v>
      </c>
    </row>
    <row r="370" spans="1:30">
      <c r="A370" t="s">
        <v>5380</v>
      </c>
      <c r="B370">
        <v>9</v>
      </c>
      <c r="C370">
        <v>16</v>
      </c>
      <c r="D370">
        <v>2021</v>
      </c>
      <c r="E370" s="1">
        <v>44455</v>
      </c>
      <c r="F370" t="s">
        <v>5381</v>
      </c>
      <c r="G370">
        <v>0</v>
      </c>
      <c r="H370">
        <v>0</v>
      </c>
      <c r="I370">
        <v>0</v>
      </c>
      <c r="J370">
        <v>0</v>
      </c>
      <c r="K370" t="s">
        <v>5382</v>
      </c>
      <c r="L370" t="s">
        <v>5383</v>
      </c>
      <c r="M370" t="s">
        <v>5384</v>
      </c>
      <c r="N370" t="s">
        <v>5385</v>
      </c>
      <c r="O370" t="s">
        <v>5386</v>
      </c>
      <c r="P370" t="s">
        <v>5387</v>
      </c>
      <c r="Q370" t="s">
        <v>5388</v>
      </c>
      <c r="R370" t="s">
        <v>5389</v>
      </c>
      <c r="S370" t="s">
        <v>5390</v>
      </c>
      <c r="T370" s="2">
        <v>0.125</v>
      </c>
      <c r="U370">
        <v>1</v>
      </c>
      <c r="V370" t="s">
        <v>5391</v>
      </c>
      <c r="Y370" t="s">
        <v>5392</v>
      </c>
      <c r="Z370" t="s">
        <v>5392</v>
      </c>
      <c r="AA370" t="s">
        <v>5392</v>
      </c>
      <c r="AB370" t="s">
        <v>5392</v>
      </c>
      <c r="AC370" t="s">
        <v>5392</v>
      </c>
      <c r="AD370" t="s">
        <v>5392</v>
      </c>
    </row>
    <row r="371" spans="1:30">
      <c r="A371" t="s">
        <v>5393</v>
      </c>
      <c r="B371">
        <v>9</v>
      </c>
      <c r="C371">
        <v>16</v>
      </c>
      <c r="D371">
        <v>2021</v>
      </c>
      <c r="E371" s="1">
        <v>44455</v>
      </c>
      <c r="F371" t="s">
        <v>5394</v>
      </c>
      <c r="G371">
        <v>0</v>
      </c>
      <c r="H371">
        <v>0</v>
      </c>
      <c r="I371">
        <v>0</v>
      </c>
      <c r="J371">
        <v>0</v>
      </c>
      <c r="K371" t="s">
        <v>5395</v>
      </c>
      <c r="L371" t="s">
        <v>5396</v>
      </c>
      <c r="M371" t="s">
        <v>5397</v>
      </c>
      <c r="N371" t="s">
        <v>5398</v>
      </c>
      <c r="O371" t="s">
        <v>5399</v>
      </c>
      <c r="P371" t="s">
        <v>5400</v>
      </c>
      <c r="Q371" t="s">
        <v>5401</v>
      </c>
      <c r="R371" t="s">
        <v>5402</v>
      </c>
      <c r="S371" t="s">
        <v>5403</v>
      </c>
      <c r="T371" s="2">
        <v>0.52569444444444446</v>
      </c>
      <c r="U371">
        <v>1</v>
      </c>
      <c r="V371" t="s">
        <v>5404</v>
      </c>
      <c r="W371" t="s">
        <v>5405</v>
      </c>
      <c r="X371" t="s">
        <v>5406</v>
      </c>
      <c r="Y371" t="s">
        <v>5407</v>
      </c>
      <c r="Z371" t="s">
        <v>5407</v>
      </c>
      <c r="AA371" t="s">
        <v>5407</v>
      </c>
      <c r="AB371" t="s">
        <v>5407</v>
      </c>
      <c r="AC371" t="s">
        <v>5407</v>
      </c>
      <c r="AD371" t="s">
        <v>5407</v>
      </c>
    </row>
    <row r="372" spans="1:30">
      <c r="A372" t="s">
        <v>5408</v>
      </c>
      <c r="B372">
        <v>9</v>
      </c>
      <c r="C372">
        <v>16</v>
      </c>
      <c r="D372">
        <v>2021</v>
      </c>
      <c r="E372" s="1">
        <v>44455</v>
      </c>
      <c r="F372" t="s">
        <v>5409</v>
      </c>
      <c r="G372">
        <v>0</v>
      </c>
      <c r="H372">
        <v>0</v>
      </c>
      <c r="I372">
        <v>0</v>
      </c>
      <c r="J372">
        <v>0</v>
      </c>
      <c r="K372" t="s">
        <v>5410</v>
      </c>
      <c r="L372" t="s">
        <v>5411</v>
      </c>
      <c r="M372" t="s">
        <v>5412</v>
      </c>
      <c r="N372" t="s">
        <v>5413</v>
      </c>
      <c r="O372" t="s">
        <v>5414</v>
      </c>
      <c r="P372" t="s">
        <v>5415</v>
      </c>
      <c r="Q372" t="s">
        <v>5416</v>
      </c>
      <c r="R372" t="s">
        <v>5417</v>
      </c>
      <c r="S372" t="s">
        <v>5418</v>
      </c>
      <c r="T372" s="2">
        <v>0.91180555555555554</v>
      </c>
      <c r="U372">
        <v>1</v>
      </c>
      <c r="V372" t="s">
        <v>5419</v>
      </c>
      <c r="X372" t="s">
        <v>5420</v>
      </c>
      <c r="Y372" t="s">
        <v>5421</v>
      </c>
      <c r="Z372" t="s">
        <v>5421</v>
      </c>
      <c r="AA372" t="s">
        <v>5421</v>
      </c>
      <c r="AB372" t="s">
        <v>5421</v>
      </c>
      <c r="AC372" t="s">
        <v>5421</v>
      </c>
      <c r="AD372" t="s">
        <v>5421</v>
      </c>
    </row>
    <row r="373" spans="1:30">
      <c r="A373" t="s">
        <v>5422</v>
      </c>
      <c r="B373">
        <v>9</v>
      </c>
      <c r="C373">
        <v>15</v>
      </c>
      <c r="D373">
        <v>2021</v>
      </c>
      <c r="E373" s="1">
        <v>44454</v>
      </c>
      <c r="F373" t="s">
        <v>5423</v>
      </c>
      <c r="G373">
        <v>0</v>
      </c>
      <c r="H373">
        <v>1</v>
      </c>
      <c r="I373">
        <v>1</v>
      </c>
      <c r="J373">
        <v>0</v>
      </c>
      <c r="K373" t="s">
        <v>5424</v>
      </c>
      <c r="L373" t="s">
        <v>5425</v>
      </c>
      <c r="M373" t="s">
        <v>5426</v>
      </c>
      <c r="N373" t="s">
        <v>5427</v>
      </c>
      <c r="O373" t="s">
        <v>5428</v>
      </c>
      <c r="P373" t="s">
        <v>5429</v>
      </c>
      <c r="Q373" t="s">
        <v>5430</v>
      </c>
      <c r="R373" t="s">
        <v>5431</v>
      </c>
      <c r="S373" t="s">
        <v>5432</v>
      </c>
      <c r="T373" s="2">
        <v>0.66666666666666663</v>
      </c>
      <c r="U373">
        <v>1</v>
      </c>
      <c r="V373" t="s">
        <v>5433</v>
      </c>
      <c r="X373" t="s">
        <v>5434</v>
      </c>
      <c r="Y373" t="s">
        <v>5435</v>
      </c>
      <c r="Z373" t="s">
        <v>5435</v>
      </c>
      <c r="AA373" t="s">
        <v>5435</v>
      </c>
      <c r="AB373" t="s">
        <v>5435</v>
      </c>
      <c r="AC373" t="s">
        <v>5435</v>
      </c>
      <c r="AD373" t="s">
        <v>5435</v>
      </c>
    </row>
    <row r="374" spans="1:30">
      <c r="A374" t="s">
        <v>5436</v>
      </c>
      <c r="B374">
        <v>9</v>
      </c>
      <c r="C374">
        <v>15</v>
      </c>
      <c r="D374">
        <v>2021</v>
      </c>
      <c r="E374" s="1">
        <v>44454</v>
      </c>
      <c r="F374" t="s">
        <v>5437</v>
      </c>
      <c r="G374">
        <v>0</v>
      </c>
      <c r="H374">
        <v>0</v>
      </c>
      <c r="I374">
        <v>0</v>
      </c>
      <c r="J374">
        <v>0</v>
      </c>
      <c r="K374" t="s">
        <v>5438</v>
      </c>
      <c r="L374" t="s">
        <v>5439</v>
      </c>
      <c r="M374" t="s">
        <v>5440</v>
      </c>
      <c r="N374" t="s">
        <v>5441</v>
      </c>
      <c r="O374" t="s">
        <v>5442</v>
      </c>
      <c r="P374" t="s">
        <v>5443</v>
      </c>
      <c r="Q374" t="s">
        <v>5444</v>
      </c>
      <c r="R374" t="s">
        <v>5445</v>
      </c>
      <c r="S374" t="s">
        <v>5446</v>
      </c>
      <c r="T374" s="2">
        <v>0.5625</v>
      </c>
      <c r="U374">
        <v>1</v>
      </c>
      <c r="V374" t="s">
        <v>5447</v>
      </c>
      <c r="Y374" t="s">
        <v>5448</v>
      </c>
      <c r="Z374" t="s">
        <v>5448</v>
      </c>
      <c r="AA374" t="s">
        <v>5448</v>
      </c>
      <c r="AB374" t="s">
        <v>5448</v>
      </c>
      <c r="AC374" t="s">
        <v>5448</v>
      </c>
      <c r="AD374" t="s">
        <v>5448</v>
      </c>
    </row>
    <row r="375" spans="1:30">
      <c r="A375" t="s">
        <v>5449</v>
      </c>
      <c r="B375">
        <v>9</v>
      </c>
      <c r="C375">
        <v>15</v>
      </c>
      <c r="D375">
        <v>2021</v>
      </c>
      <c r="E375" s="1">
        <v>44454</v>
      </c>
      <c r="F375" t="s">
        <v>5450</v>
      </c>
      <c r="G375">
        <v>0</v>
      </c>
      <c r="H375">
        <v>0</v>
      </c>
      <c r="I375">
        <v>0</v>
      </c>
      <c r="J375">
        <v>0</v>
      </c>
      <c r="K375" t="s">
        <v>5451</v>
      </c>
      <c r="L375" t="s">
        <v>5452</v>
      </c>
      <c r="M375" t="s">
        <v>5453</v>
      </c>
      <c r="N375" t="s">
        <v>5454</v>
      </c>
      <c r="O375" t="s">
        <v>5455</v>
      </c>
      <c r="P375" t="s">
        <v>5456</v>
      </c>
      <c r="Q375" t="s">
        <v>5456</v>
      </c>
      <c r="R375" t="s">
        <v>5457</v>
      </c>
      <c r="S375" t="s">
        <v>5458</v>
      </c>
      <c r="V375" t="s">
        <v>5459</v>
      </c>
      <c r="Z375" t="s">
        <v>5460</v>
      </c>
      <c r="AA375" t="s">
        <v>5460</v>
      </c>
      <c r="AB375" t="s">
        <v>5460</v>
      </c>
      <c r="AC375" t="s">
        <v>5460</v>
      </c>
      <c r="AD375" t="s">
        <v>5460</v>
      </c>
    </row>
    <row r="376" spans="1:30">
      <c r="A376" t="s">
        <v>5461</v>
      </c>
      <c r="B376">
        <v>9</v>
      </c>
      <c r="C376">
        <v>14</v>
      </c>
      <c r="D376">
        <v>2021</v>
      </c>
      <c r="E376" s="1">
        <v>44453</v>
      </c>
      <c r="F376" t="s">
        <v>5462</v>
      </c>
      <c r="G376">
        <v>0</v>
      </c>
      <c r="H376">
        <v>0</v>
      </c>
      <c r="I376">
        <v>0</v>
      </c>
      <c r="J376">
        <v>0</v>
      </c>
      <c r="K376" t="s">
        <v>5463</v>
      </c>
      <c r="L376" t="s">
        <v>5464</v>
      </c>
      <c r="M376" t="s">
        <v>5465</v>
      </c>
      <c r="N376" t="s">
        <v>5466</v>
      </c>
      <c r="O376" t="s">
        <v>5467</v>
      </c>
      <c r="P376" t="s">
        <v>5468</v>
      </c>
      <c r="Q376" t="s">
        <v>5469</v>
      </c>
      <c r="R376" t="s">
        <v>5470</v>
      </c>
      <c r="S376" t="s">
        <v>5471</v>
      </c>
      <c r="T376" s="2">
        <v>0.61458333333333337</v>
      </c>
      <c r="U376">
        <v>1</v>
      </c>
      <c r="V376" t="s">
        <v>5472</v>
      </c>
      <c r="X376" t="s">
        <v>5473</v>
      </c>
      <c r="Y376" t="s">
        <v>5474</v>
      </c>
      <c r="Z376" t="s">
        <v>5475</v>
      </c>
      <c r="AA376" t="s">
        <v>5475</v>
      </c>
      <c r="AB376" t="s">
        <v>5475</v>
      </c>
      <c r="AC376" t="s">
        <v>5475</v>
      </c>
      <c r="AD376" t="s">
        <v>5475</v>
      </c>
    </row>
    <row r="377" spans="1:30">
      <c r="A377" t="s">
        <v>5476</v>
      </c>
      <c r="B377">
        <v>9</v>
      </c>
      <c r="C377">
        <v>14</v>
      </c>
      <c r="D377">
        <v>2021</v>
      </c>
      <c r="E377" s="1">
        <v>44453</v>
      </c>
      <c r="F377" t="s">
        <v>5477</v>
      </c>
      <c r="G377">
        <v>0</v>
      </c>
      <c r="H377">
        <v>0</v>
      </c>
      <c r="I377">
        <v>0</v>
      </c>
      <c r="J377">
        <v>0</v>
      </c>
      <c r="K377" t="s">
        <v>5478</v>
      </c>
      <c r="L377" t="s">
        <v>5479</v>
      </c>
      <c r="M377" t="s">
        <v>5480</v>
      </c>
      <c r="N377" t="s">
        <v>5481</v>
      </c>
      <c r="O377" t="s">
        <v>5482</v>
      </c>
      <c r="P377" t="s">
        <v>5483</v>
      </c>
      <c r="Q377" t="s">
        <v>5484</v>
      </c>
      <c r="R377" t="s">
        <v>5485</v>
      </c>
      <c r="S377" t="s">
        <v>5486</v>
      </c>
      <c r="T377" s="2">
        <v>0.36458333333333331</v>
      </c>
      <c r="U377">
        <v>1</v>
      </c>
      <c r="V377" t="s">
        <v>5487</v>
      </c>
      <c r="W377" t="s">
        <v>5488</v>
      </c>
      <c r="X377" t="s">
        <v>5489</v>
      </c>
      <c r="Y377" t="s">
        <v>5490</v>
      </c>
      <c r="Z377" t="s">
        <v>5490</v>
      </c>
      <c r="AA377" t="s">
        <v>5490</v>
      </c>
      <c r="AB377" t="s">
        <v>5490</v>
      </c>
      <c r="AC377" t="s">
        <v>5490</v>
      </c>
      <c r="AD377" t="s">
        <v>5490</v>
      </c>
    </row>
    <row r="378" spans="1:30">
      <c r="A378" t="s">
        <v>5491</v>
      </c>
      <c r="B378">
        <v>9</v>
      </c>
      <c r="C378">
        <v>13</v>
      </c>
      <c r="D378">
        <v>2021</v>
      </c>
      <c r="E378" s="1">
        <v>44452</v>
      </c>
      <c r="F378" t="s">
        <v>5492</v>
      </c>
      <c r="G378">
        <v>0</v>
      </c>
      <c r="H378">
        <v>1</v>
      </c>
      <c r="I378">
        <v>1</v>
      </c>
      <c r="J378">
        <v>0</v>
      </c>
      <c r="K378" t="s">
        <v>5493</v>
      </c>
      <c r="L378" t="s">
        <v>5494</v>
      </c>
      <c r="M378" t="s">
        <v>5495</v>
      </c>
      <c r="N378" t="s">
        <v>5496</v>
      </c>
      <c r="O378" t="s">
        <v>5497</v>
      </c>
      <c r="P378" t="s">
        <v>5498</v>
      </c>
      <c r="Q378" t="s">
        <v>5499</v>
      </c>
      <c r="R378" t="s">
        <v>5500</v>
      </c>
      <c r="S378" t="s">
        <v>5501</v>
      </c>
      <c r="T378" s="2">
        <v>0.5625</v>
      </c>
      <c r="U378">
        <v>1</v>
      </c>
      <c r="V378" t="s">
        <v>5502</v>
      </c>
      <c r="W378" t="s">
        <v>5503</v>
      </c>
      <c r="X378" t="s">
        <v>5504</v>
      </c>
      <c r="Y378" t="s">
        <v>5505</v>
      </c>
      <c r="Z378" t="s">
        <v>5505</v>
      </c>
      <c r="AA378" t="s">
        <v>5505</v>
      </c>
      <c r="AB378" t="s">
        <v>5505</v>
      </c>
      <c r="AC378" t="s">
        <v>5506</v>
      </c>
      <c r="AD378" t="s">
        <v>5507</v>
      </c>
    </row>
    <row r="379" spans="1:30">
      <c r="A379" t="s">
        <v>5508</v>
      </c>
      <c r="B379">
        <v>9</v>
      </c>
      <c r="C379">
        <v>10</v>
      </c>
      <c r="D379">
        <v>2021</v>
      </c>
      <c r="E379" s="1">
        <v>44449</v>
      </c>
      <c r="F379" t="s">
        <v>5509</v>
      </c>
      <c r="G379">
        <v>0</v>
      </c>
      <c r="H379">
        <v>0</v>
      </c>
      <c r="I379">
        <v>0</v>
      </c>
      <c r="J379">
        <v>0</v>
      </c>
      <c r="K379" t="s">
        <v>5510</v>
      </c>
      <c r="L379" t="s">
        <v>5511</v>
      </c>
      <c r="M379" t="s">
        <v>5512</v>
      </c>
      <c r="N379" t="s">
        <v>5513</v>
      </c>
      <c r="O379" t="s">
        <v>5514</v>
      </c>
      <c r="P379" t="s">
        <v>5515</v>
      </c>
      <c r="Q379" t="s">
        <v>5516</v>
      </c>
      <c r="R379" t="s">
        <v>5517</v>
      </c>
      <c r="S379" t="s">
        <v>5518</v>
      </c>
      <c r="T379" s="2">
        <v>0.51944444444444449</v>
      </c>
      <c r="U379">
        <v>1</v>
      </c>
      <c r="V379" t="s">
        <v>5519</v>
      </c>
      <c r="W379" t="s">
        <v>5520</v>
      </c>
      <c r="X379" t="s">
        <v>5521</v>
      </c>
      <c r="Y379" t="s">
        <v>5522</v>
      </c>
      <c r="Z379" t="s">
        <v>5522</v>
      </c>
      <c r="AA379" t="s">
        <v>5522</v>
      </c>
      <c r="AB379" t="s">
        <v>5522</v>
      </c>
      <c r="AC379" t="s">
        <v>5522</v>
      </c>
      <c r="AD379" t="s">
        <v>5522</v>
      </c>
    </row>
    <row r="380" spans="1:30">
      <c r="A380" t="s">
        <v>5523</v>
      </c>
      <c r="B380">
        <v>9</v>
      </c>
      <c r="C380">
        <v>10</v>
      </c>
      <c r="D380">
        <v>2021</v>
      </c>
      <c r="E380" s="1">
        <v>44449</v>
      </c>
      <c r="F380" t="s">
        <v>5524</v>
      </c>
      <c r="G380">
        <v>0</v>
      </c>
      <c r="H380">
        <v>0</v>
      </c>
      <c r="I380">
        <v>0</v>
      </c>
      <c r="J380">
        <v>0</v>
      </c>
      <c r="K380" t="s">
        <v>5525</v>
      </c>
      <c r="L380" t="s">
        <v>5526</v>
      </c>
      <c r="M380" t="s">
        <v>5527</v>
      </c>
      <c r="N380" t="s">
        <v>5528</v>
      </c>
      <c r="O380" t="s">
        <v>5529</v>
      </c>
      <c r="P380" t="s">
        <v>5530</v>
      </c>
      <c r="Q380" t="s">
        <v>5531</v>
      </c>
      <c r="R380" t="s">
        <v>5532</v>
      </c>
      <c r="S380" t="s">
        <v>5533</v>
      </c>
      <c r="T380" s="2">
        <v>0.85416666666666674</v>
      </c>
      <c r="U380">
        <v>1</v>
      </c>
      <c r="V380" t="s">
        <v>5534</v>
      </c>
      <c r="W380" t="s">
        <v>5535</v>
      </c>
      <c r="X380" t="s">
        <v>5536</v>
      </c>
      <c r="Y380" t="s">
        <v>5537</v>
      </c>
      <c r="Z380" t="s">
        <v>5537</v>
      </c>
      <c r="AA380" t="s">
        <v>5537</v>
      </c>
      <c r="AB380" t="s">
        <v>5537</v>
      </c>
      <c r="AC380" t="s">
        <v>5537</v>
      </c>
      <c r="AD380" t="s">
        <v>5537</v>
      </c>
    </row>
    <row r="381" spans="1:30">
      <c r="A381" t="s">
        <v>5538</v>
      </c>
      <c r="B381">
        <v>9</v>
      </c>
      <c r="C381">
        <v>9</v>
      </c>
      <c r="D381">
        <v>2021</v>
      </c>
      <c r="E381" s="1">
        <v>44448</v>
      </c>
      <c r="F381" t="s">
        <v>5539</v>
      </c>
      <c r="G381">
        <v>0</v>
      </c>
      <c r="H381">
        <v>0</v>
      </c>
      <c r="I381">
        <v>0</v>
      </c>
      <c r="J381">
        <v>0</v>
      </c>
      <c r="K381" t="s">
        <v>5540</v>
      </c>
      <c r="L381" t="s">
        <v>5541</v>
      </c>
      <c r="M381" t="s">
        <v>5542</v>
      </c>
      <c r="N381" t="s">
        <v>5543</v>
      </c>
      <c r="O381" t="s">
        <v>5544</v>
      </c>
      <c r="P381" t="s">
        <v>5545</v>
      </c>
      <c r="Q381" t="s">
        <v>5546</v>
      </c>
      <c r="R381" t="s">
        <v>5547</v>
      </c>
      <c r="S381" t="s">
        <v>5548</v>
      </c>
      <c r="T381" s="2">
        <v>0.60416666666666674</v>
      </c>
      <c r="U381">
        <v>1</v>
      </c>
      <c r="V381" t="s">
        <v>5549</v>
      </c>
      <c r="W381" t="s">
        <v>5550</v>
      </c>
      <c r="X381" t="s">
        <v>5551</v>
      </c>
      <c r="Y381" t="s">
        <v>5552</v>
      </c>
      <c r="Z381" t="s">
        <v>5553</v>
      </c>
      <c r="AA381" t="s">
        <v>5553</v>
      </c>
      <c r="AB381" t="s">
        <v>5553</v>
      </c>
      <c r="AC381" t="s">
        <v>5553</v>
      </c>
      <c r="AD381" t="s">
        <v>5553</v>
      </c>
    </row>
    <row r="382" spans="1:30">
      <c r="A382" t="s">
        <v>5554</v>
      </c>
      <c r="B382">
        <v>9</v>
      </c>
      <c r="C382">
        <v>9</v>
      </c>
      <c r="D382">
        <v>2021</v>
      </c>
      <c r="E382" s="1">
        <v>44448</v>
      </c>
      <c r="F382" t="s">
        <v>5555</v>
      </c>
      <c r="G382">
        <v>0</v>
      </c>
      <c r="H382">
        <v>1</v>
      </c>
      <c r="I382">
        <v>1</v>
      </c>
      <c r="J382">
        <v>0</v>
      </c>
      <c r="K382" t="s">
        <v>5556</v>
      </c>
      <c r="L382" t="s">
        <v>5557</v>
      </c>
      <c r="M382" t="s">
        <v>5558</v>
      </c>
      <c r="N382" t="s">
        <v>5559</v>
      </c>
      <c r="O382" t="s">
        <v>5560</v>
      </c>
      <c r="P382" t="s">
        <v>5561</v>
      </c>
      <c r="Q382" t="s">
        <v>5561</v>
      </c>
      <c r="R382" t="s">
        <v>5562</v>
      </c>
      <c r="S382" t="s">
        <v>5563</v>
      </c>
      <c r="T382" s="2">
        <v>0.61250000000000004</v>
      </c>
      <c r="U382">
        <v>1</v>
      </c>
      <c r="V382" t="s">
        <v>5564</v>
      </c>
      <c r="W382" t="s">
        <v>5565</v>
      </c>
      <c r="X382" t="s">
        <v>5566</v>
      </c>
      <c r="Y382" t="s">
        <v>5567</v>
      </c>
      <c r="Z382" t="s">
        <v>5567</v>
      </c>
      <c r="AA382" t="s">
        <v>5567</v>
      </c>
      <c r="AB382" t="s">
        <v>5567</v>
      </c>
      <c r="AC382" t="s">
        <v>5567</v>
      </c>
      <c r="AD382" t="s">
        <v>5567</v>
      </c>
    </row>
    <row r="383" spans="1:30">
      <c r="A383" t="s">
        <v>5568</v>
      </c>
      <c r="B383">
        <v>9</v>
      </c>
      <c r="C383">
        <v>9</v>
      </c>
      <c r="D383">
        <v>2021</v>
      </c>
      <c r="E383" s="1">
        <v>44448</v>
      </c>
      <c r="F383" t="s">
        <v>5569</v>
      </c>
      <c r="G383">
        <v>0</v>
      </c>
      <c r="H383">
        <v>1</v>
      </c>
      <c r="I383">
        <v>1</v>
      </c>
      <c r="J383">
        <v>0</v>
      </c>
      <c r="K383" t="s">
        <v>5570</v>
      </c>
      <c r="L383" t="s">
        <v>5571</v>
      </c>
      <c r="M383" t="s">
        <v>5572</v>
      </c>
      <c r="N383" t="s">
        <v>5573</v>
      </c>
      <c r="O383" t="s">
        <v>5574</v>
      </c>
      <c r="P383" t="s">
        <v>5575</v>
      </c>
      <c r="Q383" t="s">
        <v>5576</v>
      </c>
      <c r="R383" t="s">
        <v>5577</v>
      </c>
      <c r="S383" t="s">
        <v>5578</v>
      </c>
      <c r="T383" s="2">
        <v>0.79861111111111105</v>
      </c>
      <c r="U383">
        <v>1</v>
      </c>
      <c r="V383" t="s">
        <v>5579</v>
      </c>
      <c r="X383" t="s">
        <v>5580</v>
      </c>
      <c r="Y383" t="s">
        <v>5581</v>
      </c>
      <c r="Z383" t="s">
        <v>5582</v>
      </c>
      <c r="AA383" t="s">
        <v>5582</v>
      </c>
      <c r="AB383" t="s">
        <v>5582</v>
      </c>
      <c r="AC383" t="s">
        <v>5582</v>
      </c>
      <c r="AD383" t="s">
        <v>5582</v>
      </c>
    </row>
    <row r="384" spans="1:30">
      <c r="A384" t="s">
        <v>5583</v>
      </c>
      <c r="B384">
        <v>9</v>
      </c>
      <c r="C384">
        <v>9</v>
      </c>
      <c r="D384">
        <v>2021</v>
      </c>
      <c r="E384" s="1">
        <v>44448</v>
      </c>
      <c r="F384" t="s">
        <v>5584</v>
      </c>
      <c r="G384">
        <v>0</v>
      </c>
      <c r="H384">
        <v>0</v>
      </c>
      <c r="I384">
        <v>0</v>
      </c>
      <c r="J384">
        <v>0</v>
      </c>
      <c r="K384" t="s">
        <v>5585</v>
      </c>
      <c r="M384" t="s">
        <v>5586</v>
      </c>
      <c r="N384" t="s">
        <v>5587</v>
      </c>
      <c r="O384" t="s">
        <v>5588</v>
      </c>
      <c r="P384" t="s">
        <v>5589</v>
      </c>
      <c r="Q384" t="s">
        <v>5590</v>
      </c>
      <c r="R384" t="s">
        <v>5591</v>
      </c>
      <c r="S384" t="s">
        <v>5592</v>
      </c>
      <c r="T384" s="2">
        <v>0.97916666666666674</v>
      </c>
      <c r="U384">
        <v>1</v>
      </c>
      <c r="V384" t="s">
        <v>5593</v>
      </c>
      <c r="W384" t="s">
        <v>5594</v>
      </c>
      <c r="X384" t="s">
        <v>5595</v>
      </c>
      <c r="Z384" t="s">
        <v>5596</v>
      </c>
      <c r="AA384" t="s">
        <v>5596</v>
      </c>
      <c r="AB384" t="s">
        <v>5596</v>
      </c>
      <c r="AC384" t="s">
        <v>5596</v>
      </c>
      <c r="AD384" t="s">
        <v>5596</v>
      </c>
    </row>
    <row r="385" spans="1:30">
      <c r="A385" t="s">
        <v>5597</v>
      </c>
      <c r="B385">
        <v>9</v>
      </c>
      <c r="C385">
        <v>8</v>
      </c>
      <c r="D385">
        <v>2021</v>
      </c>
      <c r="E385" s="1">
        <v>44447</v>
      </c>
      <c r="F385" t="s">
        <v>5598</v>
      </c>
      <c r="G385">
        <v>0</v>
      </c>
      <c r="H385">
        <v>0</v>
      </c>
      <c r="I385">
        <v>0</v>
      </c>
      <c r="J385">
        <v>0</v>
      </c>
      <c r="K385" t="s">
        <v>5599</v>
      </c>
      <c r="L385" t="s">
        <v>5600</v>
      </c>
      <c r="M385" t="s">
        <v>5601</v>
      </c>
      <c r="N385" t="s">
        <v>5602</v>
      </c>
      <c r="O385" t="s">
        <v>5603</v>
      </c>
      <c r="P385" t="s">
        <v>5604</v>
      </c>
      <c r="Q385" t="s">
        <v>5605</v>
      </c>
      <c r="R385" t="s">
        <v>5606</v>
      </c>
      <c r="S385" t="s">
        <v>5607</v>
      </c>
      <c r="T385" s="2">
        <v>0.54166666666666663</v>
      </c>
      <c r="U385">
        <v>1</v>
      </c>
      <c r="V385" t="s">
        <v>5608</v>
      </c>
      <c r="W385" t="s">
        <v>5609</v>
      </c>
      <c r="X385" t="s">
        <v>5610</v>
      </c>
      <c r="Y385" t="s">
        <v>5611</v>
      </c>
      <c r="Z385" t="s">
        <v>5611</v>
      </c>
      <c r="AA385" t="s">
        <v>5611</v>
      </c>
      <c r="AB385" t="s">
        <v>5611</v>
      </c>
      <c r="AC385" t="s">
        <v>5611</v>
      </c>
      <c r="AD385" t="s">
        <v>5611</v>
      </c>
    </row>
    <row r="386" spans="1:30">
      <c r="A386" t="s">
        <v>5612</v>
      </c>
      <c r="B386">
        <v>9</v>
      </c>
      <c r="C386">
        <v>7</v>
      </c>
      <c r="D386">
        <v>2021</v>
      </c>
      <c r="E386" s="1">
        <v>44446</v>
      </c>
      <c r="F386" t="s">
        <v>5613</v>
      </c>
      <c r="G386">
        <v>0</v>
      </c>
      <c r="H386">
        <v>0</v>
      </c>
      <c r="I386">
        <v>0</v>
      </c>
      <c r="J386">
        <v>0</v>
      </c>
      <c r="K386" t="s">
        <v>5614</v>
      </c>
      <c r="L386" t="s">
        <v>5615</v>
      </c>
      <c r="M386" t="s">
        <v>5616</v>
      </c>
      <c r="N386" t="s">
        <v>5617</v>
      </c>
      <c r="O386" t="s">
        <v>5618</v>
      </c>
      <c r="P386" t="s">
        <v>5619</v>
      </c>
      <c r="Q386" t="s">
        <v>5620</v>
      </c>
      <c r="R386" t="s">
        <v>5621</v>
      </c>
      <c r="S386" t="s">
        <v>5622</v>
      </c>
      <c r="T386" s="2">
        <v>0.625</v>
      </c>
      <c r="U386">
        <v>1</v>
      </c>
      <c r="V386" t="s">
        <v>5623</v>
      </c>
      <c r="W386" t="s">
        <v>5624</v>
      </c>
      <c r="X386" t="s">
        <v>5625</v>
      </c>
      <c r="Y386" t="s">
        <v>5626</v>
      </c>
      <c r="Z386" t="s">
        <v>5626</v>
      </c>
      <c r="AA386" t="s">
        <v>5626</v>
      </c>
      <c r="AB386" t="s">
        <v>5626</v>
      </c>
      <c r="AC386" t="s">
        <v>5626</v>
      </c>
      <c r="AD386" t="s">
        <v>5626</v>
      </c>
    </row>
    <row r="387" spans="1:30">
      <c r="A387" t="s">
        <v>5627</v>
      </c>
      <c r="B387">
        <v>9</v>
      </c>
      <c r="C387">
        <v>7</v>
      </c>
      <c r="D387">
        <v>2021</v>
      </c>
      <c r="E387" s="1">
        <v>44446</v>
      </c>
      <c r="F387" t="s">
        <v>5628</v>
      </c>
      <c r="G387">
        <v>0</v>
      </c>
      <c r="H387">
        <v>0</v>
      </c>
      <c r="I387">
        <v>0</v>
      </c>
      <c r="J387">
        <v>0</v>
      </c>
      <c r="K387" t="s">
        <v>5629</v>
      </c>
      <c r="L387" t="s">
        <v>5630</v>
      </c>
      <c r="M387" t="s">
        <v>5631</v>
      </c>
      <c r="N387" t="s">
        <v>5632</v>
      </c>
      <c r="O387" t="s">
        <v>5633</v>
      </c>
      <c r="P387" t="s">
        <v>5634</v>
      </c>
      <c r="Q387" t="s">
        <v>5635</v>
      </c>
      <c r="R387" t="s">
        <v>5636</v>
      </c>
      <c r="S387" t="s">
        <v>5637</v>
      </c>
      <c r="T387" s="2">
        <v>0.125</v>
      </c>
      <c r="U387">
        <v>1</v>
      </c>
      <c r="V387" t="s">
        <v>5638</v>
      </c>
      <c r="W387" t="s">
        <v>5639</v>
      </c>
      <c r="X387" t="s">
        <v>5640</v>
      </c>
      <c r="Y387" t="s">
        <v>5641</v>
      </c>
      <c r="Z387" t="s">
        <v>5641</v>
      </c>
      <c r="AA387" t="s">
        <v>5641</v>
      </c>
      <c r="AB387" t="s">
        <v>5641</v>
      </c>
      <c r="AC387" t="s">
        <v>5641</v>
      </c>
      <c r="AD387" t="s">
        <v>5641</v>
      </c>
    </row>
    <row r="388" spans="1:30">
      <c r="A388" t="s">
        <v>5642</v>
      </c>
      <c r="B388">
        <v>9</v>
      </c>
      <c r="C388">
        <v>7</v>
      </c>
      <c r="D388">
        <v>2021</v>
      </c>
      <c r="E388" s="1">
        <v>44446</v>
      </c>
      <c r="F388" t="s">
        <v>5643</v>
      </c>
      <c r="G388">
        <v>0</v>
      </c>
      <c r="H388">
        <v>0</v>
      </c>
      <c r="I388">
        <v>0</v>
      </c>
      <c r="J388">
        <v>0</v>
      </c>
      <c r="L388" t="s">
        <v>5644</v>
      </c>
      <c r="M388" t="s">
        <v>5645</v>
      </c>
      <c r="N388" t="s">
        <v>5646</v>
      </c>
      <c r="O388" t="s">
        <v>5647</v>
      </c>
      <c r="P388" t="s">
        <v>5648</v>
      </c>
      <c r="Q388" t="s">
        <v>5649</v>
      </c>
      <c r="R388" t="s">
        <v>5650</v>
      </c>
      <c r="S388" t="s">
        <v>5651</v>
      </c>
      <c r="T388" s="2">
        <v>0.10416666666666666</v>
      </c>
      <c r="V388" t="s">
        <v>5652</v>
      </c>
      <c r="W388" t="s">
        <v>5653</v>
      </c>
      <c r="X388" t="s">
        <v>5654</v>
      </c>
      <c r="Y388" t="s">
        <v>5655</v>
      </c>
      <c r="Z388" t="s">
        <v>5656</v>
      </c>
      <c r="AA388" t="s">
        <v>5656</v>
      </c>
      <c r="AB388" t="s">
        <v>5656</v>
      </c>
      <c r="AC388" t="s">
        <v>5656</v>
      </c>
      <c r="AD388" t="s">
        <v>5656</v>
      </c>
    </row>
    <row r="389" spans="1:30">
      <c r="A389" t="s">
        <v>5657</v>
      </c>
      <c r="B389">
        <v>9</v>
      </c>
      <c r="C389">
        <v>3</v>
      </c>
      <c r="D389">
        <v>2021</v>
      </c>
      <c r="E389" s="1">
        <v>44442</v>
      </c>
      <c r="F389" t="s">
        <v>5658</v>
      </c>
      <c r="G389">
        <v>0</v>
      </c>
      <c r="H389">
        <v>0</v>
      </c>
      <c r="I389">
        <v>0</v>
      </c>
      <c r="J389">
        <v>1</v>
      </c>
      <c r="K389" t="s">
        <v>5659</v>
      </c>
      <c r="L389" t="s">
        <v>5660</v>
      </c>
      <c r="M389" t="s">
        <v>5661</v>
      </c>
      <c r="N389" t="s">
        <v>5662</v>
      </c>
      <c r="P389" t="s">
        <v>5663</v>
      </c>
      <c r="Q389" t="s">
        <v>5663</v>
      </c>
      <c r="R389" t="s">
        <v>5664</v>
      </c>
      <c r="S389" t="s">
        <v>5665</v>
      </c>
      <c r="T389" s="2">
        <v>0.58194444444444438</v>
      </c>
      <c r="U389">
        <v>1</v>
      </c>
      <c r="V389" t="s">
        <v>5666</v>
      </c>
      <c r="W389" t="s">
        <v>5667</v>
      </c>
      <c r="X389" t="s">
        <v>5668</v>
      </c>
      <c r="Y389" t="s">
        <v>5669</v>
      </c>
      <c r="Z389" t="s">
        <v>5669</v>
      </c>
      <c r="AA389" t="s">
        <v>5669</v>
      </c>
      <c r="AB389" t="s">
        <v>5669</v>
      </c>
      <c r="AC389" t="s">
        <v>5670</v>
      </c>
      <c r="AD389" t="s">
        <v>5671</v>
      </c>
    </row>
    <row r="390" spans="1:30">
      <c r="A390" t="s">
        <v>5672</v>
      </c>
      <c r="B390">
        <v>9</v>
      </c>
      <c r="C390">
        <v>3</v>
      </c>
      <c r="D390">
        <v>2021</v>
      </c>
      <c r="E390" s="1">
        <v>44442</v>
      </c>
      <c r="F390" t="s">
        <v>5673</v>
      </c>
      <c r="G390">
        <v>0</v>
      </c>
      <c r="H390">
        <v>0</v>
      </c>
      <c r="I390">
        <v>0</v>
      </c>
      <c r="J390">
        <v>0</v>
      </c>
      <c r="K390" t="s">
        <v>5674</v>
      </c>
      <c r="L390" t="s">
        <v>5675</v>
      </c>
      <c r="M390" t="s">
        <v>5676</v>
      </c>
      <c r="N390" t="s">
        <v>5677</v>
      </c>
      <c r="O390" t="s">
        <v>5678</v>
      </c>
      <c r="P390" t="s">
        <v>5679</v>
      </c>
      <c r="Q390" t="s">
        <v>5680</v>
      </c>
      <c r="R390" t="s">
        <v>5681</v>
      </c>
      <c r="S390" t="s">
        <v>5682</v>
      </c>
      <c r="T390" s="2">
        <v>0.375</v>
      </c>
      <c r="U390">
        <v>1</v>
      </c>
      <c r="V390" t="s">
        <v>5683</v>
      </c>
      <c r="X390" t="s">
        <v>5684</v>
      </c>
      <c r="Y390" t="s">
        <v>5685</v>
      </c>
      <c r="Z390" t="s">
        <v>5685</v>
      </c>
      <c r="AA390" t="s">
        <v>5685</v>
      </c>
      <c r="AB390" t="s">
        <v>5685</v>
      </c>
      <c r="AC390" t="s">
        <v>5685</v>
      </c>
      <c r="AD390" t="s">
        <v>5685</v>
      </c>
    </row>
    <row r="391" spans="1:30">
      <c r="A391" t="s">
        <v>5686</v>
      </c>
      <c r="B391">
        <v>9</v>
      </c>
      <c r="C391">
        <v>3</v>
      </c>
      <c r="D391">
        <v>2021</v>
      </c>
      <c r="E391" s="1">
        <v>44442</v>
      </c>
      <c r="F391" t="s">
        <v>5687</v>
      </c>
      <c r="G391">
        <v>0</v>
      </c>
      <c r="H391">
        <v>0</v>
      </c>
      <c r="I391">
        <v>0</v>
      </c>
      <c r="J391">
        <v>0</v>
      </c>
      <c r="K391" t="s">
        <v>5688</v>
      </c>
      <c r="L391" t="s">
        <v>5689</v>
      </c>
      <c r="M391" t="s">
        <v>5690</v>
      </c>
      <c r="N391" t="s">
        <v>5691</v>
      </c>
      <c r="O391" t="s">
        <v>5692</v>
      </c>
      <c r="P391" t="s">
        <v>5693</v>
      </c>
      <c r="Q391" t="s">
        <v>5694</v>
      </c>
      <c r="R391" t="s">
        <v>5695</v>
      </c>
      <c r="S391" t="s">
        <v>5696</v>
      </c>
      <c r="T391" s="2">
        <v>0.875</v>
      </c>
      <c r="U391">
        <v>1</v>
      </c>
      <c r="V391" t="s">
        <v>5697</v>
      </c>
      <c r="W391" t="s">
        <v>5698</v>
      </c>
      <c r="X391" t="s">
        <v>5699</v>
      </c>
      <c r="Y391" t="s">
        <v>5700</v>
      </c>
      <c r="Z391" t="s">
        <v>5700</v>
      </c>
      <c r="AA391" t="s">
        <v>5700</v>
      </c>
      <c r="AB391" t="s">
        <v>5700</v>
      </c>
      <c r="AC391" t="s">
        <v>5700</v>
      </c>
      <c r="AD391" t="s">
        <v>5700</v>
      </c>
    </row>
    <row r="392" spans="1:30">
      <c r="A392" t="s">
        <v>5701</v>
      </c>
      <c r="B392">
        <v>9</v>
      </c>
      <c r="C392">
        <v>3</v>
      </c>
      <c r="D392">
        <v>2021</v>
      </c>
      <c r="E392" s="1">
        <v>44442</v>
      </c>
      <c r="F392" t="s">
        <v>5702</v>
      </c>
      <c r="G392">
        <v>0</v>
      </c>
      <c r="H392">
        <v>0</v>
      </c>
      <c r="I392">
        <v>0</v>
      </c>
      <c r="J392">
        <v>0</v>
      </c>
      <c r="K392" t="s">
        <v>5703</v>
      </c>
      <c r="L392" t="s">
        <v>5704</v>
      </c>
      <c r="M392" t="s">
        <v>5705</v>
      </c>
      <c r="N392" t="s">
        <v>5706</v>
      </c>
      <c r="O392" t="s">
        <v>5707</v>
      </c>
      <c r="P392" t="s">
        <v>5708</v>
      </c>
      <c r="Q392" t="s">
        <v>5709</v>
      </c>
      <c r="R392" t="s">
        <v>5710</v>
      </c>
      <c r="S392" t="s">
        <v>5711</v>
      </c>
      <c r="T392" s="2">
        <v>0.89583333333333337</v>
      </c>
      <c r="U392">
        <v>1</v>
      </c>
      <c r="V392" t="s">
        <v>5712</v>
      </c>
      <c r="X392" t="s">
        <v>5713</v>
      </c>
      <c r="Y392" t="s">
        <v>5714</v>
      </c>
      <c r="Z392" t="s">
        <v>5714</v>
      </c>
      <c r="AA392" t="s">
        <v>5714</v>
      </c>
      <c r="AB392" t="s">
        <v>5714</v>
      </c>
      <c r="AC392" t="s">
        <v>5714</v>
      </c>
      <c r="AD392" t="s">
        <v>5714</v>
      </c>
    </row>
    <row r="393" spans="1:30">
      <c r="A393" t="s">
        <v>5715</v>
      </c>
      <c r="B393">
        <v>9</v>
      </c>
      <c r="C393">
        <v>2</v>
      </c>
      <c r="D393">
        <v>2021</v>
      </c>
      <c r="E393" s="1">
        <v>44441</v>
      </c>
      <c r="F393" t="s">
        <v>5716</v>
      </c>
      <c r="G393">
        <v>0</v>
      </c>
      <c r="H393">
        <v>6</v>
      </c>
      <c r="I393">
        <v>6</v>
      </c>
      <c r="J393">
        <v>0</v>
      </c>
      <c r="K393" t="s">
        <v>5717</v>
      </c>
      <c r="L393" t="s">
        <v>5718</v>
      </c>
      <c r="M393" t="s">
        <v>5719</v>
      </c>
      <c r="N393" t="s">
        <v>5720</v>
      </c>
      <c r="O393" t="s">
        <v>5721</v>
      </c>
      <c r="P393" t="s">
        <v>5722</v>
      </c>
      <c r="Q393" t="s">
        <v>5723</v>
      </c>
      <c r="R393" t="s">
        <v>5724</v>
      </c>
      <c r="S393" t="s">
        <v>5725</v>
      </c>
      <c r="T393" s="2">
        <v>0.58333333333333337</v>
      </c>
      <c r="U393">
        <v>1</v>
      </c>
      <c r="V393" t="s">
        <v>5726</v>
      </c>
      <c r="W393" t="s">
        <v>5727</v>
      </c>
      <c r="X393" t="s">
        <v>5728</v>
      </c>
      <c r="Y393" t="s">
        <v>5729</v>
      </c>
      <c r="Z393" t="s">
        <v>5730</v>
      </c>
      <c r="AA393" t="s">
        <v>5730</v>
      </c>
      <c r="AB393" t="s">
        <v>5730</v>
      </c>
      <c r="AC393" t="s">
        <v>5730</v>
      </c>
      <c r="AD393" t="s">
        <v>5730</v>
      </c>
    </row>
    <row r="394" spans="1:30">
      <c r="A394" t="s">
        <v>5731</v>
      </c>
      <c r="B394">
        <v>9</v>
      </c>
      <c r="C394">
        <v>2</v>
      </c>
      <c r="D394">
        <v>2021</v>
      </c>
      <c r="E394" s="1">
        <v>44441</v>
      </c>
      <c r="F394" t="s">
        <v>5732</v>
      </c>
      <c r="G394">
        <v>0</v>
      </c>
      <c r="H394">
        <v>1</v>
      </c>
      <c r="I394">
        <v>1</v>
      </c>
      <c r="J394">
        <v>0</v>
      </c>
      <c r="K394" t="s">
        <v>5733</v>
      </c>
      <c r="L394" t="s">
        <v>5734</v>
      </c>
      <c r="M394" t="s">
        <v>5735</v>
      </c>
      <c r="N394" t="s">
        <v>5736</v>
      </c>
      <c r="O394" t="s">
        <v>5737</v>
      </c>
      <c r="P394" t="s">
        <v>5738</v>
      </c>
      <c r="Q394" t="s">
        <v>5738</v>
      </c>
      <c r="R394" t="s">
        <v>5739</v>
      </c>
      <c r="S394" t="s">
        <v>5740</v>
      </c>
      <c r="T394" s="2">
        <v>0.625</v>
      </c>
      <c r="U394">
        <v>1</v>
      </c>
      <c r="V394" t="s">
        <v>5741</v>
      </c>
      <c r="X394" t="s">
        <v>5742</v>
      </c>
      <c r="Y394" t="s">
        <v>5743</v>
      </c>
      <c r="Z394" t="s">
        <v>5743</v>
      </c>
      <c r="AA394" t="s">
        <v>5743</v>
      </c>
      <c r="AB394" t="s">
        <v>5743</v>
      </c>
      <c r="AC394" t="s">
        <v>5743</v>
      </c>
      <c r="AD394" t="s">
        <v>5743</v>
      </c>
    </row>
    <row r="395" spans="1:30">
      <c r="A395" t="s">
        <v>5744</v>
      </c>
      <c r="B395">
        <v>9</v>
      </c>
      <c r="C395">
        <v>2</v>
      </c>
      <c r="D395">
        <v>2021</v>
      </c>
      <c r="E395" s="1">
        <v>44441</v>
      </c>
      <c r="F395" t="s">
        <v>5745</v>
      </c>
      <c r="G395">
        <v>0</v>
      </c>
      <c r="H395">
        <v>0</v>
      </c>
      <c r="I395">
        <v>0</v>
      </c>
      <c r="J395">
        <v>0</v>
      </c>
      <c r="K395" t="s">
        <v>5746</v>
      </c>
      <c r="L395" t="s">
        <v>5747</v>
      </c>
      <c r="M395" t="s">
        <v>5748</v>
      </c>
      <c r="N395" t="s">
        <v>5749</v>
      </c>
      <c r="O395" t="s">
        <v>5750</v>
      </c>
      <c r="P395" t="s">
        <v>5751</v>
      </c>
      <c r="Q395" t="s">
        <v>5752</v>
      </c>
      <c r="R395" t="s">
        <v>5753</v>
      </c>
      <c r="S395" t="s">
        <v>5754</v>
      </c>
      <c r="T395" s="2">
        <v>0.52083333333333337</v>
      </c>
      <c r="U395">
        <v>1</v>
      </c>
      <c r="V395" t="s">
        <v>5755</v>
      </c>
      <c r="W395" t="s">
        <v>5756</v>
      </c>
      <c r="X395" t="s">
        <v>5757</v>
      </c>
      <c r="Y395" t="s">
        <v>5758</v>
      </c>
      <c r="Z395" t="s">
        <v>5758</v>
      </c>
      <c r="AA395" t="s">
        <v>5758</v>
      </c>
      <c r="AB395" t="s">
        <v>5758</v>
      </c>
      <c r="AC395" t="s">
        <v>5758</v>
      </c>
      <c r="AD395" t="s">
        <v>5758</v>
      </c>
    </row>
    <row r="396" spans="1:30">
      <c r="A396" t="s">
        <v>5759</v>
      </c>
      <c r="B396">
        <v>9</v>
      </c>
      <c r="C396">
        <v>2</v>
      </c>
      <c r="D396">
        <v>2021</v>
      </c>
      <c r="E396" s="1">
        <v>44441</v>
      </c>
      <c r="F396" t="s">
        <v>5760</v>
      </c>
      <c r="G396">
        <v>0</v>
      </c>
      <c r="H396">
        <v>0</v>
      </c>
      <c r="I396">
        <v>0</v>
      </c>
      <c r="J396">
        <v>0</v>
      </c>
      <c r="K396" t="s">
        <v>5761</v>
      </c>
      <c r="L396" t="s">
        <v>5762</v>
      </c>
      <c r="M396" t="s">
        <v>5763</v>
      </c>
      <c r="N396" t="s">
        <v>5764</v>
      </c>
      <c r="O396" t="s">
        <v>5765</v>
      </c>
      <c r="P396" t="s">
        <v>5766</v>
      </c>
      <c r="Q396" t="s">
        <v>5766</v>
      </c>
      <c r="R396" t="s">
        <v>5767</v>
      </c>
      <c r="S396" t="s">
        <v>5768</v>
      </c>
      <c r="T396" s="2">
        <v>0.4375</v>
      </c>
      <c r="V396" t="s">
        <v>5769</v>
      </c>
      <c r="W396" t="s">
        <v>5770</v>
      </c>
      <c r="X396" t="s">
        <v>5771</v>
      </c>
      <c r="Y396" t="s">
        <v>5772</v>
      </c>
      <c r="Z396" t="s">
        <v>5772</v>
      </c>
      <c r="AA396" t="s">
        <v>5772</v>
      </c>
      <c r="AB396" t="s">
        <v>5772</v>
      </c>
      <c r="AC396" t="s">
        <v>5772</v>
      </c>
      <c r="AD396" t="s">
        <v>5772</v>
      </c>
    </row>
    <row r="397" spans="1:30">
      <c r="A397" t="s">
        <v>5773</v>
      </c>
      <c r="B397">
        <v>9</v>
      </c>
      <c r="C397">
        <v>2</v>
      </c>
      <c r="D397">
        <v>2021</v>
      </c>
      <c r="E397" s="1">
        <v>44441</v>
      </c>
      <c r="F397" t="s">
        <v>5774</v>
      </c>
      <c r="G397">
        <v>0</v>
      </c>
      <c r="H397">
        <v>0</v>
      </c>
      <c r="I397">
        <v>0</v>
      </c>
      <c r="J397">
        <v>0</v>
      </c>
      <c r="K397" t="s">
        <v>5775</v>
      </c>
      <c r="L397" t="s">
        <v>5776</v>
      </c>
      <c r="M397" t="s">
        <v>5777</v>
      </c>
      <c r="N397" t="s">
        <v>5778</v>
      </c>
      <c r="O397" t="s">
        <v>5779</v>
      </c>
      <c r="P397" t="s">
        <v>5780</v>
      </c>
      <c r="Q397" t="s">
        <v>5781</v>
      </c>
      <c r="R397" t="s">
        <v>5782</v>
      </c>
      <c r="S397" t="s">
        <v>5783</v>
      </c>
      <c r="T397" s="2">
        <v>0.33333333333333331</v>
      </c>
      <c r="U397">
        <v>1</v>
      </c>
      <c r="V397" t="s">
        <v>5784</v>
      </c>
      <c r="W397" t="s">
        <v>5785</v>
      </c>
      <c r="X397" t="s">
        <v>5786</v>
      </c>
      <c r="Y397" t="s">
        <v>5787</v>
      </c>
      <c r="Z397" t="s">
        <v>5787</v>
      </c>
      <c r="AA397" t="s">
        <v>5787</v>
      </c>
      <c r="AB397" t="s">
        <v>5787</v>
      </c>
      <c r="AC397" t="s">
        <v>5787</v>
      </c>
      <c r="AD397" t="s">
        <v>5787</v>
      </c>
    </row>
    <row r="398" spans="1:30">
      <c r="A398" t="s">
        <v>5788</v>
      </c>
      <c r="B398">
        <v>9</v>
      </c>
      <c r="C398">
        <v>1</v>
      </c>
      <c r="D398">
        <v>2021</v>
      </c>
      <c r="E398" s="1">
        <v>44440</v>
      </c>
      <c r="F398" t="s">
        <v>5789</v>
      </c>
      <c r="G398">
        <v>1</v>
      </c>
      <c r="H398">
        <v>0</v>
      </c>
      <c r="I398">
        <v>1</v>
      </c>
      <c r="J398">
        <v>0</v>
      </c>
      <c r="K398" t="s">
        <v>5790</v>
      </c>
      <c r="L398" t="s">
        <v>5791</v>
      </c>
      <c r="M398" t="s">
        <v>5792</v>
      </c>
      <c r="N398" t="s">
        <v>5793</v>
      </c>
      <c r="O398" t="s">
        <v>5794</v>
      </c>
      <c r="P398" t="s">
        <v>5795</v>
      </c>
      <c r="Q398" t="s">
        <v>5796</v>
      </c>
      <c r="R398" t="s">
        <v>5797</v>
      </c>
      <c r="S398" t="s">
        <v>5798</v>
      </c>
      <c r="T398" s="2">
        <v>0.21875</v>
      </c>
      <c r="U398">
        <v>1</v>
      </c>
      <c r="V398" t="s">
        <v>5799</v>
      </c>
      <c r="X398" t="s">
        <v>5800</v>
      </c>
      <c r="Y398" t="s">
        <v>5801</v>
      </c>
      <c r="Z398" t="s">
        <v>5801</v>
      </c>
      <c r="AA398" t="s">
        <v>5801</v>
      </c>
      <c r="AB398" t="s">
        <v>5801</v>
      </c>
      <c r="AC398" t="s">
        <v>5801</v>
      </c>
      <c r="AD398" t="s">
        <v>5801</v>
      </c>
    </row>
    <row r="399" spans="1:30">
      <c r="A399" t="s">
        <v>5802</v>
      </c>
      <c r="B399">
        <v>9</v>
      </c>
      <c r="C399">
        <v>1</v>
      </c>
      <c r="D399">
        <v>2021</v>
      </c>
      <c r="E399" s="1">
        <v>44440</v>
      </c>
      <c r="F399" t="s">
        <v>5803</v>
      </c>
      <c r="G399">
        <v>1</v>
      </c>
      <c r="H399">
        <v>0</v>
      </c>
      <c r="I399">
        <v>1</v>
      </c>
      <c r="J399">
        <v>0</v>
      </c>
      <c r="K399" t="s">
        <v>5804</v>
      </c>
      <c r="L399" t="s">
        <v>5805</v>
      </c>
      <c r="M399" t="s">
        <v>5806</v>
      </c>
      <c r="N399" t="s">
        <v>5807</v>
      </c>
      <c r="O399" t="s">
        <v>5808</v>
      </c>
      <c r="P399" t="s">
        <v>5809</v>
      </c>
      <c r="Q399" t="s">
        <v>5810</v>
      </c>
      <c r="R399" t="s">
        <v>5811</v>
      </c>
      <c r="S399" t="s">
        <v>5812</v>
      </c>
      <c r="T399" s="2">
        <v>0.50486111111111109</v>
      </c>
      <c r="U399">
        <v>1</v>
      </c>
      <c r="V399" t="s">
        <v>5813</v>
      </c>
      <c r="X399" t="s">
        <v>5814</v>
      </c>
      <c r="Z399" t="s">
        <v>5815</v>
      </c>
      <c r="AA399" t="s">
        <v>5815</v>
      </c>
      <c r="AC399" t="s">
        <v>5815</v>
      </c>
      <c r="AD399" t="s">
        <v>5815</v>
      </c>
    </row>
    <row r="400" spans="1:30">
      <c r="A400" t="s">
        <v>5816</v>
      </c>
      <c r="B400">
        <v>8</v>
      </c>
      <c r="C400">
        <v>30</v>
      </c>
      <c r="D400">
        <v>2021</v>
      </c>
      <c r="E400" s="1">
        <v>44438</v>
      </c>
      <c r="F400" t="s">
        <v>5817</v>
      </c>
      <c r="G400">
        <v>0</v>
      </c>
      <c r="H400">
        <v>0</v>
      </c>
      <c r="I400">
        <v>0</v>
      </c>
      <c r="J400">
        <v>0</v>
      </c>
      <c r="K400" t="s">
        <v>5818</v>
      </c>
      <c r="L400" t="s">
        <v>5819</v>
      </c>
      <c r="M400" t="s">
        <v>5820</v>
      </c>
      <c r="N400" t="s">
        <v>5821</v>
      </c>
      <c r="O400" t="s">
        <v>5822</v>
      </c>
      <c r="P400" t="s">
        <v>5823</v>
      </c>
      <c r="Q400" t="s">
        <v>5823</v>
      </c>
      <c r="R400" t="s">
        <v>5824</v>
      </c>
      <c r="S400" t="s">
        <v>5825</v>
      </c>
      <c r="T400" s="2">
        <v>0.625</v>
      </c>
      <c r="U400">
        <v>1</v>
      </c>
      <c r="V400" t="s">
        <v>5826</v>
      </c>
      <c r="W400" t="s">
        <v>5827</v>
      </c>
      <c r="X400" t="s">
        <v>5828</v>
      </c>
      <c r="Y400" t="s">
        <v>5829</v>
      </c>
      <c r="Z400" t="s">
        <v>5829</v>
      </c>
      <c r="AA400" t="s">
        <v>5829</v>
      </c>
      <c r="AB400" t="s">
        <v>5829</v>
      </c>
      <c r="AC400" t="s">
        <v>5829</v>
      </c>
      <c r="AD400" t="s">
        <v>5829</v>
      </c>
    </row>
    <row r="401" spans="1:30">
      <c r="A401" t="s">
        <v>5830</v>
      </c>
      <c r="B401">
        <v>8</v>
      </c>
      <c r="C401">
        <v>30</v>
      </c>
      <c r="D401">
        <v>2021</v>
      </c>
      <c r="E401" s="1">
        <v>44438</v>
      </c>
      <c r="F401" t="s">
        <v>5831</v>
      </c>
      <c r="G401">
        <v>0</v>
      </c>
      <c r="H401">
        <v>0</v>
      </c>
      <c r="I401">
        <v>0</v>
      </c>
      <c r="J401">
        <v>0</v>
      </c>
      <c r="K401" t="s">
        <v>5832</v>
      </c>
      <c r="L401" t="s">
        <v>5833</v>
      </c>
      <c r="M401" t="s">
        <v>5834</v>
      </c>
      <c r="N401" t="s">
        <v>5835</v>
      </c>
      <c r="O401" t="s">
        <v>5836</v>
      </c>
      <c r="P401" t="s">
        <v>5837</v>
      </c>
      <c r="Q401" t="s">
        <v>5837</v>
      </c>
      <c r="R401" t="s">
        <v>5838</v>
      </c>
      <c r="S401" t="s">
        <v>5839</v>
      </c>
      <c r="T401" s="2">
        <v>0.60416666666666674</v>
      </c>
      <c r="U401">
        <v>1</v>
      </c>
      <c r="V401" t="s">
        <v>5840</v>
      </c>
      <c r="Z401" t="s">
        <v>5841</v>
      </c>
      <c r="AA401" t="s">
        <v>5841</v>
      </c>
      <c r="AB401" t="s">
        <v>5841</v>
      </c>
      <c r="AC401" t="s">
        <v>5841</v>
      </c>
      <c r="AD401" t="s">
        <v>5841</v>
      </c>
    </row>
    <row r="402" spans="1:30">
      <c r="A402" t="s">
        <v>5842</v>
      </c>
      <c r="B402">
        <v>8</v>
      </c>
      <c r="C402">
        <v>30</v>
      </c>
      <c r="D402">
        <v>2021</v>
      </c>
      <c r="E402" s="1">
        <v>44438</v>
      </c>
      <c r="F402" t="s">
        <v>5843</v>
      </c>
      <c r="G402">
        <v>1</v>
      </c>
      <c r="H402">
        <v>0</v>
      </c>
      <c r="I402">
        <v>1</v>
      </c>
      <c r="J402">
        <v>0</v>
      </c>
      <c r="K402" t="s">
        <v>5844</v>
      </c>
      <c r="L402" t="s">
        <v>5845</v>
      </c>
      <c r="M402" t="s">
        <v>5846</v>
      </c>
      <c r="N402" t="s">
        <v>5847</v>
      </c>
      <c r="O402" t="s">
        <v>5848</v>
      </c>
      <c r="P402" t="s">
        <v>5849</v>
      </c>
      <c r="Q402" t="s">
        <v>5850</v>
      </c>
      <c r="R402" t="s">
        <v>5851</v>
      </c>
      <c r="S402" t="s">
        <v>5852</v>
      </c>
      <c r="T402" s="2">
        <v>0.85416666666666674</v>
      </c>
      <c r="U402">
        <v>1</v>
      </c>
      <c r="V402" t="s">
        <v>5853</v>
      </c>
      <c r="X402" t="s">
        <v>5854</v>
      </c>
      <c r="Y402" t="s">
        <v>5855</v>
      </c>
      <c r="Z402" t="s">
        <v>5855</v>
      </c>
      <c r="AA402" t="s">
        <v>5855</v>
      </c>
      <c r="AB402" t="s">
        <v>5855</v>
      </c>
      <c r="AC402" t="s">
        <v>5855</v>
      </c>
      <c r="AD402" t="s">
        <v>5855</v>
      </c>
    </row>
    <row r="403" spans="1:30">
      <c r="A403" t="s">
        <v>5856</v>
      </c>
      <c r="B403">
        <v>8</v>
      </c>
      <c r="C403">
        <v>30</v>
      </c>
      <c r="D403">
        <v>2021</v>
      </c>
      <c r="E403" s="1">
        <v>44438</v>
      </c>
      <c r="F403" t="s">
        <v>5857</v>
      </c>
      <c r="G403">
        <v>0</v>
      </c>
      <c r="H403">
        <v>1</v>
      </c>
      <c r="I403">
        <v>1</v>
      </c>
      <c r="J403">
        <v>0</v>
      </c>
      <c r="K403" t="s">
        <v>5858</v>
      </c>
      <c r="L403" t="s">
        <v>5859</v>
      </c>
      <c r="M403" t="s">
        <v>5860</v>
      </c>
      <c r="N403" t="s">
        <v>5861</v>
      </c>
      <c r="O403" t="s">
        <v>5862</v>
      </c>
      <c r="P403" t="s">
        <v>5863</v>
      </c>
      <c r="Q403" t="s">
        <v>5864</v>
      </c>
      <c r="R403" t="s">
        <v>5865</v>
      </c>
      <c r="S403" t="s">
        <v>5866</v>
      </c>
      <c r="T403" s="2">
        <v>0.47499999999999998</v>
      </c>
      <c r="U403">
        <v>1</v>
      </c>
      <c r="V403" t="s">
        <v>5867</v>
      </c>
      <c r="W403" t="s">
        <v>5868</v>
      </c>
      <c r="X403" t="s">
        <v>5869</v>
      </c>
      <c r="Y403" t="s">
        <v>5870</v>
      </c>
      <c r="Z403" t="s">
        <v>5870</v>
      </c>
      <c r="AA403" t="s">
        <v>5870</v>
      </c>
      <c r="AB403" t="s">
        <v>5871</v>
      </c>
      <c r="AC403" t="s">
        <v>5872</v>
      </c>
      <c r="AD403" t="s">
        <v>5872</v>
      </c>
    </row>
    <row r="404" spans="1:30">
      <c r="A404" t="s">
        <v>5873</v>
      </c>
      <c r="B404">
        <v>8</v>
      </c>
      <c r="C404">
        <v>28</v>
      </c>
      <c r="D404">
        <v>2021</v>
      </c>
      <c r="E404" s="1">
        <v>44436</v>
      </c>
      <c r="F404" t="s">
        <v>5874</v>
      </c>
      <c r="G404">
        <v>0</v>
      </c>
      <c r="H404">
        <v>0</v>
      </c>
      <c r="I404">
        <v>0</v>
      </c>
      <c r="J404">
        <v>0</v>
      </c>
      <c r="K404" t="s">
        <v>5875</v>
      </c>
      <c r="L404" t="s">
        <v>5876</v>
      </c>
      <c r="M404" t="s">
        <v>5877</v>
      </c>
      <c r="N404" t="s">
        <v>5878</v>
      </c>
      <c r="O404" t="s">
        <v>5879</v>
      </c>
      <c r="P404" t="s">
        <v>5880</v>
      </c>
      <c r="Q404" t="s">
        <v>5881</v>
      </c>
      <c r="R404" t="s">
        <v>5882</v>
      </c>
      <c r="S404" t="s">
        <v>5883</v>
      </c>
      <c r="T404" s="2">
        <v>0.66666666666666663</v>
      </c>
      <c r="U404">
        <v>1</v>
      </c>
      <c r="V404" t="s">
        <v>5884</v>
      </c>
      <c r="Y404" t="s">
        <v>5885</v>
      </c>
      <c r="Z404" t="s">
        <v>5885</v>
      </c>
      <c r="AA404" t="s">
        <v>5885</v>
      </c>
      <c r="AB404" t="s">
        <v>5885</v>
      </c>
      <c r="AC404" t="s">
        <v>5885</v>
      </c>
      <c r="AD404" t="s">
        <v>5885</v>
      </c>
    </row>
    <row r="405" spans="1:30">
      <c r="A405" t="s">
        <v>5886</v>
      </c>
      <c r="B405">
        <v>8</v>
      </c>
      <c r="C405">
        <v>27</v>
      </c>
      <c r="D405">
        <v>2021</v>
      </c>
      <c r="E405" s="1">
        <v>44435</v>
      </c>
      <c r="F405" t="s">
        <v>5887</v>
      </c>
      <c r="G405">
        <v>0</v>
      </c>
      <c r="H405">
        <v>0</v>
      </c>
      <c r="I405">
        <v>0</v>
      </c>
      <c r="J405">
        <v>0</v>
      </c>
      <c r="K405" t="s">
        <v>5888</v>
      </c>
      <c r="L405" t="s">
        <v>5889</v>
      </c>
      <c r="M405" t="s">
        <v>5890</v>
      </c>
      <c r="N405" t="s">
        <v>5891</v>
      </c>
      <c r="O405" t="s">
        <v>5892</v>
      </c>
      <c r="P405" t="s">
        <v>5893</v>
      </c>
      <c r="Q405" t="s">
        <v>5894</v>
      </c>
      <c r="R405" t="s">
        <v>5895</v>
      </c>
      <c r="S405" t="s">
        <v>5896</v>
      </c>
      <c r="U405">
        <v>1</v>
      </c>
      <c r="V405" t="s">
        <v>5897</v>
      </c>
      <c r="W405" t="s">
        <v>5898</v>
      </c>
      <c r="X405" t="s">
        <v>5899</v>
      </c>
      <c r="Y405" t="s">
        <v>5900</v>
      </c>
      <c r="Z405" t="s">
        <v>5900</v>
      </c>
      <c r="AA405" t="s">
        <v>5900</v>
      </c>
      <c r="AB405" t="s">
        <v>5900</v>
      </c>
      <c r="AC405" t="s">
        <v>5900</v>
      </c>
      <c r="AD405" t="s">
        <v>5900</v>
      </c>
    </row>
    <row r="406" spans="1:30">
      <c r="A406" t="s">
        <v>5901</v>
      </c>
      <c r="B406">
        <v>8</v>
      </c>
      <c r="C406">
        <v>27</v>
      </c>
      <c r="D406">
        <v>2021</v>
      </c>
      <c r="E406" s="1">
        <v>44435</v>
      </c>
      <c r="F406" t="s">
        <v>5902</v>
      </c>
      <c r="G406">
        <v>0</v>
      </c>
      <c r="H406">
        <v>2</v>
      </c>
      <c r="I406">
        <v>2</v>
      </c>
      <c r="J406">
        <v>0</v>
      </c>
      <c r="K406" t="s">
        <v>5903</v>
      </c>
      <c r="L406" t="s">
        <v>5904</v>
      </c>
      <c r="M406" t="s">
        <v>5905</v>
      </c>
      <c r="N406" t="s">
        <v>5906</v>
      </c>
      <c r="O406" t="s">
        <v>5907</v>
      </c>
      <c r="P406" t="s">
        <v>5908</v>
      </c>
      <c r="Q406" t="s">
        <v>5909</v>
      </c>
      <c r="R406" t="s">
        <v>5910</v>
      </c>
      <c r="S406" t="s">
        <v>5911</v>
      </c>
      <c r="T406" s="2">
        <v>0.60069444444444453</v>
      </c>
      <c r="U406">
        <v>1</v>
      </c>
      <c r="V406" t="s">
        <v>5912</v>
      </c>
      <c r="W406" t="s">
        <v>5913</v>
      </c>
      <c r="X406" t="s">
        <v>5914</v>
      </c>
      <c r="Y406" t="s">
        <v>5915</v>
      </c>
      <c r="Z406" t="s">
        <v>5916</v>
      </c>
      <c r="AA406" t="s">
        <v>5916</v>
      </c>
      <c r="AB406" t="s">
        <v>5916</v>
      </c>
      <c r="AC406" t="s">
        <v>5916</v>
      </c>
      <c r="AD406" t="s">
        <v>5916</v>
      </c>
    </row>
    <row r="407" spans="1:30">
      <c r="A407" t="s">
        <v>5917</v>
      </c>
      <c r="B407">
        <v>8</v>
      </c>
      <c r="C407">
        <v>27</v>
      </c>
      <c r="D407">
        <v>2021</v>
      </c>
      <c r="E407" s="1">
        <v>44435</v>
      </c>
      <c r="F407" t="s">
        <v>5918</v>
      </c>
      <c r="G407">
        <v>0</v>
      </c>
      <c r="H407">
        <v>2</v>
      </c>
      <c r="I407">
        <v>2</v>
      </c>
      <c r="J407">
        <v>0</v>
      </c>
      <c r="K407" t="s">
        <v>5919</v>
      </c>
      <c r="L407" t="s">
        <v>5920</v>
      </c>
      <c r="M407" t="s">
        <v>5921</v>
      </c>
      <c r="N407" t="s">
        <v>5922</v>
      </c>
      <c r="O407" t="s">
        <v>5923</v>
      </c>
      <c r="P407" t="s">
        <v>5924</v>
      </c>
      <c r="Q407" t="s">
        <v>5925</v>
      </c>
      <c r="R407" t="s">
        <v>5926</v>
      </c>
      <c r="S407" t="s">
        <v>5927</v>
      </c>
      <c r="T407" s="2">
        <v>0.88194444444444442</v>
      </c>
      <c r="U407">
        <v>1</v>
      </c>
      <c r="V407" t="s">
        <v>5928</v>
      </c>
      <c r="W407" t="s">
        <v>5929</v>
      </c>
      <c r="X407" t="s">
        <v>5930</v>
      </c>
      <c r="Z407" t="s">
        <v>5931</v>
      </c>
      <c r="AA407" t="s">
        <v>5931</v>
      </c>
      <c r="AB407" t="s">
        <v>5931</v>
      </c>
      <c r="AC407" t="s">
        <v>5931</v>
      </c>
      <c r="AD407" t="s">
        <v>5931</v>
      </c>
    </row>
    <row r="408" spans="1:30">
      <c r="A408" t="s">
        <v>5932</v>
      </c>
      <c r="B408">
        <v>8</v>
      </c>
      <c r="C408">
        <v>27</v>
      </c>
      <c r="D408">
        <v>2021</v>
      </c>
      <c r="E408" s="1">
        <v>44435</v>
      </c>
      <c r="F408" t="s">
        <v>5933</v>
      </c>
      <c r="G408">
        <v>1</v>
      </c>
      <c r="H408">
        <v>4</v>
      </c>
      <c r="I408">
        <v>5</v>
      </c>
      <c r="J408">
        <v>0</v>
      </c>
      <c r="K408" t="s">
        <v>5934</v>
      </c>
      <c r="L408" t="s">
        <v>5935</v>
      </c>
      <c r="M408" t="s">
        <v>5936</v>
      </c>
      <c r="N408" t="s">
        <v>5937</v>
      </c>
      <c r="O408" t="s">
        <v>5938</v>
      </c>
      <c r="P408" t="s">
        <v>5939</v>
      </c>
      <c r="Q408" t="s">
        <v>5940</v>
      </c>
      <c r="R408" t="s">
        <v>5941</v>
      </c>
      <c r="S408" t="s">
        <v>5942</v>
      </c>
      <c r="T408" s="2">
        <v>0.875</v>
      </c>
      <c r="U408">
        <v>1</v>
      </c>
      <c r="V408" t="s">
        <v>5943</v>
      </c>
      <c r="W408" t="s">
        <v>5944</v>
      </c>
      <c r="X408" t="s">
        <v>5945</v>
      </c>
      <c r="Z408" t="s">
        <v>5946</v>
      </c>
      <c r="AA408" t="s">
        <v>5946</v>
      </c>
      <c r="AB408" t="s">
        <v>5946</v>
      </c>
      <c r="AC408" t="s">
        <v>5946</v>
      </c>
      <c r="AD408" t="s">
        <v>5946</v>
      </c>
    </row>
    <row r="409" spans="1:30">
      <c r="A409" t="s">
        <v>5947</v>
      </c>
      <c r="B409">
        <v>8</v>
      </c>
      <c r="C409">
        <v>27</v>
      </c>
      <c r="D409">
        <v>2021</v>
      </c>
      <c r="E409" s="1">
        <v>44435</v>
      </c>
      <c r="F409" t="s">
        <v>5948</v>
      </c>
      <c r="G409">
        <v>0</v>
      </c>
      <c r="H409">
        <v>1</v>
      </c>
      <c r="I409">
        <v>1</v>
      </c>
      <c r="J409">
        <v>0</v>
      </c>
      <c r="K409" t="s">
        <v>5949</v>
      </c>
      <c r="L409" t="s">
        <v>5950</v>
      </c>
      <c r="M409" t="s">
        <v>5951</v>
      </c>
      <c r="N409" t="s">
        <v>5952</v>
      </c>
      <c r="O409" t="s">
        <v>5953</v>
      </c>
      <c r="P409" t="s">
        <v>5954</v>
      </c>
      <c r="Q409" t="s">
        <v>5955</v>
      </c>
      <c r="R409" t="s">
        <v>5956</v>
      </c>
      <c r="S409" t="s">
        <v>5957</v>
      </c>
      <c r="T409" s="2">
        <v>0.90277777777777779</v>
      </c>
      <c r="U409">
        <v>1</v>
      </c>
      <c r="V409" t="s">
        <v>5958</v>
      </c>
      <c r="W409" t="s">
        <v>5959</v>
      </c>
      <c r="X409" t="s">
        <v>5960</v>
      </c>
      <c r="Y409" t="s">
        <v>5961</v>
      </c>
      <c r="Z409" t="s">
        <v>5961</v>
      </c>
      <c r="AA409" t="s">
        <v>5961</v>
      </c>
      <c r="AB409" t="s">
        <v>5961</v>
      </c>
      <c r="AC409" t="s">
        <v>5961</v>
      </c>
      <c r="AD409" t="s">
        <v>5961</v>
      </c>
    </row>
    <row r="410" spans="1:30">
      <c r="A410" t="s">
        <v>5962</v>
      </c>
      <c r="B410">
        <v>8</v>
      </c>
      <c r="C410">
        <v>26</v>
      </c>
      <c r="D410">
        <v>2021</v>
      </c>
      <c r="E410" s="1">
        <v>44434</v>
      </c>
      <c r="F410" t="s">
        <v>5963</v>
      </c>
      <c r="G410">
        <v>0</v>
      </c>
      <c r="H410">
        <v>0</v>
      </c>
      <c r="I410">
        <v>0</v>
      </c>
      <c r="J410">
        <v>0</v>
      </c>
      <c r="K410" t="s">
        <v>5964</v>
      </c>
      <c r="L410" t="s">
        <v>5965</v>
      </c>
      <c r="M410" t="s">
        <v>5966</v>
      </c>
      <c r="N410" t="s">
        <v>5967</v>
      </c>
      <c r="O410" t="s">
        <v>5968</v>
      </c>
      <c r="P410" t="s">
        <v>5969</v>
      </c>
      <c r="Q410" t="s">
        <v>5970</v>
      </c>
      <c r="R410" t="s">
        <v>5971</v>
      </c>
      <c r="S410" t="s">
        <v>5972</v>
      </c>
      <c r="T410" s="2">
        <v>0.77083333333333337</v>
      </c>
      <c r="U410">
        <v>1</v>
      </c>
      <c r="V410" t="s">
        <v>5973</v>
      </c>
      <c r="X410" t="s">
        <v>5974</v>
      </c>
      <c r="Y410" t="s">
        <v>5975</v>
      </c>
      <c r="Z410" t="s">
        <v>5975</v>
      </c>
      <c r="AA410" t="s">
        <v>5975</v>
      </c>
      <c r="AB410" t="s">
        <v>5975</v>
      </c>
      <c r="AC410" t="s">
        <v>5975</v>
      </c>
      <c r="AD410" t="s">
        <v>5975</v>
      </c>
    </row>
    <row r="411" spans="1:30">
      <c r="A411" t="s">
        <v>5976</v>
      </c>
      <c r="B411">
        <v>8</v>
      </c>
      <c r="C411">
        <v>26</v>
      </c>
      <c r="D411">
        <v>2021</v>
      </c>
      <c r="E411" s="1">
        <v>44434</v>
      </c>
      <c r="F411" t="s">
        <v>5977</v>
      </c>
      <c r="G411">
        <v>0</v>
      </c>
      <c r="H411">
        <v>0</v>
      </c>
      <c r="I411">
        <v>0</v>
      </c>
      <c r="J411">
        <v>0</v>
      </c>
      <c r="K411" t="s">
        <v>5978</v>
      </c>
      <c r="L411" t="s">
        <v>5979</v>
      </c>
      <c r="M411" t="s">
        <v>5980</v>
      </c>
      <c r="N411" t="s">
        <v>5981</v>
      </c>
      <c r="O411" t="s">
        <v>5982</v>
      </c>
      <c r="P411" t="s">
        <v>5983</v>
      </c>
      <c r="Q411" t="s">
        <v>5984</v>
      </c>
      <c r="R411" t="s">
        <v>5985</v>
      </c>
      <c r="S411" t="s">
        <v>5986</v>
      </c>
      <c r="T411" s="2">
        <v>0.48958333333333331</v>
      </c>
      <c r="U411">
        <v>1</v>
      </c>
      <c r="V411" t="s">
        <v>5987</v>
      </c>
      <c r="W411" t="s">
        <v>5988</v>
      </c>
      <c r="X411" t="s">
        <v>5989</v>
      </c>
      <c r="Y411" t="s">
        <v>5990</v>
      </c>
      <c r="Z411" t="s">
        <v>5990</v>
      </c>
      <c r="AA411" t="s">
        <v>5990</v>
      </c>
      <c r="AB411" t="s">
        <v>5990</v>
      </c>
      <c r="AC411" t="s">
        <v>5990</v>
      </c>
      <c r="AD411" t="s">
        <v>5990</v>
      </c>
    </row>
    <row r="412" spans="1:30">
      <c r="A412" t="s">
        <v>5991</v>
      </c>
      <c r="B412">
        <v>8</v>
      </c>
      <c r="C412">
        <v>26</v>
      </c>
      <c r="D412">
        <v>2021</v>
      </c>
      <c r="E412" s="1">
        <v>44434</v>
      </c>
      <c r="F412" t="s">
        <v>5992</v>
      </c>
      <c r="G412">
        <v>0</v>
      </c>
      <c r="H412">
        <v>0</v>
      </c>
      <c r="I412">
        <v>0</v>
      </c>
      <c r="J412">
        <v>0</v>
      </c>
      <c r="K412" t="s">
        <v>5993</v>
      </c>
      <c r="L412" t="s">
        <v>5994</v>
      </c>
      <c r="M412" t="s">
        <v>5995</v>
      </c>
      <c r="N412" t="s">
        <v>5996</v>
      </c>
      <c r="O412" t="s">
        <v>5997</v>
      </c>
      <c r="P412" t="s">
        <v>5998</v>
      </c>
      <c r="Q412" t="s">
        <v>5999</v>
      </c>
      <c r="R412" t="s">
        <v>6000</v>
      </c>
      <c r="S412" t="s">
        <v>6001</v>
      </c>
      <c r="T412" s="2">
        <v>0.79513888888888884</v>
      </c>
      <c r="U412">
        <v>1</v>
      </c>
      <c r="V412" t="s">
        <v>6002</v>
      </c>
      <c r="W412" t="s">
        <v>6003</v>
      </c>
      <c r="X412" t="s">
        <v>6004</v>
      </c>
      <c r="Y412" t="s">
        <v>6005</v>
      </c>
      <c r="Z412" t="s">
        <v>6005</v>
      </c>
      <c r="AA412" t="s">
        <v>6005</v>
      </c>
      <c r="AB412" t="s">
        <v>6005</v>
      </c>
      <c r="AC412" t="s">
        <v>6005</v>
      </c>
      <c r="AD412" t="s">
        <v>6005</v>
      </c>
    </row>
    <row r="413" spans="1:30">
      <c r="A413" t="s">
        <v>6006</v>
      </c>
      <c r="B413">
        <v>8</v>
      </c>
      <c r="C413">
        <v>22</v>
      </c>
      <c r="D413">
        <v>2021</v>
      </c>
      <c r="E413" s="1">
        <v>44430</v>
      </c>
      <c r="F413" t="s">
        <v>6007</v>
      </c>
      <c r="G413">
        <v>0</v>
      </c>
      <c r="H413">
        <v>1</v>
      </c>
      <c r="I413">
        <v>1</v>
      </c>
      <c r="J413">
        <v>0</v>
      </c>
      <c r="K413" t="s">
        <v>6008</v>
      </c>
      <c r="L413" t="s">
        <v>6009</v>
      </c>
      <c r="M413" t="s">
        <v>6010</v>
      </c>
      <c r="N413" t="s">
        <v>6011</v>
      </c>
      <c r="O413" t="s">
        <v>6012</v>
      </c>
      <c r="P413" t="s">
        <v>6013</v>
      </c>
      <c r="Q413" t="s">
        <v>6014</v>
      </c>
      <c r="R413" t="s">
        <v>6015</v>
      </c>
      <c r="S413" t="s">
        <v>6016</v>
      </c>
      <c r="T413" s="2">
        <v>0.58333333333333337</v>
      </c>
      <c r="U413">
        <v>1</v>
      </c>
      <c r="V413" t="s">
        <v>6017</v>
      </c>
      <c r="W413" t="s">
        <v>6018</v>
      </c>
      <c r="X413" t="s">
        <v>6019</v>
      </c>
      <c r="Z413" t="s">
        <v>6020</v>
      </c>
      <c r="AA413" t="s">
        <v>6020</v>
      </c>
      <c r="AC413" t="s">
        <v>6020</v>
      </c>
      <c r="AD413" t="s">
        <v>6020</v>
      </c>
    </row>
    <row r="414" spans="1:30">
      <c r="A414" t="s">
        <v>6021</v>
      </c>
      <c r="B414">
        <v>8</v>
      </c>
      <c r="C414">
        <v>20</v>
      </c>
      <c r="D414">
        <v>2021</v>
      </c>
      <c r="E414" s="1">
        <v>44428</v>
      </c>
      <c r="F414" t="s">
        <v>6022</v>
      </c>
      <c r="G414">
        <v>0</v>
      </c>
      <c r="H414">
        <v>2</v>
      </c>
      <c r="I414">
        <v>2</v>
      </c>
      <c r="J414">
        <v>0</v>
      </c>
      <c r="K414" t="s">
        <v>6023</v>
      </c>
      <c r="L414" t="s">
        <v>6024</v>
      </c>
      <c r="M414" t="s">
        <v>6025</v>
      </c>
      <c r="N414" t="s">
        <v>6026</v>
      </c>
      <c r="O414" t="s">
        <v>6027</v>
      </c>
      <c r="P414" t="s">
        <v>6028</v>
      </c>
      <c r="Q414" t="s">
        <v>6029</v>
      </c>
      <c r="R414" t="s">
        <v>6030</v>
      </c>
      <c r="S414" t="s">
        <v>6031</v>
      </c>
      <c r="T414" s="2">
        <v>0.10416666666666666</v>
      </c>
      <c r="U414">
        <v>1</v>
      </c>
      <c r="V414" t="s">
        <v>6032</v>
      </c>
      <c r="X414" t="s">
        <v>6033</v>
      </c>
      <c r="Z414" t="s">
        <v>6034</v>
      </c>
      <c r="AA414" t="s">
        <v>6034</v>
      </c>
      <c r="AB414" t="s">
        <v>6034</v>
      </c>
      <c r="AD414" t="s">
        <v>6034</v>
      </c>
    </row>
    <row r="415" spans="1:30">
      <c r="A415" t="s">
        <v>6035</v>
      </c>
      <c r="B415">
        <v>8</v>
      </c>
      <c r="C415">
        <v>20</v>
      </c>
      <c r="D415">
        <v>2021</v>
      </c>
      <c r="E415" s="1">
        <v>44428</v>
      </c>
      <c r="F415" t="s">
        <v>6036</v>
      </c>
      <c r="G415">
        <v>0</v>
      </c>
      <c r="H415">
        <v>1</v>
      </c>
      <c r="I415">
        <v>1</v>
      </c>
      <c r="J415">
        <v>0</v>
      </c>
      <c r="K415" t="s">
        <v>6037</v>
      </c>
      <c r="L415" t="s">
        <v>6038</v>
      </c>
      <c r="M415" t="s">
        <v>6039</v>
      </c>
      <c r="N415" t="s">
        <v>6040</v>
      </c>
      <c r="O415" t="s">
        <v>6041</v>
      </c>
      <c r="P415" t="s">
        <v>6042</v>
      </c>
      <c r="Q415" t="s">
        <v>6043</v>
      </c>
      <c r="R415" t="s">
        <v>6044</v>
      </c>
      <c r="S415" t="s">
        <v>6045</v>
      </c>
      <c r="T415" s="2">
        <v>0.92013888888888884</v>
      </c>
      <c r="U415">
        <v>1</v>
      </c>
      <c r="V415" t="s">
        <v>6046</v>
      </c>
      <c r="W415" t="s">
        <v>6047</v>
      </c>
      <c r="X415" t="s">
        <v>6048</v>
      </c>
      <c r="Y415" t="s">
        <v>6049</v>
      </c>
      <c r="Z415" t="s">
        <v>6049</v>
      </c>
      <c r="AA415" t="s">
        <v>6049</v>
      </c>
      <c r="AB415" t="s">
        <v>6049</v>
      </c>
      <c r="AC415" t="s">
        <v>6049</v>
      </c>
      <c r="AD415" t="s">
        <v>6049</v>
      </c>
    </row>
    <row r="416" spans="1:30">
      <c r="A416" t="s">
        <v>6050</v>
      </c>
      <c r="B416">
        <v>8</v>
      </c>
      <c r="C416">
        <v>18</v>
      </c>
      <c r="D416">
        <v>2021</v>
      </c>
      <c r="E416" s="1">
        <v>44426</v>
      </c>
      <c r="F416" t="s">
        <v>6051</v>
      </c>
      <c r="G416">
        <v>0</v>
      </c>
      <c r="H416">
        <v>3</v>
      </c>
      <c r="I416">
        <v>3</v>
      </c>
      <c r="J416">
        <v>0</v>
      </c>
      <c r="K416" t="s">
        <v>6052</v>
      </c>
      <c r="L416" t="s">
        <v>6053</v>
      </c>
      <c r="M416" t="s">
        <v>6054</v>
      </c>
      <c r="N416" t="s">
        <v>6055</v>
      </c>
      <c r="O416" t="s">
        <v>6056</v>
      </c>
      <c r="P416" t="s">
        <v>6057</v>
      </c>
      <c r="Q416" t="s">
        <v>6058</v>
      </c>
      <c r="R416" t="s">
        <v>6059</v>
      </c>
      <c r="S416" t="s">
        <v>6060</v>
      </c>
      <c r="T416" s="2">
        <v>0.66666666666666663</v>
      </c>
      <c r="U416">
        <v>1</v>
      </c>
      <c r="V416" t="s">
        <v>6061</v>
      </c>
      <c r="W416" t="s">
        <v>6062</v>
      </c>
      <c r="X416" t="s">
        <v>6063</v>
      </c>
      <c r="Y416" t="s">
        <v>6064</v>
      </c>
      <c r="Z416" t="s">
        <v>6064</v>
      </c>
      <c r="AA416" t="s">
        <v>6064</v>
      </c>
      <c r="AB416" t="s">
        <v>6065</v>
      </c>
      <c r="AC416" t="s">
        <v>6066</v>
      </c>
      <c r="AD416" t="s">
        <v>6066</v>
      </c>
    </row>
    <row r="417" spans="1:30">
      <c r="A417" t="s">
        <v>6067</v>
      </c>
      <c r="B417">
        <v>8</v>
      </c>
      <c r="C417">
        <v>17</v>
      </c>
      <c r="D417">
        <v>2021</v>
      </c>
      <c r="E417" s="1">
        <v>44425</v>
      </c>
      <c r="F417" t="s">
        <v>6068</v>
      </c>
      <c r="G417">
        <v>1</v>
      </c>
      <c r="H417">
        <v>0</v>
      </c>
      <c r="I417">
        <v>1</v>
      </c>
      <c r="J417">
        <v>0</v>
      </c>
      <c r="K417" t="s">
        <v>6069</v>
      </c>
      <c r="L417" t="s">
        <v>6070</v>
      </c>
      <c r="M417" t="s">
        <v>6071</v>
      </c>
      <c r="N417" t="s">
        <v>6072</v>
      </c>
      <c r="O417" t="s">
        <v>6073</v>
      </c>
      <c r="P417" t="s">
        <v>6074</v>
      </c>
      <c r="Q417" t="s">
        <v>6075</v>
      </c>
      <c r="R417" t="s">
        <v>6076</v>
      </c>
      <c r="S417" t="s">
        <v>6077</v>
      </c>
      <c r="T417" s="2">
        <v>0.98263888888888895</v>
      </c>
      <c r="U417">
        <v>1</v>
      </c>
      <c r="V417" t="s">
        <v>6078</v>
      </c>
      <c r="W417" t="s">
        <v>6079</v>
      </c>
      <c r="X417" t="s">
        <v>6080</v>
      </c>
      <c r="Y417" t="s">
        <v>6081</v>
      </c>
      <c r="Z417" t="s">
        <v>6082</v>
      </c>
      <c r="AA417" t="s">
        <v>6082</v>
      </c>
      <c r="AB417" t="s">
        <v>6082</v>
      </c>
      <c r="AC417" t="s">
        <v>6082</v>
      </c>
      <c r="AD417" t="s">
        <v>6082</v>
      </c>
    </row>
    <row r="418" spans="1:30">
      <c r="A418" t="s">
        <v>6083</v>
      </c>
      <c r="B418">
        <v>8</v>
      </c>
      <c r="C418">
        <v>15</v>
      </c>
      <c r="D418">
        <v>2021</v>
      </c>
      <c r="E418" s="1">
        <v>44423</v>
      </c>
      <c r="F418" t="s">
        <v>6084</v>
      </c>
      <c r="G418">
        <v>0</v>
      </c>
      <c r="H418">
        <v>0</v>
      </c>
      <c r="I418">
        <v>0</v>
      </c>
      <c r="J418">
        <v>0</v>
      </c>
      <c r="K418" t="s">
        <v>6085</v>
      </c>
      <c r="L418" t="s">
        <v>6086</v>
      </c>
      <c r="M418" t="s">
        <v>6087</v>
      </c>
      <c r="N418" t="s">
        <v>6088</v>
      </c>
      <c r="O418" t="s">
        <v>6089</v>
      </c>
      <c r="P418" t="s">
        <v>6090</v>
      </c>
      <c r="Q418" t="s">
        <v>6091</v>
      </c>
      <c r="R418" t="s">
        <v>6092</v>
      </c>
      <c r="S418" t="s">
        <v>6093</v>
      </c>
      <c r="T418" s="2">
        <v>0.76736111111111116</v>
      </c>
      <c r="U418">
        <v>1</v>
      </c>
      <c r="V418" t="s">
        <v>6094</v>
      </c>
      <c r="W418" t="s">
        <v>6095</v>
      </c>
      <c r="X418" t="s">
        <v>6096</v>
      </c>
      <c r="Y418" t="s">
        <v>6097</v>
      </c>
      <c r="Z418" t="s">
        <v>6097</v>
      </c>
      <c r="AA418" t="s">
        <v>6097</v>
      </c>
      <c r="AB418" t="s">
        <v>6097</v>
      </c>
      <c r="AC418" t="s">
        <v>6097</v>
      </c>
      <c r="AD418" t="s">
        <v>6097</v>
      </c>
    </row>
    <row r="419" spans="1:30">
      <c r="A419" t="s">
        <v>6098</v>
      </c>
      <c r="B419">
        <v>8</v>
      </c>
      <c r="C419">
        <v>14</v>
      </c>
      <c r="D419">
        <v>2021</v>
      </c>
      <c r="E419" s="1">
        <v>44422</v>
      </c>
      <c r="F419" t="s">
        <v>6099</v>
      </c>
      <c r="G419">
        <v>0</v>
      </c>
      <c r="H419">
        <v>0</v>
      </c>
      <c r="I419">
        <v>0</v>
      </c>
      <c r="J419">
        <v>0</v>
      </c>
      <c r="L419" t="s">
        <v>6100</v>
      </c>
      <c r="M419" t="s">
        <v>6101</v>
      </c>
      <c r="N419" t="s">
        <v>6102</v>
      </c>
      <c r="P419" t="s">
        <v>6103</v>
      </c>
      <c r="Q419" t="s">
        <v>6103</v>
      </c>
      <c r="S419" t="s">
        <v>6104</v>
      </c>
      <c r="V419" t="s">
        <v>6105</v>
      </c>
      <c r="W419" t="s">
        <v>6106</v>
      </c>
      <c r="X419" t="s">
        <v>6107</v>
      </c>
      <c r="Z419" t="s">
        <v>6108</v>
      </c>
      <c r="AA419" t="s">
        <v>6108</v>
      </c>
      <c r="AC419" t="s">
        <v>6108</v>
      </c>
      <c r="AD419" t="s">
        <v>6108</v>
      </c>
    </row>
    <row r="420" spans="1:30">
      <c r="A420" t="s">
        <v>6109</v>
      </c>
      <c r="B420">
        <v>8</v>
      </c>
      <c r="C420">
        <v>14</v>
      </c>
      <c r="D420">
        <v>2021</v>
      </c>
      <c r="E420" s="1">
        <v>44422</v>
      </c>
      <c r="F420" t="s">
        <v>6110</v>
      </c>
      <c r="G420">
        <v>0</v>
      </c>
      <c r="H420">
        <v>1</v>
      </c>
      <c r="I420">
        <v>1</v>
      </c>
      <c r="J420">
        <v>0</v>
      </c>
      <c r="K420" t="s">
        <v>6111</v>
      </c>
      <c r="L420" t="s">
        <v>6112</v>
      </c>
      <c r="M420" t="s">
        <v>6113</v>
      </c>
      <c r="N420" t="s">
        <v>6114</v>
      </c>
      <c r="O420" t="s">
        <v>6115</v>
      </c>
      <c r="P420" t="s">
        <v>6116</v>
      </c>
      <c r="Q420" t="s">
        <v>6116</v>
      </c>
      <c r="R420" t="s">
        <v>6117</v>
      </c>
      <c r="S420" t="s">
        <v>6118</v>
      </c>
      <c r="T420" s="2">
        <v>0.69305555555555554</v>
      </c>
      <c r="U420">
        <v>1</v>
      </c>
      <c r="V420" t="s">
        <v>6119</v>
      </c>
      <c r="W420" t="s">
        <v>6120</v>
      </c>
      <c r="X420" t="s">
        <v>6121</v>
      </c>
      <c r="Z420" t="s">
        <v>6122</v>
      </c>
      <c r="AA420" t="s">
        <v>6122</v>
      </c>
      <c r="AB420" t="s">
        <v>6122</v>
      </c>
      <c r="AC420" t="s">
        <v>6122</v>
      </c>
      <c r="AD420" t="s">
        <v>6122</v>
      </c>
    </row>
    <row r="421" spans="1:30">
      <c r="A421" t="s">
        <v>6123</v>
      </c>
      <c r="B421">
        <v>8</v>
      </c>
      <c r="C421">
        <v>13</v>
      </c>
      <c r="D421">
        <v>2021</v>
      </c>
      <c r="E421" s="1">
        <v>44421</v>
      </c>
      <c r="F421" t="s">
        <v>6124</v>
      </c>
      <c r="G421">
        <v>1</v>
      </c>
      <c r="H421">
        <v>0</v>
      </c>
      <c r="I421">
        <v>1</v>
      </c>
      <c r="J421">
        <v>0</v>
      </c>
      <c r="K421" t="s">
        <v>6125</v>
      </c>
      <c r="L421" t="s">
        <v>6126</v>
      </c>
      <c r="M421" t="s">
        <v>6127</v>
      </c>
      <c r="N421" t="s">
        <v>6128</v>
      </c>
      <c r="O421" t="s">
        <v>6129</v>
      </c>
      <c r="P421" t="s">
        <v>6130</v>
      </c>
      <c r="Q421" t="s">
        <v>6131</v>
      </c>
      <c r="R421" t="s">
        <v>6132</v>
      </c>
      <c r="S421" t="s">
        <v>6133</v>
      </c>
      <c r="T421" s="2">
        <v>0.53125</v>
      </c>
      <c r="U421">
        <v>1</v>
      </c>
      <c r="V421" t="s">
        <v>6134</v>
      </c>
      <c r="W421" t="s">
        <v>6135</v>
      </c>
      <c r="X421" t="s">
        <v>6136</v>
      </c>
      <c r="Y421" t="s">
        <v>6137</v>
      </c>
      <c r="Z421" t="s">
        <v>6137</v>
      </c>
      <c r="AA421" t="s">
        <v>6137</v>
      </c>
      <c r="AB421" t="s">
        <v>6138</v>
      </c>
      <c r="AC421" t="s">
        <v>6139</v>
      </c>
      <c r="AD421" t="s">
        <v>6139</v>
      </c>
    </row>
    <row r="422" spans="1:30">
      <c r="A422" t="s">
        <v>6140</v>
      </c>
      <c r="B422">
        <v>8</v>
      </c>
      <c r="C422">
        <v>13</v>
      </c>
      <c r="D422">
        <v>2021</v>
      </c>
      <c r="E422" s="1">
        <v>44421</v>
      </c>
      <c r="F422" t="s">
        <v>6141</v>
      </c>
      <c r="G422">
        <v>0</v>
      </c>
      <c r="H422">
        <v>0</v>
      </c>
      <c r="I422">
        <v>0</v>
      </c>
      <c r="J422">
        <v>0</v>
      </c>
      <c r="K422" t="s">
        <v>6142</v>
      </c>
      <c r="L422" t="s">
        <v>6143</v>
      </c>
      <c r="M422" t="s">
        <v>6144</v>
      </c>
      <c r="N422" t="s">
        <v>6145</v>
      </c>
      <c r="O422" t="s">
        <v>6146</v>
      </c>
      <c r="P422" t="s">
        <v>6147</v>
      </c>
      <c r="Q422" t="s">
        <v>6148</v>
      </c>
      <c r="R422" t="s">
        <v>6149</v>
      </c>
      <c r="S422" t="s">
        <v>6150</v>
      </c>
      <c r="T422" s="2">
        <v>0.88541666666666663</v>
      </c>
      <c r="U422">
        <v>1</v>
      </c>
      <c r="V422" t="s">
        <v>6151</v>
      </c>
      <c r="W422" t="s">
        <v>6152</v>
      </c>
      <c r="X422" t="s">
        <v>6153</v>
      </c>
      <c r="Y422" t="s">
        <v>6154</v>
      </c>
      <c r="Z422" t="s">
        <v>6154</v>
      </c>
      <c r="AA422" t="s">
        <v>6154</v>
      </c>
      <c r="AB422" t="s">
        <v>6154</v>
      </c>
      <c r="AC422" t="s">
        <v>6154</v>
      </c>
      <c r="AD422" t="s">
        <v>6154</v>
      </c>
    </row>
    <row r="423" spans="1:30">
      <c r="A423" t="s">
        <v>6155</v>
      </c>
      <c r="B423">
        <v>8</v>
      </c>
      <c r="C423">
        <v>12</v>
      </c>
      <c r="D423">
        <v>2021</v>
      </c>
      <c r="E423" s="1">
        <v>44420</v>
      </c>
      <c r="F423" t="s">
        <v>6156</v>
      </c>
      <c r="G423">
        <v>0</v>
      </c>
      <c r="H423">
        <v>1</v>
      </c>
      <c r="I423">
        <v>1</v>
      </c>
      <c r="J423">
        <v>0</v>
      </c>
      <c r="K423" t="s">
        <v>6157</v>
      </c>
      <c r="L423" t="s">
        <v>6158</v>
      </c>
      <c r="M423" t="s">
        <v>6159</v>
      </c>
      <c r="N423" t="s">
        <v>6160</v>
      </c>
      <c r="O423" t="s">
        <v>6161</v>
      </c>
      <c r="P423" t="s">
        <v>6162</v>
      </c>
      <c r="Q423" t="s">
        <v>6163</v>
      </c>
      <c r="R423" t="s">
        <v>6164</v>
      </c>
      <c r="S423" t="s">
        <v>6165</v>
      </c>
      <c r="T423" s="2">
        <v>0.625</v>
      </c>
      <c r="U423">
        <v>1</v>
      </c>
      <c r="V423" t="s">
        <v>6166</v>
      </c>
      <c r="W423" t="s">
        <v>6167</v>
      </c>
    </row>
    <row r="424" spans="1:30">
      <c r="A424" t="s">
        <v>6168</v>
      </c>
      <c r="B424">
        <v>8</v>
      </c>
      <c r="C424">
        <v>12</v>
      </c>
      <c r="D424">
        <v>2021</v>
      </c>
      <c r="E424" s="1">
        <v>44420</v>
      </c>
      <c r="F424" t="s">
        <v>6169</v>
      </c>
      <c r="G424">
        <v>0</v>
      </c>
      <c r="H424">
        <v>0</v>
      </c>
      <c r="I424">
        <v>0</v>
      </c>
      <c r="J424">
        <v>0</v>
      </c>
      <c r="K424" t="s">
        <v>6170</v>
      </c>
      <c r="L424" t="s">
        <v>6171</v>
      </c>
      <c r="M424" t="s">
        <v>6172</v>
      </c>
      <c r="N424" t="s">
        <v>6173</v>
      </c>
      <c r="O424" t="s">
        <v>6174</v>
      </c>
      <c r="P424" t="s">
        <v>6175</v>
      </c>
      <c r="Q424" t="s">
        <v>6176</v>
      </c>
      <c r="R424" t="s">
        <v>6177</v>
      </c>
      <c r="S424" t="s">
        <v>6178</v>
      </c>
      <c r="T424" s="2">
        <v>0.29930555555555555</v>
      </c>
      <c r="U424">
        <v>1</v>
      </c>
      <c r="V424" t="s">
        <v>6179</v>
      </c>
      <c r="X424" t="s">
        <v>6180</v>
      </c>
      <c r="Y424" t="s">
        <v>6181</v>
      </c>
      <c r="Z424" t="s">
        <v>6181</v>
      </c>
      <c r="AA424" t="s">
        <v>6181</v>
      </c>
      <c r="AC424" t="s">
        <v>6181</v>
      </c>
      <c r="AD424" t="s">
        <v>6181</v>
      </c>
    </row>
    <row r="425" spans="1:30">
      <c r="A425" t="s">
        <v>6182</v>
      </c>
      <c r="B425">
        <v>8</v>
      </c>
      <c r="C425">
        <v>11</v>
      </c>
      <c r="D425">
        <v>2021</v>
      </c>
      <c r="E425" s="1">
        <v>44419</v>
      </c>
      <c r="F425" t="s">
        <v>6183</v>
      </c>
      <c r="G425">
        <v>0</v>
      </c>
      <c r="H425">
        <v>0</v>
      </c>
      <c r="I425">
        <v>0</v>
      </c>
      <c r="J425">
        <v>0</v>
      </c>
      <c r="K425" t="s">
        <v>6184</v>
      </c>
      <c r="L425" t="s">
        <v>6185</v>
      </c>
      <c r="M425" t="s">
        <v>6186</v>
      </c>
      <c r="N425" t="s">
        <v>6187</v>
      </c>
      <c r="O425" t="s">
        <v>6188</v>
      </c>
      <c r="P425" t="s">
        <v>6189</v>
      </c>
      <c r="Q425" t="s">
        <v>6190</v>
      </c>
      <c r="R425" t="s">
        <v>6191</v>
      </c>
      <c r="S425" t="s">
        <v>6192</v>
      </c>
      <c r="T425" s="2">
        <v>0.64583333333333337</v>
      </c>
      <c r="U425">
        <v>1</v>
      </c>
      <c r="V425" t="s">
        <v>6193</v>
      </c>
      <c r="Y425" t="s">
        <v>6194</v>
      </c>
      <c r="Z425" t="s">
        <v>6194</v>
      </c>
      <c r="AA425" t="s">
        <v>6194</v>
      </c>
      <c r="AB425" t="s">
        <v>6194</v>
      </c>
      <c r="AC425" t="s">
        <v>6194</v>
      </c>
      <c r="AD425" t="s">
        <v>6194</v>
      </c>
    </row>
    <row r="426" spans="1:30">
      <c r="A426" t="s">
        <v>6195</v>
      </c>
      <c r="B426">
        <v>8</v>
      </c>
      <c r="C426">
        <v>11</v>
      </c>
      <c r="D426">
        <v>2021</v>
      </c>
      <c r="E426" s="1">
        <v>44419</v>
      </c>
      <c r="F426" t="s">
        <v>6196</v>
      </c>
      <c r="G426">
        <v>0</v>
      </c>
      <c r="H426">
        <v>1</v>
      </c>
      <c r="I426">
        <v>1</v>
      </c>
      <c r="J426">
        <v>0</v>
      </c>
      <c r="K426" t="s">
        <v>6197</v>
      </c>
      <c r="L426" t="s">
        <v>6198</v>
      </c>
      <c r="M426" t="s">
        <v>6199</v>
      </c>
      <c r="N426" t="s">
        <v>6200</v>
      </c>
      <c r="O426" t="s">
        <v>6201</v>
      </c>
      <c r="P426" t="s">
        <v>6202</v>
      </c>
      <c r="Q426" t="s">
        <v>6202</v>
      </c>
      <c r="R426" t="s">
        <v>6203</v>
      </c>
      <c r="S426" t="s">
        <v>6204</v>
      </c>
      <c r="T426" s="2">
        <v>4.1666666666666664E-2</v>
      </c>
      <c r="U426">
        <v>1</v>
      </c>
      <c r="V426" t="s">
        <v>6205</v>
      </c>
      <c r="Y426" t="s">
        <v>6206</v>
      </c>
      <c r="Z426" t="s">
        <v>6206</v>
      </c>
      <c r="AA426" t="s">
        <v>6206</v>
      </c>
      <c r="AB426" t="s">
        <v>6206</v>
      </c>
      <c r="AC426" t="s">
        <v>6206</v>
      </c>
      <c r="AD426" t="s">
        <v>6206</v>
      </c>
    </row>
    <row r="427" spans="1:30">
      <c r="A427" t="s">
        <v>6207</v>
      </c>
      <c r="B427">
        <v>8</v>
      </c>
      <c r="C427">
        <v>10</v>
      </c>
      <c r="D427">
        <v>2021</v>
      </c>
      <c r="E427" s="1">
        <v>44418</v>
      </c>
      <c r="F427" t="s">
        <v>6208</v>
      </c>
      <c r="G427">
        <v>0</v>
      </c>
      <c r="H427">
        <v>1</v>
      </c>
      <c r="I427">
        <v>1</v>
      </c>
      <c r="J427">
        <v>0</v>
      </c>
      <c r="K427" t="s">
        <v>6209</v>
      </c>
      <c r="L427" t="s">
        <v>6210</v>
      </c>
      <c r="M427" t="s">
        <v>6211</v>
      </c>
      <c r="N427" t="s">
        <v>6212</v>
      </c>
      <c r="O427" t="s">
        <v>6213</v>
      </c>
      <c r="P427" t="s">
        <v>6214</v>
      </c>
      <c r="Q427" t="s">
        <v>6215</v>
      </c>
      <c r="R427" t="s">
        <v>6216</v>
      </c>
      <c r="S427" t="s">
        <v>6217</v>
      </c>
      <c r="T427" s="2">
        <v>0.71666666666666667</v>
      </c>
      <c r="U427">
        <v>1</v>
      </c>
      <c r="V427" t="s">
        <v>6218</v>
      </c>
      <c r="W427" t="s">
        <v>6219</v>
      </c>
      <c r="X427" t="s">
        <v>6220</v>
      </c>
      <c r="Y427" t="s">
        <v>6221</v>
      </c>
      <c r="Z427" t="s">
        <v>6221</v>
      </c>
      <c r="AA427" t="s">
        <v>6221</v>
      </c>
      <c r="AB427" t="s">
        <v>6221</v>
      </c>
      <c r="AC427" t="s">
        <v>6221</v>
      </c>
      <c r="AD427" t="s">
        <v>6221</v>
      </c>
    </row>
    <row r="428" spans="1:30">
      <c r="A428" t="s">
        <v>6222</v>
      </c>
      <c r="B428">
        <v>8</v>
      </c>
      <c r="C428">
        <v>7</v>
      </c>
      <c r="D428">
        <v>2021</v>
      </c>
      <c r="E428" s="1">
        <v>44415</v>
      </c>
      <c r="F428" t="s">
        <v>6223</v>
      </c>
      <c r="G428">
        <v>1</v>
      </c>
      <c r="H428">
        <v>0</v>
      </c>
      <c r="I428">
        <v>1</v>
      </c>
      <c r="J428">
        <v>0</v>
      </c>
      <c r="K428" t="s">
        <v>6224</v>
      </c>
      <c r="L428" t="s">
        <v>6225</v>
      </c>
      <c r="M428" t="s">
        <v>6226</v>
      </c>
      <c r="N428" t="s">
        <v>6227</v>
      </c>
      <c r="O428" t="s">
        <v>6228</v>
      </c>
      <c r="P428" t="s">
        <v>6229</v>
      </c>
      <c r="Q428" t="s">
        <v>6230</v>
      </c>
      <c r="R428" t="s">
        <v>6231</v>
      </c>
      <c r="S428" t="s">
        <v>6232</v>
      </c>
      <c r="V428" t="s">
        <v>6233</v>
      </c>
      <c r="Z428" t="s">
        <v>6234</v>
      </c>
      <c r="AA428" t="s">
        <v>6234</v>
      </c>
      <c r="AB428" t="s">
        <v>6234</v>
      </c>
      <c r="AD428" t="s">
        <v>6234</v>
      </c>
    </row>
    <row r="429" spans="1:30">
      <c r="A429" t="s">
        <v>6235</v>
      </c>
      <c r="B429">
        <v>8</v>
      </c>
      <c r="C429">
        <v>6</v>
      </c>
      <c r="D429">
        <v>2021</v>
      </c>
      <c r="E429" s="1">
        <v>44414</v>
      </c>
      <c r="F429" t="s">
        <v>6236</v>
      </c>
      <c r="G429">
        <v>0</v>
      </c>
      <c r="H429">
        <v>1</v>
      </c>
      <c r="I429">
        <v>1</v>
      </c>
      <c r="J429">
        <v>0</v>
      </c>
      <c r="K429" t="s">
        <v>6237</v>
      </c>
      <c r="L429" t="s">
        <v>6238</v>
      </c>
      <c r="M429" t="s">
        <v>6239</v>
      </c>
      <c r="N429" t="s">
        <v>6240</v>
      </c>
      <c r="O429" t="s">
        <v>6241</v>
      </c>
      <c r="P429" t="s">
        <v>6242</v>
      </c>
      <c r="Q429" t="s">
        <v>6243</v>
      </c>
      <c r="R429" t="s">
        <v>6244</v>
      </c>
      <c r="S429" t="s">
        <v>6245</v>
      </c>
      <c r="T429" s="2">
        <v>0.54166666666666663</v>
      </c>
      <c r="U429">
        <v>1</v>
      </c>
      <c r="V429" t="s">
        <v>6246</v>
      </c>
      <c r="W429" t="s">
        <v>6247</v>
      </c>
      <c r="X429" t="s">
        <v>6248</v>
      </c>
      <c r="Y429" t="s">
        <v>6249</v>
      </c>
      <c r="Z429" t="s">
        <v>6249</v>
      </c>
      <c r="AA429" t="s">
        <v>6249</v>
      </c>
      <c r="AB429" t="s">
        <v>6249</v>
      </c>
      <c r="AC429" t="s">
        <v>6249</v>
      </c>
      <c r="AD429" t="s">
        <v>6249</v>
      </c>
    </row>
    <row r="430" spans="1:30">
      <c r="A430" t="s">
        <v>6250</v>
      </c>
      <c r="B430">
        <v>8</v>
      </c>
      <c r="C430">
        <v>5</v>
      </c>
      <c r="D430">
        <v>2021</v>
      </c>
      <c r="E430" s="1">
        <v>44413</v>
      </c>
      <c r="F430" t="s">
        <v>6251</v>
      </c>
      <c r="G430">
        <v>0</v>
      </c>
      <c r="H430">
        <v>0</v>
      </c>
      <c r="I430">
        <v>0</v>
      </c>
      <c r="J430">
        <v>0</v>
      </c>
      <c r="K430" t="s">
        <v>6252</v>
      </c>
      <c r="L430" t="s">
        <v>6253</v>
      </c>
      <c r="M430" t="s">
        <v>6254</v>
      </c>
      <c r="N430" t="s">
        <v>6255</v>
      </c>
      <c r="O430" t="s">
        <v>6256</v>
      </c>
      <c r="P430" t="s">
        <v>6257</v>
      </c>
      <c r="Q430" t="s">
        <v>6258</v>
      </c>
      <c r="R430" t="s">
        <v>6259</v>
      </c>
      <c r="S430" t="s">
        <v>6260</v>
      </c>
      <c r="V430" t="s">
        <v>6261</v>
      </c>
      <c r="W430" t="s">
        <v>6262</v>
      </c>
      <c r="X430" t="s">
        <v>6263</v>
      </c>
      <c r="Y430" t="s">
        <v>6264</v>
      </c>
      <c r="Z430" t="s">
        <v>6264</v>
      </c>
      <c r="AA430" t="s">
        <v>6264</v>
      </c>
      <c r="AB430" t="s">
        <v>6264</v>
      </c>
      <c r="AC430" t="s">
        <v>6264</v>
      </c>
      <c r="AD430" t="s">
        <v>6264</v>
      </c>
    </row>
    <row r="431" spans="1:30">
      <c r="A431" t="s">
        <v>6265</v>
      </c>
      <c r="B431">
        <v>8</v>
      </c>
      <c r="C431">
        <v>4</v>
      </c>
      <c r="D431">
        <v>2021</v>
      </c>
      <c r="E431" s="1">
        <v>44412</v>
      </c>
      <c r="F431" t="s">
        <v>6266</v>
      </c>
      <c r="G431">
        <v>0</v>
      </c>
      <c r="H431">
        <v>2</v>
      </c>
      <c r="I431">
        <v>2</v>
      </c>
      <c r="J431">
        <v>0</v>
      </c>
      <c r="K431" t="s">
        <v>6267</v>
      </c>
      <c r="L431" t="s">
        <v>6268</v>
      </c>
      <c r="M431" t="s">
        <v>6269</v>
      </c>
      <c r="N431" t="s">
        <v>6270</v>
      </c>
      <c r="O431" t="s">
        <v>6271</v>
      </c>
      <c r="P431" t="s">
        <v>6272</v>
      </c>
      <c r="Q431" t="s">
        <v>6273</v>
      </c>
      <c r="R431" t="s">
        <v>6274</v>
      </c>
      <c r="S431" t="s">
        <v>6275</v>
      </c>
      <c r="T431" s="2">
        <v>0.12916666666666668</v>
      </c>
      <c r="U431">
        <v>1</v>
      </c>
      <c r="V431" t="s">
        <v>6276</v>
      </c>
      <c r="Z431" t="s">
        <v>6277</v>
      </c>
      <c r="AA431" t="s">
        <v>6277</v>
      </c>
      <c r="AB431" t="s">
        <v>6277</v>
      </c>
      <c r="AC431" t="s">
        <v>6277</v>
      </c>
      <c r="AD431" t="s">
        <v>6277</v>
      </c>
    </row>
    <row r="432" spans="1:30">
      <c r="A432" t="s">
        <v>6278</v>
      </c>
      <c r="B432">
        <v>7</v>
      </c>
      <c r="C432">
        <v>27</v>
      </c>
      <c r="D432">
        <v>2021</v>
      </c>
      <c r="E432" s="1">
        <v>44404</v>
      </c>
      <c r="F432" t="s">
        <v>6279</v>
      </c>
      <c r="G432">
        <v>1</v>
      </c>
      <c r="H432">
        <v>0</v>
      </c>
      <c r="I432">
        <v>1</v>
      </c>
      <c r="J432">
        <v>0</v>
      </c>
      <c r="K432" t="s">
        <v>6280</v>
      </c>
      <c r="L432" t="s">
        <v>6281</v>
      </c>
      <c r="M432" t="s">
        <v>6282</v>
      </c>
      <c r="N432" t="s">
        <v>6283</v>
      </c>
      <c r="O432" t="s">
        <v>6284</v>
      </c>
      <c r="P432" t="s">
        <v>6285</v>
      </c>
      <c r="Q432" t="s">
        <v>6286</v>
      </c>
      <c r="R432" t="s">
        <v>6287</v>
      </c>
      <c r="S432" t="s">
        <v>6288</v>
      </c>
      <c r="T432" s="2">
        <v>0.88749999999999996</v>
      </c>
      <c r="U432">
        <v>1</v>
      </c>
      <c r="V432" t="s">
        <v>6289</v>
      </c>
      <c r="Y432" t="s">
        <v>6290</v>
      </c>
      <c r="Z432" t="s">
        <v>6290</v>
      </c>
      <c r="AA432" t="s">
        <v>6290</v>
      </c>
      <c r="AB432" t="s">
        <v>6290</v>
      </c>
      <c r="AC432" t="s">
        <v>6290</v>
      </c>
      <c r="AD432" t="s">
        <v>6290</v>
      </c>
    </row>
    <row r="433" spans="1:30">
      <c r="A433" t="s">
        <v>6291</v>
      </c>
      <c r="B433">
        <v>7</v>
      </c>
      <c r="C433">
        <v>21</v>
      </c>
      <c r="D433">
        <v>2021</v>
      </c>
      <c r="E433" s="1">
        <v>44398</v>
      </c>
      <c r="F433" t="s">
        <v>6292</v>
      </c>
      <c r="G433">
        <v>0</v>
      </c>
      <c r="H433">
        <v>5</v>
      </c>
      <c r="I433">
        <v>5</v>
      </c>
      <c r="J433">
        <v>0</v>
      </c>
      <c r="K433" t="s">
        <v>6293</v>
      </c>
      <c r="L433" t="s">
        <v>6294</v>
      </c>
      <c r="M433" t="s">
        <v>6295</v>
      </c>
      <c r="N433" t="s">
        <v>6296</v>
      </c>
      <c r="O433" t="s">
        <v>6297</v>
      </c>
      <c r="P433" t="s">
        <v>6298</v>
      </c>
      <c r="Q433" t="s">
        <v>6299</v>
      </c>
      <c r="R433" t="s">
        <v>6300</v>
      </c>
      <c r="S433" t="s">
        <v>6301</v>
      </c>
      <c r="T433" s="2">
        <v>0.75347222222222221</v>
      </c>
      <c r="U433">
        <v>1</v>
      </c>
      <c r="V433" t="s">
        <v>6302</v>
      </c>
      <c r="W433" t="s">
        <v>6303</v>
      </c>
      <c r="Z433" t="s">
        <v>6304</v>
      </c>
      <c r="AA433" t="s">
        <v>6304</v>
      </c>
      <c r="AB433" t="s">
        <v>6304</v>
      </c>
      <c r="AC433" t="s">
        <v>6304</v>
      </c>
      <c r="AD433" t="s">
        <v>6304</v>
      </c>
    </row>
    <row r="434" spans="1:30">
      <c r="A434" t="s">
        <v>6305</v>
      </c>
      <c r="B434">
        <v>7</v>
      </c>
      <c r="C434">
        <v>19</v>
      </c>
      <c r="D434">
        <v>2021</v>
      </c>
      <c r="E434" s="1">
        <v>44396</v>
      </c>
      <c r="F434" t="s">
        <v>6306</v>
      </c>
      <c r="G434">
        <v>0</v>
      </c>
      <c r="H434">
        <v>0</v>
      </c>
      <c r="I434">
        <v>0</v>
      </c>
      <c r="J434">
        <v>0</v>
      </c>
      <c r="K434" t="s">
        <v>6307</v>
      </c>
      <c r="L434" t="s">
        <v>6308</v>
      </c>
      <c r="M434" t="s">
        <v>6309</v>
      </c>
      <c r="N434" t="s">
        <v>6310</v>
      </c>
      <c r="O434" t="s">
        <v>6311</v>
      </c>
      <c r="P434" t="s">
        <v>6312</v>
      </c>
      <c r="Q434" t="s">
        <v>6313</v>
      </c>
      <c r="R434" t="s">
        <v>6314</v>
      </c>
      <c r="S434" t="s">
        <v>6315</v>
      </c>
      <c r="T434" s="2">
        <v>0.54236111111111107</v>
      </c>
      <c r="U434">
        <v>1</v>
      </c>
      <c r="V434" t="s">
        <v>6316</v>
      </c>
      <c r="W434" t="s">
        <v>6317</v>
      </c>
      <c r="X434" t="s">
        <v>6318</v>
      </c>
      <c r="Y434" t="s">
        <v>6319</v>
      </c>
      <c r="Z434" t="s">
        <v>6320</v>
      </c>
      <c r="AA434" t="s">
        <v>6320</v>
      </c>
      <c r="AB434" t="s">
        <v>6320</v>
      </c>
      <c r="AC434" t="s">
        <v>6320</v>
      </c>
      <c r="AD434" t="s">
        <v>6320</v>
      </c>
    </row>
    <row r="435" spans="1:30">
      <c r="A435" t="s">
        <v>6321</v>
      </c>
      <c r="B435">
        <v>7</v>
      </c>
      <c r="C435">
        <v>18</v>
      </c>
      <c r="D435">
        <v>2021</v>
      </c>
      <c r="E435" s="1">
        <v>44395</v>
      </c>
      <c r="F435" t="s">
        <v>6322</v>
      </c>
      <c r="G435">
        <v>0</v>
      </c>
      <c r="H435">
        <v>0</v>
      </c>
      <c r="I435">
        <v>0</v>
      </c>
      <c r="J435">
        <v>0</v>
      </c>
      <c r="K435" t="s">
        <v>6323</v>
      </c>
      <c r="L435" t="s">
        <v>6324</v>
      </c>
      <c r="M435" t="s">
        <v>6325</v>
      </c>
      <c r="N435" t="s">
        <v>6326</v>
      </c>
      <c r="O435" t="s">
        <v>6327</v>
      </c>
      <c r="P435" t="s">
        <v>6328</v>
      </c>
      <c r="Q435" t="s">
        <v>6329</v>
      </c>
      <c r="R435" t="s">
        <v>6330</v>
      </c>
      <c r="S435" t="s">
        <v>6331</v>
      </c>
      <c r="T435" s="2">
        <v>0.75069444444444444</v>
      </c>
      <c r="U435">
        <v>1</v>
      </c>
      <c r="V435" t="s">
        <v>6332</v>
      </c>
      <c r="Y435" t="s">
        <v>6333</v>
      </c>
      <c r="Z435" t="s">
        <v>6333</v>
      </c>
      <c r="AA435" t="s">
        <v>6333</v>
      </c>
      <c r="AB435" t="s">
        <v>6333</v>
      </c>
      <c r="AC435" t="s">
        <v>6333</v>
      </c>
      <c r="AD435" t="s">
        <v>6333</v>
      </c>
    </row>
    <row r="436" spans="1:30">
      <c r="A436" t="s">
        <v>6334</v>
      </c>
      <c r="B436">
        <v>7</v>
      </c>
      <c r="C436">
        <v>9</v>
      </c>
      <c r="D436">
        <v>2021</v>
      </c>
      <c r="E436" s="1">
        <v>44386</v>
      </c>
      <c r="F436" t="s">
        <v>6335</v>
      </c>
      <c r="G436">
        <v>0</v>
      </c>
      <c r="H436">
        <v>0</v>
      </c>
      <c r="I436">
        <v>0</v>
      </c>
      <c r="J436">
        <v>1</v>
      </c>
      <c r="K436" t="s">
        <v>6336</v>
      </c>
      <c r="L436" t="s">
        <v>6337</v>
      </c>
      <c r="M436" t="s">
        <v>6338</v>
      </c>
      <c r="N436" t="s">
        <v>6339</v>
      </c>
      <c r="O436" t="s">
        <v>6340</v>
      </c>
      <c r="P436" t="s">
        <v>6341</v>
      </c>
      <c r="Q436" t="s">
        <v>6342</v>
      </c>
      <c r="R436" t="s">
        <v>6343</v>
      </c>
      <c r="S436" t="s">
        <v>6344</v>
      </c>
      <c r="T436" s="2">
        <v>0.625</v>
      </c>
      <c r="V436" t="s">
        <v>6345</v>
      </c>
      <c r="W436" t="s">
        <v>6346</v>
      </c>
      <c r="X436" t="s">
        <v>6347</v>
      </c>
      <c r="Y436" t="s">
        <v>6348</v>
      </c>
      <c r="Z436" t="s">
        <v>6348</v>
      </c>
      <c r="AA436" t="s">
        <v>6348</v>
      </c>
      <c r="AB436" t="s">
        <v>6348</v>
      </c>
      <c r="AC436" t="s">
        <v>6348</v>
      </c>
      <c r="AD436" t="s">
        <v>6348</v>
      </c>
    </row>
    <row r="437" spans="1:30">
      <c r="A437" t="s">
        <v>6349</v>
      </c>
      <c r="B437">
        <v>7</v>
      </c>
      <c r="C437">
        <v>8</v>
      </c>
      <c r="D437">
        <v>2021</v>
      </c>
      <c r="E437" s="1">
        <v>44385</v>
      </c>
      <c r="F437" t="s">
        <v>6350</v>
      </c>
      <c r="G437">
        <v>0</v>
      </c>
      <c r="H437">
        <v>2</v>
      </c>
      <c r="I437">
        <v>2</v>
      </c>
      <c r="J437">
        <v>0</v>
      </c>
      <c r="K437" t="s">
        <v>6351</v>
      </c>
      <c r="L437" t="s">
        <v>6352</v>
      </c>
      <c r="M437" t="s">
        <v>6353</v>
      </c>
      <c r="N437" t="s">
        <v>6354</v>
      </c>
      <c r="O437" t="s">
        <v>6355</v>
      </c>
      <c r="P437" t="s">
        <v>6356</v>
      </c>
      <c r="Q437" t="s">
        <v>6357</v>
      </c>
      <c r="R437" t="s">
        <v>6358</v>
      </c>
      <c r="S437" t="s">
        <v>6359</v>
      </c>
      <c r="T437" s="2">
        <v>0.50624999999999998</v>
      </c>
      <c r="U437">
        <v>1</v>
      </c>
      <c r="V437" t="s">
        <v>6360</v>
      </c>
      <c r="W437" t="s">
        <v>6361</v>
      </c>
      <c r="X437" t="s">
        <v>6362</v>
      </c>
      <c r="Z437" t="s">
        <v>6363</v>
      </c>
      <c r="AA437" t="s">
        <v>6363</v>
      </c>
      <c r="AB437" t="s">
        <v>6363</v>
      </c>
      <c r="AC437" t="s">
        <v>6363</v>
      </c>
      <c r="AD437" t="s">
        <v>6363</v>
      </c>
    </row>
    <row r="438" spans="1:30">
      <c r="A438" t="s">
        <v>6364</v>
      </c>
      <c r="B438">
        <v>7</v>
      </c>
      <c r="C438">
        <v>4</v>
      </c>
      <c r="D438">
        <v>2021</v>
      </c>
      <c r="E438" s="1">
        <v>44381</v>
      </c>
      <c r="F438" t="s">
        <v>6365</v>
      </c>
      <c r="G438">
        <v>1</v>
      </c>
      <c r="H438">
        <v>0</v>
      </c>
      <c r="I438">
        <v>1</v>
      </c>
      <c r="J438">
        <v>0</v>
      </c>
      <c r="K438" t="s">
        <v>6366</v>
      </c>
      <c r="L438" t="s">
        <v>6367</v>
      </c>
      <c r="M438" t="s">
        <v>6368</v>
      </c>
      <c r="N438" t="s">
        <v>6369</v>
      </c>
      <c r="O438" t="s">
        <v>6370</v>
      </c>
      <c r="P438" t="s">
        <v>6371</v>
      </c>
      <c r="Q438" t="s">
        <v>6372</v>
      </c>
      <c r="R438" t="s">
        <v>6373</v>
      </c>
      <c r="S438" t="s">
        <v>6374</v>
      </c>
      <c r="T438" s="2">
        <v>4.1666666666666664E-2</v>
      </c>
      <c r="U438">
        <v>1</v>
      </c>
      <c r="V438" t="s">
        <v>6375</v>
      </c>
      <c r="W438" t="s">
        <v>6376</v>
      </c>
      <c r="Z438" t="s">
        <v>6377</v>
      </c>
      <c r="AA438" t="s">
        <v>6377</v>
      </c>
      <c r="AB438" t="s">
        <v>6377</v>
      </c>
      <c r="AC438" t="s">
        <v>6377</v>
      </c>
      <c r="AD438" t="s">
        <v>6377</v>
      </c>
    </row>
    <row r="439" spans="1:30">
      <c r="A439" t="s">
        <v>6378</v>
      </c>
      <c r="B439">
        <v>6</v>
      </c>
      <c r="C439">
        <v>28</v>
      </c>
      <c r="D439">
        <v>2021</v>
      </c>
      <c r="E439" s="1">
        <v>44375</v>
      </c>
      <c r="F439" t="s">
        <v>6379</v>
      </c>
      <c r="G439">
        <v>0</v>
      </c>
      <c r="H439">
        <v>1</v>
      </c>
      <c r="I439">
        <v>1</v>
      </c>
      <c r="J439">
        <v>0</v>
      </c>
      <c r="K439" t="s">
        <v>6380</v>
      </c>
      <c r="L439" t="s">
        <v>6381</v>
      </c>
      <c r="M439" t="s">
        <v>6382</v>
      </c>
      <c r="N439" t="s">
        <v>6383</v>
      </c>
      <c r="O439" t="s">
        <v>6384</v>
      </c>
      <c r="P439" t="s">
        <v>6385</v>
      </c>
      <c r="Q439" t="s">
        <v>6386</v>
      </c>
      <c r="R439" t="s">
        <v>6387</v>
      </c>
      <c r="S439" t="s">
        <v>6388</v>
      </c>
      <c r="T439" s="2">
        <v>0.375</v>
      </c>
      <c r="U439">
        <v>1</v>
      </c>
      <c r="V439" t="s">
        <v>6389</v>
      </c>
      <c r="W439" t="s">
        <v>6390</v>
      </c>
      <c r="X439" t="s">
        <v>6391</v>
      </c>
      <c r="Z439" t="s">
        <v>6392</v>
      </c>
      <c r="AA439" t="s">
        <v>6392</v>
      </c>
      <c r="AB439" t="s">
        <v>6392</v>
      </c>
      <c r="AC439" t="s">
        <v>6392</v>
      </c>
      <c r="AD439" t="s">
        <v>6392</v>
      </c>
    </row>
    <row r="440" spans="1:30">
      <c r="A440" t="s">
        <v>6393</v>
      </c>
      <c r="B440">
        <v>6</v>
      </c>
      <c r="C440">
        <v>24</v>
      </c>
      <c r="D440">
        <v>2021</v>
      </c>
      <c r="E440" s="1">
        <v>44371</v>
      </c>
      <c r="F440" t="s">
        <v>6394</v>
      </c>
      <c r="G440">
        <v>0</v>
      </c>
      <c r="H440">
        <v>1</v>
      </c>
      <c r="I440">
        <v>1</v>
      </c>
      <c r="J440">
        <v>0</v>
      </c>
      <c r="K440" t="s">
        <v>6395</v>
      </c>
      <c r="L440" t="s">
        <v>6396</v>
      </c>
      <c r="M440" t="s">
        <v>6397</v>
      </c>
      <c r="N440" t="s">
        <v>6398</v>
      </c>
      <c r="O440" t="s">
        <v>6399</v>
      </c>
      <c r="P440" t="s">
        <v>6400</v>
      </c>
      <c r="Q440" t="s">
        <v>6401</v>
      </c>
      <c r="R440" t="s">
        <v>6402</v>
      </c>
      <c r="S440" t="s">
        <v>6403</v>
      </c>
      <c r="T440" s="2">
        <v>0.81597222222222221</v>
      </c>
      <c r="U440">
        <v>1</v>
      </c>
      <c r="V440" t="s">
        <v>6404</v>
      </c>
      <c r="W440" t="s">
        <v>6405</v>
      </c>
      <c r="Z440" t="s">
        <v>6406</v>
      </c>
      <c r="AA440" t="s">
        <v>6406</v>
      </c>
      <c r="AB440" t="s">
        <v>6406</v>
      </c>
      <c r="AC440" t="s">
        <v>6406</v>
      </c>
      <c r="AD440" t="s">
        <v>6406</v>
      </c>
    </row>
    <row r="441" spans="1:30">
      <c r="A441" t="s">
        <v>6407</v>
      </c>
      <c r="B441">
        <v>6</v>
      </c>
      <c r="C441">
        <v>20</v>
      </c>
      <c r="D441">
        <v>2021</v>
      </c>
      <c r="E441" s="1">
        <v>44367</v>
      </c>
      <c r="F441" t="s">
        <v>6408</v>
      </c>
      <c r="G441">
        <v>0</v>
      </c>
      <c r="H441">
        <v>1</v>
      </c>
      <c r="I441">
        <v>1</v>
      </c>
      <c r="J441">
        <v>0</v>
      </c>
      <c r="K441" t="s">
        <v>6409</v>
      </c>
      <c r="L441" t="s">
        <v>6410</v>
      </c>
      <c r="M441" t="s">
        <v>6411</v>
      </c>
      <c r="N441" t="s">
        <v>6412</v>
      </c>
      <c r="O441" t="s">
        <v>6413</v>
      </c>
      <c r="P441" t="s">
        <v>6414</v>
      </c>
      <c r="Q441" t="s">
        <v>6415</v>
      </c>
      <c r="R441" t="s">
        <v>6416</v>
      </c>
      <c r="S441" t="s">
        <v>6417</v>
      </c>
      <c r="T441" s="2">
        <v>0.27083333333333331</v>
      </c>
      <c r="U441">
        <v>1</v>
      </c>
      <c r="V441" t="s">
        <v>6418</v>
      </c>
      <c r="W441" t="s">
        <v>6419</v>
      </c>
      <c r="X441" t="s">
        <v>6420</v>
      </c>
      <c r="Y441" t="s">
        <v>6421</v>
      </c>
      <c r="Z441" t="s">
        <v>6421</v>
      </c>
      <c r="AA441" t="s">
        <v>6421</v>
      </c>
      <c r="AB441" t="s">
        <v>6421</v>
      </c>
      <c r="AC441" t="s">
        <v>6421</v>
      </c>
      <c r="AD441" t="s">
        <v>6421</v>
      </c>
    </row>
    <row r="442" spans="1:30">
      <c r="A442" t="s">
        <v>6422</v>
      </c>
      <c r="B442">
        <v>6</v>
      </c>
      <c r="C442">
        <v>14</v>
      </c>
      <c r="D442">
        <v>2021</v>
      </c>
      <c r="E442" s="1">
        <v>44361</v>
      </c>
      <c r="F442" t="s">
        <v>6423</v>
      </c>
      <c r="G442">
        <v>0</v>
      </c>
      <c r="H442">
        <v>1</v>
      </c>
      <c r="I442">
        <v>1</v>
      </c>
      <c r="J442">
        <v>0</v>
      </c>
      <c r="K442" t="s">
        <v>6424</v>
      </c>
      <c r="L442" t="s">
        <v>6425</v>
      </c>
      <c r="M442" t="s">
        <v>6426</v>
      </c>
      <c r="N442" t="s">
        <v>6427</v>
      </c>
      <c r="O442" t="s">
        <v>6428</v>
      </c>
      <c r="P442" t="s">
        <v>6429</v>
      </c>
      <c r="Q442" t="s">
        <v>6430</v>
      </c>
      <c r="R442" t="s">
        <v>6431</v>
      </c>
      <c r="S442" t="s">
        <v>6432</v>
      </c>
      <c r="T442" s="2">
        <v>0.8125</v>
      </c>
      <c r="U442">
        <v>1</v>
      </c>
      <c r="V442" t="s">
        <v>6433</v>
      </c>
      <c r="W442" t="s">
        <v>6434</v>
      </c>
      <c r="X442" t="s">
        <v>6435</v>
      </c>
      <c r="Y442" t="s">
        <v>6436</v>
      </c>
      <c r="Z442" t="s">
        <v>6437</v>
      </c>
      <c r="AA442" t="s">
        <v>6437</v>
      </c>
      <c r="AB442" t="s">
        <v>6437</v>
      </c>
      <c r="AC442" t="s">
        <v>6437</v>
      </c>
      <c r="AD442" t="s">
        <v>6437</v>
      </c>
    </row>
    <row r="443" spans="1:30">
      <c r="A443" t="s">
        <v>6438</v>
      </c>
      <c r="B443">
        <v>6</v>
      </c>
      <c r="C443">
        <v>14</v>
      </c>
      <c r="D443">
        <v>2021</v>
      </c>
      <c r="E443" s="1">
        <v>44361</v>
      </c>
      <c r="F443" t="s">
        <v>6439</v>
      </c>
      <c r="G443">
        <v>0</v>
      </c>
      <c r="H443">
        <v>0</v>
      </c>
      <c r="I443">
        <v>0</v>
      </c>
      <c r="J443">
        <v>0</v>
      </c>
      <c r="K443" t="s">
        <v>6440</v>
      </c>
      <c r="L443" t="s">
        <v>6441</v>
      </c>
      <c r="M443" t="s">
        <v>6442</v>
      </c>
      <c r="N443" t="s">
        <v>6443</v>
      </c>
      <c r="O443" t="s">
        <v>6444</v>
      </c>
      <c r="P443" t="s">
        <v>6445</v>
      </c>
      <c r="Q443" t="s">
        <v>6446</v>
      </c>
      <c r="R443" t="s">
        <v>6447</v>
      </c>
      <c r="S443" t="s">
        <v>6448</v>
      </c>
      <c r="T443" s="2">
        <v>0.75</v>
      </c>
      <c r="U443">
        <v>1</v>
      </c>
      <c r="V443" t="s">
        <v>6449</v>
      </c>
      <c r="Y443" t="s">
        <v>6450</v>
      </c>
      <c r="Z443" t="s">
        <v>6451</v>
      </c>
      <c r="AA443" t="s">
        <v>6451</v>
      </c>
      <c r="AB443" t="s">
        <v>6451</v>
      </c>
      <c r="AC443" t="s">
        <v>6451</v>
      </c>
      <c r="AD443" t="s">
        <v>6451</v>
      </c>
    </row>
    <row r="444" spans="1:30">
      <c r="A444" t="s">
        <v>6452</v>
      </c>
      <c r="B444">
        <v>6</v>
      </c>
      <c r="C444">
        <v>14</v>
      </c>
      <c r="D444">
        <v>2021</v>
      </c>
      <c r="E444" s="1">
        <v>44361</v>
      </c>
      <c r="F444" t="s">
        <v>6453</v>
      </c>
      <c r="G444">
        <v>0</v>
      </c>
      <c r="H444">
        <v>0</v>
      </c>
      <c r="I444">
        <v>0</v>
      </c>
      <c r="J444">
        <v>1</v>
      </c>
      <c r="K444" t="s">
        <v>6454</v>
      </c>
      <c r="L444" t="s">
        <v>6455</v>
      </c>
      <c r="M444" t="s">
        <v>6456</v>
      </c>
      <c r="N444" t="s">
        <v>6457</v>
      </c>
      <c r="O444" t="s">
        <v>6458</v>
      </c>
      <c r="P444" t="s">
        <v>6459</v>
      </c>
      <c r="Q444" t="s">
        <v>6460</v>
      </c>
      <c r="R444" t="s">
        <v>6461</v>
      </c>
      <c r="S444" t="s">
        <v>6462</v>
      </c>
      <c r="T444" s="2">
        <v>0.66319444444444442</v>
      </c>
      <c r="U444">
        <v>15</v>
      </c>
      <c r="V444" t="s">
        <v>6463</v>
      </c>
      <c r="W444" t="s">
        <v>6464</v>
      </c>
      <c r="X444" t="s">
        <v>6465</v>
      </c>
      <c r="Y444" t="s">
        <v>6466</v>
      </c>
      <c r="Z444" t="s">
        <v>6466</v>
      </c>
      <c r="AA444" t="s">
        <v>6466</v>
      </c>
      <c r="AB444" t="s">
        <v>6466</v>
      </c>
      <c r="AC444" t="s">
        <v>6467</v>
      </c>
      <c r="AD444" t="s">
        <v>6467</v>
      </c>
    </row>
    <row r="445" spans="1:30">
      <c r="A445" t="s">
        <v>6468</v>
      </c>
      <c r="B445">
        <v>6</v>
      </c>
      <c r="C445">
        <v>13</v>
      </c>
      <c r="D445">
        <v>2021</v>
      </c>
      <c r="E445" s="1">
        <v>44360</v>
      </c>
      <c r="F445" t="s">
        <v>6469</v>
      </c>
      <c r="G445">
        <v>1</v>
      </c>
      <c r="H445">
        <v>0</v>
      </c>
      <c r="I445">
        <v>1</v>
      </c>
      <c r="J445">
        <v>0</v>
      </c>
      <c r="K445" t="s">
        <v>6470</v>
      </c>
      <c r="L445" t="s">
        <v>6471</v>
      </c>
      <c r="M445" t="s">
        <v>6472</v>
      </c>
      <c r="N445" t="s">
        <v>6473</v>
      </c>
      <c r="O445" t="s">
        <v>6474</v>
      </c>
      <c r="P445" t="s">
        <v>6475</v>
      </c>
      <c r="Q445" t="s">
        <v>6476</v>
      </c>
      <c r="R445" t="s">
        <v>6477</v>
      </c>
      <c r="S445" t="s">
        <v>6478</v>
      </c>
      <c r="T445" s="2">
        <v>0.97916666666666674</v>
      </c>
      <c r="U445">
        <v>1</v>
      </c>
      <c r="V445" t="s">
        <v>6479</v>
      </c>
      <c r="X445" t="s">
        <v>6480</v>
      </c>
      <c r="Y445" t="s">
        <v>6481</v>
      </c>
      <c r="Z445" t="s">
        <v>6481</v>
      </c>
      <c r="AA445" t="s">
        <v>6481</v>
      </c>
      <c r="AB445" t="s">
        <v>6481</v>
      </c>
      <c r="AC445" t="s">
        <v>6481</v>
      </c>
      <c r="AD445" t="s">
        <v>6481</v>
      </c>
    </row>
    <row r="446" spans="1:30">
      <c r="A446" t="s">
        <v>6482</v>
      </c>
      <c r="B446">
        <v>6</v>
      </c>
      <c r="C446">
        <v>13</v>
      </c>
      <c r="D446">
        <v>2021</v>
      </c>
      <c r="E446" s="1">
        <v>44360</v>
      </c>
      <c r="F446" t="s">
        <v>6483</v>
      </c>
      <c r="G446">
        <v>0</v>
      </c>
      <c r="H446">
        <v>0</v>
      </c>
      <c r="I446">
        <v>0</v>
      </c>
      <c r="J446">
        <v>0</v>
      </c>
      <c r="K446" t="s">
        <v>6484</v>
      </c>
      <c r="L446" t="s">
        <v>6485</v>
      </c>
      <c r="M446" t="s">
        <v>6486</v>
      </c>
      <c r="N446" t="s">
        <v>6487</v>
      </c>
      <c r="O446" t="s">
        <v>6488</v>
      </c>
      <c r="P446" t="s">
        <v>6489</v>
      </c>
      <c r="Q446" t="s">
        <v>6490</v>
      </c>
      <c r="R446" t="s">
        <v>6491</v>
      </c>
      <c r="S446" t="s">
        <v>6492</v>
      </c>
      <c r="T446" s="2">
        <v>0.33333333333333331</v>
      </c>
      <c r="U446">
        <v>1</v>
      </c>
      <c r="V446" t="s">
        <v>6493</v>
      </c>
      <c r="W446" t="s">
        <v>6494</v>
      </c>
      <c r="X446" t="s">
        <v>6495</v>
      </c>
      <c r="Y446" t="s">
        <v>6496</v>
      </c>
      <c r="Z446" t="s">
        <v>6496</v>
      </c>
      <c r="AA446" t="s">
        <v>6496</v>
      </c>
      <c r="AB446" t="s">
        <v>6496</v>
      </c>
      <c r="AC446" t="s">
        <v>6496</v>
      </c>
    </row>
    <row r="447" spans="1:30">
      <c r="A447" t="s">
        <v>6497</v>
      </c>
      <c r="B447">
        <v>6</v>
      </c>
      <c r="C447">
        <v>12</v>
      </c>
      <c r="D447">
        <v>2021</v>
      </c>
      <c r="E447" s="1">
        <v>44359</v>
      </c>
      <c r="F447" t="s">
        <v>6498</v>
      </c>
      <c r="G447">
        <v>1</v>
      </c>
      <c r="H447">
        <v>0</v>
      </c>
      <c r="I447">
        <v>1</v>
      </c>
      <c r="J447">
        <v>0</v>
      </c>
      <c r="K447" t="s">
        <v>6499</v>
      </c>
      <c r="L447" t="s">
        <v>6500</v>
      </c>
      <c r="M447" t="s">
        <v>6501</v>
      </c>
      <c r="N447" t="s">
        <v>6502</v>
      </c>
      <c r="O447" t="s">
        <v>6503</v>
      </c>
      <c r="P447" t="s">
        <v>6504</v>
      </c>
      <c r="Q447" t="s">
        <v>6504</v>
      </c>
      <c r="R447" t="s">
        <v>6505</v>
      </c>
      <c r="S447" t="s">
        <v>6506</v>
      </c>
      <c r="T447" s="2">
        <v>4.1666666666666664E-2</v>
      </c>
      <c r="U447">
        <v>1</v>
      </c>
      <c r="V447" t="s">
        <v>6507</v>
      </c>
      <c r="W447" t="s">
        <v>6508</v>
      </c>
      <c r="X447" t="s">
        <v>6509</v>
      </c>
      <c r="Z447" t="s">
        <v>6510</v>
      </c>
      <c r="AA447" t="s">
        <v>6510</v>
      </c>
      <c r="AC447" t="s">
        <v>6510</v>
      </c>
      <c r="AD447" t="s">
        <v>6510</v>
      </c>
    </row>
    <row r="448" spans="1:30">
      <c r="A448" t="s">
        <v>6511</v>
      </c>
      <c r="B448">
        <v>6</v>
      </c>
      <c r="C448">
        <v>10</v>
      </c>
      <c r="D448">
        <v>2021</v>
      </c>
      <c r="E448" s="1">
        <v>44357</v>
      </c>
      <c r="F448" t="s">
        <v>6512</v>
      </c>
      <c r="G448">
        <v>0</v>
      </c>
      <c r="H448">
        <v>0</v>
      </c>
      <c r="I448">
        <v>0</v>
      </c>
      <c r="J448">
        <v>0</v>
      </c>
      <c r="K448" t="s">
        <v>6513</v>
      </c>
      <c r="L448" t="s">
        <v>6514</v>
      </c>
      <c r="M448" t="s">
        <v>6515</v>
      </c>
      <c r="N448" t="s">
        <v>6516</v>
      </c>
      <c r="O448" t="s">
        <v>6517</v>
      </c>
      <c r="P448" t="s">
        <v>6518</v>
      </c>
      <c r="Q448" t="s">
        <v>6519</v>
      </c>
      <c r="R448" t="s">
        <v>6520</v>
      </c>
      <c r="S448" t="s">
        <v>6521</v>
      </c>
      <c r="T448" s="2">
        <v>0.25</v>
      </c>
      <c r="U448">
        <v>1</v>
      </c>
      <c r="V448" t="s">
        <v>6522</v>
      </c>
      <c r="W448" t="s">
        <v>6523</v>
      </c>
      <c r="X448" t="s">
        <v>6524</v>
      </c>
      <c r="Y448" t="s">
        <v>6525</v>
      </c>
      <c r="Z448" t="s">
        <v>6526</v>
      </c>
      <c r="AA448" t="s">
        <v>6526</v>
      </c>
      <c r="AB448" t="s">
        <v>6526</v>
      </c>
      <c r="AC448" t="s">
        <v>6526</v>
      </c>
      <c r="AD448" t="s">
        <v>6526</v>
      </c>
    </row>
    <row r="449" spans="1:30">
      <c r="A449" t="s">
        <v>6527</v>
      </c>
      <c r="B449">
        <v>6</v>
      </c>
      <c r="C449">
        <v>9</v>
      </c>
      <c r="D449">
        <v>2021</v>
      </c>
      <c r="E449" s="1">
        <v>44356</v>
      </c>
      <c r="F449" t="s">
        <v>6528</v>
      </c>
      <c r="G449">
        <v>0</v>
      </c>
      <c r="H449">
        <v>1</v>
      </c>
      <c r="I449">
        <v>1</v>
      </c>
      <c r="J449">
        <v>0</v>
      </c>
      <c r="K449" t="s">
        <v>6529</v>
      </c>
      <c r="L449" t="s">
        <v>6530</v>
      </c>
      <c r="M449" t="s">
        <v>6531</v>
      </c>
      <c r="N449" t="s">
        <v>6532</v>
      </c>
      <c r="O449" t="s">
        <v>6533</v>
      </c>
      <c r="P449" t="s">
        <v>6534</v>
      </c>
      <c r="Q449" t="s">
        <v>6535</v>
      </c>
      <c r="R449" t="s">
        <v>6536</v>
      </c>
      <c r="S449" t="s">
        <v>6537</v>
      </c>
      <c r="T449" s="2">
        <v>0.43055555555555558</v>
      </c>
      <c r="U449">
        <v>1</v>
      </c>
      <c r="V449" t="s">
        <v>6538</v>
      </c>
      <c r="W449" t="s">
        <v>6539</v>
      </c>
      <c r="X449" t="s">
        <v>6540</v>
      </c>
      <c r="Y449" t="s">
        <v>6541</v>
      </c>
      <c r="Z449" t="s">
        <v>6541</v>
      </c>
      <c r="AA449" t="s">
        <v>6541</v>
      </c>
      <c r="AB449" t="s">
        <v>6541</v>
      </c>
      <c r="AC449" t="s">
        <v>6541</v>
      </c>
      <c r="AD449" t="s">
        <v>6541</v>
      </c>
    </row>
    <row r="450" spans="1:30">
      <c r="A450" t="s">
        <v>6542</v>
      </c>
      <c r="B450">
        <v>6</v>
      </c>
      <c r="C450">
        <v>9</v>
      </c>
      <c r="D450">
        <v>2021</v>
      </c>
      <c r="E450" s="1">
        <v>44356</v>
      </c>
      <c r="F450" t="s">
        <v>6543</v>
      </c>
      <c r="G450">
        <v>0</v>
      </c>
      <c r="H450">
        <v>1</v>
      </c>
      <c r="I450">
        <v>1</v>
      </c>
      <c r="J450">
        <v>0</v>
      </c>
      <c r="K450" t="s">
        <v>6544</v>
      </c>
      <c r="M450" t="s">
        <v>6545</v>
      </c>
      <c r="N450" t="s">
        <v>6546</v>
      </c>
      <c r="O450" t="s">
        <v>6547</v>
      </c>
      <c r="P450" t="s">
        <v>6548</v>
      </c>
      <c r="Q450" t="s">
        <v>6549</v>
      </c>
      <c r="R450" t="s">
        <v>6550</v>
      </c>
      <c r="S450" t="s">
        <v>6551</v>
      </c>
      <c r="T450" s="2">
        <v>0.58333333333333337</v>
      </c>
      <c r="U450">
        <v>1</v>
      </c>
      <c r="V450" t="s">
        <v>6552</v>
      </c>
      <c r="W450" t="s">
        <v>6553</v>
      </c>
      <c r="Y450" t="s">
        <v>6554</v>
      </c>
      <c r="Z450" t="s">
        <v>6554</v>
      </c>
      <c r="AA450" t="s">
        <v>6554</v>
      </c>
      <c r="AB450" t="s">
        <v>6554</v>
      </c>
      <c r="AC450" t="s">
        <v>6554</v>
      </c>
      <c r="AD450" t="s">
        <v>6554</v>
      </c>
    </row>
    <row r="451" spans="1:30">
      <c r="A451" t="s">
        <v>6555</v>
      </c>
      <c r="B451">
        <v>6</v>
      </c>
      <c r="C451">
        <v>8</v>
      </c>
      <c r="D451">
        <v>2021</v>
      </c>
      <c r="E451" s="1">
        <v>44355</v>
      </c>
      <c r="F451" t="s">
        <v>6556</v>
      </c>
      <c r="G451">
        <v>1</v>
      </c>
      <c r="H451">
        <v>0</v>
      </c>
      <c r="I451">
        <v>1</v>
      </c>
      <c r="J451">
        <v>0</v>
      </c>
      <c r="K451" t="s">
        <v>6557</v>
      </c>
      <c r="L451" t="s">
        <v>6558</v>
      </c>
      <c r="M451" t="s">
        <v>6559</v>
      </c>
      <c r="N451" t="s">
        <v>6560</v>
      </c>
      <c r="O451" t="s">
        <v>6561</v>
      </c>
      <c r="P451" t="s">
        <v>6562</v>
      </c>
      <c r="Q451" t="s">
        <v>6563</v>
      </c>
      <c r="R451" t="s">
        <v>6564</v>
      </c>
      <c r="S451" t="s">
        <v>6565</v>
      </c>
      <c r="T451" s="2">
        <v>0.5</v>
      </c>
      <c r="U451">
        <v>1</v>
      </c>
      <c r="V451" t="s">
        <v>6566</v>
      </c>
      <c r="W451" t="s">
        <v>6567</v>
      </c>
      <c r="X451" t="s">
        <v>6568</v>
      </c>
      <c r="Y451" t="s">
        <v>6569</v>
      </c>
      <c r="Z451" t="s">
        <v>6570</v>
      </c>
      <c r="AA451" t="s">
        <v>6570</v>
      </c>
      <c r="AB451" t="s">
        <v>6570</v>
      </c>
      <c r="AC451" t="s">
        <v>6570</v>
      </c>
      <c r="AD451" t="s">
        <v>6570</v>
      </c>
    </row>
    <row r="452" spans="1:30">
      <c r="A452" t="s">
        <v>6571</v>
      </c>
      <c r="B452">
        <v>6</v>
      </c>
      <c r="C452">
        <v>8</v>
      </c>
      <c r="D452">
        <v>2021</v>
      </c>
      <c r="E452" s="1">
        <v>44355</v>
      </c>
      <c r="F452" t="s">
        <v>6572</v>
      </c>
      <c r="G452">
        <v>0</v>
      </c>
      <c r="H452">
        <v>0</v>
      </c>
      <c r="I452">
        <v>0</v>
      </c>
      <c r="J452">
        <v>0</v>
      </c>
      <c r="K452" t="s">
        <v>6573</v>
      </c>
      <c r="L452" t="s">
        <v>6574</v>
      </c>
      <c r="M452" t="s">
        <v>6575</v>
      </c>
      <c r="N452" t="s">
        <v>6576</v>
      </c>
      <c r="O452" t="s">
        <v>6577</v>
      </c>
      <c r="P452" t="s">
        <v>6578</v>
      </c>
      <c r="Q452" t="s">
        <v>6579</v>
      </c>
      <c r="R452" t="s">
        <v>6580</v>
      </c>
      <c r="S452" t="s">
        <v>6581</v>
      </c>
      <c r="T452" s="2">
        <v>0.86250000000000004</v>
      </c>
      <c r="U452">
        <v>1</v>
      </c>
      <c r="V452" t="s">
        <v>6582</v>
      </c>
      <c r="W452" t="s">
        <v>6583</v>
      </c>
      <c r="X452" t="s">
        <v>6584</v>
      </c>
      <c r="Y452" t="s">
        <v>6585</v>
      </c>
      <c r="Z452" t="s">
        <v>6586</v>
      </c>
      <c r="AA452" t="s">
        <v>6586</v>
      </c>
      <c r="AB452" t="s">
        <v>6586</v>
      </c>
      <c r="AC452" t="s">
        <v>6586</v>
      </c>
      <c r="AD452" t="s">
        <v>6586</v>
      </c>
    </row>
    <row r="453" spans="1:30">
      <c r="A453" t="s">
        <v>6587</v>
      </c>
      <c r="B453">
        <v>6</v>
      </c>
      <c r="C453">
        <v>7</v>
      </c>
      <c r="D453">
        <v>2021</v>
      </c>
      <c r="E453" s="1">
        <v>44354</v>
      </c>
      <c r="F453" t="s">
        <v>6588</v>
      </c>
      <c r="G453">
        <v>1</v>
      </c>
      <c r="H453">
        <v>0</v>
      </c>
      <c r="I453">
        <v>1</v>
      </c>
      <c r="J453">
        <v>0</v>
      </c>
      <c r="K453" t="s">
        <v>6589</v>
      </c>
      <c r="M453" t="s">
        <v>6590</v>
      </c>
      <c r="N453" t="s">
        <v>6591</v>
      </c>
      <c r="O453" t="s">
        <v>6592</v>
      </c>
      <c r="P453" t="s">
        <v>6593</v>
      </c>
      <c r="Q453" t="s">
        <v>6594</v>
      </c>
      <c r="R453" t="s">
        <v>6595</v>
      </c>
      <c r="S453" t="s">
        <v>6596</v>
      </c>
      <c r="T453" s="2">
        <v>0.72222222222222221</v>
      </c>
      <c r="U453">
        <v>1</v>
      </c>
      <c r="V453" t="s">
        <v>6597</v>
      </c>
      <c r="W453" t="s">
        <v>6598</v>
      </c>
      <c r="X453" t="s">
        <v>6599</v>
      </c>
      <c r="Y453" t="s">
        <v>6600</v>
      </c>
      <c r="Z453" t="s">
        <v>6600</v>
      </c>
      <c r="AA453" t="s">
        <v>6600</v>
      </c>
      <c r="AB453" t="s">
        <v>6600</v>
      </c>
      <c r="AC453" t="s">
        <v>6600</v>
      </c>
      <c r="AD453" t="s">
        <v>6600</v>
      </c>
    </row>
    <row r="454" spans="1:30">
      <c r="A454" t="s">
        <v>6601</v>
      </c>
      <c r="B454">
        <v>6</v>
      </c>
      <c r="C454">
        <v>6</v>
      </c>
      <c r="D454">
        <v>2021</v>
      </c>
      <c r="E454" s="1">
        <v>44353</v>
      </c>
      <c r="F454" t="s">
        <v>6602</v>
      </c>
      <c r="G454">
        <v>0</v>
      </c>
      <c r="H454">
        <v>0</v>
      </c>
      <c r="I454">
        <v>0</v>
      </c>
      <c r="J454">
        <v>0</v>
      </c>
      <c r="K454" t="s">
        <v>6603</v>
      </c>
      <c r="M454" t="s">
        <v>6604</v>
      </c>
      <c r="N454" t="s">
        <v>6605</v>
      </c>
      <c r="O454" t="s">
        <v>6606</v>
      </c>
      <c r="P454" t="s">
        <v>6607</v>
      </c>
      <c r="Q454" t="s">
        <v>6608</v>
      </c>
      <c r="R454" t="s">
        <v>6609</v>
      </c>
      <c r="S454" t="s">
        <v>6610</v>
      </c>
      <c r="T454" s="2">
        <v>9.5138888888888884E-2</v>
      </c>
      <c r="U454">
        <v>1</v>
      </c>
      <c r="V454" t="s">
        <v>6611</v>
      </c>
      <c r="W454" t="s">
        <v>6612</v>
      </c>
      <c r="X454" t="s">
        <v>6613</v>
      </c>
      <c r="Y454" t="s">
        <v>6614</v>
      </c>
      <c r="Z454" t="s">
        <v>6615</v>
      </c>
      <c r="AA454" t="s">
        <v>6615</v>
      </c>
      <c r="AB454" t="s">
        <v>6615</v>
      </c>
      <c r="AC454" t="s">
        <v>6615</v>
      </c>
      <c r="AD454" t="s">
        <v>6615</v>
      </c>
    </row>
    <row r="455" spans="1:30">
      <c r="A455" t="s">
        <v>6616</v>
      </c>
      <c r="B455">
        <v>6</v>
      </c>
      <c r="C455">
        <v>1</v>
      </c>
      <c r="D455">
        <v>2021</v>
      </c>
      <c r="E455" s="1">
        <v>44348</v>
      </c>
      <c r="F455" t="s">
        <v>6617</v>
      </c>
      <c r="G455">
        <v>0</v>
      </c>
      <c r="H455">
        <v>1</v>
      </c>
      <c r="I455">
        <v>1</v>
      </c>
      <c r="J455">
        <v>0</v>
      </c>
      <c r="K455" t="s">
        <v>6618</v>
      </c>
      <c r="L455" t="s">
        <v>6619</v>
      </c>
      <c r="M455" t="s">
        <v>6620</v>
      </c>
      <c r="N455" t="s">
        <v>6621</v>
      </c>
      <c r="O455" t="s">
        <v>6622</v>
      </c>
      <c r="P455" t="s">
        <v>6623</v>
      </c>
      <c r="Q455" t="s">
        <v>6624</v>
      </c>
      <c r="R455" t="s">
        <v>6625</v>
      </c>
      <c r="S455" t="s">
        <v>6626</v>
      </c>
      <c r="T455" s="2">
        <v>0.8125</v>
      </c>
      <c r="U455">
        <v>1</v>
      </c>
      <c r="V455" t="s">
        <v>6627</v>
      </c>
      <c r="Y455" t="s">
        <v>6628</v>
      </c>
      <c r="Z455" t="s">
        <v>6628</v>
      </c>
      <c r="AA455" t="s">
        <v>6628</v>
      </c>
      <c r="AC455" t="s">
        <v>6628</v>
      </c>
      <c r="AD455" t="s">
        <v>6628</v>
      </c>
    </row>
    <row r="456" spans="1:30">
      <c r="A456" t="s">
        <v>6629</v>
      </c>
      <c r="B456">
        <v>5</v>
      </c>
      <c r="C456">
        <v>25</v>
      </c>
      <c r="D456">
        <v>2021</v>
      </c>
      <c r="E456" s="1">
        <v>44341</v>
      </c>
      <c r="F456" t="s">
        <v>6630</v>
      </c>
      <c r="G456">
        <v>0</v>
      </c>
      <c r="H456">
        <v>0</v>
      </c>
      <c r="I456">
        <v>0</v>
      </c>
      <c r="J456">
        <v>0</v>
      </c>
      <c r="K456" t="s">
        <v>6631</v>
      </c>
      <c r="L456" t="s">
        <v>6632</v>
      </c>
      <c r="M456" t="s">
        <v>6633</v>
      </c>
      <c r="N456" t="s">
        <v>6634</v>
      </c>
      <c r="O456" t="s">
        <v>6635</v>
      </c>
      <c r="P456" t="s">
        <v>6636</v>
      </c>
      <c r="Q456" t="s">
        <v>6637</v>
      </c>
      <c r="R456" t="s">
        <v>6638</v>
      </c>
      <c r="S456" t="s">
        <v>6639</v>
      </c>
      <c r="U456">
        <v>1</v>
      </c>
      <c r="V456" t="s">
        <v>6640</v>
      </c>
      <c r="X456" t="s">
        <v>6641</v>
      </c>
      <c r="Y456" t="s">
        <v>6642</v>
      </c>
      <c r="Z456" t="s">
        <v>6642</v>
      </c>
      <c r="AA456" t="s">
        <v>6642</v>
      </c>
      <c r="AB456" t="s">
        <v>6642</v>
      </c>
      <c r="AC456" t="s">
        <v>6642</v>
      </c>
      <c r="AD456" t="s">
        <v>6642</v>
      </c>
    </row>
    <row r="457" spans="1:30">
      <c r="A457" t="s">
        <v>6643</v>
      </c>
      <c r="B457">
        <v>5</v>
      </c>
      <c r="C457">
        <v>17</v>
      </c>
      <c r="D457">
        <v>2021</v>
      </c>
      <c r="E457" s="1">
        <v>44333</v>
      </c>
      <c r="F457" t="s">
        <v>6644</v>
      </c>
      <c r="G457">
        <v>0</v>
      </c>
      <c r="H457">
        <v>0</v>
      </c>
      <c r="I457">
        <v>0</v>
      </c>
      <c r="J457">
        <v>0</v>
      </c>
      <c r="K457" t="s">
        <v>6645</v>
      </c>
      <c r="L457" t="s">
        <v>6646</v>
      </c>
      <c r="M457" t="s">
        <v>6647</v>
      </c>
      <c r="N457" t="s">
        <v>6648</v>
      </c>
      <c r="O457" t="s">
        <v>6649</v>
      </c>
      <c r="P457" t="s">
        <v>6650</v>
      </c>
      <c r="Q457" t="s">
        <v>6651</v>
      </c>
      <c r="R457" t="s">
        <v>6652</v>
      </c>
      <c r="S457" t="s">
        <v>6653</v>
      </c>
      <c r="U457">
        <v>30</v>
      </c>
      <c r="V457" t="s">
        <v>6654</v>
      </c>
      <c r="W457" t="s">
        <v>6655</v>
      </c>
      <c r="X457" t="s">
        <v>6656</v>
      </c>
      <c r="Y457" t="s">
        <v>6657</v>
      </c>
      <c r="Z457" t="s">
        <v>6657</v>
      </c>
      <c r="AA457" t="s">
        <v>6657</v>
      </c>
      <c r="AC457" t="s">
        <v>6657</v>
      </c>
      <c r="AD457" t="s">
        <v>6657</v>
      </c>
    </row>
    <row r="458" spans="1:30">
      <c r="A458" t="s">
        <v>6658</v>
      </c>
      <c r="B458">
        <v>5</v>
      </c>
      <c r="C458">
        <v>17</v>
      </c>
      <c r="D458">
        <v>2021</v>
      </c>
      <c r="E458" s="1">
        <v>44333</v>
      </c>
      <c r="F458" t="s">
        <v>6659</v>
      </c>
      <c r="G458">
        <v>0</v>
      </c>
      <c r="H458">
        <v>1</v>
      </c>
      <c r="I458">
        <v>1</v>
      </c>
      <c r="J458">
        <v>0</v>
      </c>
      <c r="K458" t="s">
        <v>6660</v>
      </c>
      <c r="L458" t="s">
        <v>6661</v>
      </c>
      <c r="M458" t="s">
        <v>6662</v>
      </c>
      <c r="N458" t="s">
        <v>6663</v>
      </c>
      <c r="O458" t="s">
        <v>6664</v>
      </c>
      <c r="P458" t="s">
        <v>6665</v>
      </c>
      <c r="Q458" t="s">
        <v>6666</v>
      </c>
      <c r="R458" t="s">
        <v>6667</v>
      </c>
      <c r="S458" t="s">
        <v>6668</v>
      </c>
      <c r="T458" s="2">
        <v>0.32291666666666669</v>
      </c>
      <c r="U458">
        <v>1</v>
      </c>
      <c r="V458" t="s">
        <v>6669</v>
      </c>
      <c r="W458" t="s">
        <v>6670</v>
      </c>
      <c r="X458" t="s">
        <v>6671</v>
      </c>
      <c r="Y458" t="s">
        <v>6672</v>
      </c>
      <c r="Z458" t="s">
        <v>6672</v>
      </c>
      <c r="AA458" t="s">
        <v>6672</v>
      </c>
      <c r="AB458" t="s">
        <v>6672</v>
      </c>
      <c r="AC458" t="s">
        <v>6672</v>
      </c>
      <c r="AD458" t="s">
        <v>6672</v>
      </c>
    </row>
    <row r="459" spans="1:30">
      <c r="A459" t="s">
        <v>6673</v>
      </c>
      <c r="B459">
        <v>5</v>
      </c>
      <c r="C459">
        <v>17</v>
      </c>
      <c r="D459">
        <v>2021</v>
      </c>
      <c r="E459" s="1">
        <v>44333</v>
      </c>
      <c r="F459" t="s">
        <v>6674</v>
      </c>
      <c r="G459">
        <v>0</v>
      </c>
      <c r="H459">
        <v>0</v>
      </c>
      <c r="I459">
        <v>0</v>
      </c>
      <c r="J459">
        <v>0</v>
      </c>
      <c r="K459" t="s">
        <v>6675</v>
      </c>
      <c r="L459" t="s">
        <v>6676</v>
      </c>
      <c r="M459" t="s">
        <v>6677</v>
      </c>
      <c r="N459" t="s">
        <v>6678</v>
      </c>
      <c r="O459" t="s">
        <v>6679</v>
      </c>
      <c r="P459" t="s">
        <v>6680</v>
      </c>
      <c r="Q459" t="s">
        <v>6681</v>
      </c>
      <c r="R459" t="s">
        <v>6682</v>
      </c>
      <c r="S459" t="s">
        <v>6683</v>
      </c>
      <c r="T459" s="2">
        <v>0.3923611111111111</v>
      </c>
      <c r="U459">
        <v>1</v>
      </c>
      <c r="V459" t="s">
        <v>6684</v>
      </c>
      <c r="W459" t="s">
        <v>6685</v>
      </c>
      <c r="X459" t="s">
        <v>6686</v>
      </c>
      <c r="Y459" t="s">
        <v>6687</v>
      </c>
      <c r="Z459" t="s">
        <v>6687</v>
      </c>
      <c r="AA459" t="s">
        <v>6687</v>
      </c>
      <c r="AB459" t="s">
        <v>6687</v>
      </c>
      <c r="AC459" t="s">
        <v>6688</v>
      </c>
      <c r="AD459" t="s">
        <v>6689</v>
      </c>
    </row>
    <row r="460" spans="1:30">
      <c r="A460" t="s">
        <v>6690</v>
      </c>
      <c r="B460">
        <v>5</v>
      </c>
      <c r="C460">
        <v>14</v>
      </c>
      <c r="D460">
        <v>2021</v>
      </c>
      <c r="E460" s="1">
        <v>44330</v>
      </c>
      <c r="F460" t="s">
        <v>6691</v>
      </c>
      <c r="G460">
        <v>1</v>
      </c>
      <c r="H460">
        <v>0</v>
      </c>
      <c r="I460">
        <v>1</v>
      </c>
      <c r="J460">
        <v>0</v>
      </c>
      <c r="K460" t="s">
        <v>6692</v>
      </c>
      <c r="L460" t="s">
        <v>6693</v>
      </c>
      <c r="M460" t="s">
        <v>6694</v>
      </c>
      <c r="N460" t="s">
        <v>6695</v>
      </c>
      <c r="O460" t="s">
        <v>6696</v>
      </c>
      <c r="P460" t="s">
        <v>6697</v>
      </c>
      <c r="Q460" t="s">
        <v>6698</v>
      </c>
      <c r="R460" t="s">
        <v>6699</v>
      </c>
      <c r="S460" t="s">
        <v>6700</v>
      </c>
      <c r="T460" s="2">
        <v>0.875</v>
      </c>
      <c r="U460">
        <v>1</v>
      </c>
      <c r="V460" t="s">
        <v>6701</v>
      </c>
      <c r="W460" t="s">
        <v>6702</v>
      </c>
      <c r="X460" t="s">
        <v>6703</v>
      </c>
      <c r="Y460" t="s">
        <v>6704</v>
      </c>
      <c r="Z460" t="s">
        <v>6705</v>
      </c>
      <c r="AA460" t="s">
        <v>6705</v>
      </c>
      <c r="AB460" t="s">
        <v>6705</v>
      </c>
      <c r="AC460" t="s">
        <v>6705</v>
      </c>
      <c r="AD460" t="s">
        <v>6705</v>
      </c>
    </row>
    <row r="461" spans="1:30">
      <c r="A461" t="s">
        <v>6706</v>
      </c>
      <c r="B461">
        <v>5</v>
      </c>
      <c r="C461">
        <v>11</v>
      </c>
      <c r="D461">
        <v>2021</v>
      </c>
      <c r="E461" s="1">
        <v>44327</v>
      </c>
      <c r="F461" t="s">
        <v>6707</v>
      </c>
      <c r="G461">
        <v>0</v>
      </c>
      <c r="H461">
        <v>0</v>
      </c>
      <c r="I461">
        <v>0</v>
      </c>
      <c r="J461">
        <v>0</v>
      </c>
      <c r="K461" t="s">
        <v>6708</v>
      </c>
      <c r="L461" t="s">
        <v>6709</v>
      </c>
      <c r="M461" t="s">
        <v>6710</v>
      </c>
      <c r="N461" t="s">
        <v>6711</v>
      </c>
      <c r="O461" t="s">
        <v>6712</v>
      </c>
      <c r="P461" t="s">
        <v>6713</v>
      </c>
      <c r="Q461" t="s">
        <v>6713</v>
      </c>
      <c r="R461" t="s">
        <v>6714</v>
      </c>
      <c r="S461" t="s">
        <v>6715</v>
      </c>
      <c r="T461" s="2">
        <v>0.625</v>
      </c>
      <c r="U461">
        <v>1</v>
      </c>
      <c r="V461" t="s">
        <v>6716</v>
      </c>
      <c r="W461" t="s">
        <v>6717</v>
      </c>
      <c r="X461" t="s">
        <v>6718</v>
      </c>
      <c r="Y461" t="s">
        <v>6719</v>
      </c>
      <c r="Z461" t="s">
        <v>6719</v>
      </c>
      <c r="AA461" t="s">
        <v>6719</v>
      </c>
      <c r="AB461" t="s">
        <v>6719</v>
      </c>
      <c r="AC461" t="s">
        <v>6719</v>
      </c>
      <c r="AD461" t="s">
        <v>6719</v>
      </c>
    </row>
    <row r="462" spans="1:30">
      <c r="A462" t="s">
        <v>6720</v>
      </c>
      <c r="B462">
        <v>5</v>
      </c>
      <c r="C462">
        <v>11</v>
      </c>
      <c r="D462">
        <v>2021</v>
      </c>
      <c r="E462" s="1">
        <v>44327</v>
      </c>
      <c r="F462" t="s">
        <v>6721</v>
      </c>
      <c r="G462">
        <v>0</v>
      </c>
      <c r="H462">
        <v>1</v>
      </c>
      <c r="I462">
        <v>1</v>
      </c>
      <c r="J462">
        <v>0</v>
      </c>
      <c r="K462" t="s">
        <v>6722</v>
      </c>
      <c r="L462" t="s">
        <v>6723</v>
      </c>
      <c r="M462" t="s">
        <v>6724</v>
      </c>
      <c r="N462" t="s">
        <v>6725</v>
      </c>
      <c r="O462" t="s">
        <v>6726</v>
      </c>
      <c r="P462" t="s">
        <v>6727</v>
      </c>
      <c r="Q462" t="s">
        <v>6728</v>
      </c>
      <c r="R462" t="s">
        <v>6729</v>
      </c>
      <c r="S462" t="s">
        <v>6730</v>
      </c>
      <c r="T462" s="2">
        <v>0.70972222222222225</v>
      </c>
      <c r="U462">
        <v>1</v>
      </c>
      <c r="V462" t="s">
        <v>6731</v>
      </c>
      <c r="W462" t="s">
        <v>6732</v>
      </c>
      <c r="X462" t="s">
        <v>6733</v>
      </c>
      <c r="Y462" t="s">
        <v>6734</v>
      </c>
      <c r="AA462" t="s">
        <v>6734</v>
      </c>
      <c r="AB462" t="s">
        <v>6734</v>
      </c>
      <c r="AC462" t="s">
        <v>6734</v>
      </c>
      <c r="AD462" t="s">
        <v>6734</v>
      </c>
    </row>
    <row r="463" spans="1:30">
      <c r="A463" t="s">
        <v>6735</v>
      </c>
      <c r="B463">
        <v>5</v>
      </c>
      <c r="C463">
        <v>6</v>
      </c>
      <c r="D463">
        <v>2021</v>
      </c>
      <c r="E463" s="1">
        <v>44322</v>
      </c>
      <c r="F463" t="s">
        <v>6736</v>
      </c>
      <c r="G463">
        <v>0</v>
      </c>
      <c r="H463">
        <v>0</v>
      </c>
      <c r="I463">
        <v>0</v>
      </c>
      <c r="J463">
        <v>0</v>
      </c>
      <c r="K463" t="s">
        <v>6737</v>
      </c>
      <c r="L463" t="s">
        <v>6738</v>
      </c>
      <c r="M463" t="s">
        <v>6739</v>
      </c>
      <c r="N463" t="s">
        <v>6740</v>
      </c>
      <c r="O463" t="s">
        <v>6741</v>
      </c>
      <c r="P463" t="s">
        <v>6742</v>
      </c>
      <c r="Q463" t="s">
        <v>6742</v>
      </c>
      <c r="R463" t="s">
        <v>6743</v>
      </c>
      <c r="S463" t="s">
        <v>6744</v>
      </c>
      <c r="T463" s="2">
        <v>0.29166666666666669</v>
      </c>
      <c r="U463">
        <v>6</v>
      </c>
      <c r="V463" t="s">
        <v>6745</v>
      </c>
      <c r="W463" t="s">
        <v>6746</v>
      </c>
      <c r="X463" t="s">
        <v>6747</v>
      </c>
      <c r="Y463" t="s">
        <v>6748</v>
      </c>
      <c r="Z463" t="s">
        <v>6749</v>
      </c>
      <c r="AA463" t="s">
        <v>6750</v>
      </c>
      <c r="AB463" t="s">
        <v>6750</v>
      </c>
      <c r="AC463" t="s">
        <v>6750</v>
      </c>
      <c r="AD463" t="s">
        <v>6751</v>
      </c>
    </row>
    <row r="464" spans="1:30">
      <c r="A464" t="s">
        <v>6752</v>
      </c>
      <c r="B464">
        <v>5</v>
      </c>
      <c r="C464">
        <v>6</v>
      </c>
      <c r="D464">
        <v>2021</v>
      </c>
      <c r="E464" s="1">
        <v>44322</v>
      </c>
      <c r="F464" t="s">
        <v>6753</v>
      </c>
      <c r="G464">
        <v>0</v>
      </c>
      <c r="H464">
        <v>3</v>
      </c>
      <c r="I464">
        <v>3</v>
      </c>
      <c r="J464">
        <v>0</v>
      </c>
      <c r="K464" t="s">
        <v>6754</v>
      </c>
      <c r="L464" t="s">
        <v>6755</v>
      </c>
      <c r="M464" t="s">
        <v>6756</v>
      </c>
      <c r="N464" t="s">
        <v>6757</v>
      </c>
      <c r="O464" t="s">
        <v>6758</v>
      </c>
      <c r="P464" t="s">
        <v>6759</v>
      </c>
      <c r="Q464" t="s">
        <v>6760</v>
      </c>
      <c r="R464" t="s">
        <v>6761</v>
      </c>
      <c r="S464" t="s">
        <v>6762</v>
      </c>
      <c r="T464" s="2">
        <v>0.38541666666666669</v>
      </c>
      <c r="U464">
        <v>1</v>
      </c>
      <c r="V464" t="s">
        <v>6763</v>
      </c>
      <c r="W464" t="s">
        <v>6764</v>
      </c>
      <c r="X464" t="s">
        <v>6765</v>
      </c>
      <c r="Y464" t="s">
        <v>6766</v>
      </c>
      <c r="Z464" t="s">
        <v>6766</v>
      </c>
      <c r="AA464" t="s">
        <v>6766</v>
      </c>
      <c r="AC464" t="s">
        <v>6766</v>
      </c>
      <c r="AD464" t="s">
        <v>6767</v>
      </c>
    </row>
    <row r="465" spans="1:30">
      <c r="A465" t="s">
        <v>6768</v>
      </c>
      <c r="B465">
        <v>5</v>
      </c>
      <c r="C465">
        <v>5</v>
      </c>
      <c r="D465">
        <v>2021</v>
      </c>
      <c r="E465" s="1">
        <v>44321</v>
      </c>
      <c r="F465" t="s">
        <v>6769</v>
      </c>
      <c r="G465">
        <v>0</v>
      </c>
      <c r="H465">
        <v>1</v>
      </c>
      <c r="I465">
        <v>1</v>
      </c>
      <c r="J465">
        <v>0</v>
      </c>
      <c r="K465" t="s">
        <v>6770</v>
      </c>
      <c r="L465" t="s">
        <v>6771</v>
      </c>
      <c r="M465" t="s">
        <v>6772</v>
      </c>
      <c r="N465" t="s">
        <v>6773</v>
      </c>
      <c r="O465" t="s">
        <v>6774</v>
      </c>
      <c r="P465" t="s">
        <v>6775</v>
      </c>
      <c r="Q465" t="s">
        <v>6776</v>
      </c>
      <c r="R465" t="s">
        <v>6777</v>
      </c>
      <c r="S465" t="s">
        <v>6778</v>
      </c>
      <c r="T465" s="2">
        <v>0.58333333333333337</v>
      </c>
      <c r="U465">
        <v>1</v>
      </c>
      <c r="V465" t="s">
        <v>6779</v>
      </c>
      <c r="W465" t="s">
        <v>6780</v>
      </c>
      <c r="X465" t="s">
        <v>6781</v>
      </c>
      <c r="Y465" t="s">
        <v>6782</v>
      </c>
      <c r="Z465" t="s">
        <v>6782</v>
      </c>
      <c r="AA465" t="s">
        <v>6782</v>
      </c>
      <c r="AB465" t="s">
        <v>6782</v>
      </c>
      <c r="AC465" t="s">
        <v>6782</v>
      </c>
      <c r="AD465" t="s">
        <v>6782</v>
      </c>
    </row>
    <row r="466" spans="1:30">
      <c r="A466" t="s">
        <v>6783</v>
      </c>
      <c r="B466">
        <v>5</v>
      </c>
      <c r="C466">
        <v>5</v>
      </c>
      <c r="D466">
        <v>2021</v>
      </c>
      <c r="E466" s="1">
        <v>44321</v>
      </c>
      <c r="F466" t="s">
        <v>6784</v>
      </c>
      <c r="G466">
        <v>0</v>
      </c>
      <c r="H466">
        <v>0</v>
      </c>
      <c r="I466">
        <v>0</v>
      </c>
      <c r="J466">
        <v>1</v>
      </c>
      <c r="K466" t="s">
        <v>6785</v>
      </c>
      <c r="L466" t="s">
        <v>6786</v>
      </c>
      <c r="M466" t="s">
        <v>6787</v>
      </c>
      <c r="N466" t="s">
        <v>6788</v>
      </c>
      <c r="O466" t="s">
        <v>6789</v>
      </c>
      <c r="P466" t="s">
        <v>6790</v>
      </c>
      <c r="Q466" t="s">
        <v>6791</v>
      </c>
      <c r="R466" t="s">
        <v>6792</v>
      </c>
      <c r="S466" t="s">
        <v>6793</v>
      </c>
      <c r="T466" s="2">
        <v>0.33680555555555552</v>
      </c>
      <c r="U466">
        <v>1</v>
      </c>
      <c r="V466" t="s">
        <v>6794</v>
      </c>
      <c r="W466" t="s">
        <v>6795</v>
      </c>
      <c r="Y466" t="s">
        <v>6796</v>
      </c>
      <c r="Z466" t="s">
        <v>6796</v>
      </c>
      <c r="AA466" t="s">
        <v>6796</v>
      </c>
      <c r="AC466" t="s">
        <v>6796</v>
      </c>
      <c r="AD466" t="s">
        <v>6796</v>
      </c>
    </row>
    <row r="467" spans="1:30">
      <c r="A467" t="s">
        <v>6797</v>
      </c>
      <c r="B467">
        <v>5</v>
      </c>
      <c r="C467">
        <v>2</v>
      </c>
      <c r="D467">
        <v>2021</v>
      </c>
      <c r="E467" s="1">
        <v>44318</v>
      </c>
      <c r="F467" t="s">
        <v>6798</v>
      </c>
      <c r="G467">
        <v>0</v>
      </c>
      <c r="H467">
        <v>5</v>
      </c>
      <c r="I467">
        <v>5</v>
      </c>
      <c r="J467">
        <v>0</v>
      </c>
      <c r="K467" t="s">
        <v>6799</v>
      </c>
      <c r="L467" t="s">
        <v>6800</v>
      </c>
      <c r="M467" t="s">
        <v>6801</v>
      </c>
      <c r="N467" t="s">
        <v>6802</v>
      </c>
      <c r="O467" t="s">
        <v>6803</v>
      </c>
      <c r="P467" t="s">
        <v>6804</v>
      </c>
      <c r="Q467" t="s">
        <v>6805</v>
      </c>
      <c r="R467" t="s">
        <v>6806</v>
      </c>
      <c r="S467" t="s">
        <v>6807</v>
      </c>
      <c r="T467" s="2">
        <v>0.96527777777777779</v>
      </c>
      <c r="U467">
        <v>1</v>
      </c>
      <c r="V467" t="s">
        <v>6808</v>
      </c>
      <c r="W467" t="s">
        <v>6809</v>
      </c>
      <c r="X467" t="s">
        <v>6810</v>
      </c>
      <c r="Y467" t="s">
        <v>6811</v>
      </c>
      <c r="AA467" t="s">
        <v>6812</v>
      </c>
      <c r="AB467" t="s">
        <v>6812</v>
      </c>
      <c r="AC467" t="s">
        <v>6812</v>
      </c>
      <c r="AD467" t="s">
        <v>6812</v>
      </c>
    </row>
    <row r="468" spans="1:30">
      <c r="A468" t="s">
        <v>6813</v>
      </c>
      <c r="B468">
        <v>5</v>
      </c>
      <c r="C468">
        <v>1</v>
      </c>
      <c r="D468">
        <v>2021</v>
      </c>
      <c r="E468" s="1">
        <v>44317</v>
      </c>
      <c r="F468" t="s">
        <v>6814</v>
      </c>
      <c r="G468">
        <v>0</v>
      </c>
      <c r="H468">
        <v>0</v>
      </c>
      <c r="I468">
        <v>0</v>
      </c>
      <c r="J468">
        <v>0</v>
      </c>
      <c r="K468" t="s">
        <v>6815</v>
      </c>
      <c r="L468" t="s">
        <v>6816</v>
      </c>
      <c r="M468" t="s">
        <v>6817</v>
      </c>
      <c r="N468" t="s">
        <v>6818</v>
      </c>
      <c r="O468" t="s">
        <v>6819</v>
      </c>
      <c r="P468" t="s">
        <v>6820</v>
      </c>
      <c r="Q468" t="s">
        <v>6821</v>
      </c>
      <c r="R468" t="s">
        <v>6822</v>
      </c>
      <c r="S468" t="s">
        <v>6823</v>
      </c>
      <c r="T468" s="2">
        <v>0.98194444444444451</v>
      </c>
      <c r="U468">
        <v>1</v>
      </c>
      <c r="V468" t="s">
        <v>6824</v>
      </c>
      <c r="X468" t="s">
        <v>6825</v>
      </c>
      <c r="Y468" t="s">
        <v>6826</v>
      </c>
      <c r="Z468" t="s">
        <v>6827</v>
      </c>
      <c r="AA468" t="s">
        <v>6827</v>
      </c>
      <c r="AB468" t="s">
        <v>6827</v>
      </c>
      <c r="AC468" t="s">
        <v>6827</v>
      </c>
      <c r="AD468" t="s">
        <v>6827</v>
      </c>
    </row>
    <row r="469" spans="1:30">
      <c r="A469" t="s">
        <v>6828</v>
      </c>
      <c r="B469">
        <v>4</v>
      </c>
      <c r="C469">
        <v>30</v>
      </c>
      <c r="D469">
        <v>2021</v>
      </c>
      <c r="E469" s="1">
        <v>44316</v>
      </c>
      <c r="F469" t="s">
        <v>6829</v>
      </c>
      <c r="G469">
        <v>0</v>
      </c>
      <c r="H469">
        <v>1</v>
      </c>
      <c r="I469">
        <v>1</v>
      </c>
      <c r="J469">
        <v>0</v>
      </c>
      <c r="K469" t="s">
        <v>6830</v>
      </c>
      <c r="L469" t="s">
        <v>6831</v>
      </c>
      <c r="M469" t="s">
        <v>6832</v>
      </c>
      <c r="N469" t="s">
        <v>6833</v>
      </c>
      <c r="O469" t="s">
        <v>6834</v>
      </c>
      <c r="P469" t="s">
        <v>6835</v>
      </c>
      <c r="Q469" t="s">
        <v>6836</v>
      </c>
      <c r="R469" t="s">
        <v>6837</v>
      </c>
      <c r="S469" t="s">
        <v>6838</v>
      </c>
      <c r="T469" s="2">
        <v>0.54166666666666663</v>
      </c>
      <c r="U469">
        <v>1</v>
      </c>
      <c r="V469" t="s">
        <v>6839</v>
      </c>
      <c r="W469" t="s">
        <v>6840</v>
      </c>
      <c r="X469" t="s">
        <v>6841</v>
      </c>
      <c r="Y469" t="s">
        <v>6842</v>
      </c>
      <c r="Z469" t="s">
        <v>6842</v>
      </c>
      <c r="AA469" t="s">
        <v>6842</v>
      </c>
      <c r="AB469" t="s">
        <v>6842</v>
      </c>
      <c r="AC469" t="s">
        <v>6843</v>
      </c>
      <c r="AD469" t="s">
        <v>6844</v>
      </c>
    </row>
    <row r="470" spans="1:30">
      <c r="A470" t="s">
        <v>6845</v>
      </c>
      <c r="B470">
        <v>4</v>
      </c>
      <c r="C470">
        <v>29</v>
      </c>
      <c r="D470">
        <v>2021</v>
      </c>
      <c r="E470" s="1">
        <v>44315</v>
      </c>
      <c r="F470" t="s">
        <v>6846</v>
      </c>
      <c r="G470">
        <v>1</v>
      </c>
      <c r="H470">
        <v>0</v>
      </c>
      <c r="I470">
        <v>1</v>
      </c>
      <c r="J470">
        <v>0</v>
      </c>
      <c r="K470" t="s">
        <v>6847</v>
      </c>
      <c r="L470" t="s">
        <v>6848</v>
      </c>
      <c r="M470" t="s">
        <v>6849</v>
      </c>
      <c r="N470" t="s">
        <v>6850</v>
      </c>
      <c r="O470" t="s">
        <v>6851</v>
      </c>
      <c r="P470" t="s">
        <v>6852</v>
      </c>
      <c r="Q470" t="s">
        <v>6853</v>
      </c>
      <c r="R470" t="s">
        <v>6854</v>
      </c>
      <c r="S470" t="s">
        <v>6855</v>
      </c>
      <c r="T470" s="2">
        <v>0.61458333333333337</v>
      </c>
      <c r="U470">
        <v>1</v>
      </c>
      <c r="V470" t="s">
        <v>6856</v>
      </c>
      <c r="X470" t="s">
        <v>6857</v>
      </c>
      <c r="Y470" t="s">
        <v>6858</v>
      </c>
      <c r="Z470" t="s">
        <v>6859</v>
      </c>
      <c r="AA470" t="s">
        <v>6859</v>
      </c>
      <c r="AB470" t="s">
        <v>6859</v>
      </c>
      <c r="AC470" t="s">
        <v>6859</v>
      </c>
      <c r="AD470" t="s">
        <v>6859</v>
      </c>
    </row>
    <row r="471" spans="1:30">
      <c r="A471" t="s">
        <v>6860</v>
      </c>
      <c r="B471">
        <v>4</v>
      </c>
      <c r="C471">
        <v>29</v>
      </c>
      <c r="D471">
        <v>2021</v>
      </c>
      <c r="E471" s="1">
        <v>44315</v>
      </c>
      <c r="F471" t="s">
        <v>6861</v>
      </c>
      <c r="G471">
        <v>0</v>
      </c>
      <c r="H471">
        <v>1</v>
      </c>
      <c r="I471">
        <v>1</v>
      </c>
      <c r="J471">
        <v>0</v>
      </c>
      <c r="K471" t="s">
        <v>6862</v>
      </c>
      <c r="L471" t="s">
        <v>6863</v>
      </c>
      <c r="M471" t="s">
        <v>6864</v>
      </c>
      <c r="N471" t="s">
        <v>6865</v>
      </c>
      <c r="O471" t="s">
        <v>6866</v>
      </c>
      <c r="P471" t="s">
        <v>6867</v>
      </c>
      <c r="Q471" t="s">
        <v>6868</v>
      </c>
      <c r="R471" t="s">
        <v>6869</v>
      </c>
      <c r="S471" t="s">
        <v>6870</v>
      </c>
      <c r="T471" s="2">
        <v>0.50486111111111109</v>
      </c>
      <c r="U471">
        <v>1</v>
      </c>
      <c r="V471" t="s">
        <v>6871</v>
      </c>
      <c r="W471" t="s">
        <v>6872</v>
      </c>
      <c r="X471" t="s">
        <v>6873</v>
      </c>
      <c r="Y471" t="s">
        <v>6874</v>
      </c>
      <c r="Z471" t="s">
        <v>6874</v>
      </c>
      <c r="AA471" t="s">
        <v>6874</v>
      </c>
      <c r="AB471" t="s">
        <v>6874</v>
      </c>
      <c r="AC471" t="s">
        <v>6874</v>
      </c>
      <c r="AD471" t="s">
        <v>6874</v>
      </c>
    </row>
    <row r="472" spans="1:30">
      <c r="A472" t="s">
        <v>6875</v>
      </c>
      <c r="B472">
        <v>4</v>
      </c>
      <c r="C472">
        <v>27</v>
      </c>
      <c r="D472">
        <v>2021</v>
      </c>
      <c r="E472" s="1">
        <v>44313</v>
      </c>
      <c r="F472" t="s">
        <v>6876</v>
      </c>
      <c r="G472">
        <v>0</v>
      </c>
      <c r="H472">
        <v>0</v>
      </c>
      <c r="I472">
        <v>0</v>
      </c>
      <c r="J472">
        <v>0</v>
      </c>
      <c r="K472" t="s">
        <v>6877</v>
      </c>
      <c r="L472" t="s">
        <v>6878</v>
      </c>
      <c r="M472" t="s">
        <v>6879</v>
      </c>
      <c r="N472" t="s">
        <v>6880</v>
      </c>
      <c r="O472" t="s">
        <v>6881</v>
      </c>
      <c r="P472" t="s">
        <v>6882</v>
      </c>
      <c r="Q472" t="s">
        <v>6883</v>
      </c>
      <c r="R472" t="s">
        <v>6884</v>
      </c>
      <c r="S472" t="s">
        <v>6885</v>
      </c>
      <c r="T472" s="2">
        <v>0.66666666666666663</v>
      </c>
      <c r="U472">
        <v>1</v>
      </c>
      <c r="V472" t="s">
        <v>6886</v>
      </c>
      <c r="W472" t="s">
        <v>6887</v>
      </c>
      <c r="X472" t="s">
        <v>6888</v>
      </c>
      <c r="Y472" t="s">
        <v>6889</v>
      </c>
      <c r="Z472" t="s">
        <v>6889</v>
      </c>
      <c r="AA472" t="s">
        <v>6889</v>
      </c>
      <c r="AB472" t="s">
        <v>6889</v>
      </c>
      <c r="AC472" t="s">
        <v>6889</v>
      </c>
      <c r="AD472" t="s">
        <v>6889</v>
      </c>
    </row>
    <row r="473" spans="1:30">
      <c r="A473" t="s">
        <v>6890</v>
      </c>
      <c r="B473">
        <v>4</v>
      </c>
      <c r="C473">
        <v>27</v>
      </c>
      <c r="D473">
        <v>2021</v>
      </c>
      <c r="E473" s="1">
        <v>44313</v>
      </c>
      <c r="F473" t="s">
        <v>6891</v>
      </c>
      <c r="G473">
        <v>1</v>
      </c>
      <c r="H473">
        <v>0</v>
      </c>
      <c r="I473">
        <v>1</v>
      </c>
      <c r="J473">
        <v>1</v>
      </c>
      <c r="K473" t="s">
        <v>6892</v>
      </c>
      <c r="L473" t="s">
        <v>6893</v>
      </c>
      <c r="M473" t="s">
        <v>6894</v>
      </c>
      <c r="N473" t="s">
        <v>6895</v>
      </c>
      <c r="O473" t="s">
        <v>6896</v>
      </c>
      <c r="P473" t="s">
        <v>6897</v>
      </c>
      <c r="Q473" t="s">
        <v>6898</v>
      </c>
      <c r="R473" t="s">
        <v>6899</v>
      </c>
      <c r="S473" t="s">
        <v>6900</v>
      </c>
      <c r="T473" s="2">
        <v>0.93402777777777779</v>
      </c>
      <c r="U473">
        <v>1</v>
      </c>
      <c r="V473" t="s">
        <v>6901</v>
      </c>
      <c r="W473" t="s">
        <v>6902</v>
      </c>
      <c r="X473" t="s">
        <v>6903</v>
      </c>
      <c r="Y473" t="s">
        <v>6904</v>
      </c>
      <c r="Z473" t="s">
        <v>6904</v>
      </c>
      <c r="AA473" t="s">
        <v>6904</v>
      </c>
      <c r="AB473" t="s">
        <v>6904</v>
      </c>
      <c r="AC473" t="s">
        <v>6905</v>
      </c>
      <c r="AD473" t="s">
        <v>6906</v>
      </c>
    </row>
    <row r="474" spans="1:30">
      <c r="A474" t="s">
        <v>6907</v>
      </c>
      <c r="B474">
        <v>4</v>
      </c>
      <c r="C474">
        <v>26</v>
      </c>
      <c r="D474">
        <v>2021</v>
      </c>
      <c r="E474" s="1">
        <v>44312</v>
      </c>
      <c r="F474" t="s">
        <v>6908</v>
      </c>
      <c r="G474">
        <v>0</v>
      </c>
      <c r="H474">
        <v>0</v>
      </c>
      <c r="I474">
        <v>0</v>
      </c>
      <c r="J474">
        <v>0</v>
      </c>
      <c r="K474" t="s">
        <v>6909</v>
      </c>
      <c r="L474" t="s">
        <v>6910</v>
      </c>
      <c r="M474" t="s">
        <v>6911</v>
      </c>
      <c r="N474" t="s">
        <v>6912</v>
      </c>
      <c r="O474" t="s">
        <v>6913</v>
      </c>
      <c r="P474" t="s">
        <v>6914</v>
      </c>
      <c r="Q474" t="s">
        <v>6915</v>
      </c>
      <c r="R474" t="s">
        <v>6916</v>
      </c>
      <c r="S474" t="s">
        <v>6917</v>
      </c>
      <c r="T474" s="2">
        <v>0.36388888888888887</v>
      </c>
      <c r="U474">
        <v>1</v>
      </c>
      <c r="V474" t="s">
        <v>6918</v>
      </c>
      <c r="W474" t="s">
        <v>6919</v>
      </c>
      <c r="X474" t="s">
        <v>6920</v>
      </c>
      <c r="Y474" t="s">
        <v>6921</v>
      </c>
      <c r="Z474" t="s">
        <v>6921</v>
      </c>
      <c r="AA474" t="s">
        <v>6921</v>
      </c>
      <c r="AC474" t="s">
        <v>6921</v>
      </c>
      <c r="AD474" t="s">
        <v>6921</v>
      </c>
    </row>
    <row r="475" spans="1:30">
      <c r="A475" t="s">
        <v>6922</v>
      </c>
      <c r="B475">
        <v>4</v>
      </c>
      <c r="C475">
        <v>20</v>
      </c>
      <c r="D475">
        <v>2021</v>
      </c>
      <c r="E475" s="1">
        <v>44306</v>
      </c>
      <c r="F475" t="s">
        <v>6923</v>
      </c>
      <c r="G475">
        <v>1</v>
      </c>
      <c r="H475">
        <v>0</v>
      </c>
      <c r="I475">
        <v>1</v>
      </c>
      <c r="J475">
        <v>0</v>
      </c>
      <c r="K475" t="s">
        <v>6924</v>
      </c>
      <c r="L475" t="s">
        <v>6925</v>
      </c>
      <c r="M475" t="s">
        <v>6926</v>
      </c>
      <c r="N475" t="s">
        <v>6927</v>
      </c>
      <c r="O475" t="s">
        <v>6928</v>
      </c>
      <c r="P475" t="s">
        <v>6929</v>
      </c>
      <c r="Q475" t="s">
        <v>6930</v>
      </c>
      <c r="R475" t="s">
        <v>6931</v>
      </c>
      <c r="S475" t="s">
        <v>6932</v>
      </c>
      <c r="T475" s="2">
        <v>0.96458333333333335</v>
      </c>
      <c r="U475">
        <v>1</v>
      </c>
      <c r="V475" t="s">
        <v>6933</v>
      </c>
      <c r="W475" t="s">
        <v>6934</v>
      </c>
      <c r="X475" t="s">
        <v>6935</v>
      </c>
      <c r="Y475" t="s">
        <v>6936</v>
      </c>
      <c r="Z475" t="s">
        <v>6937</v>
      </c>
      <c r="AA475" t="s">
        <v>6937</v>
      </c>
      <c r="AB475" t="s">
        <v>6937</v>
      </c>
      <c r="AC475" t="s">
        <v>6937</v>
      </c>
      <c r="AD475" t="s">
        <v>6937</v>
      </c>
    </row>
    <row r="476" spans="1:30">
      <c r="A476" t="s">
        <v>6938</v>
      </c>
      <c r="B476">
        <v>4</v>
      </c>
      <c r="C476">
        <v>18</v>
      </c>
      <c r="D476">
        <v>2021</v>
      </c>
      <c r="E476" s="1">
        <v>44304</v>
      </c>
      <c r="F476" t="s">
        <v>6939</v>
      </c>
      <c r="G476">
        <v>1</v>
      </c>
      <c r="H476">
        <v>1</v>
      </c>
      <c r="I476">
        <v>2</v>
      </c>
      <c r="J476">
        <v>0</v>
      </c>
      <c r="K476" t="s">
        <v>6940</v>
      </c>
      <c r="L476" t="s">
        <v>6941</v>
      </c>
      <c r="M476" t="s">
        <v>6942</v>
      </c>
      <c r="N476" t="s">
        <v>6943</v>
      </c>
      <c r="O476" t="s">
        <v>6944</v>
      </c>
      <c r="P476" t="s">
        <v>6945</v>
      </c>
      <c r="Q476" t="s">
        <v>6946</v>
      </c>
      <c r="R476" t="s">
        <v>6947</v>
      </c>
      <c r="S476" t="s">
        <v>6948</v>
      </c>
      <c r="T476" s="2">
        <v>0.67708333333333326</v>
      </c>
      <c r="U476">
        <v>1</v>
      </c>
      <c r="V476" t="s">
        <v>6949</v>
      </c>
      <c r="X476" t="s">
        <v>6950</v>
      </c>
      <c r="Z476" t="s">
        <v>6951</v>
      </c>
      <c r="AA476" t="s">
        <v>6951</v>
      </c>
      <c r="AB476" t="s">
        <v>6951</v>
      </c>
      <c r="AC476" t="s">
        <v>6951</v>
      </c>
      <c r="AD476" t="s">
        <v>6951</v>
      </c>
    </row>
    <row r="477" spans="1:30">
      <c r="A477" t="s">
        <v>6952</v>
      </c>
      <c r="B477">
        <v>4</v>
      </c>
      <c r="C477">
        <v>13</v>
      </c>
      <c r="D477">
        <v>2021</v>
      </c>
      <c r="E477" s="1">
        <v>44299</v>
      </c>
      <c r="F477" t="s">
        <v>6953</v>
      </c>
      <c r="G477">
        <v>0</v>
      </c>
      <c r="H477">
        <v>0</v>
      </c>
      <c r="I477">
        <v>0</v>
      </c>
      <c r="J477">
        <v>0</v>
      </c>
      <c r="K477" t="s">
        <v>6954</v>
      </c>
      <c r="L477" t="s">
        <v>6955</v>
      </c>
      <c r="M477" t="s">
        <v>6956</v>
      </c>
      <c r="N477" t="s">
        <v>6957</v>
      </c>
      <c r="P477" t="s">
        <v>6958</v>
      </c>
      <c r="Q477" t="s">
        <v>6958</v>
      </c>
      <c r="R477" t="s">
        <v>6959</v>
      </c>
      <c r="S477" t="s">
        <v>6960</v>
      </c>
      <c r="T477" s="2">
        <v>0.66666666666666663</v>
      </c>
      <c r="U477">
        <v>1</v>
      </c>
      <c r="V477" t="s">
        <v>6961</v>
      </c>
      <c r="W477" t="s">
        <v>6962</v>
      </c>
      <c r="X477" t="s">
        <v>6963</v>
      </c>
      <c r="Y477" t="s">
        <v>6964</v>
      </c>
      <c r="Z477" t="s">
        <v>6964</v>
      </c>
      <c r="AA477" t="s">
        <v>6964</v>
      </c>
      <c r="AB477" t="s">
        <v>6964</v>
      </c>
      <c r="AC477" t="s">
        <v>6964</v>
      </c>
      <c r="AD477" t="s">
        <v>6964</v>
      </c>
    </row>
    <row r="478" spans="1:30">
      <c r="A478" t="s">
        <v>6965</v>
      </c>
      <c r="B478">
        <v>4</v>
      </c>
      <c r="C478">
        <v>12</v>
      </c>
      <c r="D478">
        <v>2021</v>
      </c>
      <c r="E478" s="1">
        <v>44298</v>
      </c>
      <c r="F478" t="s">
        <v>6966</v>
      </c>
      <c r="G478">
        <v>0</v>
      </c>
      <c r="H478">
        <v>1</v>
      </c>
      <c r="I478">
        <v>1</v>
      </c>
      <c r="J478">
        <v>1</v>
      </c>
      <c r="K478" t="s">
        <v>6967</v>
      </c>
      <c r="L478" t="s">
        <v>6968</v>
      </c>
      <c r="M478" t="s">
        <v>6969</v>
      </c>
      <c r="N478" t="s">
        <v>6970</v>
      </c>
      <c r="O478" t="s">
        <v>6971</v>
      </c>
      <c r="P478" t="s">
        <v>6972</v>
      </c>
      <c r="Q478" t="s">
        <v>6973</v>
      </c>
      <c r="R478" t="s">
        <v>6974</v>
      </c>
      <c r="S478" t="s">
        <v>6975</v>
      </c>
      <c r="T478" s="2">
        <v>0.63541666666666663</v>
      </c>
      <c r="U478">
        <v>1</v>
      </c>
      <c r="V478" t="s">
        <v>6976</v>
      </c>
      <c r="X478" t="s">
        <v>6977</v>
      </c>
      <c r="Y478" t="s">
        <v>6978</v>
      </c>
      <c r="Z478" t="s">
        <v>6978</v>
      </c>
      <c r="AA478" t="s">
        <v>6979</v>
      </c>
      <c r="AB478" t="s">
        <v>6980</v>
      </c>
      <c r="AC478" t="s">
        <v>6981</v>
      </c>
      <c r="AD478" t="s">
        <v>6982</v>
      </c>
    </row>
    <row r="479" spans="1:30">
      <c r="A479" t="s">
        <v>6983</v>
      </c>
      <c r="B479">
        <v>4</v>
      </c>
      <c r="C479">
        <v>12</v>
      </c>
      <c r="D479">
        <v>2021</v>
      </c>
      <c r="E479" s="1">
        <v>44298</v>
      </c>
      <c r="F479" t="s">
        <v>6984</v>
      </c>
      <c r="G479">
        <v>0</v>
      </c>
      <c r="H479">
        <v>0</v>
      </c>
      <c r="I479">
        <v>0</v>
      </c>
      <c r="J479">
        <v>1</v>
      </c>
      <c r="K479" t="s">
        <v>6985</v>
      </c>
      <c r="L479" t="s">
        <v>6986</v>
      </c>
      <c r="M479" t="s">
        <v>6987</v>
      </c>
      <c r="N479" t="s">
        <v>6988</v>
      </c>
      <c r="O479" t="s">
        <v>6989</v>
      </c>
      <c r="P479" t="s">
        <v>6990</v>
      </c>
      <c r="Q479" t="s">
        <v>6991</v>
      </c>
      <c r="R479" t="s">
        <v>6992</v>
      </c>
      <c r="S479" t="s">
        <v>6993</v>
      </c>
      <c r="T479" s="2">
        <v>0.86458333333333337</v>
      </c>
      <c r="U479">
        <v>660</v>
      </c>
      <c r="V479" t="s">
        <v>6994</v>
      </c>
      <c r="W479" t="s">
        <v>6995</v>
      </c>
      <c r="X479" t="s">
        <v>6996</v>
      </c>
      <c r="Y479" t="s">
        <v>6997</v>
      </c>
      <c r="Z479" t="s">
        <v>6997</v>
      </c>
      <c r="AA479" t="s">
        <v>6997</v>
      </c>
      <c r="AB479" t="s">
        <v>6998</v>
      </c>
      <c r="AC479" t="s">
        <v>6998</v>
      </c>
      <c r="AD479" t="s">
        <v>6999</v>
      </c>
    </row>
    <row r="480" spans="1:30">
      <c r="A480" t="s">
        <v>7000</v>
      </c>
      <c r="B480">
        <v>4</v>
      </c>
      <c r="C480">
        <v>11</v>
      </c>
      <c r="D480">
        <v>2021</v>
      </c>
      <c r="E480" s="1">
        <v>44297</v>
      </c>
      <c r="F480" t="s">
        <v>7001</v>
      </c>
      <c r="G480">
        <v>1</v>
      </c>
      <c r="H480">
        <v>0</v>
      </c>
      <c r="I480">
        <v>1</v>
      </c>
      <c r="J480">
        <v>0</v>
      </c>
      <c r="K480" t="s">
        <v>7002</v>
      </c>
      <c r="L480" t="s">
        <v>7003</v>
      </c>
      <c r="M480" t="s">
        <v>7004</v>
      </c>
      <c r="N480" t="s">
        <v>7005</v>
      </c>
      <c r="O480" t="s">
        <v>7006</v>
      </c>
      <c r="P480" t="s">
        <v>7007</v>
      </c>
      <c r="Q480" t="s">
        <v>7008</v>
      </c>
      <c r="R480" t="s">
        <v>7009</v>
      </c>
      <c r="S480" t="s">
        <v>7010</v>
      </c>
      <c r="T480" s="2">
        <v>0.88888888888888884</v>
      </c>
      <c r="U480">
        <v>1</v>
      </c>
      <c r="V480" t="s">
        <v>7011</v>
      </c>
      <c r="W480" t="s">
        <v>7012</v>
      </c>
      <c r="X480" t="s">
        <v>7013</v>
      </c>
      <c r="Y480" t="s">
        <v>7014</v>
      </c>
      <c r="Z480" t="s">
        <v>7014</v>
      </c>
      <c r="AA480" t="s">
        <v>7014</v>
      </c>
      <c r="AB480" t="s">
        <v>7014</v>
      </c>
      <c r="AC480" t="s">
        <v>7015</v>
      </c>
      <c r="AD480" t="s">
        <v>7016</v>
      </c>
    </row>
    <row r="481" spans="1:30">
      <c r="A481" t="s">
        <v>7017</v>
      </c>
      <c r="B481">
        <v>4</v>
      </c>
      <c r="C481">
        <v>7</v>
      </c>
      <c r="D481">
        <v>2021</v>
      </c>
      <c r="E481" s="1">
        <v>44293</v>
      </c>
      <c r="F481" t="s">
        <v>7018</v>
      </c>
      <c r="G481">
        <v>0</v>
      </c>
      <c r="H481">
        <v>0</v>
      </c>
      <c r="I481">
        <v>0</v>
      </c>
      <c r="J481">
        <v>0</v>
      </c>
      <c r="K481" t="s">
        <v>7019</v>
      </c>
      <c r="L481" t="s">
        <v>7020</v>
      </c>
      <c r="M481" t="s">
        <v>7021</v>
      </c>
      <c r="N481" t="s">
        <v>7022</v>
      </c>
      <c r="O481" t="s">
        <v>7023</v>
      </c>
      <c r="P481" t="s">
        <v>7024</v>
      </c>
      <c r="Q481" t="s">
        <v>7024</v>
      </c>
      <c r="R481" t="s">
        <v>7025</v>
      </c>
      <c r="S481" t="s">
        <v>7026</v>
      </c>
      <c r="T481" s="2">
        <v>0.41666666666666669</v>
      </c>
      <c r="U481">
        <v>1</v>
      </c>
      <c r="V481" t="s">
        <v>7027</v>
      </c>
      <c r="W481" t="s">
        <v>7028</v>
      </c>
      <c r="X481" t="s">
        <v>7029</v>
      </c>
      <c r="Y481" t="s">
        <v>7030</v>
      </c>
      <c r="Z481" t="s">
        <v>7030</v>
      </c>
      <c r="AA481" t="s">
        <v>7030</v>
      </c>
      <c r="AC481" t="s">
        <v>7030</v>
      </c>
      <c r="AD481" t="s">
        <v>7030</v>
      </c>
    </row>
    <row r="482" spans="1:30">
      <c r="A482" t="s">
        <v>7031</v>
      </c>
      <c r="B482">
        <v>4</v>
      </c>
      <c r="C482">
        <v>6</v>
      </c>
      <c r="D482">
        <v>2021</v>
      </c>
      <c r="E482" s="1">
        <v>44292</v>
      </c>
      <c r="F482" t="s">
        <v>7032</v>
      </c>
      <c r="G482">
        <v>0</v>
      </c>
      <c r="H482">
        <v>0</v>
      </c>
      <c r="I482">
        <v>0</v>
      </c>
      <c r="J482">
        <v>0</v>
      </c>
      <c r="K482" t="s">
        <v>7033</v>
      </c>
      <c r="L482" t="s">
        <v>7034</v>
      </c>
      <c r="M482" t="s">
        <v>7035</v>
      </c>
      <c r="N482" t="s">
        <v>7036</v>
      </c>
      <c r="O482" t="s">
        <v>7037</v>
      </c>
      <c r="P482" t="s">
        <v>7038</v>
      </c>
      <c r="Q482" t="s">
        <v>7039</v>
      </c>
      <c r="R482" t="s">
        <v>7040</v>
      </c>
      <c r="S482" t="s">
        <v>7041</v>
      </c>
      <c r="T482" s="2">
        <v>0.58333333333333337</v>
      </c>
      <c r="U482">
        <v>1</v>
      </c>
      <c r="V482" t="s">
        <v>7042</v>
      </c>
      <c r="W482" t="s">
        <v>7043</v>
      </c>
      <c r="X482" t="s">
        <v>7044</v>
      </c>
      <c r="Y482" t="s">
        <v>7045</v>
      </c>
      <c r="Z482" t="s">
        <v>7045</v>
      </c>
      <c r="AA482" t="s">
        <v>7045</v>
      </c>
      <c r="AB482" t="s">
        <v>7045</v>
      </c>
      <c r="AC482" t="s">
        <v>7045</v>
      </c>
      <c r="AD482" t="s">
        <v>7045</v>
      </c>
    </row>
    <row r="483" spans="1:30">
      <c r="A483" t="s">
        <v>7046</v>
      </c>
      <c r="B483">
        <v>4</v>
      </c>
      <c r="C483">
        <v>1</v>
      </c>
      <c r="D483">
        <v>2021</v>
      </c>
      <c r="E483" s="1">
        <v>44287</v>
      </c>
      <c r="F483" t="s">
        <v>7047</v>
      </c>
      <c r="G483">
        <v>0</v>
      </c>
      <c r="H483">
        <v>0</v>
      </c>
      <c r="I483">
        <v>0</v>
      </c>
      <c r="J483">
        <v>0</v>
      </c>
      <c r="K483" t="s">
        <v>7048</v>
      </c>
      <c r="L483" t="s">
        <v>7049</v>
      </c>
      <c r="M483" t="s">
        <v>7050</v>
      </c>
      <c r="N483" t="s">
        <v>7051</v>
      </c>
      <c r="O483" t="s">
        <v>7052</v>
      </c>
      <c r="P483" t="s">
        <v>7053</v>
      </c>
      <c r="Q483" t="s">
        <v>7053</v>
      </c>
      <c r="R483" t="s">
        <v>7054</v>
      </c>
      <c r="S483" t="s">
        <v>7055</v>
      </c>
      <c r="U483">
        <v>1</v>
      </c>
      <c r="V483" t="s">
        <v>7056</v>
      </c>
      <c r="W483" t="s">
        <v>7057</v>
      </c>
      <c r="X483" t="s">
        <v>7058</v>
      </c>
      <c r="Z483" t="s">
        <v>7059</v>
      </c>
      <c r="AA483" t="s">
        <v>7059</v>
      </c>
      <c r="AB483" t="s">
        <v>7059</v>
      </c>
      <c r="AC483" t="s">
        <v>7059</v>
      </c>
      <c r="AD483" t="s">
        <v>7059</v>
      </c>
    </row>
    <row r="484" spans="1:30">
      <c r="A484" t="s">
        <v>7060</v>
      </c>
      <c r="B484">
        <v>4</v>
      </c>
      <c r="C484">
        <v>1</v>
      </c>
      <c r="D484">
        <v>2021</v>
      </c>
      <c r="E484" s="1">
        <v>44287</v>
      </c>
      <c r="F484" t="s">
        <v>7061</v>
      </c>
      <c r="G484">
        <v>0</v>
      </c>
      <c r="H484">
        <v>0</v>
      </c>
      <c r="I484">
        <v>0</v>
      </c>
      <c r="J484">
        <v>0</v>
      </c>
      <c r="K484" t="s">
        <v>7062</v>
      </c>
      <c r="L484" t="s">
        <v>7063</v>
      </c>
      <c r="M484" t="s">
        <v>7064</v>
      </c>
      <c r="N484" t="s">
        <v>7065</v>
      </c>
      <c r="O484" t="s">
        <v>7066</v>
      </c>
      <c r="P484" t="s">
        <v>7067</v>
      </c>
      <c r="Q484" t="s">
        <v>7068</v>
      </c>
      <c r="R484" t="s">
        <v>7069</v>
      </c>
      <c r="S484" t="s">
        <v>7070</v>
      </c>
      <c r="T484" s="2">
        <v>0.54166666666666663</v>
      </c>
      <c r="U484">
        <v>1</v>
      </c>
      <c r="V484" t="s">
        <v>7071</v>
      </c>
      <c r="W484" t="s">
        <v>7072</v>
      </c>
      <c r="X484" t="s">
        <v>7073</v>
      </c>
      <c r="Y484" t="s">
        <v>7074</v>
      </c>
      <c r="Z484" t="s">
        <v>7075</v>
      </c>
      <c r="AA484" t="s">
        <v>7075</v>
      </c>
      <c r="AC484" t="s">
        <v>7075</v>
      </c>
      <c r="AD484" t="s">
        <v>7075</v>
      </c>
    </row>
    <row r="485" spans="1:30">
      <c r="A485" t="s">
        <v>7076</v>
      </c>
      <c r="B485">
        <v>3</v>
      </c>
      <c r="C485">
        <v>27</v>
      </c>
      <c r="D485">
        <v>2021</v>
      </c>
      <c r="E485" s="1">
        <v>44282</v>
      </c>
      <c r="F485" t="s">
        <v>7077</v>
      </c>
      <c r="G485">
        <v>1</v>
      </c>
      <c r="H485">
        <v>0</v>
      </c>
      <c r="I485">
        <v>1</v>
      </c>
      <c r="J485">
        <v>0</v>
      </c>
      <c r="K485" t="s">
        <v>7078</v>
      </c>
      <c r="L485" t="s">
        <v>7079</v>
      </c>
      <c r="M485" t="s">
        <v>7080</v>
      </c>
      <c r="N485" t="s">
        <v>7081</v>
      </c>
      <c r="O485" t="s">
        <v>7082</v>
      </c>
      <c r="P485" t="s">
        <v>7083</v>
      </c>
      <c r="Q485" t="s">
        <v>7084</v>
      </c>
      <c r="R485" t="s">
        <v>7085</v>
      </c>
      <c r="S485" t="s">
        <v>7086</v>
      </c>
      <c r="T485" s="2">
        <v>2.7777777777777776E-2</v>
      </c>
      <c r="U485">
        <v>1</v>
      </c>
      <c r="V485" t="s">
        <v>7087</v>
      </c>
      <c r="X485" t="s">
        <v>7088</v>
      </c>
      <c r="Z485" t="s">
        <v>7089</v>
      </c>
      <c r="AA485" t="s">
        <v>7089</v>
      </c>
      <c r="AB485" t="s">
        <v>7089</v>
      </c>
      <c r="AD485" t="s">
        <v>7089</v>
      </c>
    </row>
    <row r="486" spans="1:30">
      <c r="A486" t="s">
        <v>7090</v>
      </c>
      <c r="B486">
        <v>3</v>
      </c>
      <c r="C486">
        <v>26</v>
      </c>
      <c r="D486">
        <v>2021</v>
      </c>
      <c r="E486" s="1">
        <v>44281</v>
      </c>
      <c r="F486" t="s">
        <v>7091</v>
      </c>
      <c r="G486">
        <v>0</v>
      </c>
      <c r="H486">
        <v>0</v>
      </c>
      <c r="I486">
        <v>0</v>
      </c>
      <c r="J486">
        <v>1</v>
      </c>
      <c r="K486" t="s">
        <v>7092</v>
      </c>
      <c r="L486" t="s">
        <v>7093</v>
      </c>
      <c r="M486" t="s">
        <v>7094</v>
      </c>
      <c r="N486" t="s">
        <v>7095</v>
      </c>
      <c r="O486" t="s">
        <v>7096</v>
      </c>
      <c r="P486" t="s">
        <v>7097</v>
      </c>
      <c r="Q486" t="s">
        <v>7098</v>
      </c>
      <c r="R486" t="s">
        <v>7099</v>
      </c>
      <c r="S486" t="s">
        <v>7100</v>
      </c>
      <c r="T486" s="2">
        <v>8.3333333333333329E-2</v>
      </c>
      <c r="U486">
        <v>1</v>
      </c>
      <c r="V486" t="s">
        <v>7101</v>
      </c>
      <c r="W486" t="s">
        <v>7102</v>
      </c>
      <c r="X486" t="s">
        <v>7103</v>
      </c>
      <c r="Y486" t="s">
        <v>7104</v>
      </c>
      <c r="Z486" t="s">
        <v>7104</v>
      </c>
      <c r="AA486" t="s">
        <v>7104</v>
      </c>
      <c r="AB486" t="s">
        <v>7104</v>
      </c>
      <c r="AC486" t="s">
        <v>7104</v>
      </c>
      <c r="AD486" t="s">
        <v>7104</v>
      </c>
    </row>
    <row r="487" spans="1:30">
      <c r="A487" t="s">
        <v>7105</v>
      </c>
      <c r="B487">
        <v>3</v>
      </c>
      <c r="C487">
        <v>24</v>
      </c>
      <c r="D487">
        <v>2021</v>
      </c>
      <c r="E487" s="1">
        <v>44279</v>
      </c>
      <c r="F487" t="s">
        <v>7106</v>
      </c>
      <c r="G487">
        <v>1</v>
      </c>
      <c r="H487">
        <v>1</v>
      </c>
      <c r="I487">
        <v>2</v>
      </c>
      <c r="J487">
        <v>0</v>
      </c>
      <c r="K487" t="s">
        <v>7107</v>
      </c>
      <c r="L487" t="s">
        <v>7108</v>
      </c>
      <c r="M487" t="s">
        <v>7109</v>
      </c>
      <c r="N487" t="s">
        <v>7110</v>
      </c>
      <c r="O487" t="s">
        <v>7111</v>
      </c>
      <c r="P487" t="s">
        <v>7112</v>
      </c>
      <c r="Q487" t="s">
        <v>7113</v>
      </c>
      <c r="R487" t="s">
        <v>7114</v>
      </c>
      <c r="S487" t="s">
        <v>7115</v>
      </c>
      <c r="T487" s="2">
        <v>0.68055555555555547</v>
      </c>
      <c r="U487">
        <v>1</v>
      </c>
      <c r="V487" t="s">
        <v>7116</v>
      </c>
      <c r="W487" t="s">
        <v>7117</v>
      </c>
      <c r="X487" t="s">
        <v>7118</v>
      </c>
      <c r="Y487" t="s">
        <v>7119</v>
      </c>
      <c r="Z487" t="s">
        <v>7120</v>
      </c>
      <c r="AA487" t="s">
        <v>7120</v>
      </c>
      <c r="AB487" t="s">
        <v>7120</v>
      </c>
      <c r="AC487" t="s">
        <v>7120</v>
      </c>
      <c r="AD487" t="s">
        <v>7120</v>
      </c>
    </row>
    <row r="488" spans="1:30">
      <c r="A488" t="s">
        <v>7121</v>
      </c>
      <c r="B488">
        <v>3</v>
      </c>
      <c r="C488">
        <v>19</v>
      </c>
      <c r="D488">
        <v>2021</v>
      </c>
      <c r="E488" s="1">
        <v>44274</v>
      </c>
      <c r="F488" t="s">
        <v>7122</v>
      </c>
      <c r="G488">
        <v>0</v>
      </c>
      <c r="H488">
        <v>0</v>
      </c>
      <c r="I488">
        <v>0</v>
      </c>
      <c r="J488">
        <v>0</v>
      </c>
      <c r="K488" t="s">
        <v>7123</v>
      </c>
      <c r="L488" t="s">
        <v>7124</v>
      </c>
      <c r="M488" t="s">
        <v>7125</v>
      </c>
      <c r="N488" t="s">
        <v>7126</v>
      </c>
      <c r="O488" t="s">
        <v>7127</v>
      </c>
      <c r="P488" t="s">
        <v>7128</v>
      </c>
      <c r="Q488" t="s">
        <v>7128</v>
      </c>
      <c r="R488" t="s">
        <v>7129</v>
      </c>
      <c r="S488" t="s">
        <v>7130</v>
      </c>
      <c r="T488" s="2">
        <v>0.625</v>
      </c>
      <c r="U488">
        <v>2</v>
      </c>
      <c r="V488" t="s">
        <v>7131</v>
      </c>
      <c r="W488" t="s">
        <v>7132</v>
      </c>
      <c r="X488" t="s">
        <v>7133</v>
      </c>
      <c r="Y488" t="s">
        <v>7134</v>
      </c>
      <c r="Z488" t="s">
        <v>7135</v>
      </c>
      <c r="AA488" t="s">
        <v>7135</v>
      </c>
      <c r="AC488" t="s">
        <v>7135</v>
      </c>
      <c r="AD488" t="s">
        <v>7135</v>
      </c>
    </row>
    <row r="489" spans="1:30">
      <c r="A489" t="s">
        <v>7136</v>
      </c>
      <c r="B489">
        <v>3</v>
      </c>
      <c r="C489">
        <v>18</v>
      </c>
      <c r="D489">
        <v>2021</v>
      </c>
      <c r="E489" s="1">
        <v>44273</v>
      </c>
      <c r="F489" t="s">
        <v>7137</v>
      </c>
      <c r="G489">
        <v>0</v>
      </c>
      <c r="H489">
        <v>0</v>
      </c>
      <c r="I489">
        <v>0</v>
      </c>
      <c r="J489">
        <v>0</v>
      </c>
      <c r="K489" t="s">
        <v>7138</v>
      </c>
      <c r="L489" t="s">
        <v>7139</v>
      </c>
      <c r="M489" t="s">
        <v>7140</v>
      </c>
      <c r="N489" t="s">
        <v>7141</v>
      </c>
      <c r="O489" t="s">
        <v>7142</v>
      </c>
      <c r="P489" t="s">
        <v>7143</v>
      </c>
      <c r="Q489" t="s">
        <v>7144</v>
      </c>
      <c r="R489" t="s">
        <v>7145</v>
      </c>
      <c r="S489" t="s">
        <v>7146</v>
      </c>
      <c r="T489" s="2">
        <v>0.53055555555555556</v>
      </c>
      <c r="U489">
        <v>10</v>
      </c>
      <c r="V489" t="s">
        <v>7147</v>
      </c>
      <c r="W489" t="s">
        <v>7148</v>
      </c>
      <c r="X489" t="s">
        <v>7149</v>
      </c>
      <c r="Y489" t="s">
        <v>7150</v>
      </c>
      <c r="Z489" t="s">
        <v>7150</v>
      </c>
      <c r="AA489" t="s">
        <v>7150</v>
      </c>
      <c r="AB489" t="s">
        <v>7150</v>
      </c>
      <c r="AC489" t="s">
        <v>7151</v>
      </c>
      <c r="AD489" t="s">
        <v>7152</v>
      </c>
    </row>
    <row r="490" spans="1:30">
      <c r="A490" t="s">
        <v>7153</v>
      </c>
      <c r="B490">
        <v>3</v>
      </c>
      <c r="C490">
        <v>15</v>
      </c>
      <c r="D490">
        <v>2021</v>
      </c>
      <c r="E490" s="1">
        <v>44270</v>
      </c>
      <c r="F490" t="s">
        <v>7154</v>
      </c>
      <c r="G490">
        <v>1</v>
      </c>
      <c r="H490">
        <v>1</v>
      </c>
      <c r="I490">
        <v>2</v>
      </c>
      <c r="J490">
        <v>0</v>
      </c>
      <c r="K490" t="s">
        <v>7155</v>
      </c>
      <c r="L490" t="s">
        <v>7156</v>
      </c>
      <c r="M490" t="s">
        <v>7157</v>
      </c>
      <c r="N490" t="s">
        <v>7158</v>
      </c>
      <c r="O490" t="s">
        <v>7159</v>
      </c>
      <c r="P490" t="s">
        <v>7160</v>
      </c>
      <c r="Q490" t="s">
        <v>7161</v>
      </c>
      <c r="R490" t="s">
        <v>7162</v>
      </c>
      <c r="S490" t="s">
        <v>7163</v>
      </c>
      <c r="T490" s="2">
        <v>1.0416666666666666E-2</v>
      </c>
      <c r="U490">
        <v>1</v>
      </c>
      <c r="V490" t="s">
        <v>7164</v>
      </c>
      <c r="W490" t="s">
        <v>7165</v>
      </c>
      <c r="X490" t="s">
        <v>7166</v>
      </c>
      <c r="Y490" t="s">
        <v>7167</v>
      </c>
      <c r="Z490" t="s">
        <v>7168</v>
      </c>
      <c r="AA490" t="s">
        <v>7168</v>
      </c>
      <c r="AB490" t="s">
        <v>7168</v>
      </c>
      <c r="AC490" t="s">
        <v>7168</v>
      </c>
      <c r="AD490" t="s">
        <v>7168</v>
      </c>
    </row>
    <row r="491" spans="1:30">
      <c r="A491" t="s">
        <v>7169</v>
      </c>
      <c r="B491">
        <v>3</v>
      </c>
      <c r="C491">
        <v>13</v>
      </c>
      <c r="D491">
        <v>2021</v>
      </c>
      <c r="E491" s="1">
        <v>44268</v>
      </c>
      <c r="F491" t="s">
        <v>7170</v>
      </c>
      <c r="G491">
        <v>0</v>
      </c>
      <c r="H491">
        <v>1</v>
      </c>
      <c r="I491">
        <v>1</v>
      </c>
      <c r="J491">
        <v>0</v>
      </c>
      <c r="K491" t="s">
        <v>7171</v>
      </c>
      <c r="L491" t="s">
        <v>7172</v>
      </c>
      <c r="M491" t="s">
        <v>7173</v>
      </c>
      <c r="N491" t="s">
        <v>7174</v>
      </c>
      <c r="O491" t="s">
        <v>7175</v>
      </c>
      <c r="P491" t="s">
        <v>7176</v>
      </c>
      <c r="Q491" t="s">
        <v>7177</v>
      </c>
      <c r="R491" t="s">
        <v>7178</v>
      </c>
      <c r="S491" t="s">
        <v>7179</v>
      </c>
      <c r="T491" s="2">
        <v>0.875</v>
      </c>
      <c r="U491">
        <v>1</v>
      </c>
      <c r="V491" t="s">
        <v>7180</v>
      </c>
      <c r="X491" t="s">
        <v>7181</v>
      </c>
      <c r="Y491" t="s">
        <v>7182</v>
      </c>
      <c r="Z491" t="s">
        <v>7182</v>
      </c>
      <c r="AA491" t="s">
        <v>7182</v>
      </c>
      <c r="AB491" t="s">
        <v>7182</v>
      </c>
      <c r="AD491" t="s">
        <v>7182</v>
      </c>
    </row>
    <row r="492" spans="1:30">
      <c r="A492" t="s">
        <v>7183</v>
      </c>
      <c r="B492">
        <v>3</v>
      </c>
      <c r="C492">
        <v>11</v>
      </c>
      <c r="D492">
        <v>2021</v>
      </c>
      <c r="E492" s="1">
        <v>44266</v>
      </c>
      <c r="F492" t="s">
        <v>7184</v>
      </c>
      <c r="G492">
        <v>0</v>
      </c>
      <c r="H492">
        <v>1</v>
      </c>
      <c r="I492">
        <v>1</v>
      </c>
      <c r="J492">
        <v>0</v>
      </c>
      <c r="L492" t="s">
        <v>7185</v>
      </c>
      <c r="M492" t="s">
        <v>7186</v>
      </c>
      <c r="N492" t="s">
        <v>7187</v>
      </c>
      <c r="O492" t="s">
        <v>7188</v>
      </c>
      <c r="P492" t="s">
        <v>7189</v>
      </c>
      <c r="Q492" t="s">
        <v>7190</v>
      </c>
      <c r="R492" t="s">
        <v>7191</v>
      </c>
      <c r="S492" t="s">
        <v>7192</v>
      </c>
      <c r="T492" s="2">
        <v>0.33333333333333331</v>
      </c>
      <c r="U492">
        <v>1</v>
      </c>
      <c r="V492" t="s">
        <v>7193</v>
      </c>
      <c r="X492" t="s">
        <v>7194</v>
      </c>
      <c r="Z492" t="s">
        <v>7195</v>
      </c>
      <c r="AA492" t="s">
        <v>7195</v>
      </c>
      <c r="AB492" t="s">
        <v>7195</v>
      </c>
      <c r="AC492" t="s">
        <v>7195</v>
      </c>
      <c r="AD492" t="s">
        <v>7195</v>
      </c>
    </row>
    <row r="493" spans="1:30">
      <c r="A493" t="s">
        <v>7196</v>
      </c>
      <c r="B493">
        <v>3</v>
      </c>
      <c r="C493">
        <v>9</v>
      </c>
      <c r="D493">
        <v>2021</v>
      </c>
      <c r="E493" s="1">
        <v>44264</v>
      </c>
      <c r="F493" t="s">
        <v>7197</v>
      </c>
      <c r="G493">
        <v>0</v>
      </c>
      <c r="H493">
        <v>0</v>
      </c>
      <c r="I493">
        <v>0</v>
      </c>
      <c r="J493">
        <v>0</v>
      </c>
      <c r="K493" t="s">
        <v>7198</v>
      </c>
      <c r="L493" t="s">
        <v>7199</v>
      </c>
      <c r="M493" t="s">
        <v>7200</v>
      </c>
      <c r="N493" t="s">
        <v>7201</v>
      </c>
      <c r="O493" t="s">
        <v>7202</v>
      </c>
      <c r="P493" t="s">
        <v>7203</v>
      </c>
      <c r="Q493" t="s">
        <v>7204</v>
      </c>
      <c r="R493" t="s">
        <v>7205</v>
      </c>
      <c r="S493" t="s">
        <v>7206</v>
      </c>
      <c r="T493" s="2">
        <v>0.5625</v>
      </c>
      <c r="U493">
        <v>1</v>
      </c>
      <c r="V493" t="s">
        <v>7207</v>
      </c>
      <c r="W493" t="s">
        <v>7208</v>
      </c>
      <c r="X493" t="s">
        <v>7209</v>
      </c>
      <c r="Z493" t="s">
        <v>7210</v>
      </c>
      <c r="AA493" t="s">
        <v>7210</v>
      </c>
      <c r="AB493" t="s">
        <v>7210</v>
      </c>
      <c r="AD493" t="s">
        <v>7210</v>
      </c>
    </row>
    <row r="494" spans="1:30">
      <c r="A494" t="s">
        <v>7211</v>
      </c>
      <c r="B494">
        <v>3</v>
      </c>
      <c r="C494">
        <v>9</v>
      </c>
      <c r="D494">
        <v>2021</v>
      </c>
      <c r="E494" s="1">
        <v>44264</v>
      </c>
      <c r="F494" t="s">
        <v>7212</v>
      </c>
      <c r="G494">
        <v>0</v>
      </c>
      <c r="H494">
        <v>0</v>
      </c>
      <c r="I494">
        <v>0</v>
      </c>
      <c r="J494">
        <v>0</v>
      </c>
      <c r="K494" t="s">
        <v>7213</v>
      </c>
      <c r="L494" t="s">
        <v>7214</v>
      </c>
      <c r="M494" t="s">
        <v>7215</v>
      </c>
      <c r="N494" t="s">
        <v>7216</v>
      </c>
      <c r="O494" t="s">
        <v>7217</v>
      </c>
      <c r="P494" t="s">
        <v>7218</v>
      </c>
      <c r="Q494" t="s">
        <v>7219</v>
      </c>
      <c r="R494" t="s">
        <v>7220</v>
      </c>
      <c r="S494" t="s">
        <v>7221</v>
      </c>
      <c r="T494" s="2">
        <v>0.36805555555555552</v>
      </c>
      <c r="U494">
        <v>1</v>
      </c>
      <c r="V494" t="s">
        <v>7222</v>
      </c>
      <c r="Y494" t="s">
        <v>7223</v>
      </c>
      <c r="Z494" t="s">
        <v>7223</v>
      </c>
      <c r="AA494" t="s">
        <v>7223</v>
      </c>
      <c r="AB494" t="s">
        <v>7223</v>
      </c>
      <c r="AD494" t="s">
        <v>7223</v>
      </c>
    </row>
    <row r="495" spans="1:30">
      <c r="A495" t="s">
        <v>7224</v>
      </c>
      <c r="B495">
        <v>3</v>
      </c>
      <c r="C495">
        <v>8</v>
      </c>
      <c r="D495">
        <v>2021</v>
      </c>
      <c r="E495" s="1">
        <v>44263</v>
      </c>
      <c r="F495" t="s">
        <v>7225</v>
      </c>
      <c r="G495">
        <v>0</v>
      </c>
      <c r="H495">
        <v>1</v>
      </c>
      <c r="I495">
        <v>1</v>
      </c>
      <c r="J495">
        <v>0</v>
      </c>
      <c r="K495" t="s">
        <v>7226</v>
      </c>
      <c r="L495" t="s">
        <v>7227</v>
      </c>
      <c r="M495" t="s">
        <v>7228</v>
      </c>
      <c r="N495" t="s">
        <v>7229</v>
      </c>
      <c r="O495" t="s">
        <v>7230</v>
      </c>
      <c r="P495" t="s">
        <v>7231</v>
      </c>
      <c r="Q495" t="s">
        <v>7232</v>
      </c>
      <c r="R495" t="s">
        <v>7233</v>
      </c>
      <c r="S495" t="s">
        <v>7234</v>
      </c>
      <c r="T495" s="2">
        <v>0.5625</v>
      </c>
      <c r="U495">
        <v>1</v>
      </c>
      <c r="V495" t="s">
        <v>7235</v>
      </c>
      <c r="W495" t="s">
        <v>7236</v>
      </c>
      <c r="X495" t="s">
        <v>7237</v>
      </c>
      <c r="Y495" t="s">
        <v>7238</v>
      </c>
      <c r="Z495" t="s">
        <v>7239</v>
      </c>
      <c r="AA495" t="s">
        <v>7239</v>
      </c>
      <c r="AB495" t="s">
        <v>7239</v>
      </c>
      <c r="AC495" t="s">
        <v>7240</v>
      </c>
      <c r="AD495" t="s">
        <v>7241</v>
      </c>
    </row>
    <row r="496" spans="1:30">
      <c r="A496" t="s">
        <v>7242</v>
      </c>
      <c r="B496">
        <v>3</v>
      </c>
      <c r="C496">
        <v>1</v>
      </c>
      <c r="D496">
        <v>2021</v>
      </c>
      <c r="E496" s="1">
        <v>44256</v>
      </c>
      <c r="F496" t="s">
        <v>7243</v>
      </c>
      <c r="G496">
        <v>1</v>
      </c>
      <c r="H496">
        <v>0</v>
      </c>
      <c r="I496">
        <v>1</v>
      </c>
      <c r="J496">
        <v>0</v>
      </c>
      <c r="K496" t="s">
        <v>7244</v>
      </c>
      <c r="L496" t="s">
        <v>7245</v>
      </c>
      <c r="M496" t="s">
        <v>7246</v>
      </c>
      <c r="N496" t="s">
        <v>7247</v>
      </c>
      <c r="O496" t="s">
        <v>7248</v>
      </c>
      <c r="P496" t="s">
        <v>7249</v>
      </c>
      <c r="Q496" t="s">
        <v>7250</v>
      </c>
      <c r="R496" t="s">
        <v>7251</v>
      </c>
      <c r="S496" t="s">
        <v>7252</v>
      </c>
      <c r="T496" s="2">
        <v>0.41597222222222224</v>
      </c>
      <c r="U496">
        <v>1</v>
      </c>
      <c r="V496" t="s">
        <v>7253</v>
      </c>
      <c r="W496" t="s">
        <v>7254</v>
      </c>
      <c r="X496" t="s">
        <v>7255</v>
      </c>
      <c r="Y496" t="s">
        <v>7256</v>
      </c>
      <c r="Z496" t="s">
        <v>7256</v>
      </c>
      <c r="AA496" t="s">
        <v>7256</v>
      </c>
      <c r="AB496" t="s">
        <v>7256</v>
      </c>
      <c r="AC496" t="s">
        <v>7256</v>
      </c>
      <c r="AD496" t="s">
        <v>7256</v>
      </c>
    </row>
    <row r="497" spans="1:30">
      <c r="A497" t="s">
        <v>7257</v>
      </c>
      <c r="B497">
        <v>2</v>
      </c>
      <c r="C497">
        <v>26</v>
      </c>
      <c r="D497">
        <v>2021</v>
      </c>
      <c r="E497" s="1">
        <v>44253</v>
      </c>
      <c r="F497" t="s">
        <v>7258</v>
      </c>
      <c r="G497">
        <v>1</v>
      </c>
      <c r="H497">
        <v>0</v>
      </c>
      <c r="I497">
        <v>1</v>
      </c>
      <c r="J497">
        <v>0</v>
      </c>
      <c r="K497" t="s">
        <v>7259</v>
      </c>
      <c r="M497" t="s">
        <v>7260</v>
      </c>
      <c r="N497" t="s">
        <v>7261</v>
      </c>
      <c r="O497" t="s">
        <v>7262</v>
      </c>
      <c r="P497" t="s">
        <v>7263</v>
      </c>
      <c r="Q497" t="s">
        <v>7264</v>
      </c>
      <c r="R497" t="s">
        <v>7265</v>
      </c>
      <c r="S497" t="s">
        <v>7266</v>
      </c>
      <c r="T497" s="2">
        <v>0.76041666666666663</v>
      </c>
      <c r="U497">
        <v>1</v>
      </c>
      <c r="V497" t="s">
        <v>7267</v>
      </c>
      <c r="W497" t="s">
        <v>7268</v>
      </c>
      <c r="X497" t="s">
        <v>7269</v>
      </c>
      <c r="Y497" t="s">
        <v>7270</v>
      </c>
      <c r="Z497" t="s">
        <v>7270</v>
      </c>
      <c r="AA497" t="s">
        <v>7270</v>
      </c>
      <c r="AB497" t="s">
        <v>7270</v>
      </c>
      <c r="AC497" t="s">
        <v>7270</v>
      </c>
      <c r="AD497" t="s">
        <v>7270</v>
      </c>
    </row>
    <row r="498" spans="1:30">
      <c r="A498" t="s">
        <v>7271</v>
      </c>
      <c r="B498">
        <v>2</v>
      </c>
      <c r="C498">
        <v>24</v>
      </c>
      <c r="D498">
        <v>2021</v>
      </c>
      <c r="E498" s="1">
        <v>44251</v>
      </c>
      <c r="F498" t="s">
        <v>7272</v>
      </c>
      <c r="G498">
        <v>0</v>
      </c>
      <c r="H498">
        <v>1</v>
      </c>
      <c r="I498">
        <v>1</v>
      </c>
      <c r="J498">
        <v>0</v>
      </c>
      <c r="K498" t="s">
        <v>7273</v>
      </c>
      <c r="L498" t="s">
        <v>7274</v>
      </c>
      <c r="M498" t="s">
        <v>7275</v>
      </c>
      <c r="N498" t="s">
        <v>7276</v>
      </c>
      <c r="O498" t="s">
        <v>7277</v>
      </c>
      <c r="P498" t="s">
        <v>7278</v>
      </c>
      <c r="Q498" t="s">
        <v>7279</v>
      </c>
      <c r="R498" t="s">
        <v>7280</v>
      </c>
      <c r="S498" t="s">
        <v>7281</v>
      </c>
      <c r="T498" s="2">
        <v>0.50694444444444442</v>
      </c>
      <c r="U498">
        <v>1</v>
      </c>
      <c r="V498" t="s">
        <v>7282</v>
      </c>
      <c r="W498" t="s">
        <v>7283</v>
      </c>
      <c r="X498" t="s">
        <v>7284</v>
      </c>
      <c r="Y498" t="s">
        <v>7285</v>
      </c>
      <c r="Z498" t="s">
        <v>7286</v>
      </c>
      <c r="AA498" t="s">
        <v>7286</v>
      </c>
      <c r="AB498" t="s">
        <v>7286</v>
      </c>
      <c r="AC498" t="s">
        <v>7286</v>
      </c>
      <c r="AD498" t="s">
        <v>7286</v>
      </c>
    </row>
    <row r="499" spans="1:30">
      <c r="A499" t="s">
        <v>7287</v>
      </c>
      <c r="B499">
        <v>2</v>
      </c>
      <c r="C499">
        <v>22</v>
      </c>
      <c r="D499">
        <v>2021</v>
      </c>
      <c r="E499" s="1">
        <v>44249</v>
      </c>
      <c r="F499" t="s">
        <v>7288</v>
      </c>
      <c r="G499">
        <v>0</v>
      </c>
      <c r="H499">
        <v>1</v>
      </c>
      <c r="I499">
        <v>1</v>
      </c>
      <c r="J499">
        <v>0</v>
      </c>
      <c r="K499" t="s">
        <v>7289</v>
      </c>
      <c r="L499" t="s">
        <v>7290</v>
      </c>
      <c r="M499" t="s">
        <v>7291</v>
      </c>
      <c r="N499" t="s">
        <v>7292</v>
      </c>
      <c r="O499" t="s">
        <v>7293</v>
      </c>
      <c r="P499" t="s">
        <v>7294</v>
      </c>
      <c r="Q499" t="s">
        <v>7295</v>
      </c>
      <c r="R499" t="s">
        <v>7296</v>
      </c>
      <c r="S499" t="s">
        <v>7297</v>
      </c>
      <c r="T499" s="2">
        <v>0.16666666666666666</v>
      </c>
      <c r="U499">
        <v>1</v>
      </c>
      <c r="V499" t="s">
        <v>7298</v>
      </c>
      <c r="Z499" t="s">
        <v>7299</v>
      </c>
      <c r="AA499" t="s">
        <v>7299</v>
      </c>
      <c r="AB499" t="s">
        <v>7299</v>
      </c>
      <c r="AD499" t="s">
        <v>7299</v>
      </c>
    </row>
    <row r="500" spans="1:30">
      <c r="A500" t="s">
        <v>7300</v>
      </c>
      <c r="B500">
        <v>2</v>
      </c>
      <c r="C500">
        <v>19</v>
      </c>
      <c r="D500">
        <v>2021</v>
      </c>
      <c r="E500" s="1">
        <v>44246</v>
      </c>
      <c r="F500" t="s">
        <v>7301</v>
      </c>
      <c r="G500">
        <v>1</v>
      </c>
      <c r="H500">
        <v>0</v>
      </c>
      <c r="I500">
        <v>1</v>
      </c>
      <c r="J500">
        <v>0</v>
      </c>
      <c r="K500" t="s">
        <v>7302</v>
      </c>
      <c r="L500" t="s">
        <v>7303</v>
      </c>
      <c r="M500" t="s">
        <v>7304</v>
      </c>
      <c r="N500" t="s">
        <v>7305</v>
      </c>
      <c r="O500" t="s">
        <v>7306</v>
      </c>
      <c r="P500" t="s">
        <v>7307</v>
      </c>
      <c r="Q500" t="s">
        <v>7308</v>
      </c>
      <c r="R500" t="s">
        <v>7309</v>
      </c>
      <c r="S500" t="s">
        <v>7310</v>
      </c>
      <c r="T500" s="2">
        <v>0.53472222222222221</v>
      </c>
      <c r="U500">
        <v>1</v>
      </c>
      <c r="V500" t="s">
        <v>7311</v>
      </c>
      <c r="X500" t="s">
        <v>7312</v>
      </c>
      <c r="Z500" t="s">
        <v>7313</v>
      </c>
      <c r="AA500" t="s">
        <v>7313</v>
      </c>
      <c r="AB500" t="s">
        <v>7313</v>
      </c>
      <c r="AD500" t="s">
        <v>7313</v>
      </c>
    </row>
    <row r="501" spans="1:30">
      <c r="A501" t="s">
        <v>7314</v>
      </c>
      <c r="B501">
        <v>2</v>
      </c>
      <c r="C501">
        <v>17</v>
      </c>
      <c r="D501">
        <v>2021</v>
      </c>
      <c r="E501" s="1">
        <v>44244</v>
      </c>
      <c r="F501" t="s">
        <v>7315</v>
      </c>
      <c r="G501">
        <v>0</v>
      </c>
      <c r="H501">
        <v>0</v>
      </c>
      <c r="I501">
        <v>0</v>
      </c>
      <c r="J501">
        <v>0</v>
      </c>
      <c r="K501" t="s">
        <v>7316</v>
      </c>
      <c r="L501" t="s">
        <v>7317</v>
      </c>
      <c r="M501" t="s">
        <v>7318</v>
      </c>
      <c r="N501" t="s">
        <v>7319</v>
      </c>
      <c r="O501" t="s">
        <v>7320</v>
      </c>
      <c r="P501" t="s">
        <v>7321</v>
      </c>
      <c r="Q501" t="s">
        <v>7321</v>
      </c>
      <c r="R501" t="s">
        <v>7322</v>
      </c>
      <c r="S501" t="s">
        <v>7323</v>
      </c>
      <c r="T501" s="2">
        <v>0.61458333333333337</v>
      </c>
      <c r="U501">
        <v>1</v>
      </c>
      <c r="V501" t="s">
        <v>7324</v>
      </c>
      <c r="Y501" t="s">
        <v>7325</v>
      </c>
      <c r="Z501" t="s">
        <v>7325</v>
      </c>
      <c r="AA501" t="s">
        <v>7325</v>
      </c>
      <c r="AB501" t="s">
        <v>7325</v>
      </c>
      <c r="AD501" t="s">
        <v>7325</v>
      </c>
    </row>
    <row r="502" spans="1:30">
      <c r="A502" t="s">
        <v>7326</v>
      </c>
      <c r="B502">
        <v>2</v>
      </c>
      <c r="C502">
        <v>16</v>
      </c>
      <c r="D502">
        <v>2021</v>
      </c>
      <c r="E502" s="1">
        <v>44243</v>
      </c>
      <c r="F502" t="s">
        <v>7327</v>
      </c>
      <c r="G502">
        <v>0</v>
      </c>
      <c r="H502">
        <v>0</v>
      </c>
      <c r="I502">
        <v>0</v>
      </c>
      <c r="J502">
        <v>0</v>
      </c>
      <c r="K502" t="s">
        <v>7328</v>
      </c>
      <c r="L502" t="s">
        <v>7329</v>
      </c>
      <c r="M502" t="s">
        <v>7330</v>
      </c>
      <c r="N502" t="s">
        <v>7331</v>
      </c>
      <c r="O502" t="s">
        <v>7332</v>
      </c>
      <c r="P502" t="s">
        <v>7333</v>
      </c>
      <c r="Q502" t="s">
        <v>7333</v>
      </c>
      <c r="R502" t="s">
        <v>7334</v>
      </c>
      <c r="S502" t="s">
        <v>7335</v>
      </c>
      <c r="T502" s="2">
        <v>0.33333333333333331</v>
      </c>
      <c r="U502">
        <v>1</v>
      </c>
      <c r="V502" t="s">
        <v>7336</v>
      </c>
      <c r="Y502" t="s">
        <v>7337</v>
      </c>
      <c r="Z502" t="s">
        <v>7338</v>
      </c>
      <c r="AA502" t="s">
        <v>7338</v>
      </c>
      <c r="AB502" t="s">
        <v>7338</v>
      </c>
      <c r="AC502" t="s">
        <v>7338</v>
      </c>
      <c r="AD502" t="s">
        <v>7338</v>
      </c>
    </row>
    <row r="503" spans="1:30">
      <c r="A503" t="s">
        <v>7339</v>
      </c>
      <c r="B503">
        <v>2</v>
      </c>
      <c r="C503">
        <v>14</v>
      </c>
      <c r="D503">
        <v>2021</v>
      </c>
      <c r="E503" s="1">
        <v>44241</v>
      </c>
      <c r="F503" t="s">
        <v>7340</v>
      </c>
      <c r="G503">
        <v>2</v>
      </c>
      <c r="H503">
        <v>1</v>
      </c>
      <c r="I503">
        <v>3</v>
      </c>
      <c r="J503">
        <v>0</v>
      </c>
      <c r="K503" t="s">
        <v>7341</v>
      </c>
      <c r="L503" t="s">
        <v>7342</v>
      </c>
      <c r="M503" t="s">
        <v>7343</v>
      </c>
      <c r="N503" t="s">
        <v>7344</v>
      </c>
      <c r="O503" t="s">
        <v>7345</v>
      </c>
      <c r="P503" t="s">
        <v>7346</v>
      </c>
      <c r="Q503" t="s">
        <v>7347</v>
      </c>
      <c r="R503" t="s">
        <v>7348</v>
      </c>
      <c r="S503" t="s">
        <v>7349</v>
      </c>
      <c r="T503" s="2">
        <v>0.9375</v>
      </c>
      <c r="U503">
        <v>1</v>
      </c>
      <c r="V503" t="s">
        <v>7350</v>
      </c>
      <c r="X503" t="s">
        <v>7351</v>
      </c>
      <c r="Z503" t="s">
        <v>7352</v>
      </c>
      <c r="AA503" t="s">
        <v>7352</v>
      </c>
      <c r="AB503" t="s">
        <v>7352</v>
      </c>
      <c r="AD503" t="s">
        <v>7352</v>
      </c>
    </row>
    <row r="504" spans="1:30">
      <c r="A504" t="s">
        <v>7353</v>
      </c>
      <c r="B504">
        <v>2</v>
      </c>
      <c r="C504">
        <v>10</v>
      </c>
      <c r="D504">
        <v>2021</v>
      </c>
      <c r="E504" s="1">
        <v>44237</v>
      </c>
      <c r="F504" t="s">
        <v>7354</v>
      </c>
      <c r="G504">
        <v>0</v>
      </c>
      <c r="H504">
        <v>0</v>
      </c>
      <c r="I504">
        <v>0</v>
      </c>
      <c r="J504">
        <v>0</v>
      </c>
      <c r="K504" t="s">
        <v>7355</v>
      </c>
      <c r="L504" t="s">
        <v>7356</v>
      </c>
      <c r="M504" t="s">
        <v>7357</v>
      </c>
      <c r="N504" t="s">
        <v>7358</v>
      </c>
      <c r="O504" t="s">
        <v>7359</v>
      </c>
      <c r="P504" t="s">
        <v>7360</v>
      </c>
      <c r="Q504" t="s">
        <v>7361</v>
      </c>
      <c r="R504" t="s">
        <v>7362</v>
      </c>
      <c r="S504" t="s">
        <v>7363</v>
      </c>
      <c r="T504" s="2">
        <v>0.50277777777777777</v>
      </c>
      <c r="U504">
        <v>1</v>
      </c>
      <c r="V504" t="s">
        <v>7364</v>
      </c>
      <c r="W504" t="s">
        <v>7365</v>
      </c>
      <c r="X504" t="s">
        <v>7366</v>
      </c>
      <c r="Y504" t="s">
        <v>7367</v>
      </c>
      <c r="Z504" t="s">
        <v>7368</v>
      </c>
      <c r="AA504" t="s">
        <v>7368</v>
      </c>
      <c r="AB504" t="s">
        <v>7368</v>
      </c>
      <c r="AC504" t="s">
        <v>7368</v>
      </c>
      <c r="AD504" t="s">
        <v>7368</v>
      </c>
    </row>
    <row r="505" spans="1:30">
      <c r="A505" t="s">
        <v>7369</v>
      </c>
      <c r="B505">
        <v>2</v>
      </c>
      <c r="C505">
        <v>10</v>
      </c>
      <c r="D505">
        <v>2021</v>
      </c>
      <c r="E505" s="1">
        <v>44237</v>
      </c>
      <c r="F505" t="s">
        <v>7370</v>
      </c>
      <c r="G505">
        <v>1</v>
      </c>
      <c r="H505">
        <v>0</v>
      </c>
      <c r="I505">
        <v>1</v>
      </c>
      <c r="J505">
        <v>0</v>
      </c>
      <c r="K505" t="s">
        <v>7371</v>
      </c>
      <c r="L505" t="s">
        <v>7372</v>
      </c>
      <c r="M505" t="s">
        <v>7373</v>
      </c>
      <c r="N505" t="s">
        <v>7374</v>
      </c>
      <c r="O505" t="s">
        <v>7375</v>
      </c>
      <c r="P505" t="s">
        <v>7376</v>
      </c>
      <c r="Q505" t="s">
        <v>7377</v>
      </c>
      <c r="R505" t="s">
        <v>7378</v>
      </c>
      <c r="S505" t="s">
        <v>7379</v>
      </c>
      <c r="T505" s="2">
        <v>2.0833333333333332E-2</v>
      </c>
      <c r="U505">
        <v>1</v>
      </c>
      <c r="V505" t="s">
        <v>7380</v>
      </c>
      <c r="X505" t="s">
        <v>7381</v>
      </c>
      <c r="Z505" t="s">
        <v>7382</v>
      </c>
      <c r="AA505" t="s">
        <v>7382</v>
      </c>
      <c r="AB505" t="s">
        <v>7382</v>
      </c>
      <c r="AC505" t="s">
        <v>7382</v>
      </c>
      <c r="AD505" t="s">
        <v>7382</v>
      </c>
    </row>
    <row r="506" spans="1:30">
      <c r="A506" t="s">
        <v>7383</v>
      </c>
      <c r="B506">
        <v>2</v>
      </c>
      <c r="C506">
        <v>10</v>
      </c>
      <c r="D506">
        <v>2021</v>
      </c>
      <c r="E506" s="1">
        <v>44237</v>
      </c>
      <c r="F506" t="s">
        <v>7384</v>
      </c>
      <c r="G506">
        <v>1</v>
      </c>
      <c r="H506">
        <v>0</v>
      </c>
      <c r="I506">
        <v>1</v>
      </c>
      <c r="J506">
        <v>0</v>
      </c>
      <c r="K506" t="s">
        <v>7385</v>
      </c>
      <c r="L506" t="s">
        <v>7386</v>
      </c>
      <c r="M506" t="s">
        <v>7387</v>
      </c>
      <c r="N506" t="s">
        <v>7388</v>
      </c>
      <c r="O506" t="s">
        <v>7389</v>
      </c>
      <c r="P506" t="s">
        <v>7390</v>
      </c>
      <c r="Q506" t="s">
        <v>7391</v>
      </c>
      <c r="R506" t="s">
        <v>7392</v>
      </c>
      <c r="S506" t="s">
        <v>7393</v>
      </c>
      <c r="T506" s="2">
        <v>7.7083333333333337E-2</v>
      </c>
      <c r="U506">
        <v>1</v>
      </c>
      <c r="V506" t="s">
        <v>7394</v>
      </c>
      <c r="X506" t="s">
        <v>7395</v>
      </c>
      <c r="Z506" t="s">
        <v>7396</v>
      </c>
      <c r="AA506" t="s">
        <v>7396</v>
      </c>
      <c r="AB506" t="s">
        <v>7396</v>
      </c>
      <c r="AD506" t="s">
        <v>7396</v>
      </c>
    </row>
    <row r="507" spans="1:30">
      <c r="A507" t="s">
        <v>7397</v>
      </c>
      <c r="B507">
        <v>2</v>
      </c>
      <c r="C507">
        <v>8</v>
      </c>
      <c r="D507">
        <v>2021</v>
      </c>
      <c r="E507" s="1">
        <v>44235</v>
      </c>
      <c r="F507" t="s">
        <v>7398</v>
      </c>
      <c r="G507">
        <v>0</v>
      </c>
      <c r="H507">
        <v>0</v>
      </c>
      <c r="I507">
        <v>0</v>
      </c>
      <c r="J507">
        <v>0</v>
      </c>
      <c r="K507" t="s">
        <v>7399</v>
      </c>
      <c r="L507" t="s">
        <v>7400</v>
      </c>
      <c r="M507" t="s">
        <v>7401</v>
      </c>
      <c r="N507" t="s">
        <v>7402</v>
      </c>
      <c r="P507" t="s">
        <v>7403</v>
      </c>
      <c r="Q507" t="s">
        <v>7403</v>
      </c>
      <c r="R507" t="s">
        <v>7404</v>
      </c>
      <c r="S507" t="s">
        <v>7405</v>
      </c>
      <c r="T507" s="2">
        <v>0.6645833333333333</v>
      </c>
      <c r="U507">
        <v>1</v>
      </c>
      <c r="V507" t="s">
        <v>7406</v>
      </c>
      <c r="W507" t="s">
        <v>7407</v>
      </c>
      <c r="X507" t="s">
        <v>7408</v>
      </c>
      <c r="Z507" t="s">
        <v>7409</v>
      </c>
      <c r="AA507" t="s">
        <v>7409</v>
      </c>
      <c r="AB507" t="s">
        <v>7409</v>
      </c>
      <c r="AC507" t="s">
        <v>7409</v>
      </c>
      <c r="AD507" t="s">
        <v>7409</v>
      </c>
    </row>
    <row r="508" spans="1:30">
      <c r="A508" t="s">
        <v>7410</v>
      </c>
      <c r="B508">
        <v>2</v>
      </c>
      <c r="C508">
        <v>5</v>
      </c>
      <c r="D508">
        <v>2021</v>
      </c>
      <c r="E508" s="1">
        <v>44232</v>
      </c>
      <c r="F508" t="s">
        <v>7411</v>
      </c>
      <c r="G508">
        <v>0</v>
      </c>
      <c r="H508">
        <v>1</v>
      </c>
      <c r="I508">
        <v>1</v>
      </c>
      <c r="J508">
        <v>0</v>
      </c>
      <c r="K508" t="s">
        <v>7412</v>
      </c>
      <c r="L508" t="s">
        <v>7413</v>
      </c>
      <c r="M508" t="s">
        <v>7414</v>
      </c>
      <c r="N508" t="s">
        <v>7415</v>
      </c>
      <c r="O508" t="s">
        <v>7416</v>
      </c>
      <c r="P508" t="s">
        <v>7417</v>
      </c>
      <c r="Q508" t="s">
        <v>7418</v>
      </c>
      <c r="R508" t="s">
        <v>7419</v>
      </c>
      <c r="S508" t="s">
        <v>7420</v>
      </c>
      <c r="T508" s="2">
        <v>0.70833333333333337</v>
      </c>
      <c r="V508" t="s">
        <v>7421</v>
      </c>
      <c r="X508" t="s">
        <v>7422</v>
      </c>
      <c r="Z508" t="s">
        <v>7423</v>
      </c>
      <c r="AA508" t="s">
        <v>7423</v>
      </c>
      <c r="AB508" t="s">
        <v>7423</v>
      </c>
      <c r="AC508" t="s">
        <v>7423</v>
      </c>
      <c r="AD508" t="s">
        <v>7423</v>
      </c>
    </row>
    <row r="509" spans="1:30">
      <c r="A509" t="s">
        <v>7424</v>
      </c>
      <c r="B509">
        <v>2</v>
      </c>
      <c r="C509">
        <v>1</v>
      </c>
      <c r="D509">
        <v>2021</v>
      </c>
      <c r="E509" s="1">
        <v>44228</v>
      </c>
      <c r="F509" t="s">
        <v>7425</v>
      </c>
      <c r="G509">
        <v>0</v>
      </c>
      <c r="H509">
        <v>1</v>
      </c>
      <c r="I509">
        <v>1</v>
      </c>
      <c r="J509">
        <v>0</v>
      </c>
      <c r="K509" t="s">
        <v>7426</v>
      </c>
      <c r="L509" t="s">
        <v>7427</v>
      </c>
      <c r="M509" t="s">
        <v>7428</v>
      </c>
      <c r="N509" t="s">
        <v>7429</v>
      </c>
      <c r="O509" t="s">
        <v>7430</v>
      </c>
      <c r="P509" t="s">
        <v>7431</v>
      </c>
      <c r="Q509" t="s">
        <v>7432</v>
      </c>
      <c r="R509" t="s">
        <v>7433</v>
      </c>
      <c r="S509" t="s">
        <v>7434</v>
      </c>
      <c r="T509" s="2">
        <v>0.95833333333333337</v>
      </c>
      <c r="U509">
        <v>1</v>
      </c>
      <c r="V509" t="s">
        <v>7435</v>
      </c>
      <c r="W509" t="s">
        <v>7436</v>
      </c>
      <c r="X509" t="s">
        <v>7437</v>
      </c>
      <c r="Y509" t="s">
        <v>7438</v>
      </c>
      <c r="Z509" t="s">
        <v>7438</v>
      </c>
      <c r="AA509" t="s">
        <v>7438</v>
      </c>
      <c r="AB509" t="s">
        <v>7438</v>
      </c>
      <c r="AC509" t="s">
        <v>7438</v>
      </c>
      <c r="AD509" t="s">
        <v>7438</v>
      </c>
    </row>
    <row r="510" spans="1:30">
      <c r="A510" t="s">
        <v>7439</v>
      </c>
      <c r="B510">
        <v>1</v>
      </c>
      <c r="C510">
        <v>27</v>
      </c>
      <c r="D510">
        <v>2021</v>
      </c>
      <c r="E510" s="1">
        <v>44223</v>
      </c>
      <c r="F510" t="s">
        <v>7440</v>
      </c>
      <c r="G510">
        <v>0</v>
      </c>
      <c r="H510">
        <v>0</v>
      </c>
      <c r="I510">
        <v>0</v>
      </c>
      <c r="J510">
        <v>0</v>
      </c>
      <c r="K510" t="s">
        <v>7441</v>
      </c>
      <c r="L510" t="s">
        <v>7442</v>
      </c>
      <c r="M510" t="s">
        <v>7443</v>
      </c>
      <c r="N510" t="s">
        <v>7444</v>
      </c>
      <c r="O510" t="s">
        <v>7445</v>
      </c>
      <c r="P510" t="s">
        <v>7446</v>
      </c>
      <c r="Q510" t="s">
        <v>7447</v>
      </c>
      <c r="R510" t="s">
        <v>7448</v>
      </c>
      <c r="S510" t="s">
        <v>7449</v>
      </c>
      <c r="U510">
        <v>1</v>
      </c>
      <c r="V510" t="s">
        <v>7450</v>
      </c>
      <c r="X510" t="s">
        <v>7451</v>
      </c>
      <c r="Y510" t="s">
        <v>7452</v>
      </c>
      <c r="Z510" t="s">
        <v>7453</v>
      </c>
      <c r="AA510" t="s">
        <v>7453</v>
      </c>
      <c r="AC510" t="s">
        <v>7453</v>
      </c>
      <c r="AD510" t="s">
        <v>7453</v>
      </c>
    </row>
    <row r="511" spans="1:30">
      <c r="A511" t="s">
        <v>7454</v>
      </c>
      <c r="B511">
        <v>1</v>
      </c>
      <c r="C511">
        <v>27</v>
      </c>
      <c r="D511">
        <v>2021</v>
      </c>
      <c r="E511" s="1">
        <v>44223</v>
      </c>
      <c r="F511" t="s">
        <v>7455</v>
      </c>
      <c r="G511">
        <v>0</v>
      </c>
      <c r="H511">
        <v>0</v>
      </c>
      <c r="I511">
        <v>0</v>
      </c>
      <c r="J511">
        <v>0</v>
      </c>
      <c r="K511" t="s">
        <v>7456</v>
      </c>
      <c r="L511" t="s">
        <v>7457</v>
      </c>
      <c r="M511" t="s">
        <v>7458</v>
      </c>
      <c r="N511" t="s">
        <v>7459</v>
      </c>
      <c r="O511" t="s">
        <v>7460</v>
      </c>
      <c r="P511" t="s">
        <v>7461</v>
      </c>
      <c r="Q511" t="s">
        <v>7462</v>
      </c>
      <c r="R511" t="s">
        <v>7463</v>
      </c>
      <c r="S511" t="s">
        <v>7464</v>
      </c>
      <c r="T511" s="2">
        <v>0.33333333333333331</v>
      </c>
      <c r="U511">
        <v>21</v>
      </c>
      <c r="V511" t="s">
        <v>7465</v>
      </c>
      <c r="X511" t="s">
        <v>7466</v>
      </c>
      <c r="Y511" t="s">
        <v>7467</v>
      </c>
      <c r="Z511" t="s">
        <v>7467</v>
      </c>
      <c r="AA511" t="s">
        <v>7467</v>
      </c>
      <c r="AB511" t="s">
        <v>7467</v>
      </c>
      <c r="AC511" t="s">
        <v>7467</v>
      </c>
      <c r="AD511" t="s">
        <v>7467</v>
      </c>
    </row>
    <row r="512" spans="1:30">
      <c r="A512" t="s">
        <v>7468</v>
      </c>
      <c r="B512">
        <v>1</v>
      </c>
      <c r="C512">
        <v>21</v>
      </c>
      <c r="D512">
        <v>2021</v>
      </c>
      <c r="E512" s="1">
        <v>44217</v>
      </c>
      <c r="F512" t="s">
        <v>7469</v>
      </c>
      <c r="G512">
        <v>0</v>
      </c>
      <c r="H512">
        <v>0</v>
      </c>
      <c r="I512">
        <v>0</v>
      </c>
      <c r="J512">
        <v>0</v>
      </c>
      <c r="K512" t="s">
        <v>7470</v>
      </c>
      <c r="L512" t="s">
        <v>7471</v>
      </c>
      <c r="M512" t="s">
        <v>7472</v>
      </c>
      <c r="N512" t="s">
        <v>7473</v>
      </c>
      <c r="O512" t="s">
        <v>7474</v>
      </c>
      <c r="P512" t="s">
        <v>7475</v>
      </c>
      <c r="Q512" t="s">
        <v>7476</v>
      </c>
      <c r="R512" t="s">
        <v>7477</v>
      </c>
      <c r="S512" t="s">
        <v>7478</v>
      </c>
      <c r="T512" s="2">
        <v>0.625</v>
      </c>
      <c r="U512">
        <v>1</v>
      </c>
      <c r="V512" t="s">
        <v>7479</v>
      </c>
      <c r="W512" t="s">
        <v>7480</v>
      </c>
      <c r="X512" t="s">
        <v>7481</v>
      </c>
      <c r="Y512" t="s">
        <v>7482</v>
      </c>
      <c r="Z512" t="s">
        <v>7482</v>
      </c>
      <c r="AA512" t="s">
        <v>7482</v>
      </c>
      <c r="AB512" t="s">
        <v>7482</v>
      </c>
      <c r="AC512" t="s">
        <v>7482</v>
      </c>
      <c r="AD512" t="s">
        <v>7482</v>
      </c>
    </row>
    <row r="513" spans="1:30">
      <c r="A513" t="s">
        <v>7483</v>
      </c>
      <c r="B513">
        <v>1</v>
      </c>
      <c r="C513">
        <v>21</v>
      </c>
      <c r="D513">
        <v>2021</v>
      </c>
      <c r="E513" s="1">
        <v>44217</v>
      </c>
      <c r="F513" t="s">
        <v>7484</v>
      </c>
      <c r="G513">
        <v>0</v>
      </c>
      <c r="H513">
        <v>1</v>
      </c>
      <c r="I513">
        <v>1</v>
      </c>
      <c r="J513">
        <v>0</v>
      </c>
      <c r="K513" t="s">
        <v>7485</v>
      </c>
      <c r="L513" t="s">
        <v>7486</v>
      </c>
      <c r="M513" t="s">
        <v>7487</v>
      </c>
      <c r="N513" t="s">
        <v>7488</v>
      </c>
      <c r="O513" t="s">
        <v>7489</v>
      </c>
      <c r="P513" t="s">
        <v>7490</v>
      </c>
      <c r="Q513" t="s">
        <v>7491</v>
      </c>
      <c r="R513" t="s">
        <v>7492</v>
      </c>
      <c r="S513" t="s">
        <v>7493</v>
      </c>
      <c r="T513" s="2">
        <v>0.8125</v>
      </c>
      <c r="U513">
        <v>1</v>
      </c>
      <c r="V513" t="s">
        <v>7494</v>
      </c>
      <c r="W513" t="s">
        <v>7495</v>
      </c>
      <c r="X513" t="s">
        <v>7496</v>
      </c>
      <c r="Y513" t="s">
        <v>7497</v>
      </c>
      <c r="Z513" t="s">
        <v>7497</v>
      </c>
      <c r="AA513" t="s">
        <v>7497</v>
      </c>
      <c r="AB513" t="s">
        <v>7497</v>
      </c>
      <c r="AC513" t="s">
        <v>7497</v>
      </c>
      <c r="AD513" t="s">
        <v>7497</v>
      </c>
    </row>
    <row r="514" spans="1:30">
      <c r="A514" t="s">
        <v>7498</v>
      </c>
      <c r="B514">
        <v>1</v>
      </c>
      <c r="C514">
        <v>14</v>
      </c>
      <c r="D514">
        <v>2021</v>
      </c>
      <c r="E514" s="1">
        <v>44210</v>
      </c>
      <c r="F514" t="s">
        <v>7499</v>
      </c>
      <c r="G514">
        <v>1</v>
      </c>
      <c r="H514">
        <v>0</v>
      </c>
      <c r="I514">
        <v>1</v>
      </c>
      <c r="J514">
        <v>0</v>
      </c>
      <c r="K514" t="s">
        <v>7500</v>
      </c>
      <c r="L514" t="s">
        <v>7501</v>
      </c>
      <c r="M514" t="s">
        <v>7502</v>
      </c>
      <c r="N514" t="s">
        <v>7503</v>
      </c>
      <c r="O514" t="s">
        <v>7504</v>
      </c>
      <c r="P514" t="s">
        <v>7505</v>
      </c>
      <c r="Q514" t="s">
        <v>7506</v>
      </c>
      <c r="R514" t="s">
        <v>7507</v>
      </c>
      <c r="S514" t="s">
        <v>7508</v>
      </c>
      <c r="T514" s="2">
        <v>0.2361111111111111</v>
      </c>
      <c r="U514">
        <v>1</v>
      </c>
      <c r="V514" t="s">
        <v>7509</v>
      </c>
      <c r="X514" t="s">
        <v>7510</v>
      </c>
      <c r="Z514" t="s">
        <v>7511</v>
      </c>
      <c r="AA514" t="s">
        <v>7511</v>
      </c>
      <c r="AB514" t="s">
        <v>7511</v>
      </c>
      <c r="AC514" t="s">
        <v>7511</v>
      </c>
      <c r="AD514" t="s">
        <v>7511</v>
      </c>
    </row>
    <row r="515" spans="1:30">
      <c r="A515" t="s">
        <v>7512</v>
      </c>
      <c r="B515">
        <v>1</v>
      </c>
      <c r="C515">
        <v>10</v>
      </c>
      <c r="D515">
        <v>2021</v>
      </c>
      <c r="E515" s="1">
        <v>44206</v>
      </c>
      <c r="F515" t="s">
        <v>7513</v>
      </c>
      <c r="G515">
        <v>0</v>
      </c>
      <c r="H515">
        <v>2</v>
      </c>
      <c r="I515">
        <v>2</v>
      </c>
      <c r="J515">
        <v>0</v>
      </c>
      <c r="K515" t="s">
        <v>7514</v>
      </c>
      <c r="L515" t="s">
        <v>7515</v>
      </c>
      <c r="M515" t="s">
        <v>7516</v>
      </c>
      <c r="N515" t="s">
        <v>7517</v>
      </c>
      <c r="O515" t="s">
        <v>7518</v>
      </c>
      <c r="P515" t="s">
        <v>7519</v>
      </c>
      <c r="Q515" t="s">
        <v>7520</v>
      </c>
      <c r="R515" t="s">
        <v>7521</v>
      </c>
      <c r="S515" t="s">
        <v>7522</v>
      </c>
      <c r="T515" s="2">
        <v>0.63680555555555551</v>
      </c>
      <c r="U515">
        <v>1</v>
      </c>
      <c r="V515" t="s">
        <v>7523</v>
      </c>
      <c r="X515" t="s">
        <v>7524</v>
      </c>
      <c r="Y515" t="s">
        <v>7525</v>
      </c>
      <c r="Z515" t="s">
        <v>7525</v>
      </c>
      <c r="AA515" t="s">
        <v>7525</v>
      </c>
      <c r="AB515" t="s">
        <v>7525</v>
      </c>
      <c r="AD515" t="s">
        <v>7525</v>
      </c>
    </row>
    <row r="516" spans="1:30">
      <c r="A516" t="s">
        <v>7526</v>
      </c>
      <c r="B516">
        <v>1</v>
      </c>
      <c r="C516">
        <v>4</v>
      </c>
      <c r="D516">
        <v>2021</v>
      </c>
      <c r="E516" s="1">
        <v>44200</v>
      </c>
      <c r="F516" t="s">
        <v>7527</v>
      </c>
      <c r="G516">
        <v>0</v>
      </c>
      <c r="H516">
        <v>0</v>
      </c>
      <c r="I516">
        <v>0</v>
      </c>
      <c r="J516">
        <v>0</v>
      </c>
      <c r="K516" t="s">
        <v>7528</v>
      </c>
      <c r="L516" t="s">
        <v>7529</v>
      </c>
      <c r="M516" t="s">
        <v>7530</v>
      </c>
      <c r="N516" t="s">
        <v>7531</v>
      </c>
      <c r="O516" t="s">
        <v>7532</v>
      </c>
      <c r="P516" t="s">
        <v>7533</v>
      </c>
      <c r="Q516" t="s">
        <v>7534</v>
      </c>
      <c r="R516" t="s">
        <v>7535</v>
      </c>
      <c r="S516" t="s">
        <v>7536</v>
      </c>
      <c r="U516">
        <v>1</v>
      </c>
      <c r="V516" t="s">
        <v>7537</v>
      </c>
      <c r="W516" t="s">
        <v>7538</v>
      </c>
      <c r="X516" t="s">
        <v>7539</v>
      </c>
      <c r="Y516" t="s">
        <v>7540</v>
      </c>
      <c r="Z516" t="s">
        <v>7540</v>
      </c>
      <c r="AA516" t="s">
        <v>7540</v>
      </c>
      <c r="AB516" t="s">
        <v>7540</v>
      </c>
      <c r="AC516" t="s">
        <v>7540</v>
      </c>
      <c r="AD516" t="s">
        <v>7540</v>
      </c>
    </row>
    <row r="517" spans="1:30">
      <c r="A517" t="s">
        <v>7541</v>
      </c>
      <c r="B517">
        <v>12</v>
      </c>
      <c r="C517">
        <v>29</v>
      </c>
      <c r="D517">
        <v>2020</v>
      </c>
      <c r="E517" s="1">
        <v>44194</v>
      </c>
      <c r="F517" t="s">
        <v>7542</v>
      </c>
      <c r="G517">
        <v>0</v>
      </c>
      <c r="H517">
        <v>2</v>
      </c>
      <c r="I517">
        <v>2</v>
      </c>
      <c r="J517">
        <v>0</v>
      </c>
      <c r="K517" t="s">
        <v>7543</v>
      </c>
      <c r="L517" t="s">
        <v>7544</v>
      </c>
      <c r="M517" t="s">
        <v>7545</v>
      </c>
      <c r="N517" t="s">
        <v>7546</v>
      </c>
      <c r="O517" t="s">
        <v>7547</v>
      </c>
      <c r="P517" t="s">
        <v>7548</v>
      </c>
      <c r="Q517" t="s">
        <v>7549</v>
      </c>
      <c r="R517" t="s">
        <v>7550</v>
      </c>
      <c r="S517" t="s">
        <v>7551</v>
      </c>
      <c r="T517" s="2">
        <v>0.72916666666666674</v>
      </c>
      <c r="U517">
        <v>1</v>
      </c>
      <c r="V517" t="s">
        <v>7552</v>
      </c>
      <c r="W517" t="s">
        <v>7553</v>
      </c>
      <c r="X517" t="s">
        <v>7554</v>
      </c>
      <c r="Z517" t="s">
        <v>7555</v>
      </c>
      <c r="AA517" t="s">
        <v>7555</v>
      </c>
      <c r="AB517" t="s">
        <v>7555</v>
      </c>
      <c r="AC517" t="s">
        <v>7555</v>
      </c>
      <c r="AD517" t="s">
        <v>7555</v>
      </c>
    </row>
    <row r="518" spans="1:30">
      <c r="A518" t="s">
        <v>7556</v>
      </c>
      <c r="B518">
        <v>12</v>
      </c>
      <c r="C518">
        <v>25</v>
      </c>
      <c r="D518">
        <v>2020</v>
      </c>
      <c r="E518" s="1">
        <v>44190</v>
      </c>
      <c r="F518" t="s">
        <v>7557</v>
      </c>
      <c r="G518">
        <v>0</v>
      </c>
      <c r="H518">
        <v>0</v>
      </c>
      <c r="I518">
        <v>0</v>
      </c>
      <c r="J518">
        <v>0</v>
      </c>
      <c r="K518" t="s">
        <v>7558</v>
      </c>
      <c r="L518" t="s">
        <v>7559</v>
      </c>
      <c r="M518" t="s">
        <v>7560</v>
      </c>
      <c r="N518" t="s">
        <v>7561</v>
      </c>
      <c r="O518" t="s">
        <v>7562</v>
      </c>
      <c r="P518" t="s">
        <v>7563</v>
      </c>
      <c r="Q518" t="s">
        <v>7564</v>
      </c>
      <c r="R518" t="s">
        <v>7565</v>
      </c>
      <c r="S518" t="s">
        <v>7566</v>
      </c>
      <c r="T518" s="2">
        <v>0.95833333333333337</v>
      </c>
      <c r="U518">
        <v>1</v>
      </c>
      <c r="V518" t="s">
        <v>7567</v>
      </c>
      <c r="Y518" t="s">
        <v>7568</v>
      </c>
      <c r="Z518" t="s">
        <v>7568</v>
      </c>
      <c r="AA518" t="s">
        <v>7568</v>
      </c>
      <c r="AC518" t="s">
        <v>7568</v>
      </c>
      <c r="AD518" t="s">
        <v>7568</v>
      </c>
    </row>
    <row r="519" spans="1:30">
      <c r="A519" t="s">
        <v>7569</v>
      </c>
      <c r="B519">
        <v>12</v>
      </c>
      <c r="C519">
        <v>16</v>
      </c>
      <c r="D519">
        <v>2020</v>
      </c>
      <c r="E519" s="1">
        <v>44181</v>
      </c>
      <c r="F519" t="s">
        <v>7570</v>
      </c>
      <c r="G519">
        <v>1</v>
      </c>
      <c r="H519">
        <v>0</v>
      </c>
      <c r="I519">
        <v>1</v>
      </c>
      <c r="J519">
        <v>0</v>
      </c>
      <c r="K519" t="s">
        <v>7571</v>
      </c>
      <c r="L519" t="s">
        <v>7572</v>
      </c>
      <c r="M519" t="s">
        <v>7573</v>
      </c>
      <c r="N519" t="s">
        <v>7574</v>
      </c>
      <c r="O519" t="s">
        <v>7575</v>
      </c>
      <c r="P519" t="s">
        <v>7576</v>
      </c>
      <c r="Q519" t="s">
        <v>7577</v>
      </c>
      <c r="R519" t="s">
        <v>7578</v>
      </c>
      <c r="S519" t="s">
        <v>7579</v>
      </c>
      <c r="T519" s="2">
        <v>0.97916666666666674</v>
      </c>
      <c r="U519">
        <v>1</v>
      </c>
      <c r="V519" t="s">
        <v>7580</v>
      </c>
      <c r="X519" t="s">
        <v>7581</v>
      </c>
      <c r="Z519" t="s">
        <v>7582</v>
      </c>
      <c r="AA519" t="s">
        <v>7582</v>
      </c>
      <c r="AB519" t="s">
        <v>7582</v>
      </c>
      <c r="AC519" t="s">
        <v>7582</v>
      </c>
      <c r="AD519" t="s">
        <v>7582</v>
      </c>
    </row>
    <row r="520" spans="1:30">
      <c r="A520" t="s">
        <v>7583</v>
      </c>
      <c r="B520">
        <v>12</v>
      </c>
      <c r="C520">
        <v>11</v>
      </c>
      <c r="D520">
        <v>2020</v>
      </c>
      <c r="E520" s="1">
        <v>44176</v>
      </c>
      <c r="F520" t="s">
        <v>7584</v>
      </c>
      <c r="G520">
        <v>0</v>
      </c>
      <c r="H520">
        <v>0</v>
      </c>
      <c r="I520">
        <v>0</v>
      </c>
      <c r="J520">
        <v>0</v>
      </c>
      <c r="K520" t="s">
        <v>7585</v>
      </c>
      <c r="L520" t="s">
        <v>7586</v>
      </c>
      <c r="M520" t="s">
        <v>7587</v>
      </c>
      <c r="N520" t="s">
        <v>7588</v>
      </c>
      <c r="O520" t="s">
        <v>7589</v>
      </c>
      <c r="P520" t="s">
        <v>7590</v>
      </c>
      <c r="Q520" t="s">
        <v>7591</v>
      </c>
      <c r="R520" t="s">
        <v>7592</v>
      </c>
      <c r="S520" t="s">
        <v>7593</v>
      </c>
      <c r="T520" s="2">
        <v>0.69305555555555554</v>
      </c>
      <c r="U520">
        <v>1</v>
      </c>
      <c r="V520" t="s">
        <v>7594</v>
      </c>
      <c r="Z520" t="s">
        <v>7595</v>
      </c>
      <c r="AA520" t="s">
        <v>7595</v>
      </c>
      <c r="AB520" t="s">
        <v>7595</v>
      </c>
      <c r="AC520" t="s">
        <v>7595</v>
      </c>
      <c r="AD520" t="s">
        <v>7595</v>
      </c>
    </row>
    <row r="521" spans="1:30">
      <c r="A521" t="s">
        <v>7596</v>
      </c>
      <c r="B521">
        <v>12</v>
      </c>
      <c r="C521">
        <v>6</v>
      </c>
      <c r="D521">
        <v>2020</v>
      </c>
      <c r="E521" s="1">
        <v>44171</v>
      </c>
      <c r="F521" t="s">
        <v>7597</v>
      </c>
      <c r="G521">
        <v>1</v>
      </c>
      <c r="H521">
        <v>0</v>
      </c>
      <c r="I521">
        <v>1</v>
      </c>
      <c r="J521">
        <v>0</v>
      </c>
      <c r="K521" t="s">
        <v>7598</v>
      </c>
      <c r="L521" t="s">
        <v>7599</v>
      </c>
      <c r="M521" t="s">
        <v>7600</v>
      </c>
      <c r="N521" t="s">
        <v>7601</v>
      </c>
      <c r="O521" t="s">
        <v>7602</v>
      </c>
      <c r="P521" t="s">
        <v>7603</v>
      </c>
      <c r="Q521" t="s">
        <v>7604</v>
      </c>
      <c r="R521" t="s">
        <v>7605</v>
      </c>
      <c r="S521" t="s">
        <v>7606</v>
      </c>
      <c r="U521">
        <v>1</v>
      </c>
      <c r="V521" t="s">
        <v>7607</v>
      </c>
      <c r="Z521" t="s">
        <v>7608</v>
      </c>
      <c r="AA521" t="s">
        <v>7608</v>
      </c>
      <c r="AB521" t="s">
        <v>7608</v>
      </c>
      <c r="AC521" t="s">
        <v>7608</v>
      </c>
      <c r="AD521" t="s">
        <v>7608</v>
      </c>
    </row>
    <row r="522" spans="1:30">
      <c r="A522" t="s">
        <v>7609</v>
      </c>
      <c r="B522">
        <v>11</v>
      </c>
      <c r="C522">
        <v>25</v>
      </c>
      <c r="D522">
        <v>2020</v>
      </c>
      <c r="E522" s="1">
        <v>44160</v>
      </c>
      <c r="F522" t="s">
        <v>7610</v>
      </c>
      <c r="G522">
        <v>0</v>
      </c>
      <c r="H522">
        <v>1</v>
      </c>
      <c r="I522">
        <v>1</v>
      </c>
      <c r="J522">
        <v>0</v>
      </c>
      <c r="K522" t="s">
        <v>7611</v>
      </c>
      <c r="L522" t="s">
        <v>7612</v>
      </c>
      <c r="M522" t="s">
        <v>7613</v>
      </c>
      <c r="N522" t="s">
        <v>7614</v>
      </c>
      <c r="O522" t="s">
        <v>7615</v>
      </c>
      <c r="P522" t="s">
        <v>7616</v>
      </c>
      <c r="Q522" t="s">
        <v>7617</v>
      </c>
      <c r="R522" t="s">
        <v>7618</v>
      </c>
      <c r="S522" t="s">
        <v>7619</v>
      </c>
      <c r="T522" s="2">
        <v>0.32291666666666669</v>
      </c>
      <c r="U522">
        <v>1</v>
      </c>
      <c r="V522" t="s">
        <v>7620</v>
      </c>
      <c r="X522" t="s">
        <v>7621</v>
      </c>
      <c r="Y522" t="s">
        <v>7622</v>
      </c>
      <c r="Z522" t="s">
        <v>7622</v>
      </c>
      <c r="AA522" t="s">
        <v>7622</v>
      </c>
      <c r="AD522" t="s">
        <v>7622</v>
      </c>
    </row>
    <row r="523" spans="1:30">
      <c r="A523" t="s">
        <v>7623</v>
      </c>
      <c r="B523">
        <v>11</v>
      </c>
      <c r="C523">
        <v>25</v>
      </c>
      <c r="D523">
        <v>2020</v>
      </c>
      <c r="E523" s="1">
        <v>44160</v>
      </c>
      <c r="F523" t="s">
        <v>7624</v>
      </c>
      <c r="G523">
        <v>0</v>
      </c>
      <c r="H523">
        <v>1</v>
      </c>
      <c r="I523">
        <v>1</v>
      </c>
      <c r="J523">
        <v>0</v>
      </c>
      <c r="K523" t="s">
        <v>7625</v>
      </c>
      <c r="L523" t="s">
        <v>7626</v>
      </c>
      <c r="M523" t="s">
        <v>7627</v>
      </c>
      <c r="N523" t="s">
        <v>7628</v>
      </c>
      <c r="O523" t="s">
        <v>7629</v>
      </c>
      <c r="P523" t="s">
        <v>7630</v>
      </c>
      <c r="Q523" t="s">
        <v>7631</v>
      </c>
      <c r="R523" t="s">
        <v>7632</v>
      </c>
      <c r="S523" t="s">
        <v>7633</v>
      </c>
      <c r="T523" s="2">
        <v>0.53125</v>
      </c>
      <c r="U523">
        <v>1</v>
      </c>
      <c r="V523" t="s">
        <v>7634</v>
      </c>
      <c r="W523" t="s">
        <v>7635</v>
      </c>
      <c r="X523" t="s">
        <v>7636</v>
      </c>
      <c r="Y523" t="s">
        <v>7637</v>
      </c>
      <c r="Z523" t="s">
        <v>7637</v>
      </c>
      <c r="AA523" t="s">
        <v>7637</v>
      </c>
      <c r="AB523" t="s">
        <v>7637</v>
      </c>
      <c r="AC523" t="s">
        <v>7638</v>
      </c>
      <c r="AD523" t="s">
        <v>7639</v>
      </c>
    </row>
    <row r="524" spans="1:30">
      <c r="A524" t="s">
        <v>7640</v>
      </c>
      <c r="B524">
        <v>11</v>
      </c>
      <c r="C524">
        <v>17</v>
      </c>
      <c r="D524">
        <v>2020</v>
      </c>
      <c r="E524" s="1">
        <v>44152</v>
      </c>
      <c r="F524" t="s">
        <v>7641</v>
      </c>
      <c r="G524">
        <v>0</v>
      </c>
      <c r="H524">
        <v>0</v>
      </c>
      <c r="I524">
        <v>0</v>
      </c>
      <c r="J524">
        <v>0</v>
      </c>
      <c r="K524" t="s">
        <v>7642</v>
      </c>
      <c r="L524" t="s">
        <v>7643</v>
      </c>
      <c r="M524" t="s">
        <v>7644</v>
      </c>
      <c r="N524" t="s">
        <v>7645</v>
      </c>
      <c r="O524" t="s">
        <v>7646</v>
      </c>
      <c r="P524" t="s">
        <v>7647</v>
      </c>
      <c r="Q524" t="s">
        <v>7648</v>
      </c>
      <c r="R524" t="s">
        <v>7649</v>
      </c>
      <c r="S524" t="s">
        <v>7650</v>
      </c>
      <c r="T524" s="2">
        <v>0.58333333333333337</v>
      </c>
      <c r="V524" t="s">
        <v>7651</v>
      </c>
      <c r="W524" t="s">
        <v>7652</v>
      </c>
      <c r="X524" t="s">
        <v>7653</v>
      </c>
      <c r="Y524" t="s">
        <v>7654</v>
      </c>
      <c r="Z524" t="s">
        <v>7654</v>
      </c>
      <c r="AA524" t="s">
        <v>7654</v>
      </c>
      <c r="AC524" t="s">
        <v>7654</v>
      </c>
      <c r="AD524" t="s">
        <v>7654</v>
      </c>
    </row>
    <row r="525" spans="1:30">
      <c r="A525" t="s">
        <v>7655</v>
      </c>
      <c r="B525">
        <v>11</v>
      </c>
      <c r="C525">
        <v>17</v>
      </c>
      <c r="D525">
        <v>2020</v>
      </c>
      <c r="E525" s="1">
        <v>44152</v>
      </c>
      <c r="F525" t="s">
        <v>7656</v>
      </c>
      <c r="G525">
        <v>0</v>
      </c>
      <c r="H525">
        <v>0</v>
      </c>
      <c r="I525">
        <v>0</v>
      </c>
      <c r="J525">
        <v>0</v>
      </c>
      <c r="K525" t="s">
        <v>7657</v>
      </c>
      <c r="M525" t="s">
        <v>7658</v>
      </c>
      <c r="N525" t="s">
        <v>7659</v>
      </c>
      <c r="O525" t="s">
        <v>7660</v>
      </c>
      <c r="P525" t="s">
        <v>7661</v>
      </c>
      <c r="Q525" t="s">
        <v>7662</v>
      </c>
      <c r="R525" t="s">
        <v>7663</v>
      </c>
      <c r="S525" t="s">
        <v>7664</v>
      </c>
      <c r="T525" s="2">
        <v>0.78819444444444442</v>
      </c>
      <c r="U525">
        <v>1</v>
      </c>
      <c r="V525" t="s">
        <v>7665</v>
      </c>
      <c r="W525" t="s">
        <v>7666</v>
      </c>
      <c r="X525" t="s">
        <v>7667</v>
      </c>
      <c r="Y525" t="s">
        <v>7668</v>
      </c>
      <c r="Z525" t="s">
        <v>7668</v>
      </c>
      <c r="AA525" t="s">
        <v>7668</v>
      </c>
      <c r="AB525" t="s">
        <v>7668</v>
      </c>
      <c r="AC525" t="s">
        <v>7668</v>
      </c>
      <c r="AD525" t="s">
        <v>7668</v>
      </c>
    </row>
    <row r="526" spans="1:30">
      <c r="A526" t="s">
        <v>7669</v>
      </c>
      <c r="B526">
        <v>11</v>
      </c>
      <c r="C526">
        <v>16</v>
      </c>
      <c r="D526">
        <v>2020</v>
      </c>
      <c r="E526" s="1">
        <v>44151</v>
      </c>
      <c r="F526" t="s">
        <v>7670</v>
      </c>
      <c r="G526">
        <v>0</v>
      </c>
      <c r="H526">
        <v>0</v>
      </c>
      <c r="I526">
        <v>0</v>
      </c>
      <c r="J526">
        <v>0</v>
      </c>
      <c r="K526" t="s">
        <v>7671</v>
      </c>
      <c r="L526" t="s">
        <v>7672</v>
      </c>
      <c r="M526" t="s">
        <v>7673</v>
      </c>
      <c r="N526" t="s">
        <v>7674</v>
      </c>
      <c r="O526" t="s">
        <v>7675</v>
      </c>
      <c r="P526" t="s">
        <v>7676</v>
      </c>
      <c r="Q526" t="s">
        <v>7677</v>
      </c>
      <c r="R526" t="s">
        <v>7678</v>
      </c>
      <c r="U526">
        <v>1</v>
      </c>
      <c r="V526" t="s">
        <v>7679</v>
      </c>
      <c r="W526" t="s">
        <v>7680</v>
      </c>
      <c r="X526" t="s">
        <v>7681</v>
      </c>
      <c r="Y526" t="s">
        <v>7682</v>
      </c>
      <c r="Z526" t="s">
        <v>7682</v>
      </c>
      <c r="AA526" t="s">
        <v>7682</v>
      </c>
      <c r="AB526" t="s">
        <v>7682</v>
      </c>
      <c r="AC526" t="s">
        <v>7683</v>
      </c>
      <c r="AD526" t="s">
        <v>7684</v>
      </c>
    </row>
    <row r="527" spans="1:30">
      <c r="A527" t="s">
        <v>7685</v>
      </c>
      <c r="B527">
        <v>11</v>
      </c>
      <c r="C527">
        <v>13</v>
      </c>
      <c r="D527">
        <v>2020</v>
      </c>
      <c r="E527" s="1">
        <v>44148</v>
      </c>
      <c r="F527" t="s">
        <v>7686</v>
      </c>
      <c r="G527">
        <v>0</v>
      </c>
      <c r="H527">
        <v>1</v>
      </c>
      <c r="I527">
        <v>1</v>
      </c>
      <c r="J527">
        <v>0</v>
      </c>
      <c r="K527" t="s">
        <v>7687</v>
      </c>
      <c r="L527" t="s">
        <v>7688</v>
      </c>
      <c r="M527" t="s">
        <v>7689</v>
      </c>
      <c r="N527" t="s">
        <v>7690</v>
      </c>
      <c r="O527" t="s">
        <v>7691</v>
      </c>
      <c r="P527" t="s">
        <v>7692</v>
      </c>
      <c r="Q527" t="s">
        <v>7693</v>
      </c>
      <c r="R527" t="s">
        <v>7694</v>
      </c>
      <c r="S527" t="s">
        <v>7695</v>
      </c>
      <c r="T527" s="2">
        <v>0.59375</v>
      </c>
      <c r="U527">
        <v>1</v>
      </c>
      <c r="V527" t="s">
        <v>7696</v>
      </c>
      <c r="W527" t="s">
        <v>7697</v>
      </c>
      <c r="X527" t="s">
        <v>7698</v>
      </c>
      <c r="Y527" t="s">
        <v>7699</v>
      </c>
      <c r="Z527" t="s">
        <v>7699</v>
      </c>
      <c r="AA527" t="s">
        <v>7699</v>
      </c>
      <c r="AB527" t="s">
        <v>7699</v>
      </c>
      <c r="AC527" t="s">
        <v>7699</v>
      </c>
      <c r="AD527" t="s">
        <v>7699</v>
      </c>
    </row>
    <row r="528" spans="1:30">
      <c r="A528" t="s">
        <v>7700</v>
      </c>
      <c r="B528">
        <v>11</v>
      </c>
      <c r="C528">
        <v>12</v>
      </c>
      <c r="D528">
        <v>2020</v>
      </c>
      <c r="E528" s="1">
        <v>44147</v>
      </c>
      <c r="F528" t="s">
        <v>7701</v>
      </c>
      <c r="G528">
        <v>1</v>
      </c>
      <c r="H528">
        <v>0</v>
      </c>
      <c r="I528">
        <v>1</v>
      </c>
      <c r="J528">
        <v>0</v>
      </c>
      <c r="K528" t="s">
        <v>7702</v>
      </c>
      <c r="L528" t="s">
        <v>7703</v>
      </c>
      <c r="M528" t="s">
        <v>7704</v>
      </c>
      <c r="N528" t="s">
        <v>7705</v>
      </c>
      <c r="O528" t="s">
        <v>7706</v>
      </c>
      <c r="P528" t="s">
        <v>7707</v>
      </c>
      <c r="Q528" t="s">
        <v>7708</v>
      </c>
      <c r="R528" t="s">
        <v>7709</v>
      </c>
      <c r="S528" t="s">
        <v>7710</v>
      </c>
      <c r="T528" s="2">
        <v>0.72916666666666674</v>
      </c>
      <c r="U528">
        <v>1</v>
      </c>
      <c r="V528" t="s">
        <v>7711</v>
      </c>
      <c r="Z528" t="s">
        <v>7712</v>
      </c>
      <c r="AA528" t="s">
        <v>7712</v>
      </c>
      <c r="AB528" t="s">
        <v>7712</v>
      </c>
      <c r="AC528" t="s">
        <v>7712</v>
      </c>
      <c r="AD528" t="s">
        <v>7712</v>
      </c>
    </row>
    <row r="529" spans="1:30">
      <c r="A529" t="s">
        <v>7713</v>
      </c>
      <c r="B529">
        <v>11</v>
      </c>
      <c r="C529">
        <v>12</v>
      </c>
      <c r="D529">
        <v>2020</v>
      </c>
      <c r="E529" s="1">
        <v>44147</v>
      </c>
      <c r="F529" t="s">
        <v>7714</v>
      </c>
      <c r="G529">
        <v>0</v>
      </c>
      <c r="H529">
        <v>1</v>
      </c>
      <c r="I529">
        <v>1</v>
      </c>
      <c r="J529">
        <v>0</v>
      </c>
      <c r="K529" t="s">
        <v>7715</v>
      </c>
      <c r="L529" t="s">
        <v>7716</v>
      </c>
      <c r="M529" t="s">
        <v>7717</v>
      </c>
      <c r="N529" t="s">
        <v>7718</v>
      </c>
      <c r="O529" t="s">
        <v>7719</v>
      </c>
      <c r="P529" t="s">
        <v>7720</v>
      </c>
      <c r="Q529" t="s">
        <v>7721</v>
      </c>
      <c r="R529" t="s">
        <v>7722</v>
      </c>
      <c r="S529" t="s">
        <v>7723</v>
      </c>
      <c r="T529" s="2">
        <v>0.73263888888888895</v>
      </c>
      <c r="U529">
        <v>1</v>
      </c>
      <c r="V529" t="s">
        <v>7724</v>
      </c>
      <c r="X529" t="s">
        <v>7725</v>
      </c>
      <c r="Z529" t="s">
        <v>7726</v>
      </c>
      <c r="AA529" t="s">
        <v>7726</v>
      </c>
      <c r="AB529" t="s">
        <v>7726</v>
      </c>
      <c r="AC529" t="s">
        <v>7726</v>
      </c>
      <c r="AD529" t="s">
        <v>7726</v>
      </c>
    </row>
    <row r="530" spans="1:30">
      <c r="A530" t="s">
        <v>7727</v>
      </c>
      <c r="B530">
        <v>11</v>
      </c>
      <c r="C530">
        <v>9</v>
      </c>
      <c r="D530">
        <v>2020</v>
      </c>
      <c r="E530" s="1">
        <v>44144</v>
      </c>
      <c r="F530" t="s">
        <v>7728</v>
      </c>
      <c r="G530">
        <v>1</v>
      </c>
      <c r="H530">
        <v>0</v>
      </c>
      <c r="I530">
        <v>1</v>
      </c>
      <c r="J530">
        <v>0</v>
      </c>
      <c r="K530" t="s">
        <v>7729</v>
      </c>
      <c r="L530" t="s">
        <v>7730</v>
      </c>
      <c r="M530" t="s">
        <v>7731</v>
      </c>
      <c r="N530" t="s">
        <v>7732</v>
      </c>
      <c r="O530" t="s">
        <v>7733</v>
      </c>
      <c r="P530" t="s">
        <v>7734</v>
      </c>
      <c r="Q530" t="s">
        <v>7735</v>
      </c>
      <c r="R530" t="s">
        <v>7736</v>
      </c>
      <c r="S530" t="s">
        <v>7737</v>
      </c>
      <c r="U530">
        <v>1</v>
      </c>
      <c r="V530" t="s">
        <v>7738</v>
      </c>
      <c r="X530" t="s">
        <v>7739</v>
      </c>
      <c r="Z530" t="s">
        <v>7740</v>
      </c>
      <c r="AA530" t="s">
        <v>7740</v>
      </c>
      <c r="AB530" t="s">
        <v>7740</v>
      </c>
      <c r="AC530" t="s">
        <v>7740</v>
      </c>
      <c r="AD530" t="s">
        <v>7740</v>
      </c>
    </row>
    <row r="531" spans="1:30">
      <c r="A531" t="s">
        <v>7741</v>
      </c>
      <c r="B531">
        <v>11</v>
      </c>
      <c r="C531">
        <v>9</v>
      </c>
      <c r="D531">
        <v>2020</v>
      </c>
      <c r="E531" s="1">
        <v>44144</v>
      </c>
      <c r="F531" t="s">
        <v>7742</v>
      </c>
      <c r="G531">
        <v>0</v>
      </c>
      <c r="H531">
        <v>0</v>
      </c>
      <c r="I531">
        <v>0</v>
      </c>
      <c r="J531">
        <v>1</v>
      </c>
      <c r="K531" t="s">
        <v>7743</v>
      </c>
      <c r="L531" t="s">
        <v>7744</v>
      </c>
      <c r="M531" t="s">
        <v>7745</v>
      </c>
      <c r="N531" t="s">
        <v>7746</v>
      </c>
      <c r="O531" t="s">
        <v>7747</v>
      </c>
      <c r="P531" t="s">
        <v>7748</v>
      </c>
      <c r="Q531" t="s">
        <v>7749</v>
      </c>
      <c r="R531" t="s">
        <v>7750</v>
      </c>
      <c r="S531" t="s">
        <v>7751</v>
      </c>
      <c r="U531">
        <v>1</v>
      </c>
      <c r="V531" t="s">
        <v>7752</v>
      </c>
      <c r="W531" t="s">
        <v>7753</v>
      </c>
      <c r="X531" t="s">
        <v>7754</v>
      </c>
      <c r="Y531" t="s">
        <v>7755</v>
      </c>
      <c r="Z531" t="s">
        <v>7755</v>
      </c>
      <c r="AA531" t="s">
        <v>7755</v>
      </c>
      <c r="AB531" t="s">
        <v>7755</v>
      </c>
      <c r="AC531" t="s">
        <v>7755</v>
      </c>
      <c r="AD531" t="s">
        <v>7755</v>
      </c>
    </row>
    <row r="532" spans="1:30">
      <c r="A532" t="s">
        <v>7756</v>
      </c>
      <c r="B532">
        <v>11</v>
      </c>
      <c r="C532">
        <v>8</v>
      </c>
      <c r="D532">
        <v>2020</v>
      </c>
      <c r="E532" s="1">
        <v>44143</v>
      </c>
      <c r="F532" t="s">
        <v>7757</v>
      </c>
      <c r="G532">
        <v>0</v>
      </c>
      <c r="H532">
        <v>0</v>
      </c>
      <c r="I532">
        <v>0</v>
      </c>
      <c r="J532">
        <v>0</v>
      </c>
      <c r="K532" t="s">
        <v>7758</v>
      </c>
      <c r="L532" t="s">
        <v>7759</v>
      </c>
      <c r="M532" t="s">
        <v>7760</v>
      </c>
      <c r="N532" t="s">
        <v>7761</v>
      </c>
      <c r="O532" t="s">
        <v>7762</v>
      </c>
      <c r="P532" t="s">
        <v>7763</v>
      </c>
      <c r="Q532" t="s">
        <v>7764</v>
      </c>
      <c r="R532" t="s">
        <v>7765</v>
      </c>
      <c r="S532" t="s">
        <v>7766</v>
      </c>
      <c r="T532" s="2">
        <v>0.69374999999999998</v>
      </c>
      <c r="U532">
        <v>1</v>
      </c>
      <c r="V532" t="s">
        <v>7767</v>
      </c>
      <c r="X532" t="s">
        <v>7768</v>
      </c>
      <c r="Z532" t="s">
        <v>7769</v>
      </c>
      <c r="AA532" t="s">
        <v>7769</v>
      </c>
      <c r="AB532" t="s">
        <v>7769</v>
      </c>
      <c r="AC532" t="s">
        <v>7769</v>
      </c>
      <c r="AD532" t="s">
        <v>7769</v>
      </c>
    </row>
    <row r="533" spans="1:30">
      <c r="A533" t="s">
        <v>7770</v>
      </c>
      <c r="B533">
        <v>11</v>
      </c>
      <c r="C533">
        <v>6</v>
      </c>
      <c r="D533">
        <v>2020</v>
      </c>
      <c r="E533" s="1">
        <v>44141</v>
      </c>
      <c r="F533" t="s">
        <v>7771</v>
      </c>
      <c r="G533">
        <v>0</v>
      </c>
      <c r="H533">
        <v>0</v>
      </c>
      <c r="I533">
        <v>0</v>
      </c>
      <c r="J533">
        <v>0</v>
      </c>
      <c r="K533" t="s">
        <v>7772</v>
      </c>
      <c r="L533" t="s">
        <v>7773</v>
      </c>
      <c r="M533" t="s">
        <v>7774</v>
      </c>
      <c r="N533" t="s">
        <v>7775</v>
      </c>
      <c r="O533" t="s">
        <v>7776</v>
      </c>
      <c r="P533" t="s">
        <v>7777</v>
      </c>
      <c r="Q533" t="s">
        <v>7778</v>
      </c>
      <c r="R533" t="s">
        <v>7779</v>
      </c>
      <c r="S533" t="s">
        <v>7780</v>
      </c>
      <c r="T533" s="2">
        <v>0.41666666666666669</v>
      </c>
      <c r="V533" t="s">
        <v>7781</v>
      </c>
      <c r="W533" t="s">
        <v>7782</v>
      </c>
      <c r="X533" t="s">
        <v>7783</v>
      </c>
      <c r="Y533" t="s">
        <v>7784</v>
      </c>
      <c r="Z533" t="s">
        <v>7784</v>
      </c>
      <c r="AA533" t="s">
        <v>7784</v>
      </c>
      <c r="AB533" t="s">
        <v>7784</v>
      </c>
      <c r="AC533" t="s">
        <v>7784</v>
      </c>
      <c r="AD533" t="s">
        <v>7785</v>
      </c>
    </row>
    <row r="534" spans="1:30">
      <c r="A534" t="s">
        <v>7786</v>
      </c>
      <c r="B534">
        <v>11</v>
      </c>
      <c r="C534">
        <v>2</v>
      </c>
      <c r="D534">
        <v>2020</v>
      </c>
      <c r="E534" s="1">
        <v>44137</v>
      </c>
      <c r="F534" t="s">
        <v>7787</v>
      </c>
      <c r="G534">
        <v>0</v>
      </c>
      <c r="H534">
        <v>0</v>
      </c>
      <c r="I534">
        <v>0</v>
      </c>
      <c r="J534">
        <v>0</v>
      </c>
      <c r="K534" t="s">
        <v>7788</v>
      </c>
      <c r="L534" t="s">
        <v>7789</v>
      </c>
      <c r="M534" t="s">
        <v>7790</v>
      </c>
      <c r="N534" t="s">
        <v>7791</v>
      </c>
      <c r="O534" t="s">
        <v>7792</v>
      </c>
      <c r="P534" t="s">
        <v>7793</v>
      </c>
      <c r="Q534" t="s">
        <v>7794</v>
      </c>
      <c r="R534" t="s">
        <v>7795</v>
      </c>
      <c r="S534" t="s">
        <v>7796</v>
      </c>
      <c r="T534" s="2">
        <v>3.472222222222222E-3</v>
      </c>
      <c r="U534">
        <v>1</v>
      </c>
      <c r="V534" t="s">
        <v>7797</v>
      </c>
      <c r="W534" t="s">
        <v>7798</v>
      </c>
      <c r="X534" t="s">
        <v>7799</v>
      </c>
      <c r="Z534" t="s">
        <v>7800</v>
      </c>
      <c r="AA534" t="s">
        <v>7800</v>
      </c>
      <c r="AC534" t="s">
        <v>7800</v>
      </c>
      <c r="AD534" t="s">
        <v>7800</v>
      </c>
    </row>
    <row r="535" spans="1:30">
      <c r="A535" t="s">
        <v>7801</v>
      </c>
      <c r="B535">
        <v>10</v>
      </c>
      <c r="C535">
        <v>29</v>
      </c>
      <c r="D535">
        <v>2020</v>
      </c>
      <c r="E535" s="1">
        <v>44133</v>
      </c>
      <c r="F535" t="s">
        <v>7802</v>
      </c>
      <c r="G535">
        <v>2</v>
      </c>
      <c r="H535">
        <v>0</v>
      </c>
      <c r="I535">
        <v>2</v>
      </c>
      <c r="J535">
        <v>0</v>
      </c>
      <c r="K535" t="s">
        <v>7803</v>
      </c>
      <c r="L535" t="s">
        <v>7804</v>
      </c>
      <c r="M535" t="s">
        <v>7805</v>
      </c>
      <c r="N535" t="s">
        <v>7806</v>
      </c>
      <c r="O535" t="s">
        <v>7807</v>
      </c>
      <c r="P535" t="s">
        <v>7808</v>
      </c>
      <c r="Q535" t="s">
        <v>7809</v>
      </c>
      <c r="R535" t="s">
        <v>7810</v>
      </c>
      <c r="S535" t="s">
        <v>7811</v>
      </c>
      <c r="T535" s="2">
        <v>0.96875</v>
      </c>
      <c r="U535">
        <v>1</v>
      </c>
      <c r="V535" t="s">
        <v>7812</v>
      </c>
      <c r="X535" t="s">
        <v>7813</v>
      </c>
      <c r="Z535" t="s">
        <v>7814</v>
      </c>
      <c r="AA535" t="s">
        <v>7814</v>
      </c>
      <c r="AB535" t="s">
        <v>7814</v>
      </c>
      <c r="AC535" t="s">
        <v>7814</v>
      </c>
      <c r="AD535" t="s">
        <v>7814</v>
      </c>
    </row>
    <row r="536" spans="1:30">
      <c r="A536" t="s">
        <v>7815</v>
      </c>
      <c r="B536">
        <v>10</v>
      </c>
      <c r="C536">
        <v>28</v>
      </c>
      <c r="D536">
        <v>2020</v>
      </c>
      <c r="E536" s="1">
        <v>44132</v>
      </c>
      <c r="F536" t="s">
        <v>7816</v>
      </c>
      <c r="G536">
        <v>0</v>
      </c>
      <c r="H536">
        <v>0</v>
      </c>
      <c r="I536">
        <v>0</v>
      </c>
      <c r="J536">
        <v>0</v>
      </c>
      <c r="K536" t="s">
        <v>7817</v>
      </c>
      <c r="L536" t="s">
        <v>7818</v>
      </c>
      <c r="M536" t="s">
        <v>7819</v>
      </c>
      <c r="N536" t="s">
        <v>7820</v>
      </c>
      <c r="O536" t="s">
        <v>7821</v>
      </c>
      <c r="P536" t="s">
        <v>7822</v>
      </c>
      <c r="Q536" t="s">
        <v>7823</v>
      </c>
      <c r="R536" t="s">
        <v>7824</v>
      </c>
      <c r="S536" t="s">
        <v>7825</v>
      </c>
      <c r="T536" s="2">
        <v>0.70833333333333337</v>
      </c>
      <c r="U536">
        <v>1</v>
      </c>
      <c r="V536" t="s">
        <v>7826</v>
      </c>
      <c r="W536" t="s">
        <v>7827</v>
      </c>
      <c r="X536" t="s">
        <v>7828</v>
      </c>
      <c r="Z536" t="s">
        <v>7829</v>
      </c>
      <c r="AA536" t="s">
        <v>7829</v>
      </c>
      <c r="AB536" t="s">
        <v>7829</v>
      </c>
      <c r="AC536" t="s">
        <v>7829</v>
      </c>
      <c r="AD536" t="s">
        <v>7829</v>
      </c>
    </row>
    <row r="537" spans="1:30">
      <c r="A537" t="s">
        <v>7830</v>
      </c>
      <c r="B537">
        <v>10</v>
      </c>
      <c r="C537">
        <v>26</v>
      </c>
      <c r="D537">
        <v>2020</v>
      </c>
      <c r="E537" s="1">
        <v>44130</v>
      </c>
      <c r="F537" t="s">
        <v>7831</v>
      </c>
      <c r="G537">
        <v>1</v>
      </c>
      <c r="H537">
        <v>0</v>
      </c>
      <c r="I537">
        <v>1</v>
      </c>
      <c r="J537">
        <v>0</v>
      </c>
      <c r="K537" t="s">
        <v>7832</v>
      </c>
      <c r="L537" t="s">
        <v>7833</v>
      </c>
      <c r="M537" t="s">
        <v>7834</v>
      </c>
      <c r="N537" t="s">
        <v>7835</v>
      </c>
      <c r="O537" t="s">
        <v>7836</v>
      </c>
      <c r="P537" t="s">
        <v>7837</v>
      </c>
      <c r="Q537" t="s">
        <v>7838</v>
      </c>
      <c r="R537" t="s">
        <v>7839</v>
      </c>
      <c r="S537" t="s">
        <v>7840</v>
      </c>
      <c r="T537" s="2">
        <v>0.72361111111111109</v>
      </c>
      <c r="U537">
        <v>1</v>
      </c>
      <c r="V537" t="s">
        <v>7841</v>
      </c>
      <c r="W537" t="s">
        <v>7842</v>
      </c>
      <c r="X537" t="s">
        <v>7843</v>
      </c>
      <c r="Y537" t="s">
        <v>7844</v>
      </c>
      <c r="Z537" t="s">
        <v>7845</v>
      </c>
      <c r="AA537" t="s">
        <v>7845</v>
      </c>
      <c r="AB537" t="s">
        <v>7845</v>
      </c>
      <c r="AC537" t="s">
        <v>7845</v>
      </c>
      <c r="AD537" t="s">
        <v>7845</v>
      </c>
    </row>
    <row r="538" spans="1:30">
      <c r="A538" t="s">
        <v>7846</v>
      </c>
      <c r="B538">
        <v>10</v>
      </c>
      <c r="C538">
        <v>24</v>
      </c>
      <c r="D538">
        <v>2020</v>
      </c>
      <c r="E538" s="1">
        <v>44128</v>
      </c>
      <c r="F538" t="s">
        <v>7847</v>
      </c>
      <c r="G538">
        <v>0</v>
      </c>
      <c r="H538">
        <v>0</v>
      </c>
      <c r="I538">
        <v>0</v>
      </c>
      <c r="J538">
        <v>0</v>
      </c>
      <c r="K538" t="s">
        <v>7848</v>
      </c>
      <c r="L538" t="s">
        <v>7849</v>
      </c>
      <c r="M538" t="s">
        <v>7850</v>
      </c>
      <c r="N538" t="s">
        <v>7851</v>
      </c>
      <c r="O538" t="s">
        <v>7852</v>
      </c>
      <c r="P538" t="s">
        <v>7853</v>
      </c>
      <c r="Q538" t="s">
        <v>7854</v>
      </c>
      <c r="R538" t="s">
        <v>7855</v>
      </c>
      <c r="S538" t="s">
        <v>7856</v>
      </c>
      <c r="T538" s="2">
        <v>0.98333333333333339</v>
      </c>
      <c r="U538">
        <v>1</v>
      </c>
      <c r="V538" t="s">
        <v>7857</v>
      </c>
      <c r="Z538" t="s">
        <v>7858</v>
      </c>
      <c r="AA538" t="s">
        <v>7858</v>
      </c>
      <c r="AB538" t="s">
        <v>7858</v>
      </c>
      <c r="AD538" t="s">
        <v>7858</v>
      </c>
    </row>
    <row r="539" spans="1:30">
      <c r="A539" t="s">
        <v>7859</v>
      </c>
      <c r="B539">
        <v>10</v>
      </c>
      <c r="C539">
        <v>20</v>
      </c>
      <c r="D539">
        <v>2020</v>
      </c>
      <c r="E539" s="1">
        <v>44124</v>
      </c>
      <c r="F539" t="s">
        <v>7860</v>
      </c>
      <c r="G539">
        <v>1</v>
      </c>
      <c r="H539">
        <v>0</v>
      </c>
      <c r="I539">
        <v>1</v>
      </c>
      <c r="J539">
        <v>0</v>
      </c>
      <c r="K539" t="s">
        <v>7861</v>
      </c>
      <c r="L539" t="s">
        <v>7862</v>
      </c>
      <c r="M539" t="s">
        <v>7863</v>
      </c>
      <c r="N539" t="s">
        <v>7864</v>
      </c>
      <c r="O539" t="s">
        <v>7865</v>
      </c>
      <c r="P539" t="s">
        <v>7866</v>
      </c>
      <c r="Q539" t="s">
        <v>7867</v>
      </c>
      <c r="R539" t="s">
        <v>7868</v>
      </c>
      <c r="S539" t="s">
        <v>7869</v>
      </c>
      <c r="T539" s="2">
        <v>0.88541666666666663</v>
      </c>
      <c r="U539">
        <v>1</v>
      </c>
      <c r="V539" t="s">
        <v>7870</v>
      </c>
      <c r="W539" t="s">
        <v>7871</v>
      </c>
      <c r="X539" t="s">
        <v>7872</v>
      </c>
      <c r="Z539" t="s">
        <v>7873</v>
      </c>
      <c r="AA539" t="s">
        <v>7873</v>
      </c>
      <c r="AB539" t="s">
        <v>7873</v>
      </c>
      <c r="AC539" t="s">
        <v>7873</v>
      </c>
      <c r="AD539" t="s">
        <v>7873</v>
      </c>
    </row>
    <row r="540" spans="1:30">
      <c r="A540" t="s">
        <v>7874</v>
      </c>
      <c r="B540">
        <v>10</v>
      </c>
      <c r="C540">
        <v>18</v>
      </c>
      <c r="D540">
        <v>2020</v>
      </c>
      <c r="E540" s="1">
        <v>44122</v>
      </c>
      <c r="F540" t="s">
        <v>7875</v>
      </c>
      <c r="G540">
        <v>0</v>
      </c>
      <c r="H540">
        <v>3</v>
      </c>
      <c r="I540">
        <v>3</v>
      </c>
      <c r="J540">
        <v>0</v>
      </c>
      <c r="K540" t="s">
        <v>7876</v>
      </c>
      <c r="L540" t="s">
        <v>7877</v>
      </c>
      <c r="M540" t="s">
        <v>7878</v>
      </c>
      <c r="N540" t="s">
        <v>7879</v>
      </c>
      <c r="O540" t="s">
        <v>7880</v>
      </c>
      <c r="P540" t="s">
        <v>7881</v>
      </c>
      <c r="Q540" t="s">
        <v>7882</v>
      </c>
      <c r="R540" t="s">
        <v>7883</v>
      </c>
      <c r="S540" t="s">
        <v>7884</v>
      </c>
      <c r="T540" s="2">
        <v>0.55972222222222223</v>
      </c>
      <c r="U540">
        <v>1</v>
      </c>
      <c r="V540" t="s">
        <v>7885</v>
      </c>
      <c r="Z540" t="s">
        <v>7886</v>
      </c>
      <c r="AA540" t="s">
        <v>7886</v>
      </c>
      <c r="AB540" t="s">
        <v>7886</v>
      </c>
      <c r="AC540" t="s">
        <v>7886</v>
      </c>
      <c r="AD540" t="s">
        <v>7886</v>
      </c>
    </row>
    <row r="541" spans="1:30">
      <c r="A541" t="s">
        <v>7887</v>
      </c>
      <c r="B541">
        <v>10</v>
      </c>
      <c r="C541">
        <v>14</v>
      </c>
      <c r="D541">
        <v>2020</v>
      </c>
      <c r="E541" s="1">
        <v>44118</v>
      </c>
      <c r="F541" t="s">
        <v>7888</v>
      </c>
      <c r="G541">
        <v>0</v>
      </c>
      <c r="H541">
        <v>0</v>
      </c>
      <c r="I541">
        <v>0</v>
      </c>
      <c r="J541">
        <v>0</v>
      </c>
      <c r="K541" t="s">
        <v>7889</v>
      </c>
      <c r="L541" t="s">
        <v>7890</v>
      </c>
      <c r="M541" t="s">
        <v>7891</v>
      </c>
      <c r="N541" t="s">
        <v>7892</v>
      </c>
      <c r="P541" t="s">
        <v>7893</v>
      </c>
      <c r="Q541" t="s">
        <v>7893</v>
      </c>
      <c r="R541" t="s">
        <v>7894</v>
      </c>
      <c r="S541" t="s">
        <v>7895</v>
      </c>
      <c r="U541">
        <v>1</v>
      </c>
      <c r="V541" t="s">
        <v>7896</v>
      </c>
      <c r="W541" t="s">
        <v>7897</v>
      </c>
      <c r="X541" t="s">
        <v>7898</v>
      </c>
      <c r="Y541" t="s">
        <v>7899</v>
      </c>
      <c r="Z541" t="s">
        <v>7899</v>
      </c>
      <c r="AA541" t="s">
        <v>7899</v>
      </c>
      <c r="AB541" t="s">
        <v>7899</v>
      </c>
      <c r="AC541" t="s">
        <v>7899</v>
      </c>
      <c r="AD541" t="s">
        <v>7899</v>
      </c>
    </row>
    <row r="542" spans="1:30">
      <c r="A542" t="s">
        <v>7900</v>
      </c>
      <c r="B542">
        <v>10</v>
      </c>
      <c r="C542">
        <v>14</v>
      </c>
      <c r="D542">
        <v>2020</v>
      </c>
      <c r="E542" s="1">
        <v>44118</v>
      </c>
      <c r="F542" t="s">
        <v>7901</v>
      </c>
      <c r="G542">
        <v>0</v>
      </c>
      <c r="H542">
        <v>0</v>
      </c>
      <c r="I542">
        <v>0</v>
      </c>
      <c r="J542">
        <v>0</v>
      </c>
      <c r="K542" t="s">
        <v>7902</v>
      </c>
      <c r="L542" t="s">
        <v>7903</v>
      </c>
      <c r="M542" t="s">
        <v>7904</v>
      </c>
      <c r="N542" t="s">
        <v>7905</v>
      </c>
      <c r="O542" t="s">
        <v>7906</v>
      </c>
      <c r="P542" t="s">
        <v>7907</v>
      </c>
      <c r="Q542" t="s">
        <v>7908</v>
      </c>
      <c r="R542" t="s">
        <v>7909</v>
      </c>
      <c r="S542" t="s">
        <v>7910</v>
      </c>
      <c r="T542" s="2">
        <v>0.44444444444444448</v>
      </c>
      <c r="U542">
        <v>1</v>
      </c>
      <c r="V542" t="s">
        <v>7911</v>
      </c>
      <c r="W542" t="s">
        <v>7912</v>
      </c>
      <c r="X542" t="s">
        <v>7913</v>
      </c>
      <c r="Y542" t="s">
        <v>7914</v>
      </c>
      <c r="Z542" t="s">
        <v>7915</v>
      </c>
      <c r="AA542" t="s">
        <v>7915</v>
      </c>
      <c r="AB542" t="s">
        <v>7915</v>
      </c>
      <c r="AC542" t="s">
        <v>7915</v>
      </c>
      <c r="AD542" t="s">
        <v>7915</v>
      </c>
    </row>
    <row r="543" spans="1:30">
      <c r="A543" t="s">
        <v>7916</v>
      </c>
      <c r="B543">
        <v>10</v>
      </c>
      <c r="C543">
        <v>13</v>
      </c>
      <c r="D543">
        <v>2020</v>
      </c>
      <c r="E543" s="1">
        <v>44117</v>
      </c>
      <c r="F543" t="s">
        <v>7917</v>
      </c>
      <c r="G543">
        <v>1</v>
      </c>
      <c r="H543">
        <v>2</v>
      </c>
      <c r="I543">
        <v>3</v>
      </c>
      <c r="J543">
        <v>0</v>
      </c>
      <c r="K543" t="s">
        <v>7918</v>
      </c>
      <c r="L543" t="s">
        <v>7919</v>
      </c>
      <c r="M543" t="s">
        <v>7920</v>
      </c>
      <c r="N543" t="s">
        <v>7921</v>
      </c>
      <c r="O543" t="s">
        <v>7922</v>
      </c>
      <c r="P543" t="s">
        <v>7923</v>
      </c>
      <c r="Q543" t="s">
        <v>7924</v>
      </c>
      <c r="R543" t="s">
        <v>7925</v>
      </c>
      <c r="S543" t="s">
        <v>7926</v>
      </c>
      <c r="T543" s="2">
        <v>0.6875</v>
      </c>
      <c r="U543">
        <v>1</v>
      </c>
      <c r="V543" t="s">
        <v>7927</v>
      </c>
      <c r="X543" t="s">
        <v>7928</v>
      </c>
      <c r="Z543" t="s">
        <v>7929</v>
      </c>
      <c r="AA543" t="s">
        <v>7929</v>
      </c>
      <c r="AB543" t="s">
        <v>7929</v>
      </c>
      <c r="AC543" t="s">
        <v>7929</v>
      </c>
      <c r="AD543" t="s">
        <v>7929</v>
      </c>
    </row>
    <row r="544" spans="1:30">
      <c r="A544" t="s">
        <v>7930</v>
      </c>
      <c r="B544">
        <v>10</v>
      </c>
      <c r="C544">
        <v>12</v>
      </c>
      <c r="D544">
        <v>2020</v>
      </c>
      <c r="E544" s="1">
        <v>44116</v>
      </c>
      <c r="F544" t="s">
        <v>7931</v>
      </c>
      <c r="G544">
        <v>0</v>
      </c>
      <c r="H544">
        <v>0</v>
      </c>
      <c r="I544">
        <v>0</v>
      </c>
      <c r="J544">
        <v>0</v>
      </c>
      <c r="K544" t="s">
        <v>7932</v>
      </c>
      <c r="L544" t="s">
        <v>7933</v>
      </c>
      <c r="M544" t="s">
        <v>7934</v>
      </c>
      <c r="N544" t="s">
        <v>7935</v>
      </c>
      <c r="O544" t="s">
        <v>7936</v>
      </c>
      <c r="P544" t="s">
        <v>7937</v>
      </c>
      <c r="Q544" t="s">
        <v>7938</v>
      </c>
      <c r="R544" t="s">
        <v>7939</v>
      </c>
      <c r="S544" t="s">
        <v>7940</v>
      </c>
      <c r="U544">
        <v>1</v>
      </c>
      <c r="V544" t="s">
        <v>7941</v>
      </c>
      <c r="W544" t="s">
        <v>7942</v>
      </c>
      <c r="X544" t="s">
        <v>7943</v>
      </c>
      <c r="Y544" t="s">
        <v>7944</v>
      </c>
      <c r="Z544" t="s">
        <v>7944</v>
      </c>
      <c r="AA544" t="s">
        <v>7944</v>
      </c>
      <c r="AB544" t="s">
        <v>7944</v>
      </c>
      <c r="AC544" t="s">
        <v>7944</v>
      </c>
      <c r="AD544" t="s">
        <v>7944</v>
      </c>
    </row>
    <row r="545" spans="1:30">
      <c r="A545" t="s">
        <v>7945</v>
      </c>
      <c r="B545">
        <v>10</v>
      </c>
      <c r="C545">
        <v>12</v>
      </c>
      <c r="D545">
        <v>2020</v>
      </c>
      <c r="E545" s="1">
        <v>44116</v>
      </c>
      <c r="F545" t="s">
        <v>7946</v>
      </c>
      <c r="G545">
        <v>0</v>
      </c>
      <c r="H545">
        <v>0</v>
      </c>
      <c r="I545">
        <v>0</v>
      </c>
      <c r="J545">
        <v>0</v>
      </c>
      <c r="K545" t="s">
        <v>7947</v>
      </c>
      <c r="L545" t="s">
        <v>7948</v>
      </c>
      <c r="M545" t="s">
        <v>7949</v>
      </c>
      <c r="N545" t="s">
        <v>7950</v>
      </c>
      <c r="O545" t="s">
        <v>7951</v>
      </c>
      <c r="P545" t="s">
        <v>7952</v>
      </c>
      <c r="Q545" t="s">
        <v>7953</v>
      </c>
      <c r="R545" t="s">
        <v>7954</v>
      </c>
      <c r="S545" t="s">
        <v>7955</v>
      </c>
      <c r="T545" s="2">
        <v>0.72916666666666674</v>
      </c>
      <c r="V545" t="s">
        <v>7956</v>
      </c>
      <c r="W545" t="s">
        <v>7957</v>
      </c>
      <c r="X545" t="s">
        <v>7958</v>
      </c>
      <c r="Y545" t="s">
        <v>7959</v>
      </c>
      <c r="Z545" t="s">
        <v>7959</v>
      </c>
      <c r="AA545" t="s">
        <v>7959</v>
      </c>
      <c r="AB545" t="s">
        <v>7959</v>
      </c>
      <c r="AC545" t="s">
        <v>7959</v>
      </c>
      <c r="AD545" t="s">
        <v>7959</v>
      </c>
    </row>
    <row r="546" spans="1:30">
      <c r="A546" t="s">
        <v>7960</v>
      </c>
      <c r="B546">
        <v>10</v>
      </c>
      <c r="C546">
        <v>9</v>
      </c>
      <c r="D546">
        <v>2020</v>
      </c>
      <c r="E546" s="1">
        <v>44113</v>
      </c>
      <c r="F546" t="s">
        <v>7961</v>
      </c>
      <c r="G546">
        <v>0</v>
      </c>
      <c r="H546">
        <v>1</v>
      </c>
      <c r="I546">
        <v>1</v>
      </c>
      <c r="J546">
        <v>0</v>
      </c>
      <c r="K546" t="s">
        <v>7962</v>
      </c>
      <c r="L546" t="s">
        <v>7963</v>
      </c>
      <c r="M546" t="s">
        <v>7964</v>
      </c>
      <c r="N546" t="s">
        <v>7965</v>
      </c>
      <c r="O546" t="s">
        <v>7966</v>
      </c>
      <c r="T546" s="2">
        <v>0.58333333333333337</v>
      </c>
      <c r="U546">
        <v>1</v>
      </c>
      <c r="V546" t="s">
        <v>7967</v>
      </c>
      <c r="W546" t="s">
        <v>7968</v>
      </c>
      <c r="X546" t="s">
        <v>7969</v>
      </c>
      <c r="Y546" t="s">
        <v>7970</v>
      </c>
      <c r="Z546" t="s">
        <v>7970</v>
      </c>
      <c r="AA546" t="s">
        <v>7970</v>
      </c>
      <c r="AB546" t="s">
        <v>7970</v>
      </c>
      <c r="AC546" t="s">
        <v>7970</v>
      </c>
      <c r="AD546" t="s">
        <v>7970</v>
      </c>
    </row>
    <row r="547" spans="1:30">
      <c r="A547" t="s">
        <v>7971</v>
      </c>
      <c r="B547">
        <v>10</v>
      </c>
      <c r="C547">
        <v>5</v>
      </c>
      <c r="D547">
        <v>2020</v>
      </c>
      <c r="E547" s="1">
        <v>44109</v>
      </c>
      <c r="F547" t="s">
        <v>7972</v>
      </c>
      <c r="G547">
        <v>0</v>
      </c>
      <c r="H547">
        <v>0</v>
      </c>
      <c r="I547">
        <v>0</v>
      </c>
      <c r="J547">
        <v>0</v>
      </c>
      <c r="K547" t="s">
        <v>7973</v>
      </c>
      <c r="L547" t="s">
        <v>7974</v>
      </c>
      <c r="M547" t="s">
        <v>7975</v>
      </c>
      <c r="N547" t="s">
        <v>7976</v>
      </c>
      <c r="O547" t="s">
        <v>7977</v>
      </c>
      <c r="P547" t="s">
        <v>7978</v>
      </c>
      <c r="Q547" t="s">
        <v>7978</v>
      </c>
      <c r="R547" t="s">
        <v>7979</v>
      </c>
      <c r="S547" t="s">
        <v>7980</v>
      </c>
      <c r="U547">
        <v>1</v>
      </c>
      <c r="V547" t="s">
        <v>7981</v>
      </c>
      <c r="Y547" t="s">
        <v>7982</v>
      </c>
      <c r="Z547" t="s">
        <v>7982</v>
      </c>
      <c r="AA547" t="s">
        <v>7982</v>
      </c>
      <c r="AC547" t="s">
        <v>7982</v>
      </c>
      <c r="AD547" t="s">
        <v>7982</v>
      </c>
    </row>
    <row r="548" spans="1:30">
      <c r="A548" t="s">
        <v>7983</v>
      </c>
      <c r="B548">
        <v>10</v>
      </c>
      <c r="C548">
        <v>5</v>
      </c>
      <c r="D548">
        <v>2020</v>
      </c>
      <c r="E548" s="1">
        <v>44109</v>
      </c>
      <c r="F548" t="s">
        <v>7984</v>
      </c>
      <c r="G548">
        <v>1</v>
      </c>
      <c r="H548">
        <v>1</v>
      </c>
      <c r="I548">
        <v>2</v>
      </c>
      <c r="J548">
        <v>0</v>
      </c>
      <c r="K548" t="s">
        <v>7985</v>
      </c>
      <c r="L548" t="s">
        <v>7986</v>
      </c>
      <c r="M548" t="s">
        <v>7987</v>
      </c>
      <c r="N548" t="s">
        <v>7988</v>
      </c>
      <c r="O548" t="s">
        <v>7989</v>
      </c>
      <c r="P548" t="s">
        <v>7990</v>
      </c>
      <c r="Q548" t="s">
        <v>7991</v>
      </c>
      <c r="R548" t="s">
        <v>7992</v>
      </c>
      <c r="S548" t="s">
        <v>7993</v>
      </c>
      <c r="T548" s="2">
        <v>0.625</v>
      </c>
      <c r="V548" t="s">
        <v>7994</v>
      </c>
      <c r="W548" t="s">
        <v>7995</v>
      </c>
      <c r="X548" t="s">
        <v>7996</v>
      </c>
      <c r="Z548" t="s">
        <v>7997</v>
      </c>
      <c r="AA548" t="s">
        <v>7997</v>
      </c>
      <c r="AB548" t="s">
        <v>7997</v>
      </c>
      <c r="AC548" t="s">
        <v>7998</v>
      </c>
      <c r="AD548" t="s">
        <v>7999</v>
      </c>
    </row>
    <row r="549" spans="1:30">
      <c r="A549" t="s">
        <v>8000</v>
      </c>
      <c r="B549">
        <v>10</v>
      </c>
      <c r="C549">
        <v>4</v>
      </c>
      <c r="D549">
        <v>2020</v>
      </c>
      <c r="E549" s="1">
        <v>44108</v>
      </c>
      <c r="F549" t="s">
        <v>8001</v>
      </c>
      <c r="G549">
        <v>0</v>
      </c>
      <c r="H549">
        <v>0</v>
      </c>
      <c r="I549">
        <v>0</v>
      </c>
      <c r="J549">
        <v>0</v>
      </c>
      <c r="K549" t="s">
        <v>8002</v>
      </c>
      <c r="L549" t="s">
        <v>8003</v>
      </c>
      <c r="M549" t="s">
        <v>8004</v>
      </c>
      <c r="N549" t="s">
        <v>8005</v>
      </c>
      <c r="O549" t="s">
        <v>8006</v>
      </c>
      <c r="P549" t="s">
        <v>8007</v>
      </c>
      <c r="Q549" t="s">
        <v>8008</v>
      </c>
      <c r="R549" t="s">
        <v>8009</v>
      </c>
      <c r="V549" t="s">
        <v>8010</v>
      </c>
      <c r="W549" t="s">
        <v>8011</v>
      </c>
      <c r="X549" t="s">
        <v>8012</v>
      </c>
      <c r="Z549" t="s">
        <v>8013</v>
      </c>
      <c r="AA549" t="s">
        <v>8013</v>
      </c>
      <c r="AB549" t="s">
        <v>8013</v>
      </c>
      <c r="AC549" t="s">
        <v>8013</v>
      </c>
      <c r="AD549" t="s">
        <v>8013</v>
      </c>
    </row>
    <row r="550" spans="1:30">
      <c r="A550" t="s">
        <v>8014</v>
      </c>
      <c r="B550">
        <v>10</v>
      </c>
      <c r="C550">
        <v>2</v>
      </c>
      <c r="D550">
        <v>2020</v>
      </c>
      <c r="E550" s="1">
        <v>44106</v>
      </c>
      <c r="F550" t="s">
        <v>8015</v>
      </c>
      <c r="G550">
        <v>0</v>
      </c>
      <c r="H550">
        <v>0</v>
      </c>
      <c r="I550">
        <v>0</v>
      </c>
      <c r="J550">
        <v>0</v>
      </c>
      <c r="K550" t="s">
        <v>8016</v>
      </c>
      <c r="L550" t="s">
        <v>8017</v>
      </c>
      <c r="M550" t="s">
        <v>8018</v>
      </c>
      <c r="N550" t="s">
        <v>8019</v>
      </c>
      <c r="P550" t="s">
        <v>8020</v>
      </c>
      <c r="Q550" t="s">
        <v>8020</v>
      </c>
      <c r="U550">
        <v>1</v>
      </c>
      <c r="V550" t="s">
        <v>8021</v>
      </c>
      <c r="W550" t="s">
        <v>8022</v>
      </c>
      <c r="X550" t="s">
        <v>8023</v>
      </c>
      <c r="Z550" t="s">
        <v>8024</v>
      </c>
      <c r="AA550" t="s">
        <v>8024</v>
      </c>
      <c r="AB550" t="s">
        <v>8024</v>
      </c>
      <c r="AC550" t="s">
        <v>8024</v>
      </c>
      <c r="AD550" t="s">
        <v>8024</v>
      </c>
    </row>
    <row r="551" spans="1:30">
      <c r="A551" t="s">
        <v>8025</v>
      </c>
      <c r="B551">
        <v>9</v>
      </c>
      <c r="C551">
        <v>30</v>
      </c>
      <c r="D551">
        <v>2020</v>
      </c>
      <c r="E551" s="1">
        <v>44104</v>
      </c>
      <c r="F551" t="s">
        <v>8026</v>
      </c>
      <c r="G551">
        <v>0</v>
      </c>
      <c r="H551">
        <v>2</v>
      </c>
      <c r="I551">
        <v>2</v>
      </c>
      <c r="J551">
        <v>0</v>
      </c>
      <c r="K551" t="s">
        <v>8027</v>
      </c>
      <c r="L551" t="s">
        <v>8028</v>
      </c>
      <c r="M551" t="s">
        <v>8029</v>
      </c>
      <c r="N551" t="s">
        <v>8030</v>
      </c>
      <c r="O551" t="s">
        <v>8031</v>
      </c>
      <c r="P551" t="s">
        <v>8032</v>
      </c>
      <c r="Q551" t="s">
        <v>8033</v>
      </c>
      <c r="R551" t="s">
        <v>8034</v>
      </c>
      <c r="S551" t="s">
        <v>8035</v>
      </c>
      <c r="U551">
        <v>1</v>
      </c>
      <c r="V551" t="s">
        <v>8036</v>
      </c>
      <c r="X551" t="s">
        <v>8037</v>
      </c>
      <c r="Z551" t="s">
        <v>8038</v>
      </c>
      <c r="AA551" t="s">
        <v>8038</v>
      </c>
      <c r="AB551" t="s">
        <v>8038</v>
      </c>
      <c r="AC551" t="s">
        <v>8038</v>
      </c>
      <c r="AD551" t="s">
        <v>8038</v>
      </c>
    </row>
    <row r="552" spans="1:30">
      <c r="A552" t="s">
        <v>8039</v>
      </c>
      <c r="B552">
        <v>9</v>
      </c>
      <c r="C552">
        <v>28</v>
      </c>
      <c r="D552">
        <v>2020</v>
      </c>
      <c r="E552" s="1">
        <v>44102</v>
      </c>
      <c r="F552" t="s">
        <v>8040</v>
      </c>
      <c r="G552">
        <v>0</v>
      </c>
      <c r="H552">
        <v>1</v>
      </c>
      <c r="I552">
        <v>1</v>
      </c>
      <c r="J552">
        <v>0</v>
      </c>
      <c r="K552" t="s">
        <v>8041</v>
      </c>
      <c r="L552" t="s">
        <v>8042</v>
      </c>
      <c r="M552" t="s">
        <v>8043</v>
      </c>
      <c r="N552" t="s">
        <v>8044</v>
      </c>
      <c r="O552" t="s">
        <v>8045</v>
      </c>
      <c r="P552" t="s">
        <v>8046</v>
      </c>
      <c r="Q552" t="s">
        <v>8047</v>
      </c>
      <c r="R552" t="s">
        <v>8048</v>
      </c>
      <c r="S552" t="s">
        <v>8049</v>
      </c>
      <c r="T552" s="2">
        <v>0.2590277777777778</v>
      </c>
      <c r="U552">
        <v>1</v>
      </c>
      <c r="V552" t="s">
        <v>8050</v>
      </c>
      <c r="X552" t="s">
        <v>8051</v>
      </c>
      <c r="Z552" t="s">
        <v>8052</v>
      </c>
      <c r="AA552" t="s">
        <v>8052</v>
      </c>
      <c r="AB552" t="s">
        <v>8052</v>
      </c>
      <c r="AC552" t="s">
        <v>8052</v>
      </c>
      <c r="AD552" t="s">
        <v>8052</v>
      </c>
    </row>
    <row r="553" spans="1:30">
      <c r="A553" t="s">
        <v>8053</v>
      </c>
      <c r="B553">
        <v>9</v>
      </c>
      <c r="C553">
        <v>25</v>
      </c>
      <c r="D553">
        <v>2020</v>
      </c>
      <c r="E553" s="1">
        <v>44099</v>
      </c>
      <c r="F553" t="s">
        <v>8054</v>
      </c>
      <c r="G553">
        <v>0</v>
      </c>
      <c r="H553">
        <v>1</v>
      </c>
      <c r="I553">
        <v>1</v>
      </c>
      <c r="J553">
        <v>0</v>
      </c>
      <c r="K553" t="s">
        <v>8055</v>
      </c>
      <c r="L553" t="s">
        <v>8056</v>
      </c>
      <c r="M553" t="s">
        <v>8057</v>
      </c>
      <c r="N553" t="s">
        <v>8058</v>
      </c>
      <c r="O553" t="s">
        <v>8059</v>
      </c>
      <c r="P553" t="s">
        <v>8060</v>
      </c>
      <c r="Q553" t="s">
        <v>8061</v>
      </c>
      <c r="R553" t="s">
        <v>8062</v>
      </c>
      <c r="S553" t="s">
        <v>8063</v>
      </c>
      <c r="T553" s="2">
        <v>0.79722222222222217</v>
      </c>
      <c r="U553">
        <v>1</v>
      </c>
      <c r="V553" t="s">
        <v>8064</v>
      </c>
      <c r="Z553" t="s">
        <v>8065</v>
      </c>
      <c r="AA553" t="s">
        <v>8065</v>
      </c>
      <c r="AB553" t="s">
        <v>8065</v>
      </c>
      <c r="AD553" t="s">
        <v>8065</v>
      </c>
    </row>
    <row r="554" spans="1:30">
      <c r="A554" t="s">
        <v>8066</v>
      </c>
      <c r="B554">
        <v>9</v>
      </c>
      <c r="C554">
        <v>25</v>
      </c>
      <c r="D554">
        <v>2020</v>
      </c>
      <c r="E554" s="1">
        <v>44099</v>
      </c>
      <c r="F554" t="s">
        <v>8067</v>
      </c>
      <c r="G554">
        <v>0</v>
      </c>
      <c r="H554">
        <v>0</v>
      </c>
      <c r="I554">
        <v>0</v>
      </c>
      <c r="J554">
        <v>0</v>
      </c>
      <c r="K554" t="s">
        <v>8068</v>
      </c>
      <c r="L554" t="s">
        <v>8069</v>
      </c>
      <c r="M554" t="s">
        <v>8070</v>
      </c>
      <c r="N554" t="s">
        <v>8071</v>
      </c>
      <c r="O554" t="s">
        <v>8072</v>
      </c>
      <c r="P554" t="s">
        <v>8073</v>
      </c>
      <c r="Q554" t="s">
        <v>8074</v>
      </c>
      <c r="R554" t="s">
        <v>8075</v>
      </c>
      <c r="T554" s="2">
        <v>0.95833333333333337</v>
      </c>
      <c r="U554">
        <v>1</v>
      </c>
      <c r="V554" t="s">
        <v>8076</v>
      </c>
      <c r="Y554" t="s">
        <v>8077</v>
      </c>
      <c r="AA554" t="s">
        <v>8077</v>
      </c>
      <c r="AB554" t="s">
        <v>8077</v>
      </c>
      <c r="AC554" t="s">
        <v>8077</v>
      </c>
      <c r="AD554" t="s">
        <v>8077</v>
      </c>
    </row>
    <row r="555" spans="1:30">
      <c r="A555" t="s">
        <v>8078</v>
      </c>
      <c r="B555">
        <v>9</v>
      </c>
      <c r="C555">
        <v>24</v>
      </c>
      <c r="D555">
        <v>2020</v>
      </c>
      <c r="E555" s="1">
        <v>44098</v>
      </c>
      <c r="F555" t="s">
        <v>8079</v>
      </c>
      <c r="G555">
        <v>0</v>
      </c>
      <c r="H555">
        <v>0</v>
      </c>
      <c r="I555">
        <v>0</v>
      </c>
      <c r="J555">
        <v>0</v>
      </c>
      <c r="K555" t="s">
        <v>8080</v>
      </c>
      <c r="L555" t="s">
        <v>8081</v>
      </c>
      <c r="M555" t="s">
        <v>8082</v>
      </c>
      <c r="N555" t="s">
        <v>8083</v>
      </c>
      <c r="O555" t="s">
        <v>8084</v>
      </c>
      <c r="P555" t="s">
        <v>8085</v>
      </c>
      <c r="Q555" t="s">
        <v>8086</v>
      </c>
      <c r="R555" t="s">
        <v>8087</v>
      </c>
      <c r="S555" t="s">
        <v>8088</v>
      </c>
      <c r="T555" s="2">
        <v>0.5229166666666667</v>
      </c>
      <c r="V555" t="s">
        <v>8089</v>
      </c>
      <c r="W555" t="s">
        <v>8090</v>
      </c>
      <c r="X555" t="s">
        <v>8091</v>
      </c>
      <c r="Y555" t="s">
        <v>8092</v>
      </c>
      <c r="Z555" t="s">
        <v>8092</v>
      </c>
      <c r="AA555" t="s">
        <v>8092</v>
      </c>
      <c r="AB555" t="s">
        <v>8092</v>
      </c>
      <c r="AC555" t="s">
        <v>8092</v>
      </c>
      <c r="AD555" t="s">
        <v>8092</v>
      </c>
    </row>
    <row r="556" spans="1:30">
      <c r="A556" t="s">
        <v>8093</v>
      </c>
      <c r="B556">
        <v>9</v>
      </c>
      <c r="C556">
        <v>24</v>
      </c>
      <c r="D556">
        <v>2020</v>
      </c>
      <c r="E556" s="1">
        <v>44098</v>
      </c>
      <c r="F556" t="s">
        <v>8094</v>
      </c>
      <c r="G556">
        <v>0</v>
      </c>
      <c r="H556">
        <v>0</v>
      </c>
      <c r="I556">
        <v>0</v>
      </c>
      <c r="J556">
        <v>0</v>
      </c>
      <c r="K556" t="s">
        <v>8095</v>
      </c>
      <c r="L556" t="s">
        <v>8096</v>
      </c>
      <c r="M556" t="s">
        <v>8097</v>
      </c>
      <c r="N556" t="s">
        <v>8098</v>
      </c>
      <c r="O556" t="s">
        <v>8099</v>
      </c>
      <c r="P556" t="s">
        <v>8100</v>
      </c>
      <c r="Q556" t="s">
        <v>8101</v>
      </c>
      <c r="R556" t="s">
        <v>8102</v>
      </c>
      <c r="S556" t="s">
        <v>8103</v>
      </c>
      <c r="V556" t="s">
        <v>8104</v>
      </c>
      <c r="W556" t="s">
        <v>8105</v>
      </c>
      <c r="X556" t="s">
        <v>8106</v>
      </c>
      <c r="Y556" t="s">
        <v>8107</v>
      </c>
      <c r="Z556" t="s">
        <v>8108</v>
      </c>
      <c r="AA556" t="s">
        <v>8108</v>
      </c>
      <c r="AB556" t="s">
        <v>8108</v>
      </c>
      <c r="AC556" t="s">
        <v>8108</v>
      </c>
    </row>
    <row r="557" spans="1:30">
      <c r="A557" t="s">
        <v>8109</v>
      </c>
      <c r="B557">
        <v>9</v>
      </c>
      <c r="C557">
        <v>23</v>
      </c>
      <c r="D557">
        <v>2020</v>
      </c>
      <c r="E557" s="1">
        <v>44097</v>
      </c>
      <c r="F557" t="s">
        <v>8110</v>
      </c>
      <c r="G557">
        <v>0</v>
      </c>
      <c r="H557">
        <v>0</v>
      </c>
      <c r="I557">
        <v>0</v>
      </c>
      <c r="J557">
        <v>0</v>
      </c>
      <c r="K557" t="s">
        <v>8111</v>
      </c>
      <c r="L557" t="s">
        <v>8112</v>
      </c>
      <c r="M557" t="s">
        <v>8113</v>
      </c>
      <c r="N557" t="s">
        <v>8114</v>
      </c>
      <c r="O557" t="s">
        <v>8115</v>
      </c>
      <c r="P557" t="s">
        <v>8116</v>
      </c>
      <c r="Q557" t="s">
        <v>8117</v>
      </c>
      <c r="R557" t="s">
        <v>8118</v>
      </c>
      <c r="S557" t="s">
        <v>8119</v>
      </c>
      <c r="T557" s="2">
        <v>0.70486111111111105</v>
      </c>
      <c r="U557">
        <v>1</v>
      </c>
      <c r="V557" t="s">
        <v>8120</v>
      </c>
      <c r="W557" t="s">
        <v>8121</v>
      </c>
      <c r="X557" t="s">
        <v>8122</v>
      </c>
      <c r="Y557" t="s">
        <v>8123</v>
      </c>
      <c r="Z557" t="s">
        <v>8124</v>
      </c>
      <c r="AA557" t="s">
        <v>8124</v>
      </c>
      <c r="AB557" t="s">
        <v>8124</v>
      </c>
      <c r="AC557" t="s">
        <v>8124</v>
      </c>
      <c r="AD557" t="s">
        <v>8124</v>
      </c>
    </row>
    <row r="558" spans="1:30">
      <c r="A558" t="s">
        <v>8125</v>
      </c>
      <c r="B558">
        <v>9</v>
      </c>
      <c r="C558">
        <v>23</v>
      </c>
      <c r="D558">
        <v>2020</v>
      </c>
      <c r="E558" s="1">
        <v>44097</v>
      </c>
      <c r="F558" t="s">
        <v>8126</v>
      </c>
      <c r="G558">
        <v>0</v>
      </c>
      <c r="H558">
        <v>0</v>
      </c>
      <c r="I558">
        <v>0</v>
      </c>
      <c r="J558">
        <v>0</v>
      </c>
      <c r="K558" t="s">
        <v>8127</v>
      </c>
      <c r="L558" t="s">
        <v>8128</v>
      </c>
      <c r="M558" t="s">
        <v>8129</v>
      </c>
      <c r="N558" t="s">
        <v>8130</v>
      </c>
      <c r="O558" t="s">
        <v>8131</v>
      </c>
      <c r="P558" t="s">
        <v>8132</v>
      </c>
      <c r="Q558" t="s">
        <v>8132</v>
      </c>
      <c r="R558" t="s">
        <v>8133</v>
      </c>
      <c r="S558" t="s">
        <v>8134</v>
      </c>
      <c r="T558" s="2">
        <v>0.6875</v>
      </c>
      <c r="U558">
        <v>1</v>
      </c>
      <c r="V558" t="s">
        <v>8135</v>
      </c>
      <c r="W558" t="s">
        <v>8136</v>
      </c>
      <c r="X558" t="s">
        <v>8137</v>
      </c>
      <c r="Y558" t="s">
        <v>8138</v>
      </c>
      <c r="Z558" t="s">
        <v>8138</v>
      </c>
      <c r="AA558" t="s">
        <v>8138</v>
      </c>
      <c r="AB558" t="s">
        <v>8138</v>
      </c>
      <c r="AC558" t="s">
        <v>8138</v>
      </c>
      <c r="AD558" t="s">
        <v>8138</v>
      </c>
    </row>
    <row r="559" spans="1:30">
      <c r="A559" t="s">
        <v>8139</v>
      </c>
      <c r="B559">
        <v>9</v>
      </c>
      <c r="C559">
        <v>21</v>
      </c>
      <c r="D559">
        <v>2020</v>
      </c>
      <c r="E559" s="1">
        <v>44095</v>
      </c>
      <c r="F559" t="s">
        <v>8140</v>
      </c>
      <c r="G559">
        <v>0</v>
      </c>
      <c r="H559">
        <v>0</v>
      </c>
      <c r="I559">
        <v>0</v>
      </c>
      <c r="J559">
        <v>0</v>
      </c>
      <c r="K559" t="s">
        <v>8141</v>
      </c>
      <c r="L559" t="s">
        <v>8142</v>
      </c>
      <c r="M559" t="s">
        <v>8143</v>
      </c>
      <c r="N559" t="s">
        <v>8144</v>
      </c>
      <c r="O559" t="s">
        <v>8145</v>
      </c>
      <c r="P559" t="s">
        <v>8146</v>
      </c>
      <c r="Q559" t="s">
        <v>8147</v>
      </c>
      <c r="R559" t="s">
        <v>8148</v>
      </c>
      <c r="S559" t="s">
        <v>8149</v>
      </c>
      <c r="U559">
        <v>1</v>
      </c>
      <c r="V559" t="s">
        <v>8150</v>
      </c>
      <c r="W559" t="s">
        <v>8151</v>
      </c>
      <c r="X559" t="s">
        <v>8152</v>
      </c>
      <c r="Y559" t="s">
        <v>8153</v>
      </c>
      <c r="Z559" t="s">
        <v>8153</v>
      </c>
      <c r="AA559" t="s">
        <v>8153</v>
      </c>
      <c r="AB559" t="s">
        <v>8153</v>
      </c>
      <c r="AC559" t="s">
        <v>8153</v>
      </c>
      <c r="AD559" t="s">
        <v>8153</v>
      </c>
    </row>
    <row r="560" spans="1:30">
      <c r="A560" t="s">
        <v>8154</v>
      </c>
      <c r="B560">
        <v>9</v>
      </c>
      <c r="C560">
        <v>20</v>
      </c>
      <c r="D560">
        <v>2020</v>
      </c>
      <c r="E560" s="1">
        <v>44094</v>
      </c>
      <c r="F560" t="s">
        <v>8155</v>
      </c>
      <c r="G560">
        <v>0</v>
      </c>
      <c r="H560">
        <v>0</v>
      </c>
      <c r="I560">
        <v>0</v>
      </c>
      <c r="J560">
        <v>0</v>
      </c>
      <c r="K560" t="s">
        <v>8156</v>
      </c>
      <c r="L560" t="s">
        <v>8157</v>
      </c>
      <c r="M560" t="s">
        <v>8158</v>
      </c>
      <c r="N560" t="s">
        <v>8159</v>
      </c>
      <c r="O560" t="s">
        <v>8160</v>
      </c>
      <c r="P560" t="s">
        <v>8161</v>
      </c>
      <c r="Q560" t="s">
        <v>8162</v>
      </c>
      <c r="R560" t="s">
        <v>8163</v>
      </c>
      <c r="S560" t="s">
        <v>8164</v>
      </c>
      <c r="T560" s="2">
        <v>0.66666666666666663</v>
      </c>
      <c r="U560">
        <v>1</v>
      </c>
      <c r="V560" t="s">
        <v>8165</v>
      </c>
      <c r="Z560" t="s">
        <v>8166</v>
      </c>
      <c r="AA560" t="s">
        <v>8166</v>
      </c>
      <c r="AB560" t="s">
        <v>8166</v>
      </c>
      <c r="AC560" t="s">
        <v>8166</v>
      </c>
      <c r="AD560" t="s">
        <v>8166</v>
      </c>
    </row>
    <row r="561" spans="1:30">
      <c r="A561" t="s">
        <v>8167</v>
      </c>
      <c r="B561">
        <v>9</v>
      </c>
      <c r="C561">
        <v>19</v>
      </c>
      <c r="D561">
        <v>2020</v>
      </c>
      <c r="E561" s="1">
        <v>44093</v>
      </c>
      <c r="F561" t="s">
        <v>8168</v>
      </c>
      <c r="G561">
        <v>0</v>
      </c>
      <c r="H561">
        <v>0</v>
      </c>
      <c r="I561">
        <v>0</v>
      </c>
      <c r="J561">
        <v>0</v>
      </c>
      <c r="K561" t="s">
        <v>8169</v>
      </c>
      <c r="M561" t="s">
        <v>8170</v>
      </c>
      <c r="N561" t="s">
        <v>8171</v>
      </c>
      <c r="O561" t="s">
        <v>8172</v>
      </c>
      <c r="P561" t="s">
        <v>8173</v>
      </c>
      <c r="Q561" t="s">
        <v>8173</v>
      </c>
      <c r="R561" t="s">
        <v>8174</v>
      </c>
      <c r="S561" t="s">
        <v>8175</v>
      </c>
      <c r="T561" s="2">
        <v>0.60069444444444453</v>
      </c>
      <c r="U561">
        <v>1</v>
      </c>
      <c r="V561" t="s">
        <v>8176</v>
      </c>
      <c r="W561" t="s">
        <v>8177</v>
      </c>
      <c r="X561" t="s">
        <v>8178</v>
      </c>
      <c r="Z561" t="s">
        <v>8179</v>
      </c>
      <c r="AA561" t="s">
        <v>8179</v>
      </c>
      <c r="AB561" t="s">
        <v>8179</v>
      </c>
      <c r="AC561" t="s">
        <v>8179</v>
      </c>
      <c r="AD561" t="s">
        <v>8179</v>
      </c>
    </row>
    <row r="562" spans="1:30">
      <c r="A562" t="s">
        <v>8180</v>
      </c>
      <c r="B562">
        <v>9</v>
      </c>
      <c r="C562">
        <v>18</v>
      </c>
      <c r="D562">
        <v>2020</v>
      </c>
      <c r="E562" s="1">
        <v>44092</v>
      </c>
      <c r="F562" t="s">
        <v>8181</v>
      </c>
      <c r="G562">
        <v>0</v>
      </c>
      <c r="H562">
        <v>1</v>
      </c>
      <c r="I562">
        <v>1</v>
      </c>
      <c r="J562">
        <v>0</v>
      </c>
      <c r="K562" t="s">
        <v>8182</v>
      </c>
      <c r="L562" t="s">
        <v>8183</v>
      </c>
      <c r="M562" t="s">
        <v>8184</v>
      </c>
      <c r="N562" t="s">
        <v>8185</v>
      </c>
      <c r="O562" t="s">
        <v>8186</v>
      </c>
      <c r="P562" t="s">
        <v>8187</v>
      </c>
      <c r="Q562" t="s">
        <v>8188</v>
      </c>
      <c r="R562" t="s">
        <v>8189</v>
      </c>
      <c r="S562" t="s">
        <v>8190</v>
      </c>
      <c r="T562" s="2">
        <v>0.85416666666666674</v>
      </c>
      <c r="U562">
        <v>1</v>
      </c>
      <c r="V562" t="s">
        <v>8191</v>
      </c>
      <c r="Z562" t="s">
        <v>8192</v>
      </c>
      <c r="AA562" t="s">
        <v>8192</v>
      </c>
      <c r="AB562" t="s">
        <v>8192</v>
      </c>
      <c r="AC562" t="s">
        <v>8192</v>
      </c>
      <c r="AD562" t="s">
        <v>8192</v>
      </c>
    </row>
    <row r="563" spans="1:30">
      <c r="A563" t="s">
        <v>8193</v>
      </c>
      <c r="B563">
        <v>9</v>
      </c>
      <c r="C563">
        <v>17</v>
      </c>
      <c r="D563">
        <v>2020</v>
      </c>
      <c r="E563" s="1">
        <v>44091</v>
      </c>
      <c r="F563" t="s">
        <v>8194</v>
      </c>
      <c r="G563">
        <v>0</v>
      </c>
      <c r="H563">
        <v>1</v>
      </c>
      <c r="I563">
        <v>1</v>
      </c>
      <c r="J563">
        <v>0</v>
      </c>
      <c r="K563" t="s">
        <v>8195</v>
      </c>
      <c r="L563" t="s">
        <v>8196</v>
      </c>
      <c r="M563" t="s">
        <v>8197</v>
      </c>
      <c r="N563" t="s">
        <v>8198</v>
      </c>
      <c r="O563" t="s">
        <v>8199</v>
      </c>
      <c r="P563" t="s">
        <v>8200</v>
      </c>
      <c r="Q563" t="s">
        <v>8200</v>
      </c>
      <c r="R563" t="s">
        <v>8201</v>
      </c>
      <c r="S563" t="s">
        <v>8202</v>
      </c>
      <c r="T563" s="2">
        <v>0.90069444444444446</v>
      </c>
      <c r="U563">
        <v>1</v>
      </c>
      <c r="V563" t="s">
        <v>8203</v>
      </c>
      <c r="Z563" t="s">
        <v>8204</v>
      </c>
      <c r="AA563" t="s">
        <v>8204</v>
      </c>
      <c r="AB563" t="s">
        <v>8204</v>
      </c>
      <c r="AC563" t="s">
        <v>8204</v>
      </c>
      <c r="AD563" t="s">
        <v>8204</v>
      </c>
    </row>
    <row r="564" spans="1:30">
      <c r="A564" t="s">
        <v>8205</v>
      </c>
      <c r="B564">
        <v>9</v>
      </c>
      <c r="C564">
        <v>17</v>
      </c>
      <c r="D564">
        <v>2020</v>
      </c>
      <c r="E564" s="1">
        <v>44091</v>
      </c>
      <c r="F564" t="s">
        <v>8206</v>
      </c>
      <c r="G564">
        <v>0</v>
      </c>
      <c r="H564">
        <v>2</v>
      </c>
      <c r="I564">
        <v>2</v>
      </c>
      <c r="J564">
        <v>0</v>
      </c>
      <c r="K564" t="s">
        <v>8207</v>
      </c>
      <c r="L564" t="s">
        <v>8208</v>
      </c>
      <c r="M564" t="s">
        <v>8209</v>
      </c>
      <c r="N564" t="s">
        <v>8210</v>
      </c>
      <c r="O564" t="s">
        <v>8211</v>
      </c>
      <c r="P564" t="s">
        <v>8212</v>
      </c>
      <c r="Q564" t="s">
        <v>8213</v>
      </c>
      <c r="R564" t="s">
        <v>8214</v>
      </c>
      <c r="S564" t="s">
        <v>8215</v>
      </c>
      <c r="T564" s="2">
        <v>0.83333333333333337</v>
      </c>
      <c r="U564">
        <v>1</v>
      </c>
      <c r="V564" t="s">
        <v>8216</v>
      </c>
      <c r="W564" t="s">
        <v>8217</v>
      </c>
      <c r="X564" t="s">
        <v>8218</v>
      </c>
      <c r="Y564" t="s">
        <v>8219</v>
      </c>
      <c r="Z564" t="s">
        <v>8219</v>
      </c>
      <c r="AA564" t="s">
        <v>8219</v>
      </c>
      <c r="AB564" t="s">
        <v>8219</v>
      </c>
      <c r="AC564" t="s">
        <v>8219</v>
      </c>
      <c r="AD564" t="s">
        <v>8219</v>
      </c>
    </row>
    <row r="565" spans="1:30">
      <c r="A565" t="s">
        <v>8220</v>
      </c>
      <c r="B565">
        <v>9</v>
      </c>
      <c r="C565">
        <v>16</v>
      </c>
      <c r="D565">
        <v>2020</v>
      </c>
      <c r="E565" s="1">
        <v>44090</v>
      </c>
      <c r="F565" t="s">
        <v>8221</v>
      </c>
      <c r="G565">
        <v>1</v>
      </c>
      <c r="H565">
        <v>0</v>
      </c>
      <c r="I565">
        <v>1</v>
      </c>
      <c r="J565">
        <v>0</v>
      </c>
      <c r="K565" t="s">
        <v>8222</v>
      </c>
      <c r="L565" t="s">
        <v>8223</v>
      </c>
      <c r="M565" t="s">
        <v>8224</v>
      </c>
      <c r="N565" t="s">
        <v>8225</v>
      </c>
      <c r="O565" t="s">
        <v>8226</v>
      </c>
      <c r="P565" t="s">
        <v>8227</v>
      </c>
      <c r="Q565" t="s">
        <v>8228</v>
      </c>
      <c r="R565" t="s">
        <v>8229</v>
      </c>
      <c r="S565" t="s">
        <v>8230</v>
      </c>
      <c r="T565" s="2">
        <v>0.99027777777777781</v>
      </c>
      <c r="U565">
        <v>1</v>
      </c>
      <c r="V565" t="s">
        <v>8231</v>
      </c>
      <c r="W565" t="s">
        <v>8232</v>
      </c>
      <c r="X565" t="s">
        <v>8233</v>
      </c>
      <c r="Y565" t="s">
        <v>8234</v>
      </c>
      <c r="Z565" t="s">
        <v>8235</v>
      </c>
      <c r="AA565" t="s">
        <v>8235</v>
      </c>
      <c r="AB565" t="s">
        <v>8235</v>
      </c>
      <c r="AC565" t="s">
        <v>8235</v>
      </c>
      <c r="AD565" t="s">
        <v>8235</v>
      </c>
    </row>
    <row r="566" spans="1:30">
      <c r="A566" t="s">
        <v>8236</v>
      </c>
      <c r="B566">
        <v>9</v>
      </c>
      <c r="C566">
        <v>15</v>
      </c>
      <c r="D566">
        <v>2020</v>
      </c>
      <c r="E566" s="1">
        <v>44089</v>
      </c>
      <c r="F566" t="s">
        <v>8237</v>
      </c>
      <c r="G566">
        <v>0</v>
      </c>
      <c r="H566">
        <v>0</v>
      </c>
      <c r="I566">
        <v>0</v>
      </c>
      <c r="J566">
        <v>0</v>
      </c>
      <c r="K566" t="s">
        <v>8238</v>
      </c>
      <c r="L566" t="s">
        <v>8239</v>
      </c>
      <c r="M566" t="s">
        <v>8240</v>
      </c>
      <c r="N566" t="s">
        <v>8241</v>
      </c>
      <c r="P566" t="s">
        <v>8242</v>
      </c>
      <c r="Q566" t="s">
        <v>8242</v>
      </c>
      <c r="R566" t="s">
        <v>8243</v>
      </c>
      <c r="S566" t="s">
        <v>8244</v>
      </c>
      <c r="T566" s="2">
        <v>0.61458333333333337</v>
      </c>
      <c r="U566">
        <v>1</v>
      </c>
      <c r="V566" t="s">
        <v>8245</v>
      </c>
      <c r="W566" t="s">
        <v>8246</v>
      </c>
      <c r="X566" t="s">
        <v>8247</v>
      </c>
      <c r="Z566" t="s">
        <v>8248</v>
      </c>
      <c r="AA566" t="s">
        <v>8248</v>
      </c>
      <c r="AB566" t="s">
        <v>8248</v>
      </c>
      <c r="AC566" t="s">
        <v>8248</v>
      </c>
      <c r="AD566" t="s">
        <v>8248</v>
      </c>
    </row>
    <row r="567" spans="1:30">
      <c r="A567" t="s">
        <v>8249</v>
      </c>
      <c r="B567">
        <v>9</v>
      </c>
      <c r="C567">
        <v>15</v>
      </c>
      <c r="D567">
        <v>2020</v>
      </c>
      <c r="E567" s="1">
        <v>44089</v>
      </c>
      <c r="F567" t="s">
        <v>8250</v>
      </c>
      <c r="G567">
        <v>0</v>
      </c>
      <c r="H567">
        <v>1</v>
      </c>
      <c r="I567">
        <v>1</v>
      </c>
      <c r="J567">
        <v>0</v>
      </c>
      <c r="K567" t="s">
        <v>8251</v>
      </c>
      <c r="L567" t="s">
        <v>8252</v>
      </c>
      <c r="M567" t="s">
        <v>8253</v>
      </c>
      <c r="N567" t="s">
        <v>8254</v>
      </c>
      <c r="O567" t="s">
        <v>8255</v>
      </c>
      <c r="P567" t="s">
        <v>8256</v>
      </c>
      <c r="Q567" t="s">
        <v>8257</v>
      </c>
      <c r="R567" t="s">
        <v>8258</v>
      </c>
      <c r="S567" t="s">
        <v>8259</v>
      </c>
      <c r="T567" s="2">
        <v>0.35416666666666663</v>
      </c>
      <c r="U567">
        <v>1</v>
      </c>
      <c r="V567" t="s">
        <v>8260</v>
      </c>
      <c r="W567" t="s">
        <v>8261</v>
      </c>
      <c r="X567" t="s">
        <v>8262</v>
      </c>
      <c r="Y567" t="s">
        <v>8263</v>
      </c>
      <c r="Z567" t="s">
        <v>8263</v>
      </c>
      <c r="AA567" t="s">
        <v>8263</v>
      </c>
      <c r="AB567" t="s">
        <v>8263</v>
      </c>
      <c r="AC567" t="s">
        <v>8263</v>
      </c>
      <c r="AD567" t="s">
        <v>8263</v>
      </c>
    </row>
    <row r="568" spans="1:30">
      <c r="A568" t="s">
        <v>8264</v>
      </c>
      <c r="B568">
        <v>9</v>
      </c>
      <c r="C568">
        <v>15</v>
      </c>
      <c r="D568">
        <v>2020</v>
      </c>
      <c r="E568" s="1">
        <v>44089</v>
      </c>
      <c r="F568" t="s">
        <v>8265</v>
      </c>
      <c r="G568">
        <v>0</v>
      </c>
      <c r="H568">
        <v>0</v>
      </c>
      <c r="I568">
        <v>0</v>
      </c>
      <c r="J568">
        <v>1</v>
      </c>
      <c r="K568" t="s">
        <v>8266</v>
      </c>
      <c r="L568" t="s">
        <v>8267</v>
      </c>
      <c r="M568" t="s">
        <v>8268</v>
      </c>
      <c r="N568" t="s">
        <v>8269</v>
      </c>
      <c r="O568" t="s">
        <v>8270</v>
      </c>
      <c r="P568" t="s">
        <v>8271</v>
      </c>
      <c r="Q568" t="s">
        <v>8272</v>
      </c>
      <c r="R568" t="s">
        <v>8273</v>
      </c>
      <c r="S568" t="s">
        <v>8274</v>
      </c>
      <c r="T568" s="2">
        <v>0.93541666666666667</v>
      </c>
      <c r="U568">
        <v>1</v>
      </c>
      <c r="V568" t="s">
        <v>8275</v>
      </c>
      <c r="W568" t="s">
        <v>8276</v>
      </c>
      <c r="X568" t="s">
        <v>8277</v>
      </c>
      <c r="Y568" t="s">
        <v>8278</v>
      </c>
      <c r="Z568" t="s">
        <v>8278</v>
      </c>
      <c r="AA568" t="s">
        <v>8278</v>
      </c>
      <c r="AB568" t="s">
        <v>8278</v>
      </c>
      <c r="AC568" t="s">
        <v>8278</v>
      </c>
      <c r="AD568" t="s">
        <v>8278</v>
      </c>
    </row>
    <row r="569" spans="1:30">
      <c r="A569" t="s">
        <v>8279</v>
      </c>
      <c r="B569">
        <v>9</v>
      </c>
      <c r="C569">
        <v>14</v>
      </c>
      <c r="D569">
        <v>2020</v>
      </c>
      <c r="E569" s="1">
        <v>44088</v>
      </c>
      <c r="F569" t="s">
        <v>8280</v>
      </c>
      <c r="G569">
        <v>0</v>
      </c>
      <c r="H569">
        <v>0</v>
      </c>
      <c r="I569">
        <v>0</v>
      </c>
      <c r="J569">
        <v>0</v>
      </c>
      <c r="K569" t="s">
        <v>8281</v>
      </c>
      <c r="L569" t="s">
        <v>8282</v>
      </c>
      <c r="M569" t="s">
        <v>8283</v>
      </c>
      <c r="N569" t="s">
        <v>8284</v>
      </c>
      <c r="P569" t="s">
        <v>8285</v>
      </c>
      <c r="Q569" t="s">
        <v>8285</v>
      </c>
      <c r="R569" t="s">
        <v>8286</v>
      </c>
      <c r="S569" t="s">
        <v>8287</v>
      </c>
      <c r="T569" s="2">
        <v>0.57291666666666663</v>
      </c>
      <c r="U569">
        <v>1</v>
      </c>
      <c r="V569" t="s">
        <v>8288</v>
      </c>
      <c r="W569" t="s">
        <v>8289</v>
      </c>
      <c r="X569" t="s">
        <v>8290</v>
      </c>
      <c r="Z569" t="s">
        <v>8291</v>
      </c>
      <c r="AA569" t="s">
        <v>8291</v>
      </c>
      <c r="AB569" t="s">
        <v>8291</v>
      </c>
      <c r="AC569" t="s">
        <v>8291</v>
      </c>
      <c r="AD569" t="s">
        <v>8291</v>
      </c>
    </row>
    <row r="570" spans="1:30">
      <c r="A570" t="s">
        <v>8292</v>
      </c>
      <c r="B570">
        <v>9</v>
      </c>
      <c r="C570">
        <v>10</v>
      </c>
      <c r="D570">
        <v>2020</v>
      </c>
      <c r="E570" s="1">
        <v>44084</v>
      </c>
      <c r="F570" t="s">
        <v>8293</v>
      </c>
      <c r="G570">
        <v>0</v>
      </c>
      <c r="H570">
        <v>0</v>
      </c>
      <c r="I570">
        <v>0</v>
      </c>
      <c r="J570">
        <v>0</v>
      </c>
      <c r="K570" t="s">
        <v>8294</v>
      </c>
      <c r="L570" t="s">
        <v>8295</v>
      </c>
      <c r="M570" t="s">
        <v>8296</v>
      </c>
      <c r="N570" t="s">
        <v>8297</v>
      </c>
      <c r="O570" t="s">
        <v>8298</v>
      </c>
      <c r="P570" t="s">
        <v>8299</v>
      </c>
      <c r="Q570" t="s">
        <v>8299</v>
      </c>
      <c r="R570" t="s">
        <v>8300</v>
      </c>
      <c r="S570" t="s">
        <v>8301</v>
      </c>
      <c r="T570" s="2">
        <v>0.65625</v>
      </c>
      <c r="U570">
        <v>1</v>
      </c>
      <c r="V570" t="s">
        <v>8302</v>
      </c>
      <c r="W570" t="s">
        <v>8303</v>
      </c>
      <c r="X570" t="s">
        <v>8304</v>
      </c>
      <c r="Z570" t="s">
        <v>8305</v>
      </c>
      <c r="AA570" t="s">
        <v>8305</v>
      </c>
      <c r="AB570" t="s">
        <v>8305</v>
      </c>
      <c r="AC570" t="s">
        <v>8305</v>
      </c>
      <c r="AD570" t="s">
        <v>8305</v>
      </c>
    </row>
    <row r="571" spans="1:30">
      <c r="A571" t="s">
        <v>8306</v>
      </c>
      <c r="B571">
        <v>9</v>
      </c>
      <c r="C571">
        <v>9</v>
      </c>
      <c r="D571">
        <v>2020</v>
      </c>
      <c r="E571" s="1">
        <v>44083</v>
      </c>
      <c r="F571" t="s">
        <v>8307</v>
      </c>
      <c r="G571">
        <v>0</v>
      </c>
      <c r="H571">
        <v>0</v>
      </c>
      <c r="I571">
        <v>0</v>
      </c>
      <c r="J571">
        <v>0</v>
      </c>
      <c r="K571" t="s">
        <v>8308</v>
      </c>
      <c r="L571" t="s">
        <v>8309</v>
      </c>
      <c r="M571" t="s">
        <v>8310</v>
      </c>
      <c r="N571" t="s">
        <v>8311</v>
      </c>
      <c r="O571" t="s">
        <v>8312</v>
      </c>
      <c r="P571" t="s">
        <v>8313</v>
      </c>
      <c r="Q571" t="s">
        <v>8314</v>
      </c>
      <c r="R571" t="s">
        <v>8315</v>
      </c>
      <c r="S571" t="s">
        <v>8316</v>
      </c>
      <c r="T571" s="2">
        <v>0.77430555555555558</v>
      </c>
      <c r="U571">
        <v>1</v>
      </c>
      <c r="V571" t="s">
        <v>8317</v>
      </c>
      <c r="W571" t="s">
        <v>8318</v>
      </c>
      <c r="X571" t="s">
        <v>8319</v>
      </c>
      <c r="Y571" t="s">
        <v>8320</v>
      </c>
      <c r="Z571" t="s">
        <v>8320</v>
      </c>
      <c r="AA571" t="s">
        <v>8320</v>
      </c>
      <c r="AB571" t="s">
        <v>8320</v>
      </c>
      <c r="AC571" t="s">
        <v>8320</v>
      </c>
      <c r="AD571" t="s">
        <v>8320</v>
      </c>
    </row>
    <row r="572" spans="1:30">
      <c r="A572" t="s">
        <v>8321</v>
      </c>
      <c r="B572">
        <v>9</v>
      </c>
      <c r="C572">
        <v>9</v>
      </c>
      <c r="D572">
        <v>2020</v>
      </c>
      <c r="E572" s="1">
        <v>44083</v>
      </c>
      <c r="F572" t="s">
        <v>8322</v>
      </c>
      <c r="G572">
        <v>0</v>
      </c>
      <c r="H572">
        <v>1</v>
      </c>
      <c r="I572">
        <v>1</v>
      </c>
      <c r="J572">
        <v>0</v>
      </c>
      <c r="K572" t="s">
        <v>8323</v>
      </c>
      <c r="L572" t="s">
        <v>8324</v>
      </c>
      <c r="M572" t="s">
        <v>8325</v>
      </c>
      <c r="N572" t="s">
        <v>8326</v>
      </c>
      <c r="O572" t="s">
        <v>8327</v>
      </c>
      <c r="P572" t="s">
        <v>8328</v>
      </c>
      <c r="Q572" t="s">
        <v>8329</v>
      </c>
      <c r="R572" t="s">
        <v>8330</v>
      </c>
      <c r="S572" t="s">
        <v>8331</v>
      </c>
      <c r="T572" s="2">
        <v>0.90972222222222221</v>
      </c>
      <c r="U572">
        <v>1</v>
      </c>
      <c r="V572" t="s">
        <v>8332</v>
      </c>
      <c r="W572" t="s">
        <v>8333</v>
      </c>
      <c r="X572" t="s">
        <v>8334</v>
      </c>
      <c r="Y572" t="s">
        <v>8335</v>
      </c>
      <c r="Z572" t="s">
        <v>8336</v>
      </c>
      <c r="AA572" t="s">
        <v>8336</v>
      </c>
      <c r="AB572" t="s">
        <v>8336</v>
      </c>
      <c r="AC572" t="s">
        <v>8336</v>
      </c>
      <c r="AD572" t="s">
        <v>8336</v>
      </c>
    </row>
    <row r="573" spans="1:30">
      <c r="A573" t="s">
        <v>8337</v>
      </c>
      <c r="B573">
        <v>9</v>
      </c>
      <c r="C573">
        <v>3</v>
      </c>
      <c r="D573">
        <v>2020</v>
      </c>
      <c r="E573" s="1">
        <v>44077</v>
      </c>
      <c r="F573" t="s">
        <v>8338</v>
      </c>
      <c r="G573">
        <v>0</v>
      </c>
      <c r="H573">
        <v>1</v>
      </c>
      <c r="I573">
        <v>1</v>
      </c>
      <c r="J573">
        <v>0</v>
      </c>
      <c r="K573" t="s">
        <v>8339</v>
      </c>
      <c r="L573" t="s">
        <v>8340</v>
      </c>
      <c r="M573" t="s">
        <v>8341</v>
      </c>
      <c r="N573" t="s">
        <v>8342</v>
      </c>
      <c r="O573" t="s">
        <v>8343</v>
      </c>
      <c r="P573" t="s">
        <v>8344</v>
      </c>
      <c r="Q573" t="s">
        <v>8345</v>
      </c>
      <c r="R573" t="s">
        <v>8346</v>
      </c>
      <c r="S573" t="s">
        <v>8347</v>
      </c>
      <c r="T573" s="2">
        <v>0.98958333333333337</v>
      </c>
      <c r="U573">
        <v>1</v>
      </c>
      <c r="V573" t="s">
        <v>8348</v>
      </c>
      <c r="Z573" t="s">
        <v>8349</v>
      </c>
      <c r="AA573" t="s">
        <v>8349</v>
      </c>
      <c r="AB573" t="s">
        <v>8349</v>
      </c>
      <c r="AC573" t="s">
        <v>8349</v>
      </c>
      <c r="AD573" t="s">
        <v>8349</v>
      </c>
    </row>
    <row r="574" spans="1:30">
      <c r="A574" t="s">
        <v>8350</v>
      </c>
      <c r="B574">
        <v>9</v>
      </c>
      <c r="C574">
        <v>3</v>
      </c>
      <c r="D574">
        <v>2020</v>
      </c>
      <c r="E574" s="1">
        <v>44077</v>
      </c>
      <c r="F574" t="s">
        <v>8351</v>
      </c>
      <c r="G574">
        <v>1</v>
      </c>
      <c r="H574">
        <v>0</v>
      </c>
      <c r="I574">
        <v>1</v>
      </c>
      <c r="J574">
        <v>0</v>
      </c>
      <c r="K574" t="s">
        <v>8352</v>
      </c>
      <c r="L574" t="s">
        <v>8353</v>
      </c>
      <c r="M574" t="s">
        <v>8354</v>
      </c>
      <c r="N574" t="s">
        <v>8355</v>
      </c>
      <c r="O574" t="s">
        <v>8356</v>
      </c>
      <c r="P574" t="s">
        <v>8357</v>
      </c>
      <c r="Q574" t="s">
        <v>8358</v>
      </c>
      <c r="R574" t="s">
        <v>8359</v>
      </c>
      <c r="S574" t="s">
        <v>8360</v>
      </c>
      <c r="T574" s="2">
        <v>0.34375</v>
      </c>
      <c r="U574">
        <v>1</v>
      </c>
      <c r="V574" t="s">
        <v>8361</v>
      </c>
      <c r="X574" t="s">
        <v>8362</v>
      </c>
      <c r="Z574" t="s">
        <v>8363</v>
      </c>
      <c r="AA574" t="s">
        <v>8363</v>
      </c>
      <c r="AB574" t="s">
        <v>8363</v>
      </c>
      <c r="AC574" t="s">
        <v>8363</v>
      </c>
      <c r="AD574" t="s">
        <v>8363</v>
      </c>
    </row>
    <row r="575" spans="1:30">
      <c r="A575" t="s">
        <v>8364</v>
      </c>
      <c r="B575">
        <v>8</v>
      </c>
      <c r="C575">
        <v>30</v>
      </c>
      <c r="D575">
        <v>2020</v>
      </c>
      <c r="E575" s="1">
        <v>44073</v>
      </c>
      <c r="F575" t="s">
        <v>8365</v>
      </c>
      <c r="G575">
        <v>1</v>
      </c>
      <c r="H575">
        <v>0</v>
      </c>
      <c r="I575">
        <v>1</v>
      </c>
      <c r="J575">
        <v>0</v>
      </c>
      <c r="K575" t="s">
        <v>8366</v>
      </c>
      <c r="L575" t="s">
        <v>8367</v>
      </c>
      <c r="M575" t="s">
        <v>8368</v>
      </c>
      <c r="N575" t="s">
        <v>8369</v>
      </c>
      <c r="O575" t="s">
        <v>8370</v>
      </c>
      <c r="P575" t="s">
        <v>8371</v>
      </c>
      <c r="Q575" t="s">
        <v>8372</v>
      </c>
      <c r="R575" t="s">
        <v>8373</v>
      </c>
      <c r="S575" t="s">
        <v>8374</v>
      </c>
      <c r="T575" s="2">
        <v>0.91666666666666663</v>
      </c>
      <c r="U575">
        <v>1</v>
      </c>
      <c r="V575" t="s">
        <v>8375</v>
      </c>
      <c r="W575" t="s">
        <v>8376</v>
      </c>
      <c r="X575" t="s">
        <v>8377</v>
      </c>
      <c r="Y575" t="s">
        <v>8378</v>
      </c>
      <c r="Z575" t="s">
        <v>8378</v>
      </c>
      <c r="AA575" t="s">
        <v>8378</v>
      </c>
      <c r="AB575" t="s">
        <v>8378</v>
      </c>
      <c r="AC575" t="s">
        <v>8378</v>
      </c>
      <c r="AD575" t="s">
        <v>8378</v>
      </c>
    </row>
    <row r="576" spans="1:30">
      <c r="A576" t="s">
        <v>8379</v>
      </c>
      <c r="B576">
        <v>8</v>
      </c>
      <c r="C576">
        <v>25</v>
      </c>
      <c r="D576">
        <v>2020</v>
      </c>
      <c r="E576" s="1">
        <v>44068</v>
      </c>
      <c r="F576" t="s">
        <v>8380</v>
      </c>
      <c r="G576">
        <v>0</v>
      </c>
      <c r="H576">
        <v>1</v>
      </c>
      <c r="I576">
        <v>1</v>
      </c>
      <c r="J576">
        <v>0</v>
      </c>
      <c r="K576" t="s">
        <v>8381</v>
      </c>
      <c r="L576" t="s">
        <v>8382</v>
      </c>
      <c r="M576" t="s">
        <v>8383</v>
      </c>
      <c r="N576" t="s">
        <v>8384</v>
      </c>
      <c r="O576" t="s">
        <v>8385</v>
      </c>
      <c r="P576" t="s">
        <v>8386</v>
      </c>
      <c r="Q576" t="s">
        <v>8387</v>
      </c>
      <c r="R576" t="s">
        <v>8388</v>
      </c>
      <c r="S576" t="s">
        <v>8389</v>
      </c>
      <c r="T576" s="2">
        <v>0.14583333333333334</v>
      </c>
      <c r="U576">
        <v>1</v>
      </c>
      <c r="V576" t="s">
        <v>8390</v>
      </c>
      <c r="Z576" t="s">
        <v>8391</v>
      </c>
      <c r="AA576" t="s">
        <v>8391</v>
      </c>
      <c r="AB576" t="s">
        <v>8391</v>
      </c>
      <c r="AC576" t="s">
        <v>8391</v>
      </c>
      <c r="AD576" t="s">
        <v>8391</v>
      </c>
    </row>
    <row r="577" spans="1:30">
      <c r="A577" t="s">
        <v>8392</v>
      </c>
      <c r="B577">
        <v>8</v>
      </c>
      <c r="C577">
        <v>17</v>
      </c>
      <c r="D577">
        <v>2020</v>
      </c>
      <c r="E577" s="1">
        <v>44060</v>
      </c>
      <c r="F577" t="s">
        <v>8393</v>
      </c>
      <c r="G577">
        <v>0</v>
      </c>
      <c r="H577">
        <v>1</v>
      </c>
      <c r="I577">
        <v>1</v>
      </c>
      <c r="J577">
        <v>0</v>
      </c>
      <c r="K577" t="s">
        <v>8394</v>
      </c>
      <c r="L577" t="s">
        <v>8395</v>
      </c>
      <c r="M577" t="s">
        <v>8396</v>
      </c>
      <c r="N577" t="s">
        <v>8397</v>
      </c>
      <c r="O577" t="s">
        <v>8398</v>
      </c>
      <c r="P577" t="s">
        <v>8399</v>
      </c>
      <c r="Q577" t="s">
        <v>8400</v>
      </c>
      <c r="R577" t="s">
        <v>8401</v>
      </c>
      <c r="S577" t="s">
        <v>8402</v>
      </c>
      <c r="T577" s="2">
        <v>0.6875</v>
      </c>
      <c r="U577">
        <v>1</v>
      </c>
      <c r="V577" t="s">
        <v>8403</v>
      </c>
      <c r="Y577" t="s">
        <v>8404</v>
      </c>
      <c r="Z577" t="s">
        <v>8404</v>
      </c>
      <c r="AA577" t="s">
        <v>8404</v>
      </c>
      <c r="AB577" t="s">
        <v>8404</v>
      </c>
      <c r="AC577" t="s">
        <v>8404</v>
      </c>
      <c r="AD577" t="s">
        <v>8404</v>
      </c>
    </row>
    <row r="578" spans="1:30">
      <c r="A578" t="s">
        <v>8405</v>
      </c>
      <c r="B578">
        <v>8</v>
      </c>
      <c r="C578">
        <v>4</v>
      </c>
      <c r="D578">
        <v>2020</v>
      </c>
      <c r="E578" s="1">
        <v>44047</v>
      </c>
      <c r="F578" t="s">
        <v>8406</v>
      </c>
      <c r="G578">
        <v>1</v>
      </c>
      <c r="H578">
        <v>0</v>
      </c>
      <c r="I578">
        <v>1</v>
      </c>
      <c r="J578">
        <v>0</v>
      </c>
      <c r="K578" t="s">
        <v>8407</v>
      </c>
      <c r="L578" t="s">
        <v>8408</v>
      </c>
      <c r="M578" t="s">
        <v>8409</v>
      </c>
      <c r="N578" t="s">
        <v>8410</v>
      </c>
      <c r="O578" t="s">
        <v>8411</v>
      </c>
      <c r="P578" t="s">
        <v>8412</v>
      </c>
      <c r="Q578" t="s">
        <v>8413</v>
      </c>
      <c r="R578" t="s">
        <v>8414</v>
      </c>
      <c r="S578" t="s">
        <v>8415</v>
      </c>
      <c r="T578" s="2">
        <v>0.51041666666666663</v>
      </c>
      <c r="U578">
        <v>1</v>
      </c>
      <c r="V578" t="s">
        <v>8416</v>
      </c>
      <c r="W578" t="s">
        <v>8417</v>
      </c>
      <c r="X578" t="s">
        <v>8418</v>
      </c>
      <c r="Z578" t="s">
        <v>8419</v>
      </c>
      <c r="AA578" t="s">
        <v>8419</v>
      </c>
      <c r="AB578" t="s">
        <v>8419</v>
      </c>
      <c r="AC578" t="s">
        <v>8419</v>
      </c>
    </row>
    <row r="579" spans="1:30">
      <c r="A579" t="s">
        <v>8420</v>
      </c>
      <c r="B579">
        <v>7</v>
      </c>
      <c r="C579">
        <v>29</v>
      </c>
      <c r="D579">
        <v>2020</v>
      </c>
      <c r="E579" s="1">
        <v>44041</v>
      </c>
      <c r="F579" t="s">
        <v>8421</v>
      </c>
      <c r="G579">
        <v>0</v>
      </c>
      <c r="H579">
        <v>0</v>
      </c>
      <c r="I579">
        <v>0</v>
      </c>
      <c r="J579">
        <v>0</v>
      </c>
      <c r="K579" t="s">
        <v>8422</v>
      </c>
      <c r="M579" t="s">
        <v>8423</v>
      </c>
      <c r="N579" t="s">
        <v>8424</v>
      </c>
      <c r="O579" t="s">
        <v>8425</v>
      </c>
      <c r="P579" t="s">
        <v>8426</v>
      </c>
      <c r="Q579" t="s">
        <v>8427</v>
      </c>
      <c r="R579" t="s">
        <v>8428</v>
      </c>
      <c r="S579" t="s">
        <v>8429</v>
      </c>
      <c r="T579" s="2">
        <v>0.88472222222222219</v>
      </c>
      <c r="U579">
        <v>1</v>
      </c>
      <c r="V579" t="s">
        <v>8430</v>
      </c>
      <c r="W579" t="s">
        <v>8431</v>
      </c>
      <c r="X579" t="s">
        <v>8432</v>
      </c>
      <c r="Y579" t="s">
        <v>8433</v>
      </c>
      <c r="Z579" t="s">
        <v>8433</v>
      </c>
      <c r="AA579" t="s">
        <v>8433</v>
      </c>
      <c r="AC579" t="s">
        <v>8433</v>
      </c>
      <c r="AD579" t="s">
        <v>8433</v>
      </c>
    </row>
    <row r="580" spans="1:30">
      <c r="A580" t="s">
        <v>8434</v>
      </c>
      <c r="B580">
        <v>7</v>
      </c>
      <c r="C580">
        <v>27</v>
      </c>
      <c r="D580">
        <v>2020</v>
      </c>
      <c r="E580" s="1">
        <v>44039</v>
      </c>
      <c r="F580" t="s">
        <v>8435</v>
      </c>
      <c r="G580">
        <v>0</v>
      </c>
      <c r="H580">
        <v>0</v>
      </c>
      <c r="I580">
        <v>0</v>
      </c>
      <c r="J580">
        <v>1</v>
      </c>
      <c r="K580" t="s">
        <v>8436</v>
      </c>
      <c r="L580" t="s">
        <v>8437</v>
      </c>
      <c r="M580" t="s">
        <v>8438</v>
      </c>
      <c r="N580" t="s">
        <v>8439</v>
      </c>
      <c r="O580" t="s">
        <v>8440</v>
      </c>
      <c r="P580" t="s">
        <v>8441</v>
      </c>
      <c r="Q580" t="s">
        <v>8442</v>
      </c>
      <c r="R580" t="s">
        <v>8443</v>
      </c>
      <c r="S580" t="s">
        <v>8444</v>
      </c>
      <c r="T580" s="2">
        <v>0.66666666666666663</v>
      </c>
      <c r="U580">
        <v>1</v>
      </c>
      <c r="V580" t="s">
        <v>8445</v>
      </c>
      <c r="W580" t="s">
        <v>8446</v>
      </c>
      <c r="X580" t="s">
        <v>8447</v>
      </c>
      <c r="Y580" t="s">
        <v>8448</v>
      </c>
      <c r="Z580" t="s">
        <v>8448</v>
      </c>
      <c r="AA580" t="s">
        <v>8448</v>
      </c>
      <c r="AB580" t="s">
        <v>8448</v>
      </c>
      <c r="AC580" t="s">
        <v>8448</v>
      </c>
      <c r="AD580" t="s">
        <v>8448</v>
      </c>
    </row>
    <row r="581" spans="1:30">
      <c r="A581" t="s">
        <v>8449</v>
      </c>
      <c r="B581">
        <v>7</v>
      </c>
      <c r="C581">
        <v>21</v>
      </c>
      <c r="D581">
        <v>2020</v>
      </c>
      <c r="E581" s="1">
        <v>44033</v>
      </c>
      <c r="F581" t="s">
        <v>8450</v>
      </c>
      <c r="G581">
        <v>1</v>
      </c>
      <c r="H581">
        <v>0</v>
      </c>
      <c r="I581">
        <v>1</v>
      </c>
      <c r="J581">
        <v>0</v>
      </c>
      <c r="K581" t="s">
        <v>8451</v>
      </c>
      <c r="L581" t="s">
        <v>8452</v>
      </c>
      <c r="M581" t="s">
        <v>8453</v>
      </c>
      <c r="N581" t="s">
        <v>8454</v>
      </c>
      <c r="O581" t="s">
        <v>8455</v>
      </c>
      <c r="P581" t="s">
        <v>8456</v>
      </c>
      <c r="Q581" t="s">
        <v>8457</v>
      </c>
      <c r="R581" t="s">
        <v>8458</v>
      </c>
      <c r="S581" t="s">
        <v>8459</v>
      </c>
      <c r="T581" s="2">
        <v>0.875</v>
      </c>
      <c r="U581">
        <v>1</v>
      </c>
      <c r="V581" t="s">
        <v>8460</v>
      </c>
      <c r="W581" t="s">
        <v>8461</v>
      </c>
      <c r="Y581" t="s">
        <v>8462</v>
      </c>
      <c r="Z581" t="s">
        <v>8462</v>
      </c>
      <c r="AA581" t="s">
        <v>8462</v>
      </c>
      <c r="AB581" t="s">
        <v>8462</v>
      </c>
      <c r="AC581" t="s">
        <v>8462</v>
      </c>
      <c r="AD581" t="s">
        <v>8462</v>
      </c>
    </row>
    <row r="582" spans="1:30">
      <c r="A582" t="s">
        <v>8463</v>
      </c>
      <c r="B582">
        <v>7</v>
      </c>
      <c r="C582">
        <v>14</v>
      </c>
      <c r="D582">
        <v>2020</v>
      </c>
      <c r="E582" s="1">
        <v>44026</v>
      </c>
      <c r="F582" t="s">
        <v>8464</v>
      </c>
      <c r="G582">
        <v>0</v>
      </c>
      <c r="H582">
        <v>0</v>
      </c>
      <c r="I582">
        <v>0</v>
      </c>
      <c r="J582">
        <v>0</v>
      </c>
      <c r="K582" t="s">
        <v>8465</v>
      </c>
      <c r="L582" t="s">
        <v>8466</v>
      </c>
      <c r="M582" t="s">
        <v>8467</v>
      </c>
      <c r="N582" t="s">
        <v>8468</v>
      </c>
      <c r="O582" t="s">
        <v>8469</v>
      </c>
      <c r="P582" t="s">
        <v>8470</v>
      </c>
      <c r="Q582" t="s">
        <v>8471</v>
      </c>
      <c r="R582" t="s">
        <v>8472</v>
      </c>
      <c r="S582" t="s">
        <v>8473</v>
      </c>
      <c r="U582">
        <v>1</v>
      </c>
      <c r="V582" t="s">
        <v>8474</v>
      </c>
      <c r="W582" t="s">
        <v>8475</v>
      </c>
      <c r="X582" t="s">
        <v>8476</v>
      </c>
      <c r="Y582" t="s">
        <v>8477</v>
      </c>
      <c r="Z582" t="s">
        <v>8477</v>
      </c>
      <c r="AA582" t="s">
        <v>8477</v>
      </c>
      <c r="AB582" t="s">
        <v>8477</v>
      </c>
      <c r="AC582" t="s">
        <v>8477</v>
      </c>
      <c r="AD582" t="s">
        <v>8477</v>
      </c>
    </row>
    <row r="583" spans="1:30">
      <c r="A583" t="s">
        <v>8478</v>
      </c>
      <c r="B583">
        <v>7</v>
      </c>
      <c r="C583">
        <v>4</v>
      </c>
      <c r="D583">
        <v>2020</v>
      </c>
      <c r="E583" s="1">
        <v>44016</v>
      </c>
      <c r="F583" t="s">
        <v>8479</v>
      </c>
      <c r="G583">
        <v>1</v>
      </c>
      <c r="H583">
        <v>0</v>
      </c>
      <c r="I583">
        <v>1</v>
      </c>
      <c r="J583">
        <v>0</v>
      </c>
      <c r="K583" t="s">
        <v>8480</v>
      </c>
      <c r="L583" t="s">
        <v>8481</v>
      </c>
      <c r="M583" t="s">
        <v>8482</v>
      </c>
      <c r="N583" t="s">
        <v>8483</v>
      </c>
      <c r="O583" t="s">
        <v>8484</v>
      </c>
      <c r="P583" t="s">
        <v>8485</v>
      </c>
      <c r="Q583" t="s">
        <v>8486</v>
      </c>
      <c r="R583" t="s">
        <v>8487</v>
      </c>
      <c r="S583" t="s">
        <v>8488</v>
      </c>
      <c r="U583">
        <v>1</v>
      </c>
      <c r="V583" t="s">
        <v>8489</v>
      </c>
      <c r="W583" t="s">
        <v>8490</v>
      </c>
      <c r="X583" t="s">
        <v>8491</v>
      </c>
      <c r="Y583" t="s">
        <v>8492</v>
      </c>
      <c r="Z583" t="s">
        <v>8492</v>
      </c>
      <c r="AA583" t="s">
        <v>8492</v>
      </c>
      <c r="AB583" t="s">
        <v>8492</v>
      </c>
      <c r="AC583" t="s">
        <v>8492</v>
      </c>
      <c r="AD583" t="s">
        <v>8492</v>
      </c>
    </row>
    <row r="584" spans="1:30">
      <c r="A584" t="s">
        <v>8493</v>
      </c>
      <c r="B584">
        <v>7</v>
      </c>
      <c r="C584">
        <v>1</v>
      </c>
      <c r="D584">
        <v>2020</v>
      </c>
      <c r="E584" s="1">
        <v>44013</v>
      </c>
      <c r="F584" t="s">
        <v>8494</v>
      </c>
      <c r="G584">
        <v>0</v>
      </c>
      <c r="H584">
        <v>0</v>
      </c>
      <c r="I584">
        <v>0</v>
      </c>
      <c r="J584">
        <v>0</v>
      </c>
      <c r="K584" t="s">
        <v>8495</v>
      </c>
      <c r="L584" t="s">
        <v>8496</v>
      </c>
      <c r="M584" t="s">
        <v>8497</v>
      </c>
      <c r="N584" t="s">
        <v>8498</v>
      </c>
      <c r="O584" t="s">
        <v>8499</v>
      </c>
      <c r="P584" t="s">
        <v>8500</v>
      </c>
      <c r="Q584" t="s">
        <v>8501</v>
      </c>
      <c r="R584" t="s">
        <v>8502</v>
      </c>
      <c r="S584" t="s">
        <v>8503</v>
      </c>
      <c r="T584" s="2">
        <v>0.69097222222222221</v>
      </c>
      <c r="U584">
        <v>1</v>
      </c>
      <c r="V584" t="s">
        <v>8504</v>
      </c>
      <c r="W584" t="s">
        <v>8505</v>
      </c>
      <c r="Y584" t="s">
        <v>8506</v>
      </c>
      <c r="Z584" t="s">
        <v>8507</v>
      </c>
      <c r="AA584" t="s">
        <v>8507</v>
      </c>
      <c r="AB584" t="s">
        <v>8507</v>
      </c>
      <c r="AC584" t="s">
        <v>8507</v>
      </c>
      <c r="AD584" t="s">
        <v>8507</v>
      </c>
    </row>
    <row r="585" spans="1:30">
      <c r="A585" t="s">
        <v>8508</v>
      </c>
      <c r="B585">
        <v>6</v>
      </c>
      <c r="C585">
        <v>30</v>
      </c>
      <c r="D585">
        <v>2020</v>
      </c>
      <c r="E585" s="1">
        <v>44012</v>
      </c>
      <c r="F585" t="s">
        <v>8509</v>
      </c>
      <c r="G585">
        <v>0</v>
      </c>
      <c r="H585">
        <v>0</v>
      </c>
      <c r="I585">
        <v>0</v>
      </c>
      <c r="J585">
        <v>0</v>
      </c>
      <c r="K585" t="s">
        <v>8510</v>
      </c>
      <c r="L585" t="s">
        <v>8511</v>
      </c>
      <c r="M585" t="s">
        <v>8512</v>
      </c>
      <c r="N585" t="s">
        <v>8513</v>
      </c>
      <c r="O585" t="s">
        <v>8514</v>
      </c>
      <c r="P585" t="s">
        <v>8515</v>
      </c>
      <c r="Q585" t="s">
        <v>8516</v>
      </c>
      <c r="R585" t="s">
        <v>8517</v>
      </c>
      <c r="S585" t="s">
        <v>8518</v>
      </c>
      <c r="V585" t="s">
        <v>8519</v>
      </c>
      <c r="W585" t="s">
        <v>8520</v>
      </c>
      <c r="X585" t="s">
        <v>8521</v>
      </c>
      <c r="Y585" t="s">
        <v>8522</v>
      </c>
      <c r="Z585" t="s">
        <v>8522</v>
      </c>
      <c r="AA585" t="s">
        <v>8522</v>
      </c>
      <c r="AB585" t="s">
        <v>8522</v>
      </c>
      <c r="AC585" t="s">
        <v>8522</v>
      </c>
      <c r="AD585" t="s">
        <v>8522</v>
      </c>
    </row>
    <row r="586" spans="1:30">
      <c r="A586" t="s">
        <v>8523</v>
      </c>
      <c r="B586">
        <v>6</v>
      </c>
      <c r="C586">
        <v>27</v>
      </c>
      <c r="D586">
        <v>2020</v>
      </c>
      <c r="E586" s="1">
        <v>44009</v>
      </c>
      <c r="F586" t="s">
        <v>8524</v>
      </c>
      <c r="G586">
        <v>0</v>
      </c>
      <c r="H586">
        <v>0</v>
      </c>
      <c r="I586">
        <v>0</v>
      </c>
      <c r="J586">
        <v>0</v>
      </c>
      <c r="K586" t="s">
        <v>8525</v>
      </c>
      <c r="L586" t="s">
        <v>8526</v>
      </c>
      <c r="M586" t="s">
        <v>8527</v>
      </c>
      <c r="N586" t="s">
        <v>8528</v>
      </c>
      <c r="O586" t="s">
        <v>8529</v>
      </c>
      <c r="P586" t="s">
        <v>8530</v>
      </c>
      <c r="Q586" t="s">
        <v>8531</v>
      </c>
      <c r="R586" t="s">
        <v>8532</v>
      </c>
      <c r="S586" t="s">
        <v>8533</v>
      </c>
      <c r="T586" s="2">
        <v>0.91666666666666663</v>
      </c>
      <c r="U586">
        <v>1</v>
      </c>
      <c r="V586" t="s">
        <v>8534</v>
      </c>
      <c r="W586" t="s">
        <v>8535</v>
      </c>
      <c r="Y586" t="s">
        <v>8536</v>
      </c>
      <c r="Z586" t="s">
        <v>8536</v>
      </c>
      <c r="AA586" t="s">
        <v>8536</v>
      </c>
      <c r="AB586" t="s">
        <v>8536</v>
      </c>
      <c r="AC586" t="s">
        <v>8536</v>
      </c>
      <c r="AD586" t="s">
        <v>8536</v>
      </c>
    </row>
    <row r="587" spans="1:30">
      <c r="A587" t="s">
        <v>8537</v>
      </c>
      <c r="B587">
        <v>6</v>
      </c>
      <c r="C587">
        <v>21</v>
      </c>
      <c r="D587">
        <v>2020</v>
      </c>
      <c r="E587" s="1">
        <v>44003</v>
      </c>
      <c r="F587" t="s">
        <v>8538</v>
      </c>
      <c r="G587">
        <v>0</v>
      </c>
      <c r="H587">
        <v>0</v>
      </c>
      <c r="I587">
        <v>0</v>
      </c>
      <c r="J587">
        <v>0</v>
      </c>
      <c r="K587" t="s">
        <v>8539</v>
      </c>
      <c r="L587" t="s">
        <v>8540</v>
      </c>
      <c r="M587" t="s">
        <v>8541</v>
      </c>
      <c r="N587" t="s">
        <v>8542</v>
      </c>
      <c r="O587" t="s">
        <v>8543</v>
      </c>
      <c r="P587" t="s">
        <v>8544</v>
      </c>
      <c r="Q587" t="s">
        <v>8545</v>
      </c>
      <c r="R587" t="s">
        <v>8546</v>
      </c>
      <c r="S587" t="s">
        <v>8547</v>
      </c>
      <c r="T587" s="2">
        <v>0.22916666666666669</v>
      </c>
      <c r="U587">
        <v>1</v>
      </c>
      <c r="V587" t="s">
        <v>8548</v>
      </c>
      <c r="W587" t="s">
        <v>8549</v>
      </c>
      <c r="X587" t="s">
        <v>8550</v>
      </c>
      <c r="Y587" t="s">
        <v>8551</v>
      </c>
      <c r="Z587" t="s">
        <v>8552</v>
      </c>
      <c r="AA587" t="s">
        <v>8552</v>
      </c>
      <c r="AB587" t="s">
        <v>8552</v>
      </c>
      <c r="AC587" t="s">
        <v>8552</v>
      </c>
      <c r="AD587" t="s">
        <v>8552</v>
      </c>
    </row>
    <row r="588" spans="1:30">
      <c r="A588" t="s">
        <v>8553</v>
      </c>
      <c r="B588">
        <v>6</v>
      </c>
      <c r="C588">
        <v>18</v>
      </c>
      <c r="D588">
        <v>2020</v>
      </c>
      <c r="E588" s="1">
        <v>44000</v>
      </c>
      <c r="F588" t="s">
        <v>8554</v>
      </c>
      <c r="G588">
        <v>0</v>
      </c>
      <c r="H588">
        <v>0</v>
      </c>
      <c r="I588">
        <v>0</v>
      </c>
      <c r="J588">
        <v>0</v>
      </c>
      <c r="K588" t="s">
        <v>8555</v>
      </c>
      <c r="L588" t="s">
        <v>8556</v>
      </c>
      <c r="M588" t="s">
        <v>8557</v>
      </c>
      <c r="N588" t="s">
        <v>8558</v>
      </c>
      <c r="O588" t="s">
        <v>8559</v>
      </c>
      <c r="P588" t="s">
        <v>8560</v>
      </c>
      <c r="Q588" t="s">
        <v>8561</v>
      </c>
      <c r="R588" t="s">
        <v>8562</v>
      </c>
      <c r="S588" t="s">
        <v>8563</v>
      </c>
      <c r="T588" s="2">
        <v>6.25E-2</v>
      </c>
      <c r="U588">
        <v>1</v>
      </c>
      <c r="V588" t="s">
        <v>8564</v>
      </c>
      <c r="W588" t="s">
        <v>8565</v>
      </c>
      <c r="Z588" t="s">
        <v>8566</v>
      </c>
      <c r="AA588" t="s">
        <v>8566</v>
      </c>
      <c r="AB588" t="s">
        <v>8566</v>
      </c>
      <c r="AC588" t="s">
        <v>8566</v>
      </c>
      <c r="AD588" t="s">
        <v>8566</v>
      </c>
    </row>
    <row r="589" spans="1:30">
      <c r="A589" t="s">
        <v>8567</v>
      </c>
      <c r="B589">
        <v>6</v>
      </c>
      <c r="C589">
        <v>16</v>
      </c>
      <c r="D589">
        <v>2020</v>
      </c>
      <c r="E589" s="1">
        <v>43998</v>
      </c>
      <c r="F589" t="s">
        <v>8568</v>
      </c>
      <c r="G589">
        <v>0</v>
      </c>
      <c r="H589">
        <v>1</v>
      </c>
      <c r="I589">
        <v>1</v>
      </c>
      <c r="J589">
        <v>0</v>
      </c>
      <c r="K589" t="s">
        <v>8569</v>
      </c>
      <c r="L589" t="s">
        <v>8570</v>
      </c>
      <c r="M589" t="s">
        <v>8571</v>
      </c>
      <c r="N589" t="s">
        <v>8572</v>
      </c>
      <c r="O589" t="s">
        <v>8573</v>
      </c>
      <c r="P589" t="s">
        <v>8574</v>
      </c>
      <c r="Q589" t="s">
        <v>8575</v>
      </c>
      <c r="R589" t="s">
        <v>8576</v>
      </c>
      <c r="S589" t="s">
        <v>8577</v>
      </c>
      <c r="T589" s="2">
        <v>0.96875</v>
      </c>
      <c r="U589">
        <v>1</v>
      </c>
      <c r="V589" t="s">
        <v>8578</v>
      </c>
      <c r="W589" t="s">
        <v>8579</v>
      </c>
      <c r="Z589" t="s">
        <v>8580</v>
      </c>
      <c r="AA589" t="s">
        <v>8580</v>
      </c>
      <c r="AB589" t="s">
        <v>8580</v>
      </c>
      <c r="AC589" t="s">
        <v>8580</v>
      </c>
      <c r="AD589" t="s">
        <v>8580</v>
      </c>
    </row>
    <row r="590" spans="1:30">
      <c r="A590" t="s">
        <v>8581</v>
      </c>
      <c r="B590">
        <v>6</v>
      </c>
      <c r="C590">
        <v>3</v>
      </c>
      <c r="D590">
        <v>2020</v>
      </c>
      <c r="E590" s="1">
        <v>43985</v>
      </c>
      <c r="F590" t="s">
        <v>8582</v>
      </c>
      <c r="G590">
        <v>0</v>
      </c>
      <c r="H590">
        <v>1</v>
      </c>
      <c r="I590">
        <v>1</v>
      </c>
      <c r="J590">
        <v>0</v>
      </c>
      <c r="L590" t="s">
        <v>8583</v>
      </c>
      <c r="M590" t="s">
        <v>8584</v>
      </c>
      <c r="N590" t="s">
        <v>8585</v>
      </c>
      <c r="O590" t="s">
        <v>8586</v>
      </c>
      <c r="P590" t="s">
        <v>8587</v>
      </c>
      <c r="Q590" t="s">
        <v>8588</v>
      </c>
      <c r="R590" t="s">
        <v>8589</v>
      </c>
      <c r="S590" t="s">
        <v>8590</v>
      </c>
      <c r="T590" s="2">
        <v>0.53819444444444442</v>
      </c>
      <c r="U590">
        <v>1</v>
      </c>
      <c r="V590" t="s">
        <v>8591</v>
      </c>
      <c r="W590" t="s">
        <v>8592</v>
      </c>
      <c r="X590" t="s">
        <v>8593</v>
      </c>
      <c r="Z590" t="s">
        <v>8594</v>
      </c>
      <c r="AA590" t="s">
        <v>8594</v>
      </c>
      <c r="AB590" t="s">
        <v>8594</v>
      </c>
      <c r="AC590" t="s">
        <v>8594</v>
      </c>
      <c r="AD590" t="s">
        <v>8594</v>
      </c>
    </row>
    <row r="591" spans="1:30">
      <c r="A591" t="s">
        <v>8595</v>
      </c>
      <c r="B591">
        <v>5</v>
      </c>
      <c r="C591">
        <v>27</v>
      </c>
      <c r="D591">
        <v>2020</v>
      </c>
      <c r="E591" s="1">
        <v>43978</v>
      </c>
      <c r="F591" t="s">
        <v>8596</v>
      </c>
      <c r="G591">
        <v>0</v>
      </c>
      <c r="H591">
        <v>0</v>
      </c>
      <c r="I591">
        <v>0</v>
      </c>
      <c r="J591">
        <v>1</v>
      </c>
      <c r="L591" t="s">
        <v>8597</v>
      </c>
      <c r="M591" t="s">
        <v>8598</v>
      </c>
      <c r="N591" t="s">
        <v>8599</v>
      </c>
      <c r="O591" t="s">
        <v>8600</v>
      </c>
      <c r="P591" t="s">
        <v>8601</v>
      </c>
      <c r="Q591" t="s">
        <v>8602</v>
      </c>
      <c r="R591" t="s">
        <v>8603</v>
      </c>
      <c r="S591" t="s">
        <v>8604</v>
      </c>
      <c r="T591" s="2">
        <v>0.97916666666666674</v>
      </c>
      <c r="U591">
        <v>1</v>
      </c>
      <c r="V591" t="s">
        <v>8605</v>
      </c>
      <c r="W591" t="s">
        <v>8606</v>
      </c>
      <c r="X591" t="s">
        <v>8607</v>
      </c>
      <c r="Y591" t="s">
        <v>8608</v>
      </c>
      <c r="Z591" t="s">
        <v>8608</v>
      </c>
      <c r="AA591" t="s">
        <v>8608</v>
      </c>
      <c r="AB591" t="s">
        <v>8608</v>
      </c>
      <c r="AC591" t="s">
        <v>8608</v>
      </c>
      <c r="AD591" t="s">
        <v>8608</v>
      </c>
    </row>
    <row r="592" spans="1:30">
      <c r="A592" t="s">
        <v>8609</v>
      </c>
      <c r="B592">
        <v>5</v>
      </c>
      <c r="C592">
        <v>25</v>
      </c>
      <c r="D592">
        <v>2020</v>
      </c>
      <c r="E592" s="1">
        <v>43976</v>
      </c>
      <c r="F592" t="s">
        <v>8610</v>
      </c>
      <c r="G592">
        <v>0</v>
      </c>
      <c r="H592">
        <v>3</v>
      </c>
      <c r="I592">
        <v>3</v>
      </c>
      <c r="J592">
        <v>0</v>
      </c>
      <c r="L592" t="s">
        <v>8611</v>
      </c>
      <c r="M592" t="s">
        <v>8612</v>
      </c>
      <c r="N592" t="s">
        <v>8613</v>
      </c>
      <c r="O592" t="s">
        <v>8614</v>
      </c>
      <c r="P592" t="s">
        <v>8615</v>
      </c>
      <c r="Q592" t="s">
        <v>8616</v>
      </c>
      <c r="R592" t="s">
        <v>8617</v>
      </c>
      <c r="S592" t="s">
        <v>8618</v>
      </c>
      <c r="T592" s="2">
        <v>6.25E-2</v>
      </c>
      <c r="U592">
        <v>1</v>
      </c>
      <c r="V592" t="s">
        <v>8619</v>
      </c>
      <c r="W592" t="s">
        <v>8620</v>
      </c>
      <c r="X592" t="s">
        <v>8621</v>
      </c>
      <c r="Y592" t="s">
        <v>8622</v>
      </c>
      <c r="Z592" t="s">
        <v>8623</v>
      </c>
      <c r="AA592" t="s">
        <v>8623</v>
      </c>
      <c r="AB592" t="s">
        <v>8623</v>
      </c>
      <c r="AC592" t="s">
        <v>8623</v>
      </c>
      <c r="AD592" t="s">
        <v>8623</v>
      </c>
    </row>
    <row r="593" spans="1:30">
      <c r="A593" t="s">
        <v>8624</v>
      </c>
      <c r="B593">
        <v>5</v>
      </c>
      <c r="C593">
        <v>22</v>
      </c>
      <c r="D593">
        <v>2020</v>
      </c>
      <c r="E593" s="1">
        <v>43973</v>
      </c>
      <c r="F593" t="s">
        <v>8625</v>
      </c>
      <c r="G593">
        <v>1</v>
      </c>
      <c r="H593">
        <v>0</v>
      </c>
      <c r="I593">
        <v>1</v>
      </c>
      <c r="J593">
        <v>0</v>
      </c>
      <c r="L593" t="s">
        <v>8626</v>
      </c>
      <c r="M593" t="s">
        <v>8627</v>
      </c>
      <c r="N593" t="s">
        <v>8628</v>
      </c>
      <c r="O593" t="s">
        <v>8629</v>
      </c>
      <c r="P593" t="s">
        <v>8630</v>
      </c>
      <c r="Q593" t="s">
        <v>8631</v>
      </c>
      <c r="R593" t="s">
        <v>8632</v>
      </c>
      <c r="S593" t="s">
        <v>8633</v>
      </c>
      <c r="T593" s="2">
        <v>6.25E-2</v>
      </c>
      <c r="U593">
        <v>1</v>
      </c>
      <c r="V593" t="s">
        <v>8634</v>
      </c>
      <c r="W593" t="s">
        <v>8635</v>
      </c>
      <c r="X593" t="s">
        <v>8636</v>
      </c>
      <c r="Z593" t="s">
        <v>8637</v>
      </c>
      <c r="AA593" t="s">
        <v>8637</v>
      </c>
      <c r="AB593" t="s">
        <v>8637</v>
      </c>
      <c r="AC593" t="s">
        <v>8637</v>
      </c>
      <c r="AD593" t="s">
        <v>8637</v>
      </c>
    </row>
    <row r="594" spans="1:30">
      <c r="A594" t="s">
        <v>8638</v>
      </c>
      <c r="B594">
        <v>5</v>
      </c>
      <c r="C594">
        <v>19</v>
      </c>
      <c r="D594">
        <v>2020</v>
      </c>
      <c r="E594" s="1">
        <v>43970</v>
      </c>
      <c r="F594" t="s">
        <v>8639</v>
      </c>
      <c r="G594">
        <v>0</v>
      </c>
      <c r="H594">
        <v>0</v>
      </c>
      <c r="I594">
        <v>0</v>
      </c>
      <c r="J594">
        <v>0</v>
      </c>
      <c r="L594" t="s">
        <v>8640</v>
      </c>
      <c r="M594" t="s">
        <v>8641</v>
      </c>
      <c r="N594" t="s">
        <v>8642</v>
      </c>
      <c r="O594" t="s">
        <v>8643</v>
      </c>
      <c r="P594" t="s">
        <v>8644</v>
      </c>
      <c r="Q594" t="s">
        <v>8645</v>
      </c>
      <c r="R594" t="s">
        <v>8646</v>
      </c>
      <c r="S594" t="s">
        <v>8647</v>
      </c>
      <c r="T594" s="2">
        <v>0.61111111111111116</v>
      </c>
      <c r="U594">
        <v>1</v>
      </c>
      <c r="V594" t="s">
        <v>8648</v>
      </c>
      <c r="W594" t="s">
        <v>8649</v>
      </c>
      <c r="X594" t="s">
        <v>8650</v>
      </c>
      <c r="Y594" t="s">
        <v>8651</v>
      </c>
      <c r="Z594" t="s">
        <v>8652</v>
      </c>
      <c r="AA594" t="s">
        <v>8652</v>
      </c>
      <c r="AB594" t="s">
        <v>8652</v>
      </c>
      <c r="AC594" t="s">
        <v>8652</v>
      </c>
      <c r="AD594" t="s">
        <v>8652</v>
      </c>
    </row>
    <row r="595" spans="1:30">
      <c r="A595" t="s">
        <v>8653</v>
      </c>
      <c r="B595">
        <v>5</v>
      </c>
      <c r="C595">
        <v>15</v>
      </c>
      <c r="D595">
        <v>2020</v>
      </c>
      <c r="E595" s="1">
        <v>43966</v>
      </c>
      <c r="F595" t="s">
        <v>8654</v>
      </c>
      <c r="G595">
        <v>0</v>
      </c>
      <c r="H595">
        <v>0</v>
      </c>
      <c r="I595">
        <v>0</v>
      </c>
      <c r="J595">
        <v>0</v>
      </c>
      <c r="L595" t="s">
        <v>8655</v>
      </c>
      <c r="M595" t="s">
        <v>8656</v>
      </c>
      <c r="N595" t="s">
        <v>8657</v>
      </c>
      <c r="O595" t="s">
        <v>8658</v>
      </c>
      <c r="P595" t="s">
        <v>8659</v>
      </c>
      <c r="Q595" t="s">
        <v>8660</v>
      </c>
      <c r="R595" t="s">
        <v>8661</v>
      </c>
      <c r="S595" t="s">
        <v>8662</v>
      </c>
      <c r="U595">
        <v>1</v>
      </c>
      <c r="V595" t="s">
        <v>8663</v>
      </c>
      <c r="W595" t="s">
        <v>8664</v>
      </c>
      <c r="X595" t="s">
        <v>8665</v>
      </c>
      <c r="Z595" t="s">
        <v>8666</v>
      </c>
      <c r="AA595" t="s">
        <v>8666</v>
      </c>
      <c r="AB595" t="s">
        <v>8666</v>
      </c>
      <c r="AC595" t="s">
        <v>8666</v>
      </c>
      <c r="AD595" t="s">
        <v>8666</v>
      </c>
    </row>
    <row r="596" spans="1:30">
      <c r="A596" t="s">
        <v>8667</v>
      </c>
      <c r="B596">
        <v>5</v>
      </c>
      <c r="C596">
        <v>5</v>
      </c>
      <c r="D596">
        <v>2020</v>
      </c>
      <c r="E596" s="1">
        <v>43956</v>
      </c>
      <c r="F596" t="s">
        <v>8668</v>
      </c>
      <c r="G596">
        <v>3</v>
      </c>
      <c r="H596">
        <v>0</v>
      </c>
      <c r="I596">
        <v>3</v>
      </c>
      <c r="J596">
        <v>0</v>
      </c>
      <c r="K596" t="s">
        <v>8669</v>
      </c>
      <c r="L596" t="s">
        <v>8670</v>
      </c>
      <c r="M596" t="s">
        <v>8671</v>
      </c>
      <c r="N596" t="s">
        <v>8672</v>
      </c>
      <c r="O596" t="s">
        <v>8673</v>
      </c>
      <c r="P596" t="s">
        <v>8674</v>
      </c>
      <c r="Q596" t="s">
        <v>8675</v>
      </c>
      <c r="R596" t="s">
        <v>8676</v>
      </c>
      <c r="S596" t="s">
        <v>8677</v>
      </c>
      <c r="T596" s="2">
        <v>0.96875</v>
      </c>
      <c r="U596">
        <v>1</v>
      </c>
      <c r="V596" t="s">
        <v>8678</v>
      </c>
      <c r="W596" t="s">
        <v>8679</v>
      </c>
      <c r="Z596" t="s">
        <v>8680</v>
      </c>
      <c r="AA596" t="s">
        <v>8680</v>
      </c>
      <c r="AB596" t="s">
        <v>8680</v>
      </c>
      <c r="AC596" t="s">
        <v>8680</v>
      </c>
      <c r="AD596" t="s">
        <v>8680</v>
      </c>
    </row>
    <row r="597" spans="1:30">
      <c r="A597" t="s">
        <v>8681</v>
      </c>
      <c r="B597">
        <v>4</v>
      </c>
      <c r="C597">
        <v>19</v>
      </c>
      <c r="D597">
        <v>2020</v>
      </c>
      <c r="E597" s="1">
        <v>43940</v>
      </c>
      <c r="F597" t="s">
        <v>8682</v>
      </c>
      <c r="G597">
        <v>0</v>
      </c>
      <c r="H597">
        <v>0</v>
      </c>
      <c r="I597">
        <v>0</v>
      </c>
      <c r="J597">
        <v>0</v>
      </c>
      <c r="K597" t="s">
        <v>8683</v>
      </c>
      <c r="L597" t="s">
        <v>8684</v>
      </c>
      <c r="M597" t="s">
        <v>8685</v>
      </c>
      <c r="N597" t="s">
        <v>8686</v>
      </c>
      <c r="O597" t="s">
        <v>8687</v>
      </c>
      <c r="P597" t="s">
        <v>8688</v>
      </c>
      <c r="Q597" t="s">
        <v>8689</v>
      </c>
      <c r="R597" t="s">
        <v>8690</v>
      </c>
      <c r="S597" t="s">
        <v>8691</v>
      </c>
      <c r="T597" s="2">
        <v>8.3333333333333329E-2</v>
      </c>
      <c r="U597">
        <v>1</v>
      </c>
      <c r="V597" t="s">
        <v>8692</v>
      </c>
      <c r="W597" t="s">
        <v>8693</v>
      </c>
      <c r="X597" t="s">
        <v>8694</v>
      </c>
      <c r="Y597" t="s">
        <v>8695</v>
      </c>
      <c r="Z597" t="s">
        <v>8695</v>
      </c>
      <c r="AA597" t="s">
        <v>8695</v>
      </c>
      <c r="AB597" t="s">
        <v>8695</v>
      </c>
      <c r="AC597" t="s">
        <v>8695</v>
      </c>
      <c r="AD597" t="s">
        <v>8695</v>
      </c>
    </row>
    <row r="598" spans="1:30">
      <c r="A598" t="s">
        <v>8696</v>
      </c>
      <c r="B598">
        <v>4</v>
      </c>
      <c r="C598">
        <v>13</v>
      </c>
      <c r="D598">
        <v>2020</v>
      </c>
      <c r="E598" s="1">
        <v>43934</v>
      </c>
      <c r="F598" t="s">
        <v>8697</v>
      </c>
      <c r="G598">
        <v>0</v>
      </c>
      <c r="H598">
        <v>1</v>
      </c>
      <c r="I598">
        <v>1</v>
      </c>
      <c r="J598">
        <v>0</v>
      </c>
      <c r="L598" t="s">
        <v>8698</v>
      </c>
      <c r="M598" t="s">
        <v>8699</v>
      </c>
      <c r="N598" t="s">
        <v>8700</v>
      </c>
      <c r="O598" t="s">
        <v>8701</v>
      </c>
      <c r="P598" t="s">
        <v>8702</v>
      </c>
      <c r="Q598" t="s">
        <v>8703</v>
      </c>
      <c r="R598" t="s">
        <v>8704</v>
      </c>
      <c r="S598" t="s">
        <v>8705</v>
      </c>
      <c r="T598" s="2">
        <v>0.42708333333333337</v>
      </c>
      <c r="U598">
        <v>1</v>
      </c>
      <c r="V598" t="s">
        <v>8706</v>
      </c>
      <c r="W598" t="s">
        <v>8707</v>
      </c>
      <c r="Z598" t="s">
        <v>8708</v>
      </c>
      <c r="AA598" t="s">
        <v>8708</v>
      </c>
      <c r="AB598" t="s">
        <v>8708</v>
      </c>
      <c r="AC598" t="s">
        <v>8708</v>
      </c>
      <c r="AD598" t="s">
        <v>8708</v>
      </c>
    </row>
    <row r="599" spans="1:30">
      <c r="A599" t="s">
        <v>8709</v>
      </c>
      <c r="B599">
        <v>3</v>
      </c>
      <c r="C599">
        <v>30</v>
      </c>
      <c r="D599">
        <v>2020</v>
      </c>
      <c r="E599" s="1">
        <v>43920</v>
      </c>
      <c r="F599" t="s">
        <v>8710</v>
      </c>
      <c r="G599">
        <v>0</v>
      </c>
      <c r="H599">
        <v>3</v>
      </c>
      <c r="I599">
        <v>3</v>
      </c>
      <c r="J599">
        <v>0</v>
      </c>
      <c r="L599" t="s">
        <v>8711</v>
      </c>
      <c r="M599" t="s">
        <v>8712</v>
      </c>
      <c r="N599" t="s">
        <v>8713</v>
      </c>
      <c r="O599" t="s">
        <v>8714</v>
      </c>
      <c r="P599" t="s">
        <v>8715</v>
      </c>
      <c r="Q599" t="s">
        <v>8716</v>
      </c>
      <c r="R599" t="s">
        <v>8717</v>
      </c>
      <c r="S599" t="s">
        <v>8718</v>
      </c>
      <c r="T599" s="2">
        <v>0.90277777777777779</v>
      </c>
      <c r="U599">
        <v>1</v>
      </c>
      <c r="V599" t="s">
        <v>8719</v>
      </c>
      <c r="W599" t="s">
        <v>8720</v>
      </c>
      <c r="X599" t="s">
        <v>8721</v>
      </c>
      <c r="Y599" t="s">
        <v>8722</v>
      </c>
      <c r="Z599" t="s">
        <v>8723</v>
      </c>
      <c r="AA599" t="s">
        <v>8723</v>
      </c>
      <c r="AB599" t="s">
        <v>8723</v>
      </c>
      <c r="AC599" t="s">
        <v>8723</v>
      </c>
      <c r="AD599" t="s">
        <v>8723</v>
      </c>
    </row>
    <row r="600" spans="1:30">
      <c r="A600" t="s">
        <v>8724</v>
      </c>
      <c r="B600">
        <v>3</v>
      </c>
      <c r="C600">
        <v>24</v>
      </c>
      <c r="D600">
        <v>2020</v>
      </c>
      <c r="E600" s="1">
        <v>43914</v>
      </c>
      <c r="F600" t="s">
        <v>8725</v>
      </c>
      <c r="G600">
        <v>0</v>
      </c>
      <c r="H600">
        <v>1</v>
      </c>
      <c r="I600">
        <v>1</v>
      </c>
      <c r="J600">
        <v>0</v>
      </c>
      <c r="L600" t="s">
        <v>8726</v>
      </c>
      <c r="M600" t="s">
        <v>8727</v>
      </c>
      <c r="N600" t="s">
        <v>8728</v>
      </c>
      <c r="O600" t="s">
        <v>8729</v>
      </c>
      <c r="P600" t="s">
        <v>8730</v>
      </c>
      <c r="Q600" t="s">
        <v>8731</v>
      </c>
      <c r="R600" t="s">
        <v>8732</v>
      </c>
      <c r="S600" t="s">
        <v>8733</v>
      </c>
      <c r="T600" s="2">
        <v>0.67499999999999993</v>
      </c>
      <c r="U600">
        <v>1</v>
      </c>
      <c r="V600" t="s">
        <v>8734</v>
      </c>
      <c r="W600" t="s">
        <v>8735</v>
      </c>
      <c r="X600" t="s">
        <v>8736</v>
      </c>
      <c r="Y600" t="s">
        <v>8737</v>
      </c>
      <c r="Z600" t="s">
        <v>8737</v>
      </c>
      <c r="AA600" t="s">
        <v>8737</v>
      </c>
      <c r="AB600" t="s">
        <v>8737</v>
      </c>
      <c r="AC600" t="s">
        <v>8737</v>
      </c>
      <c r="AD600" t="s">
        <v>8737</v>
      </c>
    </row>
    <row r="601" spans="1:30">
      <c r="A601" t="s">
        <v>8738</v>
      </c>
      <c r="B601">
        <v>3</v>
      </c>
      <c r="C601">
        <v>18</v>
      </c>
      <c r="D601">
        <v>2020</v>
      </c>
      <c r="E601" s="1">
        <v>43908</v>
      </c>
      <c r="F601" t="s">
        <v>8739</v>
      </c>
      <c r="G601">
        <v>0</v>
      </c>
      <c r="H601">
        <v>1</v>
      </c>
      <c r="I601">
        <v>1</v>
      </c>
      <c r="J601">
        <v>0</v>
      </c>
      <c r="L601" t="s">
        <v>8740</v>
      </c>
      <c r="M601" t="s">
        <v>8741</v>
      </c>
      <c r="N601" t="s">
        <v>8742</v>
      </c>
      <c r="O601" t="s">
        <v>8743</v>
      </c>
      <c r="P601" t="s">
        <v>8744</v>
      </c>
      <c r="Q601" t="s">
        <v>8745</v>
      </c>
      <c r="R601" t="s">
        <v>8746</v>
      </c>
      <c r="S601" t="s">
        <v>8747</v>
      </c>
      <c r="T601" s="2">
        <v>0.95833333333333337</v>
      </c>
      <c r="U601">
        <v>1</v>
      </c>
      <c r="V601" t="s">
        <v>8748</v>
      </c>
      <c r="W601" t="s">
        <v>8749</v>
      </c>
      <c r="X601" t="s">
        <v>8750</v>
      </c>
      <c r="Y601" t="s">
        <v>8751</v>
      </c>
      <c r="Z601" t="s">
        <v>8751</v>
      </c>
      <c r="AA601" t="s">
        <v>8751</v>
      </c>
      <c r="AB601" t="s">
        <v>8751</v>
      </c>
      <c r="AC601" t="s">
        <v>8751</v>
      </c>
      <c r="AD601" t="s">
        <v>8751</v>
      </c>
    </row>
    <row r="602" spans="1:30">
      <c r="A602" t="s">
        <v>8752</v>
      </c>
      <c r="B602">
        <v>3</v>
      </c>
      <c r="C602">
        <v>15</v>
      </c>
      <c r="D602">
        <v>2020</v>
      </c>
      <c r="E602" s="1">
        <v>43905</v>
      </c>
      <c r="F602" t="s">
        <v>8753</v>
      </c>
      <c r="G602">
        <v>1</v>
      </c>
      <c r="H602">
        <v>0</v>
      </c>
      <c r="I602">
        <v>1</v>
      </c>
      <c r="J602">
        <v>0</v>
      </c>
      <c r="L602" t="s">
        <v>8754</v>
      </c>
      <c r="M602" t="s">
        <v>8755</v>
      </c>
      <c r="N602" t="s">
        <v>8756</v>
      </c>
      <c r="O602" t="s">
        <v>8757</v>
      </c>
      <c r="P602" t="s">
        <v>8758</v>
      </c>
      <c r="Q602" t="s">
        <v>8759</v>
      </c>
      <c r="R602" t="s">
        <v>8760</v>
      </c>
      <c r="S602" t="s">
        <v>8761</v>
      </c>
      <c r="T602" s="2">
        <v>0.44791666666666669</v>
      </c>
      <c r="U602">
        <v>1</v>
      </c>
      <c r="V602" t="s">
        <v>8762</v>
      </c>
      <c r="W602" t="s">
        <v>8763</v>
      </c>
      <c r="X602" t="s">
        <v>8764</v>
      </c>
      <c r="Z602" t="s">
        <v>8765</v>
      </c>
      <c r="AA602" t="s">
        <v>8765</v>
      </c>
      <c r="AB602" t="s">
        <v>8765</v>
      </c>
      <c r="AC602" t="s">
        <v>8765</v>
      </c>
      <c r="AD602" t="s">
        <v>8765</v>
      </c>
    </row>
    <row r="603" spans="1:30">
      <c r="A603" t="s">
        <v>8766</v>
      </c>
      <c r="B603">
        <v>3</v>
      </c>
      <c r="C603">
        <v>13</v>
      </c>
      <c r="D603">
        <v>2020</v>
      </c>
      <c r="E603" s="1">
        <v>43903</v>
      </c>
      <c r="F603" t="s">
        <v>8767</v>
      </c>
      <c r="G603">
        <v>0</v>
      </c>
      <c r="H603">
        <v>0</v>
      </c>
      <c r="I603">
        <v>0</v>
      </c>
      <c r="J603">
        <v>0</v>
      </c>
      <c r="L603" t="s">
        <v>8768</v>
      </c>
      <c r="M603" t="s">
        <v>8769</v>
      </c>
      <c r="N603" t="s">
        <v>8770</v>
      </c>
      <c r="O603" t="s">
        <v>8771</v>
      </c>
      <c r="P603" t="s">
        <v>8772</v>
      </c>
      <c r="Q603" t="s">
        <v>8773</v>
      </c>
      <c r="R603" t="s">
        <v>8774</v>
      </c>
      <c r="S603" t="s">
        <v>8775</v>
      </c>
      <c r="U603">
        <v>1</v>
      </c>
      <c r="V603" t="s">
        <v>8776</v>
      </c>
      <c r="W603" t="s">
        <v>8777</v>
      </c>
      <c r="X603" t="s">
        <v>8778</v>
      </c>
      <c r="Y603" t="s">
        <v>8779</v>
      </c>
      <c r="Z603" t="s">
        <v>8779</v>
      </c>
      <c r="AA603" t="s">
        <v>8779</v>
      </c>
      <c r="AB603" t="s">
        <v>8780</v>
      </c>
      <c r="AC603" t="s">
        <v>8780</v>
      </c>
      <c r="AD603" t="s">
        <v>8780</v>
      </c>
    </row>
    <row r="604" spans="1:30">
      <c r="A604" t="s">
        <v>8781</v>
      </c>
      <c r="B604">
        <v>3</v>
      </c>
      <c r="C604">
        <v>10</v>
      </c>
      <c r="D604">
        <v>2020</v>
      </c>
      <c r="E604" s="1">
        <v>43900</v>
      </c>
      <c r="F604" t="s">
        <v>8782</v>
      </c>
      <c r="G604">
        <v>0</v>
      </c>
      <c r="H604">
        <v>0</v>
      </c>
      <c r="I604">
        <v>0</v>
      </c>
      <c r="J604">
        <v>0</v>
      </c>
      <c r="K604" t="s">
        <v>8783</v>
      </c>
      <c r="L604" t="s">
        <v>8784</v>
      </c>
      <c r="M604" t="s">
        <v>8785</v>
      </c>
      <c r="N604" t="s">
        <v>8786</v>
      </c>
      <c r="O604" t="s">
        <v>8787</v>
      </c>
      <c r="P604" t="s">
        <v>8788</v>
      </c>
      <c r="Q604" t="s">
        <v>8788</v>
      </c>
      <c r="R604" t="s">
        <v>8789</v>
      </c>
      <c r="S604" t="s">
        <v>8790</v>
      </c>
      <c r="T604" s="2">
        <v>0.36319444444444443</v>
      </c>
      <c r="U604">
        <v>1</v>
      </c>
      <c r="V604" t="s">
        <v>8791</v>
      </c>
      <c r="W604" t="s">
        <v>8792</v>
      </c>
      <c r="Y604" t="s">
        <v>8793</v>
      </c>
      <c r="Z604" t="s">
        <v>8793</v>
      </c>
      <c r="AA604" t="s">
        <v>8793</v>
      </c>
      <c r="AB604" t="s">
        <v>8793</v>
      </c>
      <c r="AC604" t="s">
        <v>8793</v>
      </c>
      <c r="AD604" t="s">
        <v>8793</v>
      </c>
    </row>
    <row r="605" spans="1:30">
      <c r="A605" t="s">
        <v>8794</v>
      </c>
      <c r="B605">
        <v>3</v>
      </c>
      <c r="C605">
        <v>5</v>
      </c>
      <c r="D605">
        <v>2020</v>
      </c>
      <c r="E605" s="1">
        <v>43895</v>
      </c>
      <c r="F605" t="s">
        <v>8795</v>
      </c>
      <c r="G605">
        <v>0</v>
      </c>
      <c r="H605">
        <v>1</v>
      </c>
      <c r="I605">
        <v>1</v>
      </c>
      <c r="J605">
        <v>0</v>
      </c>
      <c r="L605" t="s">
        <v>8796</v>
      </c>
      <c r="M605" t="s">
        <v>8797</v>
      </c>
      <c r="N605" t="s">
        <v>8798</v>
      </c>
      <c r="O605" t="s">
        <v>8799</v>
      </c>
      <c r="P605" t="s">
        <v>8800</v>
      </c>
      <c r="Q605" t="s">
        <v>8801</v>
      </c>
      <c r="R605" t="s">
        <v>8802</v>
      </c>
      <c r="S605" t="s">
        <v>8803</v>
      </c>
      <c r="T605" s="2">
        <v>0.51388888888888884</v>
      </c>
      <c r="U605">
        <v>1</v>
      </c>
      <c r="V605" t="s">
        <v>8804</v>
      </c>
      <c r="W605" t="s">
        <v>8805</v>
      </c>
      <c r="X605" t="s">
        <v>8806</v>
      </c>
      <c r="Y605" t="s">
        <v>8807</v>
      </c>
      <c r="Z605" t="s">
        <v>8807</v>
      </c>
      <c r="AA605" t="s">
        <v>8807</v>
      </c>
      <c r="AB605" t="s">
        <v>8807</v>
      </c>
      <c r="AC605" t="s">
        <v>8807</v>
      </c>
      <c r="AD605" t="s">
        <v>8807</v>
      </c>
    </row>
    <row r="606" spans="1:30">
      <c r="A606" t="s">
        <v>8808</v>
      </c>
      <c r="B606">
        <v>3</v>
      </c>
      <c r="C606">
        <v>2</v>
      </c>
      <c r="D606">
        <v>2020</v>
      </c>
      <c r="E606" s="1">
        <v>43892</v>
      </c>
      <c r="F606" t="s">
        <v>8809</v>
      </c>
      <c r="G606">
        <v>0</v>
      </c>
      <c r="H606">
        <v>0</v>
      </c>
      <c r="I606">
        <v>0</v>
      </c>
      <c r="J606">
        <v>0</v>
      </c>
      <c r="L606" t="s">
        <v>8810</v>
      </c>
      <c r="M606" t="s">
        <v>8811</v>
      </c>
      <c r="N606" t="s">
        <v>8812</v>
      </c>
      <c r="O606" t="s">
        <v>8813</v>
      </c>
      <c r="P606" t="s">
        <v>8814</v>
      </c>
      <c r="Q606" t="s">
        <v>8814</v>
      </c>
      <c r="R606" t="s">
        <v>8815</v>
      </c>
      <c r="S606" t="s">
        <v>8816</v>
      </c>
      <c r="T606" s="2">
        <v>0.45833333333333331</v>
      </c>
      <c r="U606">
        <v>1</v>
      </c>
      <c r="V606" t="s">
        <v>8817</v>
      </c>
      <c r="W606" t="s">
        <v>8818</v>
      </c>
      <c r="X606" t="s">
        <v>8819</v>
      </c>
      <c r="Y606" t="s">
        <v>8820</v>
      </c>
      <c r="Z606" t="s">
        <v>8820</v>
      </c>
      <c r="AA606" t="s">
        <v>8820</v>
      </c>
      <c r="AB606" t="s">
        <v>8820</v>
      </c>
      <c r="AC606" t="s">
        <v>8820</v>
      </c>
      <c r="AD606" t="s">
        <v>8820</v>
      </c>
    </row>
    <row r="607" spans="1:30">
      <c r="A607" t="s">
        <v>8821</v>
      </c>
      <c r="B607">
        <v>2</v>
      </c>
      <c r="C607">
        <v>21</v>
      </c>
      <c r="D607">
        <v>2020</v>
      </c>
      <c r="E607" s="1">
        <v>43882</v>
      </c>
      <c r="F607" t="s">
        <v>8822</v>
      </c>
      <c r="G607">
        <v>0</v>
      </c>
      <c r="H607">
        <v>0</v>
      </c>
      <c r="I607">
        <v>0</v>
      </c>
      <c r="J607">
        <v>0</v>
      </c>
      <c r="L607" t="s">
        <v>8823</v>
      </c>
      <c r="M607" t="s">
        <v>8824</v>
      </c>
      <c r="N607" t="s">
        <v>8825</v>
      </c>
      <c r="O607" t="s">
        <v>8826</v>
      </c>
      <c r="P607" t="s">
        <v>8827</v>
      </c>
      <c r="Q607" t="s">
        <v>8828</v>
      </c>
      <c r="R607" t="s">
        <v>8829</v>
      </c>
      <c r="S607" t="s">
        <v>8830</v>
      </c>
      <c r="T607" s="2">
        <v>0.47222222222222221</v>
      </c>
      <c r="U607">
        <v>1</v>
      </c>
      <c r="V607" t="s">
        <v>8831</v>
      </c>
      <c r="W607" t="s">
        <v>8832</v>
      </c>
      <c r="X607" t="s">
        <v>8833</v>
      </c>
      <c r="Z607" t="s">
        <v>8834</v>
      </c>
      <c r="AA607" t="s">
        <v>8834</v>
      </c>
      <c r="AB607" t="s">
        <v>8834</v>
      </c>
      <c r="AC607" t="s">
        <v>8834</v>
      </c>
      <c r="AD607" t="s">
        <v>8834</v>
      </c>
    </row>
    <row r="608" spans="1:30">
      <c r="A608" t="s">
        <v>8835</v>
      </c>
      <c r="B608">
        <v>2</v>
      </c>
      <c r="C608">
        <v>15</v>
      </c>
      <c r="D608">
        <v>2020</v>
      </c>
      <c r="E608" s="1">
        <v>43876</v>
      </c>
      <c r="F608" t="s">
        <v>8836</v>
      </c>
      <c r="G608">
        <v>1</v>
      </c>
      <c r="H608">
        <v>0</v>
      </c>
      <c r="I608">
        <v>1</v>
      </c>
      <c r="J608">
        <v>0</v>
      </c>
      <c r="L608" t="s">
        <v>8837</v>
      </c>
      <c r="M608" t="s">
        <v>8838</v>
      </c>
      <c r="N608" t="s">
        <v>8839</v>
      </c>
      <c r="O608" t="s">
        <v>8840</v>
      </c>
      <c r="P608" t="s">
        <v>8841</v>
      </c>
      <c r="Q608" t="s">
        <v>8842</v>
      </c>
      <c r="R608" t="s">
        <v>8843</v>
      </c>
      <c r="S608" t="s">
        <v>8844</v>
      </c>
      <c r="T608" s="2">
        <v>0.75</v>
      </c>
      <c r="U608">
        <v>1</v>
      </c>
      <c r="V608" t="s">
        <v>8845</v>
      </c>
      <c r="W608" t="s">
        <v>8846</v>
      </c>
      <c r="Z608" t="s">
        <v>8847</v>
      </c>
      <c r="AA608" t="s">
        <v>8847</v>
      </c>
      <c r="AB608" t="s">
        <v>8847</v>
      </c>
      <c r="AC608" t="s">
        <v>8847</v>
      </c>
      <c r="AD608" t="s">
        <v>8847</v>
      </c>
    </row>
    <row r="609" spans="1:30">
      <c r="A609" t="s">
        <v>8848</v>
      </c>
      <c r="B609">
        <v>2</v>
      </c>
      <c r="C609">
        <v>12</v>
      </c>
      <c r="D609">
        <v>2020</v>
      </c>
      <c r="E609" s="1">
        <v>43873</v>
      </c>
      <c r="F609" t="s">
        <v>8849</v>
      </c>
      <c r="G609">
        <v>0</v>
      </c>
      <c r="H609">
        <v>0</v>
      </c>
      <c r="I609">
        <v>0</v>
      </c>
      <c r="J609">
        <v>0</v>
      </c>
      <c r="K609" t="s">
        <v>8850</v>
      </c>
      <c r="L609" t="s">
        <v>8851</v>
      </c>
      <c r="M609" t="s">
        <v>8852</v>
      </c>
      <c r="N609" t="s">
        <v>8853</v>
      </c>
      <c r="O609" t="s">
        <v>8854</v>
      </c>
      <c r="P609" t="s">
        <v>8855</v>
      </c>
      <c r="Q609" t="s">
        <v>8855</v>
      </c>
      <c r="R609" t="s">
        <v>8856</v>
      </c>
      <c r="S609" t="s">
        <v>8857</v>
      </c>
      <c r="T609" s="2">
        <v>0.33333333333333331</v>
      </c>
      <c r="U609">
        <v>1</v>
      </c>
      <c r="V609" t="s">
        <v>8858</v>
      </c>
      <c r="W609" t="s">
        <v>8859</v>
      </c>
      <c r="X609" t="s">
        <v>8860</v>
      </c>
      <c r="Y609" t="s">
        <v>8861</v>
      </c>
      <c r="Z609" t="s">
        <v>8861</v>
      </c>
      <c r="AA609" t="s">
        <v>8861</v>
      </c>
      <c r="AC609" t="s">
        <v>8861</v>
      </c>
      <c r="AD609" t="s">
        <v>8861</v>
      </c>
    </row>
    <row r="610" spans="1:30">
      <c r="A610" t="s">
        <v>8862</v>
      </c>
      <c r="B610">
        <v>2</v>
      </c>
      <c r="C610">
        <v>5</v>
      </c>
      <c r="D610">
        <v>2020</v>
      </c>
      <c r="E610" s="1">
        <v>43866</v>
      </c>
      <c r="F610" t="s">
        <v>8863</v>
      </c>
      <c r="G610">
        <v>0</v>
      </c>
      <c r="H610">
        <v>0</v>
      </c>
      <c r="I610">
        <v>0</v>
      </c>
      <c r="J610">
        <v>1</v>
      </c>
      <c r="K610" t="s">
        <v>8864</v>
      </c>
      <c r="L610" t="s">
        <v>8865</v>
      </c>
      <c r="M610" t="s">
        <v>8866</v>
      </c>
      <c r="N610" t="s">
        <v>8867</v>
      </c>
      <c r="O610" t="s">
        <v>8868</v>
      </c>
      <c r="P610" t="s">
        <v>8869</v>
      </c>
      <c r="Q610" t="s">
        <v>8870</v>
      </c>
      <c r="R610" t="s">
        <v>8871</v>
      </c>
      <c r="S610" t="s">
        <v>8872</v>
      </c>
      <c r="T610" s="2">
        <v>0.41666666666666669</v>
      </c>
      <c r="U610">
        <v>1</v>
      </c>
      <c r="V610" t="s">
        <v>8873</v>
      </c>
      <c r="W610" t="s">
        <v>8874</v>
      </c>
      <c r="X610" t="s">
        <v>8875</v>
      </c>
      <c r="Y610" t="s">
        <v>8876</v>
      </c>
      <c r="Z610" t="s">
        <v>8876</v>
      </c>
      <c r="AA610" t="s">
        <v>8876</v>
      </c>
      <c r="AC610" t="s">
        <v>8876</v>
      </c>
      <c r="AD610" t="s">
        <v>8876</v>
      </c>
    </row>
    <row r="611" spans="1:30">
      <c r="A611" t="s">
        <v>8877</v>
      </c>
      <c r="B611">
        <v>2</v>
      </c>
      <c r="C611">
        <v>4</v>
      </c>
      <c r="D611">
        <v>2020</v>
      </c>
      <c r="E611" s="1">
        <v>43865</v>
      </c>
      <c r="F611" t="s">
        <v>8878</v>
      </c>
      <c r="G611">
        <v>0</v>
      </c>
      <c r="H611">
        <v>0</v>
      </c>
      <c r="I611">
        <v>0</v>
      </c>
      <c r="J611">
        <v>0</v>
      </c>
      <c r="L611" t="s">
        <v>8879</v>
      </c>
      <c r="M611" t="s">
        <v>8880</v>
      </c>
      <c r="N611" t="s">
        <v>8881</v>
      </c>
      <c r="O611" t="s">
        <v>8882</v>
      </c>
      <c r="P611" t="s">
        <v>8883</v>
      </c>
      <c r="Q611" t="s">
        <v>8884</v>
      </c>
      <c r="R611" t="s">
        <v>8885</v>
      </c>
      <c r="S611" t="s">
        <v>8886</v>
      </c>
      <c r="T611" s="2">
        <v>0.75</v>
      </c>
      <c r="U611">
        <v>1</v>
      </c>
      <c r="V611" t="s">
        <v>8887</v>
      </c>
      <c r="W611" t="s">
        <v>8888</v>
      </c>
      <c r="X611" t="s">
        <v>8889</v>
      </c>
      <c r="Y611" t="s">
        <v>8890</v>
      </c>
      <c r="Z611" t="s">
        <v>8891</v>
      </c>
      <c r="AA611" t="s">
        <v>8891</v>
      </c>
      <c r="AB611" t="s">
        <v>8891</v>
      </c>
      <c r="AC611" t="s">
        <v>8891</v>
      </c>
      <c r="AD611" t="s">
        <v>8891</v>
      </c>
    </row>
    <row r="612" spans="1:30">
      <c r="A612" t="s">
        <v>8892</v>
      </c>
      <c r="B612">
        <v>2</v>
      </c>
      <c r="C612">
        <v>3</v>
      </c>
      <c r="D612">
        <v>2020</v>
      </c>
      <c r="E612" s="1">
        <v>43864</v>
      </c>
      <c r="F612" t="s">
        <v>8893</v>
      </c>
      <c r="G612">
        <v>0</v>
      </c>
      <c r="H612">
        <v>1</v>
      </c>
      <c r="I612">
        <v>1</v>
      </c>
      <c r="J612">
        <v>0</v>
      </c>
      <c r="L612" t="s">
        <v>8894</v>
      </c>
      <c r="M612" t="s">
        <v>8895</v>
      </c>
      <c r="N612" t="s">
        <v>8896</v>
      </c>
      <c r="O612" t="s">
        <v>8897</v>
      </c>
      <c r="P612" t="s">
        <v>8898</v>
      </c>
      <c r="Q612" t="s">
        <v>8899</v>
      </c>
      <c r="R612" t="s">
        <v>8900</v>
      </c>
      <c r="S612" t="s">
        <v>8901</v>
      </c>
      <c r="T612" s="2">
        <v>0.72916666666666674</v>
      </c>
      <c r="U612">
        <v>1</v>
      </c>
      <c r="V612" t="s">
        <v>8902</v>
      </c>
      <c r="W612" t="s">
        <v>8903</v>
      </c>
      <c r="Y612" t="s">
        <v>8904</v>
      </c>
      <c r="Z612" t="s">
        <v>8905</v>
      </c>
      <c r="AA612" t="s">
        <v>8905</v>
      </c>
      <c r="AB612" t="s">
        <v>8905</v>
      </c>
      <c r="AC612" t="s">
        <v>8905</v>
      </c>
      <c r="AD612" t="s">
        <v>8905</v>
      </c>
    </row>
    <row r="613" spans="1:30">
      <c r="A613" t="s">
        <v>8906</v>
      </c>
      <c r="B613">
        <v>2</v>
      </c>
      <c r="C613">
        <v>1</v>
      </c>
      <c r="D613">
        <v>2020</v>
      </c>
      <c r="E613" s="1">
        <v>43862</v>
      </c>
      <c r="F613" t="s">
        <v>8907</v>
      </c>
      <c r="G613">
        <v>0</v>
      </c>
      <c r="H613">
        <v>1</v>
      </c>
      <c r="I613">
        <v>1</v>
      </c>
      <c r="J613">
        <v>0</v>
      </c>
      <c r="L613" t="s">
        <v>8908</v>
      </c>
      <c r="M613" t="s">
        <v>8909</v>
      </c>
      <c r="N613" t="s">
        <v>8910</v>
      </c>
      <c r="O613" t="s">
        <v>8911</v>
      </c>
      <c r="P613" t="s">
        <v>8912</v>
      </c>
      <c r="Q613" t="s">
        <v>8912</v>
      </c>
      <c r="R613" t="s">
        <v>8913</v>
      </c>
      <c r="S613" t="s">
        <v>8914</v>
      </c>
      <c r="U613">
        <v>1</v>
      </c>
      <c r="V613" t="s">
        <v>8915</v>
      </c>
      <c r="W613" t="s">
        <v>8916</v>
      </c>
      <c r="X613" t="s">
        <v>8917</v>
      </c>
      <c r="Z613" t="s">
        <v>8918</v>
      </c>
      <c r="AA613" t="s">
        <v>8918</v>
      </c>
      <c r="AB613" t="s">
        <v>8918</v>
      </c>
      <c r="AC613" t="s">
        <v>8918</v>
      </c>
      <c r="AD613" t="s">
        <v>8918</v>
      </c>
    </row>
    <row r="614" spans="1:30">
      <c r="A614" t="s">
        <v>8919</v>
      </c>
      <c r="B614">
        <v>1</v>
      </c>
      <c r="C614">
        <v>31</v>
      </c>
      <c r="D614">
        <v>2020</v>
      </c>
      <c r="E614" s="1">
        <v>43861</v>
      </c>
      <c r="F614" t="s">
        <v>8920</v>
      </c>
      <c r="G614">
        <v>1</v>
      </c>
      <c r="H614">
        <v>0</v>
      </c>
      <c r="I614">
        <v>1</v>
      </c>
      <c r="J614">
        <v>0</v>
      </c>
      <c r="L614" t="s">
        <v>8921</v>
      </c>
      <c r="M614" t="s">
        <v>8922</v>
      </c>
      <c r="N614" t="s">
        <v>8923</v>
      </c>
      <c r="O614" t="s">
        <v>8924</v>
      </c>
      <c r="P614" t="s">
        <v>8925</v>
      </c>
      <c r="Q614" t="s">
        <v>8926</v>
      </c>
      <c r="R614" t="s">
        <v>8927</v>
      </c>
      <c r="S614" t="s">
        <v>8928</v>
      </c>
      <c r="T614" s="2">
        <v>0.86458333333333337</v>
      </c>
      <c r="U614">
        <v>1</v>
      </c>
      <c r="V614" t="s">
        <v>8929</v>
      </c>
      <c r="W614" t="s">
        <v>8930</v>
      </c>
      <c r="Z614" t="s">
        <v>8931</v>
      </c>
      <c r="AA614" t="s">
        <v>8931</v>
      </c>
      <c r="AB614" t="s">
        <v>8931</v>
      </c>
      <c r="AC614" t="s">
        <v>8931</v>
      </c>
      <c r="AD614" t="s">
        <v>8931</v>
      </c>
    </row>
    <row r="615" spans="1:30">
      <c r="A615" t="s">
        <v>8932</v>
      </c>
      <c r="B615">
        <v>1</v>
      </c>
      <c r="C615">
        <v>28</v>
      </c>
      <c r="D615">
        <v>2020</v>
      </c>
      <c r="E615" s="1">
        <v>43858</v>
      </c>
      <c r="F615" t="s">
        <v>8933</v>
      </c>
      <c r="G615">
        <v>0</v>
      </c>
      <c r="H615">
        <v>0</v>
      </c>
      <c r="I615">
        <v>0</v>
      </c>
      <c r="J615">
        <v>0</v>
      </c>
      <c r="L615" t="s">
        <v>8934</v>
      </c>
      <c r="M615" t="s">
        <v>8935</v>
      </c>
      <c r="N615" t="s">
        <v>8936</v>
      </c>
      <c r="O615" t="s">
        <v>8937</v>
      </c>
      <c r="P615" t="s">
        <v>8938</v>
      </c>
      <c r="Q615" t="s">
        <v>8939</v>
      </c>
      <c r="R615" t="s">
        <v>8940</v>
      </c>
      <c r="S615" t="s">
        <v>8941</v>
      </c>
      <c r="T615" s="2">
        <v>0.61458333333333337</v>
      </c>
      <c r="U615">
        <v>1</v>
      </c>
      <c r="V615" t="s">
        <v>8942</v>
      </c>
      <c r="W615" t="s">
        <v>8943</v>
      </c>
      <c r="Y615" t="s">
        <v>8944</v>
      </c>
      <c r="Z615" t="s">
        <v>8944</v>
      </c>
      <c r="AA615" t="s">
        <v>8944</v>
      </c>
      <c r="AB615" t="s">
        <v>8944</v>
      </c>
      <c r="AC615" t="s">
        <v>8944</v>
      </c>
      <c r="AD615" t="s">
        <v>8944</v>
      </c>
    </row>
    <row r="616" spans="1:30">
      <c r="A616" t="s">
        <v>8945</v>
      </c>
      <c r="B616">
        <v>1</v>
      </c>
      <c r="C616">
        <v>28</v>
      </c>
      <c r="D616">
        <v>2020</v>
      </c>
      <c r="E616" s="1">
        <v>43858</v>
      </c>
      <c r="F616" t="s">
        <v>8946</v>
      </c>
      <c r="G616">
        <v>0</v>
      </c>
      <c r="H616">
        <v>1</v>
      </c>
      <c r="I616">
        <v>1</v>
      </c>
      <c r="J616">
        <v>0</v>
      </c>
      <c r="L616" t="s">
        <v>8947</v>
      </c>
      <c r="M616" t="s">
        <v>8948</v>
      </c>
      <c r="N616" t="s">
        <v>8949</v>
      </c>
      <c r="O616" t="s">
        <v>8950</v>
      </c>
      <c r="P616" t="s">
        <v>8951</v>
      </c>
      <c r="Q616" t="s">
        <v>8952</v>
      </c>
      <c r="R616" t="s">
        <v>8953</v>
      </c>
      <c r="S616" t="s">
        <v>8954</v>
      </c>
      <c r="U616">
        <v>1</v>
      </c>
      <c r="V616" t="s">
        <v>8955</v>
      </c>
      <c r="W616" t="s">
        <v>8956</v>
      </c>
      <c r="X616" t="s">
        <v>8957</v>
      </c>
      <c r="Z616" t="s">
        <v>8958</v>
      </c>
      <c r="AA616" t="s">
        <v>8958</v>
      </c>
      <c r="AB616" t="s">
        <v>8958</v>
      </c>
      <c r="AC616" t="s">
        <v>8958</v>
      </c>
      <c r="AD616" t="s">
        <v>8958</v>
      </c>
    </row>
    <row r="617" spans="1:30">
      <c r="A617" t="s">
        <v>8959</v>
      </c>
      <c r="B617">
        <v>1</v>
      </c>
      <c r="C617">
        <v>28</v>
      </c>
      <c r="D617">
        <v>2020</v>
      </c>
      <c r="E617" s="1">
        <v>43858</v>
      </c>
      <c r="F617" t="s">
        <v>8960</v>
      </c>
      <c r="G617">
        <v>0</v>
      </c>
      <c r="H617">
        <v>1</v>
      </c>
      <c r="I617">
        <v>1</v>
      </c>
      <c r="J617">
        <v>0</v>
      </c>
      <c r="L617" t="s">
        <v>8961</v>
      </c>
      <c r="M617" t="s">
        <v>8962</v>
      </c>
      <c r="N617" t="s">
        <v>8963</v>
      </c>
      <c r="O617" t="s">
        <v>8964</v>
      </c>
      <c r="P617" t="s">
        <v>8965</v>
      </c>
      <c r="Q617" t="s">
        <v>8966</v>
      </c>
      <c r="R617" t="s">
        <v>8967</v>
      </c>
      <c r="S617" t="s">
        <v>8968</v>
      </c>
      <c r="T617" s="2">
        <v>0.85416666666666674</v>
      </c>
      <c r="U617">
        <v>1</v>
      </c>
      <c r="V617" t="s">
        <v>8969</v>
      </c>
      <c r="W617" t="s">
        <v>8970</v>
      </c>
      <c r="X617" t="s">
        <v>8971</v>
      </c>
      <c r="Y617" t="s">
        <v>8972</v>
      </c>
      <c r="Z617" t="s">
        <v>8973</v>
      </c>
      <c r="AA617" t="s">
        <v>8973</v>
      </c>
      <c r="AB617" t="s">
        <v>8973</v>
      </c>
      <c r="AC617" t="s">
        <v>8973</v>
      </c>
      <c r="AD617" t="s">
        <v>8973</v>
      </c>
    </row>
    <row r="618" spans="1:30">
      <c r="A618" t="s">
        <v>8974</v>
      </c>
      <c r="B618">
        <v>1</v>
      </c>
      <c r="C618">
        <v>27</v>
      </c>
      <c r="D618">
        <v>2020</v>
      </c>
      <c r="E618" s="1">
        <v>43857</v>
      </c>
      <c r="F618" t="s">
        <v>8975</v>
      </c>
      <c r="G618">
        <v>0</v>
      </c>
      <c r="H618">
        <v>0</v>
      </c>
      <c r="I618">
        <v>0</v>
      </c>
      <c r="J618">
        <v>0</v>
      </c>
      <c r="L618" t="s">
        <v>8976</v>
      </c>
      <c r="M618" t="s">
        <v>8977</v>
      </c>
      <c r="N618" t="s">
        <v>8978</v>
      </c>
      <c r="O618" t="s">
        <v>8979</v>
      </c>
      <c r="P618" t="s">
        <v>8980</v>
      </c>
      <c r="Q618" t="s">
        <v>8981</v>
      </c>
      <c r="R618" t="s">
        <v>8982</v>
      </c>
      <c r="S618" t="s">
        <v>8983</v>
      </c>
      <c r="T618" s="2">
        <v>0.64583333333333337</v>
      </c>
      <c r="U618">
        <v>1</v>
      </c>
      <c r="V618" t="s">
        <v>8984</v>
      </c>
      <c r="W618" t="s">
        <v>8985</v>
      </c>
      <c r="X618" t="s">
        <v>8986</v>
      </c>
      <c r="Y618" t="s">
        <v>8987</v>
      </c>
      <c r="Z618" t="s">
        <v>8988</v>
      </c>
      <c r="AA618" t="s">
        <v>8988</v>
      </c>
      <c r="AB618" t="s">
        <v>8988</v>
      </c>
      <c r="AC618" t="s">
        <v>8988</v>
      </c>
      <c r="AD618" t="s">
        <v>8988</v>
      </c>
    </row>
    <row r="619" spans="1:30">
      <c r="A619" t="s">
        <v>8989</v>
      </c>
      <c r="B619">
        <v>1</v>
      </c>
      <c r="C619">
        <v>23</v>
      </c>
      <c r="D619">
        <v>2020</v>
      </c>
      <c r="E619" s="1">
        <v>43853</v>
      </c>
      <c r="F619" t="s">
        <v>8990</v>
      </c>
      <c r="G619">
        <v>0</v>
      </c>
      <c r="H619">
        <v>1</v>
      </c>
      <c r="I619">
        <v>1</v>
      </c>
      <c r="J619">
        <v>0</v>
      </c>
      <c r="K619" t="s">
        <v>8991</v>
      </c>
      <c r="L619" t="s">
        <v>8992</v>
      </c>
      <c r="M619" t="s">
        <v>8993</v>
      </c>
      <c r="N619" t="s">
        <v>8994</v>
      </c>
      <c r="O619" t="s">
        <v>8995</v>
      </c>
      <c r="P619" t="s">
        <v>8996</v>
      </c>
      <c r="Q619" t="s">
        <v>8997</v>
      </c>
      <c r="R619" t="s">
        <v>8998</v>
      </c>
      <c r="S619" t="s">
        <v>8999</v>
      </c>
      <c r="T619" s="2">
        <v>0.47916666666666663</v>
      </c>
      <c r="U619">
        <v>1</v>
      </c>
      <c r="V619" t="s">
        <v>9000</v>
      </c>
      <c r="W619" t="s">
        <v>9001</v>
      </c>
      <c r="X619" t="s">
        <v>9002</v>
      </c>
      <c r="Z619" t="s">
        <v>9003</v>
      </c>
      <c r="AA619" t="s">
        <v>9003</v>
      </c>
      <c r="AB619" t="s">
        <v>9004</v>
      </c>
      <c r="AD619" t="s">
        <v>9005</v>
      </c>
    </row>
    <row r="620" spans="1:30">
      <c r="A620" t="s">
        <v>9006</v>
      </c>
      <c r="B620">
        <v>1</v>
      </c>
      <c r="C620">
        <v>21</v>
      </c>
      <c r="D620">
        <v>2020</v>
      </c>
      <c r="E620" s="1">
        <v>43851</v>
      </c>
      <c r="F620" t="s">
        <v>9007</v>
      </c>
      <c r="G620">
        <v>0</v>
      </c>
      <c r="H620">
        <v>0</v>
      </c>
      <c r="I620">
        <v>0</v>
      </c>
      <c r="J620">
        <v>0</v>
      </c>
      <c r="L620" t="s">
        <v>9008</v>
      </c>
      <c r="M620" t="s">
        <v>9009</v>
      </c>
      <c r="N620" t="s">
        <v>9010</v>
      </c>
      <c r="O620" t="s">
        <v>9011</v>
      </c>
      <c r="P620" t="s">
        <v>9012</v>
      </c>
      <c r="Q620" t="s">
        <v>9013</v>
      </c>
      <c r="R620" t="s">
        <v>9014</v>
      </c>
      <c r="S620" t="s">
        <v>9015</v>
      </c>
      <c r="T620" s="2">
        <v>0.73958333333333337</v>
      </c>
      <c r="V620" t="s">
        <v>9016</v>
      </c>
      <c r="W620" t="s">
        <v>9017</v>
      </c>
      <c r="X620" t="s">
        <v>9018</v>
      </c>
      <c r="Z620" t="s">
        <v>9019</v>
      </c>
      <c r="AA620" t="s">
        <v>9019</v>
      </c>
      <c r="AB620" t="s">
        <v>9019</v>
      </c>
      <c r="AC620" t="s">
        <v>9019</v>
      </c>
      <c r="AD620" t="s">
        <v>9019</v>
      </c>
    </row>
    <row r="621" spans="1:30">
      <c r="A621" t="s">
        <v>9020</v>
      </c>
      <c r="B621">
        <v>1</v>
      </c>
      <c r="C621">
        <v>21</v>
      </c>
      <c r="D621">
        <v>2020</v>
      </c>
      <c r="E621" s="1">
        <v>43851</v>
      </c>
      <c r="F621" t="s">
        <v>9021</v>
      </c>
      <c r="G621">
        <v>0</v>
      </c>
      <c r="H621">
        <v>1</v>
      </c>
      <c r="I621">
        <v>1</v>
      </c>
      <c r="J621">
        <v>0</v>
      </c>
      <c r="L621" t="s">
        <v>9022</v>
      </c>
      <c r="M621" t="s">
        <v>9023</v>
      </c>
      <c r="N621" t="s">
        <v>9024</v>
      </c>
      <c r="O621" t="s">
        <v>9025</v>
      </c>
      <c r="P621" t="s">
        <v>9026</v>
      </c>
      <c r="Q621" t="s">
        <v>9027</v>
      </c>
      <c r="R621" t="s">
        <v>9028</v>
      </c>
      <c r="S621" t="s">
        <v>9029</v>
      </c>
      <c r="T621" s="2">
        <v>0.77083333333333337</v>
      </c>
      <c r="U621">
        <v>1</v>
      </c>
      <c r="V621" t="s">
        <v>9030</v>
      </c>
      <c r="W621" t="s">
        <v>9031</v>
      </c>
      <c r="X621" t="s">
        <v>9032</v>
      </c>
      <c r="Y621" t="s">
        <v>9033</v>
      </c>
      <c r="Z621" t="s">
        <v>9034</v>
      </c>
      <c r="AA621" t="s">
        <v>9034</v>
      </c>
      <c r="AB621" t="s">
        <v>9034</v>
      </c>
      <c r="AC621" t="s">
        <v>9034</v>
      </c>
      <c r="AD621" t="s">
        <v>9034</v>
      </c>
    </row>
    <row r="622" spans="1:30">
      <c r="A622" t="s">
        <v>9035</v>
      </c>
      <c r="B622">
        <v>1</v>
      </c>
      <c r="C622">
        <v>19</v>
      </c>
      <c r="D622">
        <v>2020</v>
      </c>
      <c r="E622" s="1">
        <v>43849</v>
      </c>
      <c r="F622" t="s">
        <v>9036</v>
      </c>
      <c r="G622">
        <v>0</v>
      </c>
      <c r="H622">
        <v>2</v>
      </c>
      <c r="I622">
        <v>2</v>
      </c>
      <c r="J622">
        <v>0</v>
      </c>
      <c r="L622" t="s">
        <v>9037</v>
      </c>
      <c r="M622" t="s">
        <v>9038</v>
      </c>
      <c r="N622" t="s">
        <v>9039</v>
      </c>
      <c r="O622" t="s">
        <v>9040</v>
      </c>
      <c r="P622" t="s">
        <v>9041</v>
      </c>
      <c r="Q622" t="s">
        <v>9042</v>
      </c>
      <c r="R622" t="s">
        <v>9043</v>
      </c>
      <c r="S622" t="s">
        <v>9044</v>
      </c>
      <c r="T622" s="2">
        <v>0.79166666666666663</v>
      </c>
      <c r="U622">
        <v>1</v>
      </c>
      <c r="V622" t="s">
        <v>9045</v>
      </c>
      <c r="W622" t="s">
        <v>9046</v>
      </c>
      <c r="X622" t="s">
        <v>9047</v>
      </c>
      <c r="Y622" t="s">
        <v>9048</v>
      </c>
      <c r="Z622" t="s">
        <v>9049</v>
      </c>
      <c r="AA622" t="s">
        <v>9049</v>
      </c>
      <c r="AB622" t="s">
        <v>9049</v>
      </c>
      <c r="AC622" t="s">
        <v>9049</v>
      </c>
      <c r="AD622" t="s">
        <v>9049</v>
      </c>
    </row>
    <row r="623" spans="1:30">
      <c r="A623" t="s">
        <v>9050</v>
      </c>
      <c r="B623">
        <v>1</v>
      </c>
      <c r="C623">
        <v>17</v>
      </c>
      <c r="D623">
        <v>2020</v>
      </c>
      <c r="E623" s="1">
        <v>43847</v>
      </c>
      <c r="F623" t="s">
        <v>9051</v>
      </c>
      <c r="G623">
        <v>0</v>
      </c>
      <c r="H623">
        <v>1</v>
      </c>
      <c r="I623">
        <v>1</v>
      </c>
      <c r="J623">
        <v>0</v>
      </c>
      <c r="L623" t="s">
        <v>9052</v>
      </c>
      <c r="M623" t="s">
        <v>9053</v>
      </c>
      <c r="N623" t="s">
        <v>9054</v>
      </c>
      <c r="O623" t="s">
        <v>9055</v>
      </c>
      <c r="P623" t="s">
        <v>9056</v>
      </c>
      <c r="Q623" t="s">
        <v>9057</v>
      </c>
      <c r="R623" t="s">
        <v>9058</v>
      </c>
      <c r="S623" t="s">
        <v>9059</v>
      </c>
      <c r="T623" s="2">
        <v>0.63541666666666663</v>
      </c>
      <c r="U623">
        <v>1</v>
      </c>
      <c r="V623" t="s">
        <v>9060</v>
      </c>
      <c r="W623" t="s">
        <v>9061</v>
      </c>
      <c r="X623" t="s">
        <v>9062</v>
      </c>
      <c r="Y623" t="s">
        <v>9063</v>
      </c>
      <c r="Z623" t="s">
        <v>9063</v>
      </c>
      <c r="AA623" t="s">
        <v>9063</v>
      </c>
      <c r="AB623" t="s">
        <v>9063</v>
      </c>
      <c r="AC623" t="s">
        <v>9063</v>
      </c>
      <c r="AD623" t="s">
        <v>9063</v>
      </c>
    </row>
    <row r="624" spans="1:30">
      <c r="A624" t="s">
        <v>9064</v>
      </c>
      <c r="B624">
        <v>1</v>
      </c>
      <c r="C624">
        <v>17</v>
      </c>
      <c r="D624">
        <v>2020</v>
      </c>
      <c r="E624" s="1">
        <v>43847</v>
      </c>
      <c r="F624" t="s">
        <v>9065</v>
      </c>
      <c r="G624">
        <v>0</v>
      </c>
      <c r="H624">
        <v>0</v>
      </c>
      <c r="I624">
        <v>0</v>
      </c>
      <c r="J624">
        <v>1</v>
      </c>
      <c r="L624" t="s">
        <v>9066</v>
      </c>
      <c r="M624" t="s">
        <v>9067</v>
      </c>
      <c r="N624" t="s">
        <v>9068</v>
      </c>
      <c r="O624" t="s">
        <v>9069</v>
      </c>
      <c r="P624" t="s">
        <v>9070</v>
      </c>
      <c r="Q624" t="s">
        <v>9071</v>
      </c>
      <c r="R624" t="s">
        <v>9072</v>
      </c>
      <c r="S624" t="s">
        <v>9073</v>
      </c>
      <c r="T624" s="2">
        <v>0.45833333333333331</v>
      </c>
      <c r="U624">
        <v>1</v>
      </c>
      <c r="V624" t="s">
        <v>9074</v>
      </c>
      <c r="W624" t="s">
        <v>9075</v>
      </c>
      <c r="X624" t="s">
        <v>9076</v>
      </c>
      <c r="Y624" t="s">
        <v>9077</v>
      </c>
      <c r="Z624" t="s">
        <v>9077</v>
      </c>
      <c r="AA624" t="s">
        <v>9077</v>
      </c>
      <c r="AC624" t="s">
        <v>9077</v>
      </c>
      <c r="AD624" t="s">
        <v>9077</v>
      </c>
    </row>
    <row r="625" spans="1:30">
      <c r="A625" t="s">
        <v>9078</v>
      </c>
      <c r="B625">
        <v>1</v>
      </c>
      <c r="C625">
        <v>14</v>
      </c>
      <c r="D625">
        <v>2020</v>
      </c>
      <c r="E625" s="1">
        <v>43844</v>
      </c>
      <c r="F625" t="s">
        <v>9079</v>
      </c>
      <c r="G625">
        <v>1</v>
      </c>
      <c r="H625">
        <v>0</v>
      </c>
      <c r="I625">
        <v>1</v>
      </c>
      <c r="J625">
        <v>0</v>
      </c>
      <c r="L625" t="s">
        <v>9080</v>
      </c>
      <c r="M625" t="s">
        <v>9081</v>
      </c>
      <c r="N625" t="s">
        <v>9082</v>
      </c>
      <c r="O625" t="s">
        <v>9083</v>
      </c>
      <c r="P625" t="s">
        <v>9084</v>
      </c>
      <c r="Q625" t="s">
        <v>9085</v>
      </c>
      <c r="R625" t="s">
        <v>9086</v>
      </c>
      <c r="S625" t="s">
        <v>9087</v>
      </c>
      <c r="T625" s="2">
        <v>0.66666666666666663</v>
      </c>
      <c r="U625">
        <v>1</v>
      </c>
      <c r="V625" t="s">
        <v>9088</v>
      </c>
      <c r="W625" t="s">
        <v>9089</v>
      </c>
      <c r="X625" t="s">
        <v>9090</v>
      </c>
      <c r="Y625" t="s">
        <v>9091</v>
      </c>
      <c r="Z625" t="s">
        <v>9092</v>
      </c>
      <c r="AA625" t="s">
        <v>9092</v>
      </c>
      <c r="AB625" t="s">
        <v>9092</v>
      </c>
      <c r="AC625" t="s">
        <v>9092</v>
      </c>
      <c r="AD625" t="s">
        <v>9092</v>
      </c>
    </row>
    <row r="626" spans="1:30">
      <c r="A626" t="s">
        <v>9093</v>
      </c>
      <c r="B626">
        <v>1</v>
      </c>
      <c r="C626">
        <v>14</v>
      </c>
      <c r="D626">
        <v>2020</v>
      </c>
      <c r="E626" s="1">
        <v>43844</v>
      </c>
      <c r="F626" t="s">
        <v>9094</v>
      </c>
      <c r="G626">
        <v>0</v>
      </c>
      <c r="H626">
        <v>0</v>
      </c>
      <c r="I626">
        <v>0</v>
      </c>
      <c r="J626">
        <v>0</v>
      </c>
      <c r="L626" t="s">
        <v>9095</v>
      </c>
      <c r="M626" t="s">
        <v>9096</v>
      </c>
      <c r="N626" t="s">
        <v>9097</v>
      </c>
      <c r="O626" t="s">
        <v>9098</v>
      </c>
      <c r="P626" t="s">
        <v>9099</v>
      </c>
      <c r="Q626" t="s">
        <v>9100</v>
      </c>
      <c r="R626" t="s">
        <v>9101</v>
      </c>
      <c r="S626" t="s">
        <v>9102</v>
      </c>
      <c r="T626" s="2">
        <v>0.84722222222222221</v>
      </c>
      <c r="U626">
        <v>1</v>
      </c>
      <c r="V626" t="s">
        <v>9103</v>
      </c>
      <c r="W626" t="s">
        <v>9104</v>
      </c>
      <c r="X626" t="s">
        <v>9105</v>
      </c>
      <c r="Y626" t="s">
        <v>9106</v>
      </c>
      <c r="Z626" t="s">
        <v>9107</v>
      </c>
      <c r="AA626" t="s">
        <v>9107</v>
      </c>
      <c r="AB626" t="s">
        <v>9107</v>
      </c>
      <c r="AC626" t="s">
        <v>9107</v>
      </c>
      <c r="AD626" t="s">
        <v>9107</v>
      </c>
    </row>
    <row r="627" spans="1:30">
      <c r="A627" t="s">
        <v>9108</v>
      </c>
      <c r="B627">
        <v>1</v>
      </c>
      <c r="C627">
        <v>11</v>
      </c>
      <c r="D627">
        <v>2020</v>
      </c>
      <c r="E627" s="1">
        <v>43841</v>
      </c>
      <c r="F627" t="s">
        <v>9109</v>
      </c>
      <c r="G627">
        <v>1</v>
      </c>
      <c r="H627">
        <v>1</v>
      </c>
      <c r="I627">
        <v>2</v>
      </c>
      <c r="J627">
        <v>0</v>
      </c>
      <c r="L627" t="s">
        <v>9110</v>
      </c>
      <c r="M627" t="s">
        <v>9111</v>
      </c>
      <c r="N627" t="s">
        <v>9112</v>
      </c>
      <c r="O627" t="s">
        <v>9113</v>
      </c>
      <c r="P627" t="s">
        <v>9114</v>
      </c>
      <c r="Q627" t="s">
        <v>9115</v>
      </c>
      <c r="R627" t="s">
        <v>9116</v>
      </c>
      <c r="S627" t="s">
        <v>9117</v>
      </c>
      <c r="T627" s="2">
        <v>0.88194444444444442</v>
      </c>
      <c r="U627">
        <v>1</v>
      </c>
      <c r="V627" t="s">
        <v>9118</v>
      </c>
      <c r="W627" t="s">
        <v>9119</v>
      </c>
      <c r="X627" t="s">
        <v>9120</v>
      </c>
      <c r="Y627" t="s">
        <v>9121</v>
      </c>
      <c r="Z627" t="s">
        <v>9122</v>
      </c>
      <c r="AA627" t="s">
        <v>9122</v>
      </c>
      <c r="AB627" t="s">
        <v>9122</v>
      </c>
      <c r="AC627" t="s">
        <v>9122</v>
      </c>
      <c r="AD627" t="s">
        <v>9122</v>
      </c>
    </row>
    <row r="628" spans="1:30">
      <c r="A628" t="s">
        <v>9123</v>
      </c>
      <c r="B628">
        <v>1</v>
      </c>
      <c r="C628">
        <v>10</v>
      </c>
      <c r="D628">
        <v>2020</v>
      </c>
      <c r="E628" s="1">
        <v>43840</v>
      </c>
      <c r="F628" t="s">
        <v>9124</v>
      </c>
      <c r="G628">
        <v>0</v>
      </c>
      <c r="H628">
        <v>1</v>
      </c>
      <c r="I628">
        <v>1</v>
      </c>
      <c r="J628">
        <v>0</v>
      </c>
      <c r="L628" t="s">
        <v>9125</v>
      </c>
      <c r="M628" t="s">
        <v>9126</v>
      </c>
      <c r="N628" t="s">
        <v>9127</v>
      </c>
      <c r="O628" t="s">
        <v>9128</v>
      </c>
      <c r="P628" t="s">
        <v>9129</v>
      </c>
      <c r="Q628" t="s">
        <v>9129</v>
      </c>
      <c r="R628" t="s">
        <v>9130</v>
      </c>
      <c r="S628" t="s">
        <v>9131</v>
      </c>
      <c r="T628" s="2">
        <v>0.29166666666666669</v>
      </c>
      <c r="U628">
        <v>1</v>
      </c>
      <c r="V628" t="s">
        <v>9132</v>
      </c>
      <c r="W628" t="s">
        <v>9133</v>
      </c>
      <c r="Y628" t="s">
        <v>9134</v>
      </c>
      <c r="Z628" t="s">
        <v>9134</v>
      </c>
      <c r="AA628" t="s">
        <v>9134</v>
      </c>
      <c r="AB628" t="s">
        <v>9134</v>
      </c>
      <c r="AC628" t="s">
        <v>9134</v>
      </c>
      <c r="AD628" t="s">
        <v>9134</v>
      </c>
    </row>
    <row r="629" spans="1:30">
      <c r="A629" t="s">
        <v>9135</v>
      </c>
      <c r="B629">
        <v>1</v>
      </c>
      <c r="C629">
        <v>8</v>
      </c>
      <c r="D629">
        <v>2020</v>
      </c>
      <c r="E629" s="1">
        <v>43838</v>
      </c>
      <c r="F629" t="s">
        <v>9136</v>
      </c>
      <c r="G629">
        <v>0</v>
      </c>
      <c r="H629">
        <v>0</v>
      </c>
      <c r="I629">
        <v>0</v>
      </c>
      <c r="J629">
        <v>0</v>
      </c>
      <c r="L629" t="s">
        <v>9137</v>
      </c>
      <c r="M629" t="s">
        <v>9138</v>
      </c>
      <c r="N629" t="s">
        <v>9139</v>
      </c>
      <c r="O629" t="s">
        <v>9140</v>
      </c>
      <c r="P629" t="s">
        <v>9141</v>
      </c>
      <c r="Q629" t="s">
        <v>9142</v>
      </c>
      <c r="R629" t="s">
        <v>9143</v>
      </c>
      <c r="S629" t="s">
        <v>9144</v>
      </c>
      <c r="T629" s="2">
        <v>0.54166666666666663</v>
      </c>
      <c r="U629">
        <v>1</v>
      </c>
      <c r="V629" t="s">
        <v>9145</v>
      </c>
      <c r="W629" t="s">
        <v>9146</v>
      </c>
      <c r="X629" t="s">
        <v>9147</v>
      </c>
      <c r="Y629" t="s">
        <v>9148</v>
      </c>
      <c r="Z629" t="s">
        <v>9148</v>
      </c>
      <c r="AA629" t="s">
        <v>9148</v>
      </c>
      <c r="AB629" t="s">
        <v>9148</v>
      </c>
      <c r="AC629" t="s">
        <v>9148</v>
      </c>
      <c r="AD629" t="s">
        <v>9148</v>
      </c>
    </row>
    <row r="630" spans="1:30">
      <c r="A630" t="s">
        <v>9149</v>
      </c>
      <c r="B630">
        <v>1</v>
      </c>
      <c r="C630">
        <v>7</v>
      </c>
      <c r="D630">
        <v>2020</v>
      </c>
      <c r="E630" s="1">
        <v>43837</v>
      </c>
      <c r="F630" t="s">
        <v>9150</v>
      </c>
      <c r="G630">
        <v>0</v>
      </c>
      <c r="H630">
        <v>0</v>
      </c>
      <c r="I630">
        <v>0</v>
      </c>
      <c r="J630">
        <v>0</v>
      </c>
      <c r="L630" t="s">
        <v>9151</v>
      </c>
      <c r="M630" t="s">
        <v>9152</v>
      </c>
      <c r="N630" t="s">
        <v>9153</v>
      </c>
      <c r="O630" t="s">
        <v>9154</v>
      </c>
      <c r="P630" t="s">
        <v>9155</v>
      </c>
      <c r="Q630" t="s">
        <v>9156</v>
      </c>
      <c r="R630" t="s">
        <v>9157</v>
      </c>
      <c r="S630" t="s">
        <v>9158</v>
      </c>
      <c r="V630" t="s">
        <v>9159</v>
      </c>
      <c r="W630" t="s">
        <v>9160</v>
      </c>
      <c r="X630" t="s">
        <v>9161</v>
      </c>
      <c r="Y630" t="s">
        <v>9162</v>
      </c>
      <c r="Z630" t="s">
        <v>9163</v>
      </c>
      <c r="AA630" t="s">
        <v>9163</v>
      </c>
      <c r="AB630" t="s">
        <v>9163</v>
      </c>
      <c r="AC630" t="s">
        <v>9163</v>
      </c>
      <c r="AD630" t="s">
        <v>9163</v>
      </c>
    </row>
    <row r="631" spans="1:30">
      <c r="A631" t="s">
        <v>9164</v>
      </c>
      <c r="B631">
        <v>12</v>
      </c>
      <c r="C631">
        <v>28</v>
      </c>
      <c r="D631">
        <v>2019</v>
      </c>
      <c r="E631" s="1">
        <v>43827</v>
      </c>
      <c r="F631" t="s">
        <v>9165</v>
      </c>
      <c r="G631">
        <v>1</v>
      </c>
      <c r="H631">
        <v>0</v>
      </c>
      <c r="I631">
        <v>1</v>
      </c>
      <c r="J631">
        <v>0</v>
      </c>
      <c r="L631" t="s">
        <v>9166</v>
      </c>
      <c r="M631" t="s">
        <v>9167</v>
      </c>
      <c r="N631" t="s">
        <v>9168</v>
      </c>
      <c r="O631" t="s">
        <v>9169</v>
      </c>
      <c r="P631" t="s">
        <v>9170</v>
      </c>
      <c r="Q631" t="s">
        <v>9171</v>
      </c>
      <c r="R631" t="s">
        <v>9172</v>
      </c>
      <c r="S631" t="s">
        <v>9173</v>
      </c>
      <c r="T631" s="2">
        <v>0.83333333333333337</v>
      </c>
      <c r="U631">
        <v>1</v>
      </c>
      <c r="V631" t="s">
        <v>9174</v>
      </c>
      <c r="W631" t="s">
        <v>9175</v>
      </c>
      <c r="X631" t="s">
        <v>9176</v>
      </c>
      <c r="Z631" t="s">
        <v>9177</v>
      </c>
      <c r="AA631" t="s">
        <v>9177</v>
      </c>
      <c r="AB631" t="s">
        <v>9177</v>
      </c>
      <c r="AC631" t="s">
        <v>9177</v>
      </c>
      <c r="AD631" t="s">
        <v>9177</v>
      </c>
    </row>
    <row r="632" spans="1:30">
      <c r="A632" t="s">
        <v>9178</v>
      </c>
      <c r="B632">
        <v>12</v>
      </c>
      <c r="C632">
        <v>21</v>
      </c>
      <c r="D632">
        <v>2019</v>
      </c>
      <c r="E632" s="1">
        <v>43820</v>
      </c>
      <c r="F632" t="s">
        <v>9179</v>
      </c>
      <c r="G632">
        <v>0</v>
      </c>
      <c r="H632">
        <v>4</v>
      </c>
      <c r="I632">
        <v>4</v>
      </c>
      <c r="J632">
        <v>0</v>
      </c>
      <c r="L632" t="s">
        <v>9180</v>
      </c>
      <c r="M632" t="s">
        <v>9181</v>
      </c>
      <c r="N632" t="s">
        <v>9182</v>
      </c>
      <c r="O632" t="s">
        <v>9183</v>
      </c>
      <c r="P632" t="s">
        <v>9184</v>
      </c>
      <c r="Q632" t="s">
        <v>9185</v>
      </c>
      <c r="R632" t="s">
        <v>9186</v>
      </c>
      <c r="S632" t="s">
        <v>9187</v>
      </c>
      <c r="T632" s="2">
        <v>0.97916666666666674</v>
      </c>
      <c r="U632">
        <v>1</v>
      </c>
      <c r="V632" t="s">
        <v>9188</v>
      </c>
      <c r="W632" t="s">
        <v>9189</v>
      </c>
      <c r="Y632" t="s">
        <v>9190</v>
      </c>
      <c r="Z632" t="s">
        <v>9191</v>
      </c>
      <c r="AA632" t="s">
        <v>9191</v>
      </c>
      <c r="AB632" t="s">
        <v>9191</v>
      </c>
      <c r="AC632" t="s">
        <v>9191</v>
      </c>
      <c r="AD632" t="s">
        <v>9191</v>
      </c>
    </row>
    <row r="633" spans="1:30">
      <c r="A633" t="s">
        <v>9192</v>
      </c>
      <c r="B633">
        <v>12</v>
      </c>
      <c r="C633">
        <v>19</v>
      </c>
      <c r="D633">
        <v>2019</v>
      </c>
      <c r="E633" s="1">
        <v>43818</v>
      </c>
      <c r="F633" t="s">
        <v>9193</v>
      </c>
      <c r="G633">
        <v>1</v>
      </c>
      <c r="H633">
        <v>0</v>
      </c>
      <c r="I633">
        <v>1</v>
      </c>
      <c r="J633">
        <v>0</v>
      </c>
      <c r="L633" t="s">
        <v>9194</v>
      </c>
      <c r="M633" t="s">
        <v>9195</v>
      </c>
      <c r="N633" t="s">
        <v>9196</v>
      </c>
      <c r="O633" t="s">
        <v>9197</v>
      </c>
      <c r="P633" t="s">
        <v>9198</v>
      </c>
      <c r="Q633" t="s">
        <v>9199</v>
      </c>
      <c r="R633" t="s">
        <v>9200</v>
      </c>
      <c r="S633" t="s">
        <v>9201</v>
      </c>
      <c r="T633" s="2">
        <v>0.8534722222222223</v>
      </c>
      <c r="U633">
        <v>1</v>
      </c>
      <c r="V633" t="s">
        <v>9202</v>
      </c>
      <c r="W633" t="s">
        <v>9203</v>
      </c>
      <c r="X633" t="s">
        <v>9204</v>
      </c>
      <c r="Y633" t="s">
        <v>9205</v>
      </c>
      <c r="Z633" t="s">
        <v>9205</v>
      </c>
      <c r="AA633" t="s">
        <v>9205</v>
      </c>
      <c r="AB633" t="s">
        <v>9205</v>
      </c>
      <c r="AC633" t="s">
        <v>9206</v>
      </c>
      <c r="AD633" t="s">
        <v>9207</v>
      </c>
    </row>
    <row r="634" spans="1:30">
      <c r="A634" t="s">
        <v>9208</v>
      </c>
      <c r="B634">
        <v>12</v>
      </c>
      <c r="C634">
        <v>16</v>
      </c>
      <c r="D634">
        <v>2019</v>
      </c>
      <c r="E634" s="1">
        <v>43815</v>
      </c>
      <c r="F634" t="s">
        <v>9209</v>
      </c>
      <c r="G634">
        <v>0</v>
      </c>
      <c r="H634">
        <v>1</v>
      </c>
      <c r="I634">
        <v>1</v>
      </c>
      <c r="J634">
        <v>0</v>
      </c>
      <c r="L634" t="s">
        <v>9210</v>
      </c>
      <c r="M634" t="s">
        <v>9211</v>
      </c>
      <c r="N634" t="s">
        <v>9212</v>
      </c>
      <c r="O634" t="s">
        <v>9213</v>
      </c>
      <c r="P634" t="s">
        <v>9214</v>
      </c>
      <c r="Q634" t="s">
        <v>9215</v>
      </c>
      <c r="R634" t="s">
        <v>9216</v>
      </c>
      <c r="S634" t="s">
        <v>9217</v>
      </c>
      <c r="T634" s="2">
        <v>0.375</v>
      </c>
      <c r="U634">
        <v>1</v>
      </c>
      <c r="V634" t="s">
        <v>9218</v>
      </c>
      <c r="W634" t="s">
        <v>9219</v>
      </c>
      <c r="X634" t="s">
        <v>9220</v>
      </c>
      <c r="Y634" t="s">
        <v>9221</v>
      </c>
      <c r="Z634" t="s">
        <v>9221</v>
      </c>
      <c r="AA634" t="s">
        <v>9221</v>
      </c>
      <c r="AB634" t="s">
        <v>9221</v>
      </c>
      <c r="AC634" t="s">
        <v>9221</v>
      </c>
      <c r="AD634" t="s">
        <v>9221</v>
      </c>
    </row>
    <row r="635" spans="1:30">
      <c r="A635" t="s">
        <v>9222</v>
      </c>
      <c r="B635">
        <v>12</v>
      </c>
      <c r="C635">
        <v>13</v>
      </c>
      <c r="D635">
        <v>2019</v>
      </c>
      <c r="E635" s="1">
        <v>43812</v>
      </c>
      <c r="F635" t="s">
        <v>9223</v>
      </c>
      <c r="G635">
        <v>0</v>
      </c>
      <c r="H635">
        <v>0</v>
      </c>
      <c r="I635">
        <v>0</v>
      </c>
      <c r="J635">
        <v>0</v>
      </c>
      <c r="L635" t="s">
        <v>9224</v>
      </c>
      <c r="M635" t="s">
        <v>9225</v>
      </c>
      <c r="N635" t="s">
        <v>9226</v>
      </c>
      <c r="O635" t="s">
        <v>9227</v>
      </c>
      <c r="P635" t="s">
        <v>9228</v>
      </c>
      <c r="Q635" t="s">
        <v>9229</v>
      </c>
      <c r="R635" t="s">
        <v>9230</v>
      </c>
      <c r="S635" t="s">
        <v>9231</v>
      </c>
      <c r="T635" s="2">
        <v>0.51041666666666663</v>
      </c>
      <c r="U635">
        <v>1</v>
      </c>
      <c r="V635" t="s">
        <v>9232</v>
      </c>
      <c r="W635" t="s">
        <v>9233</v>
      </c>
      <c r="X635" t="s">
        <v>9234</v>
      </c>
      <c r="Y635" t="s">
        <v>9235</v>
      </c>
      <c r="Z635" t="s">
        <v>9236</v>
      </c>
      <c r="AA635" t="s">
        <v>9236</v>
      </c>
      <c r="AB635" t="s">
        <v>9236</v>
      </c>
      <c r="AC635" t="s">
        <v>9236</v>
      </c>
      <c r="AD635" t="s">
        <v>9236</v>
      </c>
    </row>
    <row r="636" spans="1:30">
      <c r="A636" t="s">
        <v>9237</v>
      </c>
      <c r="B636">
        <v>12</v>
      </c>
      <c r="C636">
        <v>11</v>
      </c>
      <c r="D636">
        <v>2019</v>
      </c>
      <c r="E636" s="1">
        <v>43810</v>
      </c>
      <c r="F636" t="s">
        <v>9238</v>
      </c>
      <c r="G636">
        <v>0</v>
      </c>
      <c r="H636">
        <v>0</v>
      </c>
      <c r="I636">
        <v>0</v>
      </c>
      <c r="J636">
        <v>0</v>
      </c>
      <c r="L636" t="s">
        <v>9239</v>
      </c>
      <c r="M636" t="s">
        <v>9240</v>
      </c>
      <c r="N636" t="s">
        <v>9241</v>
      </c>
      <c r="O636" t="s">
        <v>9242</v>
      </c>
      <c r="P636" t="s">
        <v>9243</v>
      </c>
      <c r="Q636" t="s">
        <v>9243</v>
      </c>
      <c r="R636" t="s">
        <v>9244</v>
      </c>
      <c r="S636" t="s">
        <v>9245</v>
      </c>
      <c r="T636" s="2">
        <v>0.625</v>
      </c>
      <c r="U636">
        <v>1</v>
      </c>
      <c r="V636" t="s">
        <v>9246</v>
      </c>
      <c r="W636" t="s">
        <v>9247</v>
      </c>
      <c r="Y636" t="s">
        <v>9248</v>
      </c>
      <c r="Z636" t="s">
        <v>9248</v>
      </c>
      <c r="AA636" t="s">
        <v>9248</v>
      </c>
      <c r="AB636" t="s">
        <v>9248</v>
      </c>
      <c r="AC636" t="s">
        <v>9248</v>
      </c>
      <c r="AD636" t="s">
        <v>9248</v>
      </c>
    </row>
    <row r="637" spans="1:30">
      <c r="A637" t="s">
        <v>9249</v>
      </c>
      <c r="B637">
        <v>12</v>
      </c>
      <c r="C637">
        <v>11</v>
      </c>
      <c r="D637">
        <v>2019</v>
      </c>
      <c r="E637" s="1">
        <v>43810</v>
      </c>
      <c r="F637" t="s">
        <v>9250</v>
      </c>
      <c r="G637">
        <v>0</v>
      </c>
      <c r="H637">
        <v>0</v>
      </c>
      <c r="I637">
        <v>0</v>
      </c>
      <c r="J637">
        <v>0</v>
      </c>
      <c r="L637" t="s">
        <v>9251</v>
      </c>
      <c r="M637" t="s">
        <v>9252</v>
      </c>
      <c r="N637" t="s">
        <v>9253</v>
      </c>
      <c r="O637" t="s">
        <v>9254</v>
      </c>
      <c r="P637" t="s">
        <v>9255</v>
      </c>
      <c r="Q637" t="s">
        <v>9255</v>
      </c>
      <c r="R637" t="s">
        <v>9256</v>
      </c>
      <c r="S637" t="s">
        <v>9257</v>
      </c>
      <c r="T637" s="2">
        <v>0.63541666666666663</v>
      </c>
      <c r="U637">
        <v>1</v>
      </c>
      <c r="V637" t="s">
        <v>9258</v>
      </c>
      <c r="W637" t="s">
        <v>9259</v>
      </c>
      <c r="Y637" t="s">
        <v>9260</v>
      </c>
      <c r="Z637" t="s">
        <v>9260</v>
      </c>
      <c r="AA637" t="s">
        <v>9260</v>
      </c>
      <c r="AB637" t="s">
        <v>9260</v>
      </c>
      <c r="AC637" t="s">
        <v>9260</v>
      </c>
      <c r="AD637" t="s">
        <v>9260</v>
      </c>
    </row>
    <row r="638" spans="1:30">
      <c r="A638" t="s">
        <v>9261</v>
      </c>
      <c r="B638">
        <v>12</v>
      </c>
      <c r="C638">
        <v>10</v>
      </c>
      <c r="D638">
        <v>2019</v>
      </c>
      <c r="E638" s="1">
        <v>43809</v>
      </c>
      <c r="F638" t="s">
        <v>9262</v>
      </c>
      <c r="G638">
        <v>0</v>
      </c>
      <c r="H638">
        <v>0</v>
      </c>
      <c r="I638">
        <v>0</v>
      </c>
      <c r="J638">
        <v>0</v>
      </c>
      <c r="L638" t="s">
        <v>9263</v>
      </c>
      <c r="M638" t="s">
        <v>9264</v>
      </c>
      <c r="N638" t="s">
        <v>9265</v>
      </c>
      <c r="O638" t="s">
        <v>9266</v>
      </c>
      <c r="P638" t="s">
        <v>9267</v>
      </c>
      <c r="Q638" t="s">
        <v>9267</v>
      </c>
      <c r="R638" t="s">
        <v>9268</v>
      </c>
      <c r="S638" t="s">
        <v>9269</v>
      </c>
      <c r="T638" s="2">
        <v>0.52083333333333337</v>
      </c>
      <c r="U638">
        <v>60</v>
      </c>
      <c r="V638" t="s">
        <v>9270</v>
      </c>
      <c r="W638" t="s">
        <v>9271</v>
      </c>
      <c r="X638" t="s">
        <v>9272</v>
      </c>
      <c r="Y638" t="s">
        <v>9273</v>
      </c>
      <c r="Z638" t="s">
        <v>9274</v>
      </c>
      <c r="AA638" t="s">
        <v>9275</v>
      </c>
      <c r="AB638" t="s">
        <v>9276</v>
      </c>
      <c r="AC638" t="s">
        <v>9276</v>
      </c>
      <c r="AD638" t="s">
        <v>9277</v>
      </c>
    </row>
    <row r="639" spans="1:30">
      <c r="A639" t="s">
        <v>9278</v>
      </c>
      <c r="B639">
        <v>12</v>
      </c>
      <c r="C639">
        <v>10</v>
      </c>
      <c r="D639">
        <v>2019</v>
      </c>
      <c r="E639" s="1">
        <v>43809</v>
      </c>
      <c r="F639" t="s">
        <v>9279</v>
      </c>
      <c r="G639">
        <v>0</v>
      </c>
      <c r="H639">
        <v>0</v>
      </c>
      <c r="I639">
        <v>0</v>
      </c>
      <c r="J639">
        <v>0</v>
      </c>
      <c r="L639" t="s">
        <v>9280</v>
      </c>
      <c r="M639" t="s">
        <v>9281</v>
      </c>
      <c r="N639" t="s">
        <v>9282</v>
      </c>
      <c r="O639" t="s">
        <v>9283</v>
      </c>
      <c r="P639" t="s">
        <v>9284</v>
      </c>
      <c r="Q639" t="s">
        <v>9285</v>
      </c>
      <c r="R639" t="s">
        <v>9286</v>
      </c>
      <c r="S639" t="s">
        <v>9287</v>
      </c>
      <c r="T639" s="2">
        <v>0.58333333333333337</v>
      </c>
      <c r="U639">
        <v>1</v>
      </c>
      <c r="V639" t="s">
        <v>9288</v>
      </c>
      <c r="W639" t="s">
        <v>9289</v>
      </c>
      <c r="Z639" t="s">
        <v>9290</v>
      </c>
      <c r="AA639" t="s">
        <v>9290</v>
      </c>
      <c r="AB639" t="s">
        <v>9290</v>
      </c>
      <c r="AC639" t="s">
        <v>9290</v>
      </c>
      <c r="AD639" t="s">
        <v>9290</v>
      </c>
    </row>
    <row r="640" spans="1:30">
      <c r="A640" t="s">
        <v>9291</v>
      </c>
      <c r="B640">
        <v>12</v>
      </c>
      <c r="C640">
        <v>10</v>
      </c>
      <c r="D640">
        <v>2019</v>
      </c>
      <c r="E640" s="1">
        <v>43809</v>
      </c>
      <c r="F640" t="s">
        <v>9292</v>
      </c>
      <c r="G640">
        <v>0</v>
      </c>
      <c r="H640">
        <v>0</v>
      </c>
      <c r="I640">
        <v>0</v>
      </c>
      <c r="J640">
        <v>0</v>
      </c>
      <c r="L640" t="s">
        <v>9293</v>
      </c>
      <c r="M640" t="s">
        <v>9294</v>
      </c>
      <c r="N640" t="s">
        <v>9295</v>
      </c>
      <c r="O640" t="s">
        <v>9296</v>
      </c>
      <c r="P640" t="s">
        <v>9297</v>
      </c>
      <c r="Q640" t="s">
        <v>9298</v>
      </c>
      <c r="R640" t="s">
        <v>9299</v>
      </c>
      <c r="S640" t="s">
        <v>9300</v>
      </c>
      <c r="T640" s="2">
        <v>0.34722222222222221</v>
      </c>
      <c r="U640">
        <v>1</v>
      </c>
      <c r="V640" t="s">
        <v>9301</v>
      </c>
      <c r="W640" t="s">
        <v>9302</v>
      </c>
      <c r="X640" t="s">
        <v>9303</v>
      </c>
      <c r="Y640" t="s">
        <v>9304</v>
      </c>
      <c r="Z640" t="s">
        <v>9304</v>
      </c>
      <c r="AA640" t="s">
        <v>9304</v>
      </c>
      <c r="AB640" t="s">
        <v>9304</v>
      </c>
      <c r="AC640" t="s">
        <v>9305</v>
      </c>
      <c r="AD640" t="s">
        <v>9306</v>
      </c>
    </row>
    <row r="641" spans="1:30">
      <c r="A641" t="s">
        <v>9307</v>
      </c>
      <c r="B641">
        <v>12</v>
      </c>
      <c r="C641">
        <v>4</v>
      </c>
      <c r="D641">
        <v>2019</v>
      </c>
      <c r="E641" s="1">
        <v>43803</v>
      </c>
      <c r="F641" t="s">
        <v>9308</v>
      </c>
      <c r="G641">
        <v>0</v>
      </c>
      <c r="H641">
        <v>0</v>
      </c>
      <c r="I641">
        <v>0</v>
      </c>
      <c r="J641">
        <v>0</v>
      </c>
      <c r="L641" t="s">
        <v>9309</v>
      </c>
      <c r="M641" t="s">
        <v>9310</v>
      </c>
      <c r="N641" t="s">
        <v>9311</v>
      </c>
      <c r="O641" t="s">
        <v>9312</v>
      </c>
      <c r="P641" t="s">
        <v>9313</v>
      </c>
      <c r="Q641" t="s">
        <v>9314</v>
      </c>
      <c r="R641" t="s">
        <v>9315</v>
      </c>
      <c r="S641" t="s">
        <v>9316</v>
      </c>
      <c r="T641" s="2">
        <v>0.56736111111111109</v>
      </c>
      <c r="U641">
        <v>1</v>
      </c>
      <c r="V641" t="s">
        <v>9317</v>
      </c>
      <c r="W641" t="s">
        <v>9318</v>
      </c>
      <c r="X641" t="s">
        <v>9319</v>
      </c>
      <c r="Y641" t="s">
        <v>9320</v>
      </c>
      <c r="Z641" t="s">
        <v>9320</v>
      </c>
      <c r="AA641" t="s">
        <v>9320</v>
      </c>
      <c r="AB641" t="s">
        <v>9320</v>
      </c>
      <c r="AC641" t="s">
        <v>9320</v>
      </c>
      <c r="AD641" t="s">
        <v>9320</v>
      </c>
    </row>
    <row r="642" spans="1:30">
      <c r="A642" t="s">
        <v>9321</v>
      </c>
      <c r="B642">
        <v>12</v>
      </c>
      <c r="C642">
        <v>3</v>
      </c>
      <c r="D642">
        <v>2019</v>
      </c>
      <c r="E642" s="1">
        <v>43802</v>
      </c>
      <c r="F642" t="s">
        <v>9322</v>
      </c>
      <c r="G642">
        <v>0</v>
      </c>
      <c r="H642">
        <v>2</v>
      </c>
      <c r="I642">
        <v>2</v>
      </c>
      <c r="J642">
        <v>0</v>
      </c>
      <c r="L642" t="s">
        <v>9323</v>
      </c>
      <c r="M642" t="s">
        <v>9324</v>
      </c>
      <c r="N642" t="s">
        <v>9325</v>
      </c>
      <c r="O642" t="s">
        <v>9326</v>
      </c>
      <c r="P642" t="s">
        <v>9327</v>
      </c>
      <c r="Q642" t="s">
        <v>9327</v>
      </c>
      <c r="R642" t="s">
        <v>9328</v>
      </c>
      <c r="S642" t="s">
        <v>9329</v>
      </c>
      <c r="T642" s="2">
        <v>0.64583333333333337</v>
      </c>
      <c r="U642">
        <v>1</v>
      </c>
      <c r="V642" t="s">
        <v>9330</v>
      </c>
      <c r="W642" t="s">
        <v>9331</v>
      </c>
      <c r="X642" t="s">
        <v>9332</v>
      </c>
      <c r="Y642" t="s">
        <v>9333</v>
      </c>
      <c r="Z642" t="s">
        <v>9334</v>
      </c>
      <c r="AA642" t="s">
        <v>9334</v>
      </c>
      <c r="AB642" t="s">
        <v>9334</v>
      </c>
      <c r="AC642" t="s">
        <v>9334</v>
      </c>
      <c r="AD642" t="s">
        <v>9334</v>
      </c>
    </row>
    <row r="643" spans="1:30">
      <c r="A643" t="s">
        <v>9335</v>
      </c>
      <c r="B643">
        <v>12</v>
      </c>
      <c r="C643">
        <v>3</v>
      </c>
      <c r="D643">
        <v>2019</v>
      </c>
      <c r="E643" s="1">
        <v>43802</v>
      </c>
      <c r="F643" t="s">
        <v>9336</v>
      </c>
      <c r="G643">
        <v>0</v>
      </c>
      <c r="H643">
        <v>1</v>
      </c>
      <c r="I643">
        <v>1</v>
      </c>
      <c r="J643">
        <v>0</v>
      </c>
      <c r="L643" t="s">
        <v>9337</v>
      </c>
      <c r="M643" t="s">
        <v>9338</v>
      </c>
      <c r="N643" t="s">
        <v>9339</v>
      </c>
      <c r="O643" t="s">
        <v>9340</v>
      </c>
      <c r="P643" t="s">
        <v>9341</v>
      </c>
      <c r="Q643" t="s">
        <v>9342</v>
      </c>
      <c r="R643" t="s">
        <v>9343</v>
      </c>
      <c r="S643" t="s">
        <v>9344</v>
      </c>
      <c r="T643" s="2">
        <v>0.38333333333333336</v>
      </c>
      <c r="U643">
        <v>1</v>
      </c>
      <c r="V643" t="s">
        <v>9345</v>
      </c>
      <c r="W643" t="s">
        <v>9346</v>
      </c>
      <c r="X643" t="s">
        <v>9347</v>
      </c>
      <c r="Y643" t="s">
        <v>9348</v>
      </c>
      <c r="Z643" t="s">
        <v>9348</v>
      </c>
      <c r="AA643" t="s">
        <v>9348</v>
      </c>
    </row>
    <row r="644" spans="1:30">
      <c r="A644" t="s">
        <v>9349</v>
      </c>
      <c r="B644">
        <v>12</v>
      </c>
      <c r="C644">
        <v>2</v>
      </c>
      <c r="D644">
        <v>2019</v>
      </c>
      <c r="E644" s="1">
        <v>43801</v>
      </c>
      <c r="F644" t="s">
        <v>9350</v>
      </c>
      <c r="G644">
        <v>0</v>
      </c>
      <c r="H644">
        <v>0</v>
      </c>
      <c r="I644">
        <v>0</v>
      </c>
      <c r="J644">
        <v>0</v>
      </c>
      <c r="K644" t="s">
        <v>9351</v>
      </c>
      <c r="L644" t="s">
        <v>9352</v>
      </c>
      <c r="M644" t="s">
        <v>9353</v>
      </c>
      <c r="N644" t="s">
        <v>9354</v>
      </c>
      <c r="O644" t="s">
        <v>9355</v>
      </c>
      <c r="P644" t="s">
        <v>9356</v>
      </c>
      <c r="Q644" t="s">
        <v>9357</v>
      </c>
      <c r="R644" t="s">
        <v>9358</v>
      </c>
      <c r="S644" t="s">
        <v>9359</v>
      </c>
      <c r="T644" s="2">
        <v>0.42152777777777778</v>
      </c>
      <c r="V644" t="s">
        <v>9360</v>
      </c>
      <c r="W644" t="s">
        <v>9361</v>
      </c>
      <c r="Y644" t="s">
        <v>9362</v>
      </c>
      <c r="Z644" t="s">
        <v>9362</v>
      </c>
      <c r="AA644" t="s">
        <v>9362</v>
      </c>
      <c r="AC644" t="s">
        <v>9362</v>
      </c>
      <c r="AD644" t="s">
        <v>9362</v>
      </c>
    </row>
    <row r="645" spans="1:30">
      <c r="A645" t="s">
        <v>9363</v>
      </c>
      <c r="B645">
        <v>12</v>
      </c>
      <c r="C645">
        <v>1</v>
      </c>
      <c r="D645">
        <v>2019</v>
      </c>
      <c r="E645" s="1">
        <v>43800</v>
      </c>
      <c r="F645" t="s">
        <v>9364</v>
      </c>
      <c r="G645">
        <v>1</v>
      </c>
      <c r="H645">
        <v>0</v>
      </c>
      <c r="I645">
        <v>1</v>
      </c>
      <c r="J645">
        <v>0</v>
      </c>
      <c r="L645" t="s">
        <v>9365</v>
      </c>
      <c r="M645" t="s">
        <v>9366</v>
      </c>
      <c r="N645" t="s">
        <v>9367</v>
      </c>
      <c r="O645" t="s">
        <v>9368</v>
      </c>
      <c r="P645" t="s">
        <v>9369</v>
      </c>
      <c r="Q645" t="s">
        <v>9370</v>
      </c>
      <c r="R645" t="s">
        <v>9371</v>
      </c>
      <c r="S645" t="s">
        <v>9372</v>
      </c>
      <c r="T645" s="2">
        <v>0.16666666666666666</v>
      </c>
      <c r="U645">
        <v>1</v>
      </c>
      <c r="V645" t="s">
        <v>9373</v>
      </c>
      <c r="W645" t="s">
        <v>9374</v>
      </c>
      <c r="X645" t="s">
        <v>9375</v>
      </c>
      <c r="Y645" t="s">
        <v>9376</v>
      </c>
      <c r="Z645" t="s">
        <v>9376</v>
      </c>
      <c r="AA645" t="s">
        <v>9376</v>
      </c>
      <c r="AB645" t="s">
        <v>9376</v>
      </c>
      <c r="AC645" t="s">
        <v>9377</v>
      </c>
      <c r="AD645" t="s">
        <v>9378</v>
      </c>
    </row>
    <row r="646" spans="1:30">
      <c r="A646" t="s">
        <v>9379</v>
      </c>
      <c r="B646">
        <v>11</v>
      </c>
      <c r="C646">
        <v>26</v>
      </c>
      <c r="D646">
        <v>2019</v>
      </c>
      <c r="E646" s="1">
        <v>43795</v>
      </c>
      <c r="F646" t="s">
        <v>9380</v>
      </c>
      <c r="G646">
        <v>0</v>
      </c>
      <c r="H646">
        <v>2</v>
      </c>
      <c r="I646">
        <v>2</v>
      </c>
      <c r="J646">
        <v>1</v>
      </c>
      <c r="L646" t="s">
        <v>9381</v>
      </c>
      <c r="M646" t="s">
        <v>9382</v>
      </c>
      <c r="N646" t="s">
        <v>9383</v>
      </c>
      <c r="O646" t="s">
        <v>9384</v>
      </c>
      <c r="P646" t="s">
        <v>9385</v>
      </c>
      <c r="Q646" t="s">
        <v>9386</v>
      </c>
      <c r="R646" t="s">
        <v>9387</v>
      </c>
      <c r="S646" t="s">
        <v>9388</v>
      </c>
      <c r="T646" s="2">
        <v>0.63888888888888884</v>
      </c>
      <c r="U646">
        <v>1</v>
      </c>
      <c r="V646" t="s">
        <v>9389</v>
      </c>
      <c r="W646" t="s">
        <v>9390</v>
      </c>
      <c r="X646" t="s">
        <v>9391</v>
      </c>
      <c r="Y646" t="s">
        <v>9392</v>
      </c>
      <c r="Z646" t="s">
        <v>9392</v>
      </c>
      <c r="AA646" t="s">
        <v>9392</v>
      </c>
      <c r="AB646" t="s">
        <v>9392</v>
      </c>
      <c r="AC646" t="s">
        <v>9393</v>
      </c>
      <c r="AD646" t="s">
        <v>9394</v>
      </c>
    </row>
    <row r="647" spans="1:30">
      <c r="A647" t="s">
        <v>9395</v>
      </c>
      <c r="B647">
        <v>11</v>
      </c>
      <c r="C647">
        <v>25</v>
      </c>
      <c r="D647">
        <v>2019</v>
      </c>
      <c r="E647" s="1">
        <v>43794</v>
      </c>
      <c r="F647" t="s">
        <v>9396</v>
      </c>
      <c r="G647">
        <v>0</v>
      </c>
      <c r="H647">
        <v>1</v>
      </c>
      <c r="I647">
        <v>1</v>
      </c>
      <c r="J647">
        <v>0</v>
      </c>
      <c r="L647" t="s">
        <v>9397</v>
      </c>
      <c r="M647" t="s">
        <v>9398</v>
      </c>
      <c r="N647" t="s">
        <v>9399</v>
      </c>
      <c r="O647" t="s">
        <v>9400</v>
      </c>
      <c r="P647" t="s">
        <v>9401</v>
      </c>
      <c r="Q647" t="s">
        <v>9402</v>
      </c>
      <c r="R647" t="s">
        <v>9403</v>
      </c>
      <c r="S647" t="s">
        <v>9404</v>
      </c>
      <c r="T647" s="2">
        <v>0.33333333333333331</v>
      </c>
      <c r="U647">
        <v>1</v>
      </c>
      <c r="V647" t="s">
        <v>9405</v>
      </c>
      <c r="W647" t="s">
        <v>9406</v>
      </c>
      <c r="X647" t="s">
        <v>9407</v>
      </c>
      <c r="Z647" t="s">
        <v>9408</v>
      </c>
      <c r="AA647" t="s">
        <v>9408</v>
      </c>
      <c r="AB647" t="s">
        <v>9408</v>
      </c>
      <c r="AC647" t="s">
        <v>9408</v>
      </c>
      <c r="AD647" t="s">
        <v>9408</v>
      </c>
    </row>
    <row r="648" spans="1:30">
      <c r="A648" t="s">
        <v>9409</v>
      </c>
      <c r="B648">
        <v>11</v>
      </c>
      <c r="C648">
        <v>24</v>
      </c>
      <c r="D648">
        <v>2019</v>
      </c>
      <c r="E648" s="1">
        <v>43793</v>
      </c>
      <c r="F648" t="s">
        <v>9410</v>
      </c>
      <c r="G648">
        <v>2</v>
      </c>
      <c r="H648">
        <v>0</v>
      </c>
      <c r="I648">
        <v>2</v>
      </c>
      <c r="J648">
        <v>0</v>
      </c>
      <c r="K648" t="s">
        <v>9411</v>
      </c>
      <c r="L648" t="s">
        <v>9412</v>
      </c>
      <c r="M648" t="s">
        <v>9413</v>
      </c>
      <c r="N648" t="s">
        <v>9414</v>
      </c>
      <c r="O648" t="s">
        <v>9415</v>
      </c>
      <c r="P648" t="s">
        <v>9416</v>
      </c>
      <c r="Q648" t="s">
        <v>9417</v>
      </c>
      <c r="R648" t="s">
        <v>9418</v>
      </c>
      <c r="S648" t="s">
        <v>9419</v>
      </c>
      <c r="T648" s="2">
        <v>5.9722222222222218E-2</v>
      </c>
      <c r="U648">
        <v>1</v>
      </c>
      <c r="V648" t="s">
        <v>9420</v>
      </c>
      <c r="W648" t="s">
        <v>9421</v>
      </c>
      <c r="X648" t="s">
        <v>9422</v>
      </c>
      <c r="Y648" t="s">
        <v>9423</v>
      </c>
      <c r="Z648" t="s">
        <v>9424</v>
      </c>
      <c r="AA648" t="s">
        <v>9424</v>
      </c>
      <c r="AB648" t="s">
        <v>9424</v>
      </c>
      <c r="AC648" t="s">
        <v>9424</v>
      </c>
      <c r="AD648" t="s">
        <v>9424</v>
      </c>
    </row>
    <row r="649" spans="1:30">
      <c r="A649" t="s">
        <v>9425</v>
      </c>
      <c r="B649">
        <v>11</v>
      </c>
      <c r="C649">
        <v>21</v>
      </c>
      <c r="D649">
        <v>2019</v>
      </c>
      <c r="E649" s="1">
        <v>43790</v>
      </c>
      <c r="F649" t="s">
        <v>9426</v>
      </c>
      <c r="G649">
        <v>0</v>
      </c>
      <c r="H649">
        <v>1</v>
      </c>
      <c r="I649">
        <v>1</v>
      </c>
      <c r="J649">
        <v>0</v>
      </c>
      <c r="L649" t="s">
        <v>9427</v>
      </c>
      <c r="M649" t="s">
        <v>9428</v>
      </c>
      <c r="N649" t="s">
        <v>9429</v>
      </c>
      <c r="O649" t="s">
        <v>9430</v>
      </c>
      <c r="P649" t="s">
        <v>9431</v>
      </c>
      <c r="Q649" t="s">
        <v>9432</v>
      </c>
      <c r="R649" t="s">
        <v>9433</v>
      </c>
      <c r="S649" t="s">
        <v>9434</v>
      </c>
      <c r="T649" s="2">
        <v>0.625</v>
      </c>
      <c r="U649">
        <v>1</v>
      </c>
      <c r="V649" t="s">
        <v>9435</v>
      </c>
      <c r="W649" t="s">
        <v>9436</v>
      </c>
      <c r="X649" t="s">
        <v>9437</v>
      </c>
      <c r="Y649" t="s">
        <v>9438</v>
      </c>
      <c r="Z649" t="s">
        <v>9438</v>
      </c>
      <c r="AA649" t="s">
        <v>9438</v>
      </c>
      <c r="AB649" t="s">
        <v>9438</v>
      </c>
      <c r="AC649" t="s">
        <v>9438</v>
      </c>
      <c r="AD649" t="s">
        <v>9438</v>
      </c>
    </row>
    <row r="650" spans="1:30">
      <c r="A650" t="s">
        <v>9439</v>
      </c>
      <c r="B650">
        <v>11</v>
      </c>
      <c r="C650">
        <v>15</v>
      </c>
      <c r="D650">
        <v>2019</v>
      </c>
      <c r="E650" s="1">
        <v>43784</v>
      </c>
      <c r="F650" t="s">
        <v>9440</v>
      </c>
      <c r="G650">
        <v>1</v>
      </c>
      <c r="H650">
        <v>2</v>
      </c>
      <c r="I650">
        <v>3</v>
      </c>
      <c r="J650">
        <v>0</v>
      </c>
      <c r="L650" t="s">
        <v>9441</v>
      </c>
      <c r="M650" t="s">
        <v>9442</v>
      </c>
      <c r="N650" t="s">
        <v>9443</v>
      </c>
      <c r="O650" t="s">
        <v>9444</v>
      </c>
      <c r="P650" t="s">
        <v>9445</v>
      </c>
      <c r="Q650" t="s">
        <v>9446</v>
      </c>
      <c r="R650" t="s">
        <v>9447</v>
      </c>
      <c r="S650" t="s">
        <v>9448</v>
      </c>
      <c r="T650" s="2">
        <v>0.89583333333333337</v>
      </c>
      <c r="U650">
        <v>1</v>
      </c>
      <c r="V650" t="s">
        <v>9449</v>
      </c>
      <c r="W650" t="s">
        <v>9450</v>
      </c>
      <c r="X650" t="s">
        <v>9451</v>
      </c>
      <c r="Y650" t="s">
        <v>9452</v>
      </c>
      <c r="Z650" t="s">
        <v>9453</v>
      </c>
      <c r="AA650" t="s">
        <v>9453</v>
      </c>
      <c r="AB650" t="s">
        <v>9453</v>
      </c>
      <c r="AC650" t="s">
        <v>9453</v>
      </c>
      <c r="AD650" t="s">
        <v>9453</v>
      </c>
    </row>
    <row r="651" spans="1:30">
      <c r="A651" t="s">
        <v>9454</v>
      </c>
      <c r="B651">
        <v>11</v>
      </c>
      <c r="C651">
        <v>14</v>
      </c>
      <c r="D651">
        <v>2019</v>
      </c>
      <c r="E651" s="1">
        <v>43783</v>
      </c>
      <c r="F651" t="s">
        <v>9455</v>
      </c>
      <c r="G651">
        <v>2</v>
      </c>
      <c r="H651">
        <v>3</v>
      </c>
      <c r="I651">
        <v>5</v>
      </c>
      <c r="J651">
        <v>1</v>
      </c>
      <c r="K651" t="s">
        <v>9456</v>
      </c>
      <c r="L651" t="s">
        <v>9457</v>
      </c>
      <c r="M651" t="s">
        <v>9458</v>
      </c>
      <c r="N651" t="s">
        <v>9459</v>
      </c>
      <c r="O651" t="s">
        <v>9460</v>
      </c>
      <c r="P651" t="s">
        <v>9461</v>
      </c>
      <c r="Q651" t="s">
        <v>9462</v>
      </c>
      <c r="R651" t="s">
        <v>9463</v>
      </c>
      <c r="S651" t="s">
        <v>9464</v>
      </c>
      <c r="T651" s="2">
        <v>0.31805555555555559</v>
      </c>
      <c r="U651">
        <v>1</v>
      </c>
      <c r="V651" t="s">
        <v>9465</v>
      </c>
      <c r="W651" t="s">
        <v>9466</v>
      </c>
      <c r="X651" t="s">
        <v>9467</v>
      </c>
      <c r="Y651" t="s">
        <v>9468</v>
      </c>
      <c r="Z651" t="s">
        <v>9468</v>
      </c>
      <c r="AA651" t="s">
        <v>9468</v>
      </c>
      <c r="AB651" t="s">
        <v>9468</v>
      </c>
      <c r="AC651" t="s">
        <v>9468</v>
      </c>
      <c r="AD651" t="s">
        <v>9469</v>
      </c>
    </row>
    <row r="652" spans="1:30">
      <c r="A652" t="s">
        <v>9470</v>
      </c>
      <c r="B652">
        <v>11</v>
      </c>
      <c r="C652">
        <v>13</v>
      </c>
      <c r="D652">
        <v>2019</v>
      </c>
      <c r="E652" s="1">
        <v>43782</v>
      </c>
      <c r="F652" t="s">
        <v>9471</v>
      </c>
      <c r="G652">
        <v>1</v>
      </c>
      <c r="H652">
        <v>0</v>
      </c>
      <c r="I652">
        <v>1</v>
      </c>
      <c r="J652">
        <v>0</v>
      </c>
      <c r="L652" t="s">
        <v>9472</v>
      </c>
      <c r="M652" t="s">
        <v>9473</v>
      </c>
      <c r="N652" t="s">
        <v>9474</v>
      </c>
      <c r="O652" t="s">
        <v>9475</v>
      </c>
      <c r="P652" t="s">
        <v>9476</v>
      </c>
      <c r="Q652" t="s">
        <v>9477</v>
      </c>
      <c r="R652" t="s">
        <v>9478</v>
      </c>
      <c r="S652" t="s">
        <v>9479</v>
      </c>
      <c r="T652" s="2">
        <v>0.375</v>
      </c>
      <c r="U652">
        <v>1</v>
      </c>
      <c r="V652" t="s">
        <v>9480</v>
      </c>
      <c r="W652" t="s">
        <v>9481</v>
      </c>
      <c r="X652" t="s">
        <v>9482</v>
      </c>
      <c r="Y652" t="s">
        <v>9483</v>
      </c>
      <c r="Z652" t="s">
        <v>9483</v>
      </c>
      <c r="AA652" t="s">
        <v>9484</v>
      </c>
      <c r="AB652" t="s">
        <v>9484</v>
      </c>
      <c r="AC652" t="s">
        <v>9484</v>
      </c>
      <c r="AD652" t="s">
        <v>9484</v>
      </c>
    </row>
    <row r="653" spans="1:30">
      <c r="A653" t="s">
        <v>9485</v>
      </c>
      <c r="B653">
        <v>11</v>
      </c>
      <c r="C653">
        <v>11</v>
      </c>
      <c r="D653">
        <v>2019</v>
      </c>
      <c r="E653" s="1">
        <v>43780</v>
      </c>
      <c r="F653" t="s">
        <v>9486</v>
      </c>
      <c r="G653">
        <v>0</v>
      </c>
      <c r="H653">
        <v>1</v>
      </c>
      <c r="I653">
        <v>1</v>
      </c>
      <c r="J653">
        <v>0</v>
      </c>
      <c r="L653" t="s">
        <v>9487</v>
      </c>
      <c r="M653" t="s">
        <v>9488</v>
      </c>
      <c r="N653" t="s">
        <v>9489</v>
      </c>
      <c r="O653" t="s">
        <v>9490</v>
      </c>
      <c r="P653" t="s">
        <v>9491</v>
      </c>
      <c r="Q653" t="s">
        <v>9492</v>
      </c>
      <c r="R653" t="s">
        <v>9493</v>
      </c>
      <c r="S653" t="s">
        <v>9494</v>
      </c>
      <c r="T653" s="2">
        <v>0.58333333333333337</v>
      </c>
      <c r="U653">
        <v>1</v>
      </c>
      <c r="V653" t="s">
        <v>9495</v>
      </c>
      <c r="W653" t="s">
        <v>9496</v>
      </c>
      <c r="X653" t="s">
        <v>9497</v>
      </c>
      <c r="Z653" t="s">
        <v>9498</v>
      </c>
      <c r="AA653" t="s">
        <v>9498</v>
      </c>
      <c r="AB653" t="s">
        <v>9498</v>
      </c>
      <c r="AC653" t="s">
        <v>9498</v>
      </c>
      <c r="AD653" t="s">
        <v>9498</v>
      </c>
    </row>
    <row r="654" spans="1:30">
      <c r="A654" t="s">
        <v>9499</v>
      </c>
      <c r="B654">
        <v>11</v>
      </c>
      <c r="C654">
        <v>8</v>
      </c>
      <c r="D654">
        <v>2019</v>
      </c>
      <c r="E654" s="1">
        <v>43777</v>
      </c>
      <c r="F654" t="s">
        <v>9500</v>
      </c>
      <c r="G654">
        <v>1</v>
      </c>
      <c r="H654">
        <v>0</v>
      </c>
      <c r="I654">
        <v>1</v>
      </c>
      <c r="J654">
        <v>0</v>
      </c>
      <c r="L654" t="s">
        <v>9501</v>
      </c>
      <c r="M654" t="s">
        <v>9502</v>
      </c>
      <c r="N654" t="s">
        <v>9503</v>
      </c>
      <c r="O654" t="s">
        <v>9504</v>
      </c>
      <c r="P654" t="s">
        <v>9505</v>
      </c>
      <c r="Q654" t="s">
        <v>9506</v>
      </c>
      <c r="R654" t="s">
        <v>9507</v>
      </c>
      <c r="S654" t="s">
        <v>9508</v>
      </c>
      <c r="T654" s="2">
        <v>0.83333333333333337</v>
      </c>
      <c r="U654">
        <v>1</v>
      </c>
      <c r="V654" t="s">
        <v>9509</v>
      </c>
      <c r="W654" t="s">
        <v>9510</v>
      </c>
      <c r="X654" t="s">
        <v>9511</v>
      </c>
      <c r="Y654" t="s">
        <v>9512</v>
      </c>
      <c r="Z654" t="s">
        <v>9513</v>
      </c>
      <c r="AA654" t="s">
        <v>9513</v>
      </c>
      <c r="AB654" t="s">
        <v>9513</v>
      </c>
      <c r="AC654" t="s">
        <v>9513</v>
      </c>
      <c r="AD654" t="s">
        <v>9513</v>
      </c>
    </row>
    <row r="655" spans="1:30">
      <c r="A655" t="s">
        <v>9514</v>
      </c>
      <c r="B655">
        <v>11</v>
      </c>
      <c r="C655">
        <v>8</v>
      </c>
      <c r="D655">
        <v>2019</v>
      </c>
      <c r="E655" s="1">
        <v>43777</v>
      </c>
      <c r="F655" t="s">
        <v>9515</v>
      </c>
      <c r="G655">
        <v>0</v>
      </c>
      <c r="H655">
        <v>0</v>
      </c>
      <c r="I655">
        <v>0</v>
      </c>
      <c r="J655">
        <v>0</v>
      </c>
      <c r="L655" t="s">
        <v>9516</v>
      </c>
      <c r="M655" t="s">
        <v>9517</v>
      </c>
      <c r="N655" t="s">
        <v>9518</v>
      </c>
      <c r="O655" t="s">
        <v>9519</v>
      </c>
      <c r="P655" t="s">
        <v>9520</v>
      </c>
      <c r="Q655" t="s">
        <v>9521</v>
      </c>
      <c r="R655" t="s">
        <v>9522</v>
      </c>
      <c r="S655" t="s">
        <v>9523</v>
      </c>
      <c r="T655" s="2">
        <v>0.90625</v>
      </c>
      <c r="U655">
        <v>1</v>
      </c>
      <c r="V655" t="s">
        <v>9524</v>
      </c>
      <c r="W655" t="s">
        <v>9525</v>
      </c>
      <c r="Z655" t="s">
        <v>9526</v>
      </c>
      <c r="AA655" t="s">
        <v>9526</v>
      </c>
      <c r="AB655" t="s">
        <v>9526</v>
      </c>
      <c r="AC655" t="s">
        <v>9526</v>
      </c>
      <c r="AD655" t="s">
        <v>9526</v>
      </c>
    </row>
    <row r="656" spans="1:30">
      <c r="A656" t="s">
        <v>9527</v>
      </c>
      <c r="B656">
        <v>10</v>
      </c>
      <c r="C656">
        <v>29</v>
      </c>
      <c r="D656">
        <v>2019</v>
      </c>
      <c r="E656" s="1">
        <v>43767</v>
      </c>
      <c r="F656" t="s">
        <v>9528</v>
      </c>
      <c r="G656">
        <v>0</v>
      </c>
      <c r="H656">
        <v>1</v>
      </c>
      <c r="I656">
        <v>1</v>
      </c>
      <c r="J656">
        <v>0</v>
      </c>
      <c r="L656" t="s">
        <v>9529</v>
      </c>
      <c r="M656" t="s">
        <v>9530</v>
      </c>
      <c r="N656" t="s">
        <v>9531</v>
      </c>
      <c r="O656" t="s">
        <v>9532</v>
      </c>
      <c r="P656" t="s">
        <v>9533</v>
      </c>
      <c r="Q656" t="s">
        <v>9534</v>
      </c>
      <c r="R656" t="s">
        <v>9535</v>
      </c>
      <c r="S656" t="s">
        <v>9536</v>
      </c>
      <c r="T656" s="2">
        <v>0.66666666666666663</v>
      </c>
      <c r="U656">
        <v>1</v>
      </c>
      <c r="V656" t="s">
        <v>9537</v>
      </c>
      <c r="W656" t="s">
        <v>9538</v>
      </c>
      <c r="X656" t="s">
        <v>9539</v>
      </c>
      <c r="Y656" t="s">
        <v>9540</v>
      </c>
      <c r="Z656" t="s">
        <v>9541</v>
      </c>
      <c r="AA656" t="s">
        <v>9541</v>
      </c>
      <c r="AC656" t="s">
        <v>9541</v>
      </c>
      <c r="AD656" t="s">
        <v>9541</v>
      </c>
    </row>
    <row r="657" spans="1:30">
      <c r="A657" t="s">
        <v>9542</v>
      </c>
      <c r="B657">
        <v>10</v>
      </c>
      <c r="C657">
        <v>27</v>
      </c>
      <c r="D657">
        <v>2019</v>
      </c>
      <c r="E657" s="1">
        <v>43765</v>
      </c>
      <c r="F657" t="s">
        <v>9543</v>
      </c>
      <c r="G657">
        <v>0</v>
      </c>
      <c r="H657">
        <v>1</v>
      </c>
      <c r="I657">
        <v>1</v>
      </c>
      <c r="J657">
        <v>0</v>
      </c>
      <c r="L657" t="s">
        <v>9544</v>
      </c>
      <c r="M657" t="s">
        <v>9545</v>
      </c>
      <c r="N657" t="s">
        <v>9546</v>
      </c>
      <c r="O657" t="s">
        <v>9547</v>
      </c>
      <c r="P657" t="s">
        <v>9548</v>
      </c>
      <c r="Q657" t="s">
        <v>9549</v>
      </c>
      <c r="R657" t="s">
        <v>9550</v>
      </c>
      <c r="S657" t="s">
        <v>9551</v>
      </c>
      <c r="T657" s="2">
        <v>0.8208333333333333</v>
      </c>
      <c r="U657">
        <v>1</v>
      </c>
      <c r="V657" t="s">
        <v>9552</v>
      </c>
      <c r="W657" t="s">
        <v>9553</v>
      </c>
      <c r="X657" t="s">
        <v>9554</v>
      </c>
      <c r="Z657" t="s">
        <v>9555</v>
      </c>
      <c r="AA657" t="s">
        <v>9555</v>
      </c>
      <c r="AB657" t="s">
        <v>9555</v>
      </c>
      <c r="AC657" t="s">
        <v>9555</v>
      </c>
      <c r="AD657" t="s">
        <v>9555</v>
      </c>
    </row>
    <row r="658" spans="1:30">
      <c r="A658" t="s">
        <v>9556</v>
      </c>
      <c r="B658">
        <v>10</v>
      </c>
      <c r="C658">
        <v>22</v>
      </c>
      <c r="D658">
        <v>2019</v>
      </c>
      <c r="E658" s="1">
        <v>43760</v>
      </c>
      <c r="F658" t="s">
        <v>9557</v>
      </c>
      <c r="G658">
        <v>0</v>
      </c>
      <c r="H658">
        <v>1</v>
      </c>
      <c r="I658">
        <v>1</v>
      </c>
      <c r="J658">
        <v>0</v>
      </c>
      <c r="K658" t="s">
        <v>9558</v>
      </c>
      <c r="L658" t="s">
        <v>9559</v>
      </c>
      <c r="M658" t="s">
        <v>9560</v>
      </c>
      <c r="N658" t="s">
        <v>9561</v>
      </c>
      <c r="O658" t="s">
        <v>9562</v>
      </c>
      <c r="P658" t="s">
        <v>9563</v>
      </c>
      <c r="Q658" t="s">
        <v>9563</v>
      </c>
      <c r="R658" t="s">
        <v>9564</v>
      </c>
      <c r="S658" t="s">
        <v>9565</v>
      </c>
      <c r="T658" s="2">
        <v>0.57291666666666663</v>
      </c>
      <c r="U658">
        <v>1</v>
      </c>
      <c r="V658" t="s">
        <v>9566</v>
      </c>
      <c r="X658" t="s">
        <v>9567</v>
      </c>
      <c r="Y658" t="s">
        <v>9568</v>
      </c>
      <c r="Z658" t="s">
        <v>9569</v>
      </c>
      <c r="AA658" t="s">
        <v>9569</v>
      </c>
      <c r="AC658" t="s">
        <v>9569</v>
      </c>
      <c r="AD658" t="s">
        <v>9569</v>
      </c>
    </row>
    <row r="659" spans="1:30">
      <c r="A659" t="s">
        <v>9570</v>
      </c>
      <c r="B659">
        <v>10</v>
      </c>
      <c r="C659">
        <v>22</v>
      </c>
      <c r="D659">
        <v>2019</v>
      </c>
      <c r="E659" s="1">
        <v>43760</v>
      </c>
      <c r="F659" t="s">
        <v>9571</v>
      </c>
      <c r="G659">
        <v>0</v>
      </c>
      <c r="H659">
        <v>1</v>
      </c>
      <c r="I659">
        <v>1</v>
      </c>
      <c r="J659">
        <v>0</v>
      </c>
      <c r="K659" t="s">
        <v>9572</v>
      </c>
      <c r="L659" t="s">
        <v>9573</v>
      </c>
      <c r="M659" t="s">
        <v>9574</v>
      </c>
      <c r="N659" t="s">
        <v>9575</v>
      </c>
      <c r="O659" t="s">
        <v>9576</v>
      </c>
      <c r="P659" t="s">
        <v>9577</v>
      </c>
      <c r="Q659" t="s">
        <v>9578</v>
      </c>
      <c r="R659" t="s">
        <v>9579</v>
      </c>
      <c r="S659" t="s">
        <v>9580</v>
      </c>
      <c r="T659" s="2">
        <v>0.37222222222222223</v>
      </c>
      <c r="U659">
        <v>1</v>
      </c>
      <c r="V659" t="s">
        <v>9581</v>
      </c>
      <c r="W659" t="s">
        <v>9582</v>
      </c>
      <c r="X659" t="s">
        <v>9583</v>
      </c>
      <c r="Y659" t="s">
        <v>9584</v>
      </c>
      <c r="Z659" t="s">
        <v>9585</v>
      </c>
      <c r="AA659" t="s">
        <v>9585</v>
      </c>
      <c r="AB659" t="s">
        <v>9585</v>
      </c>
      <c r="AC659" t="s">
        <v>9585</v>
      </c>
      <c r="AD659" t="s">
        <v>9585</v>
      </c>
    </row>
    <row r="660" spans="1:30">
      <c r="A660" t="s">
        <v>9586</v>
      </c>
      <c r="B660">
        <v>10</v>
      </c>
      <c r="C660">
        <v>18</v>
      </c>
      <c r="D660">
        <v>2019</v>
      </c>
      <c r="E660" s="1">
        <v>43756</v>
      </c>
      <c r="F660" t="s">
        <v>9587</v>
      </c>
      <c r="G660">
        <v>0</v>
      </c>
      <c r="H660">
        <v>0</v>
      </c>
      <c r="I660">
        <v>0</v>
      </c>
      <c r="J660">
        <v>0</v>
      </c>
      <c r="L660" t="s">
        <v>9588</v>
      </c>
      <c r="M660" t="s">
        <v>9589</v>
      </c>
      <c r="N660" t="s">
        <v>9590</v>
      </c>
      <c r="O660" t="s">
        <v>9591</v>
      </c>
      <c r="P660" t="s">
        <v>9592</v>
      </c>
      <c r="Q660" t="s">
        <v>9593</v>
      </c>
      <c r="R660" t="s">
        <v>9594</v>
      </c>
      <c r="S660" t="s">
        <v>9595</v>
      </c>
      <c r="T660" s="2">
        <v>0.87777777777777777</v>
      </c>
      <c r="U660">
        <v>1</v>
      </c>
      <c r="V660" t="s">
        <v>9596</v>
      </c>
      <c r="W660" t="s">
        <v>9597</v>
      </c>
      <c r="Z660" t="s">
        <v>9598</v>
      </c>
      <c r="AA660" t="s">
        <v>9598</v>
      </c>
      <c r="AB660" t="s">
        <v>9598</v>
      </c>
      <c r="AC660" t="s">
        <v>9598</v>
      </c>
      <c r="AD660" t="s">
        <v>9598</v>
      </c>
    </row>
    <row r="661" spans="1:30">
      <c r="A661" t="s">
        <v>9599</v>
      </c>
      <c r="B661">
        <v>10</v>
      </c>
      <c r="C661">
        <v>18</v>
      </c>
      <c r="D661">
        <v>2019</v>
      </c>
      <c r="E661" s="1">
        <v>43756</v>
      </c>
      <c r="F661" t="s">
        <v>9600</v>
      </c>
      <c r="G661">
        <v>0</v>
      </c>
      <c r="H661">
        <v>1</v>
      </c>
      <c r="I661">
        <v>1</v>
      </c>
      <c r="J661">
        <v>0</v>
      </c>
      <c r="L661" t="s">
        <v>9601</v>
      </c>
      <c r="M661" t="s">
        <v>9602</v>
      </c>
      <c r="N661" t="s">
        <v>9603</v>
      </c>
      <c r="O661" t="s">
        <v>9604</v>
      </c>
      <c r="P661" t="s">
        <v>9605</v>
      </c>
      <c r="Q661" t="s">
        <v>9606</v>
      </c>
      <c r="R661" t="s">
        <v>9607</v>
      </c>
      <c r="S661" t="s">
        <v>9608</v>
      </c>
      <c r="T661" s="2">
        <v>0.91666666666666663</v>
      </c>
      <c r="U661">
        <v>1</v>
      </c>
      <c r="V661" t="s">
        <v>9609</v>
      </c>
      <c r="W661" t="s">
        <v>9610</v>
      </c>
      <c r="Z661" t="s">
        <v>9611</v>
      </c>
      <c r="AA661" t="s">
        <v>9611</v>
      </c>
      <c r="AD661" t="s">
        <v>9611</v>
      </c>
    </row>
    <row r="662" spans="1:30">
      <c r="A662" t="s">
        <v>9612</v>
      </c>
      <c r="B662">
        <v>10</v>
      </c>
      <c r="C662">
        <v>18</v>
      </c>
      <c r="D662">
        <v>2019</v>
      </c>
      <c r="E662" s="1">
        <v>43756</v>
      </c>
      <c r="F662" t="s">
        <v>9613</v>
      </c>
      <c r="G662">
        <v>0</v>
      </c>
      <c r="H662">
        <v>1</v>
      </c>
      <c r="I662">
        <v>1</v>
      </c>
      <c r="J662">
        <v>0</v>
      </c>
      <c r="K662" t="s">
        <v>9614</v>
      </c>
      <c r="L662" t="s">
        <v>9615</v>
      </c>
      <c r="M662" t="s">
        <v>9616</v>
      </c>
      <c r="N662" t="s">
        <v>9617</v>
      </c>
      <c r="O662" t="s">
        <v>9618</v>
      </c>
      <c r="P662" t="s">
        <v>9619</v>
      </c>
      <c r="Q662" t="s">
        <v>9619</v>
      </c>
      <c r="R662" t="s">
        <v>9620</v>
      </c>
      <c r="T662" s="2">
        <v>0.41666666666666669</v>
      </c>
      <c r="U662">
        <v>1</v>
      </c>
      <c r="V662" t="s">
        <v>9621</v>
      </c>
      <c r="W662" t="s">
        <v>9622</v>
      </c>
      <c r="X662" t="s">
        <v>9623</v>
      </c>
      <c r="Y662" t="s">
        <v>9624</v>
      </c>
      <c r="Z662" t="s">
        <v>9624</v>
      </c>
      <c r="AA662" t="s">
        <v>9624</v>
      </c>
      <c r="AB662" t="s">
        <v>9624</v>
      </c>
      <c r="AC662" t="s">
        <v>9625</v>
      </c>
      <c r="AD662" t="s">
        <v>9626</v>
      </c>
    </row>
    <row r="663" spans="1:30">
      <c r="A663" t="s">
        <v>9627</v>
      </c>
      <c r="B663">
        <v>10</v>
      </c>
      <c r="C663">
        <v>15</v>
      </c>
      <c r="D663">
        <v>2019</v>
      </c>
      <c r="E663" s="1">
        <v>43753</v>
      </c>
      <c r="F663" t="s">
        <v>9628</v>
      </c>
      <c r="G663">
        <v>0</v>
      </c>
      <c r="H663">
        <v>1</v>
      </c>
      <c r="I663">
        <v>1</v>
      </c>
      <c r="J663">
        <v>0</v>
      </c>
      <c r="L663" t="s">
        <v>9629</v>
      </c>
      <c r="M663" t="s">
        <v>9630</v>
      </c>
      <c r="N663" t="s">
        <v>9631</v>
      </c>
      <c r="O663" t="s">
        <v>9632</v>
      </c>
      <c r="P663" t="s">
        <v>9633</v>
      </c>
      <c r="Q663" t="s">
        <v>9633</v>
      </c>
      <c r="R663" t="s">
        <v>9634</v>
      </c>
      <c r="S663" t="s">
        <v>9635</v>
      </c>
      <c r="T663" s="2">
        <v>0.40277777777777779</v>
      </c>
      <c r="U663">
        <v>1</v>
      </c>
      <c r="V663" t="s">
        <v>9636</v>
      </c>
      <c r="W663" t="s">
        <v>9637</v>
      </c>
      <c r="Z663" t="s">
        <v>9638</v>
      </c>
      <c r="AA663" t="s">
        <v>9638</v>
      </c>
      <c r="AB663" t="s">
        <v>9638</v>
      </c>
      <c r="AC663" t="s">
        <v>9638</v>
      </c>
      <c r="AD663" t="s">
        <v>9638</v>
      </c>
    </row>
    <row r="664" spans="1:30">
      <c r="A664" t="s">
        <v>9639</v>
      </c>
      <c r="B664">
        <v>10</v>
      </c>
      <c r="C664">
        <v>11</v>
      </c>
      <c r="D664">
        <v>2019</v>
      </c>
      <c r="E664" s="1">
        <v>43749</v>
      </c>
      <c r="F664" t="s">
        <v>9640</v>
      </c>
      <c r="G664">
        <v>0</v>
      </c>
      <c r="H664">
        <v>0</v>
      </c>
      <c r="I664">
        <v>0</v>
      </c>
      <c r="J664">
        <v>0</v>
      </c>
      <c r="L664" t="s">
        <v>9641</v>
      </c>
      <c r="M664" t="s">
        <v>9642</v>
      </c>
      <c r="N664" t="s">
        <v>9643</v>
      </c>
      <c r="O664" t="s">
        <v>9644</v>
      </c>
      <c r="P664" t="s">
        <v>9645</v>
      </c>
      <c r="Q664" t="s">
        <v>9646</v>
      </c>
      <c r="R664" t="s">
        <v>9647</v>
      </c>
      <c r="S664" t="s">
        <v>9648</v>
      </c>
      <c r="T664" s="2">
        <v>0.875</v>
      </c>
      <c r="U664">
        <v>1</v>
      </c>
      <c r="V664" t="s">
        <v>9649</v>
      </c>
      <c r="W664" t="s">
        <v>9650</v>
      </c>
      <c r="X664" t="s">
        <v>9651</v>
      </c>
      <c r="Y664" t="s">
        <v>9652</v>
      </c>
      <c r="Z664" t="s">
        <v>9653</v>
      </c>
      <c r="AA664" t="s">
        <v>9653</v>
      </c>
      <c r="AB664" t="s">
        <v>9653</v>
      </c>
      <c r="AC664" t="s">
        <v>9653</v>
      </c>
      <c r="AD664" t="s">
        <v>9653</v>
      </c>
    </row>
    <row r="665" spans="1:30">
      <c r="A665" t="s">
        <v>9654</v>
      </c>
      <c r="B665">
        <v>10</v>
      </c>
      <c r="C665">
        <v>9</v>
      </c>
      <c r="D665">
        <v>2019</v>
      </c>
      <c r="E665" s="1">
        <v>43747</v>
      </c>
      <c r="F665" t="s">
        <v>9655</v>
      </c>
      <c r="G665">
        <v>0</v>
      </c>
      <c r="H665">
        <v>5</v>
      </c>
      <c r="I665">
        <v>5</v>
      </c>
      <c r="J665">
        <v>0</v>
      </c>
      <c r="L665" t="s">
        <v>9656</v>
      </c>
      <c r="M665" t="s">
        <v>9657</v>
      </c>
      <c r="N665" t="s">
        <v>9658</v>
      </c>
      <c r="O665" t="s">
        <v>9659</v>
      </c>
      <c r="P665" t="s">
        <v>9660</v>
      </c>
      <c r="Q665" t="s">
        <v>9661</v>
      </c>
      <c r="R665" t="s">
        <v>9662</v>
      </c>
      <c r="S665" t="s">
        <v>9663</v>
      </c>
      <c r="T665" s="2">
        <v>0.56527777777777777</v>
      </c>
      <c r="V665" t="s">
        <v>9664</v>
      </c>
      <c r="W665" t="s">
        <v>9665</v>
      </c>
      <c r="X665" t="s">
        <v>9666</v>
      </c>
      <c r="Y665" t="s">
        <v>9667</v>
      </c>
      <c r="Z665" t="s">
        <v>9668</v>
      </c>
      <c r="AA665" t="s">
        <v>9668</v>
      </c>
      <c r="AC665" t="s">
        <v>9668</v>
      </c>
      <c r="AD665" t="s">
        <v>9668</v>
      </c>
    </row>
    <row r="666" spans="1:30">
      <c r="A666" t="s">
        <v>9669</v>
      </c>
      <c r="B666">
        <v>10</v>
      </c>
      <c r="C666">
        <v>8</v>
      </c>
      <c r="D666">
        <v>2019</v>
      </c>
      <c r="E666" s="1">
        <v>43746</v>
      </c>
      <c r="F666" t="s">
        <v>9670</v>
      </c>
      <c r="G666">
        <v>0</v>
      </c>
      <c r="H666">
        <v>1</v>
      </c>
      <c r="I666">
        <v>1</v>
      </c>
      <c r="J666">
        <v>0</v>
      </c>
      <c r="L666" t="s">
        <v>9671</v>
      </c>
      <c r="M666" t="s">
        <v>9672</v>
      </c>
      <c r="N666" t="s">
        <v>9673</v>
      </c>
      <c r="O666" t="s">
        <v>9674</v>
      </c>
      <c r="P666" t="s">
        <v>9675</v>
      </c>
      <c r="R666" t="s">
        <v>9676</v>
      </c>
      <c r="S666" t="s">
        <v>9677</v>
      </c>
      <c r="V666" t="s">
        <v>9678</v>
      </c>
      <c r="W666" t="s">
        <v>9679</v>
      </c>
      <c r="Y666" t="s">
        <v>9680</v>
      </c>
      <c r="Z666" t="s">
        <v>9680</v>
      </c>
      <c r="AA666" t="s">
        <v>9680</v>
      </c>
      <c r="AD666" t="s">
        <v>9680</v>
      </c>
    </row>
    <row r="667" spans="1:30">
      <c r="A667" t="s">
        <v>9681</v>
      </c>
      <c r="B667">
        <v>10</v>
      </c>
      <c r="C667">
        <v>8</v>
      </c>
      <c r="D667">
        <v>2019</v>
      </c>
      <c r="E667" s="1">
        <v>43746</v>
      </c>
      <c r="F667" t="s">
        <v>9682</v>
      </c>
      <c r="G667">
        <v>0</v>
      </c>
      <c r="H667">
        <v>1</v>
      </c>
      <c r="I667">
        <v>1</v>
      </c>
      <c r="J667">
        <v>0</v>
      </c>
      <c r="L667" t="s">
        <v>9683</v>
      </c>
      <c r="M667" t="s">
        <v>9684</v>
      </c>
      <c r="N667" t="s">
        <v>9685</v>
      </c>
      <c r="O667" t="s">
        <v>9686</v>
      </c>
      <c r="P667" t="s">
        <v>9687</v>
      </c>
      <c r="Q667" t="s">
        <v>9688</v>
      </c>
      <c r="R667" t="s">
        <v>9689</v>
      </c>
      <c r="S667" t="s">
        <v>9690</v>
      </c>
      <c r="T667" s="2">
        <v>0.82291666666666663</v>
      </c>
      <c r="U667">
        <v>1</v>
      </c>
      <c r="V667" t="s">
        <v>9691</v>
      </c>
      <c r="W667" t="s">
        <v>9692</v>
      </c>
      <c r="X667" t="s">
        <v>9693</v>
      </c>
      <c r="Y667" t="s">
        <v>9694</v>
      </c>
      <c r="Z667" t="s">
        <v>9694</v>
      </c>
      <c r="AA667" t="s">
        <v>9694</v>
      </c>
      <c r="AB667" t="s">
        <v>9694</v>
      </c>
      <c r="AC667" t="s">
        <v>9694</v>
      </c>
      <c r="AD667" t="s">
        <v>9694</v>
      </c>
    </row>
    <row r="668" spans="1:30">
      <c r="A668" t="s">
        <v>9695</v>
      </c>
      <c r="B668">
        <v>10</v>
      </c>
      <c r="C668">
        <v>2</v>
      </c>
      <c r="D668">
        <v>2019</v>
      </c>
      <c r="E668" s="1">
        <v>43740</v>
      </c>
      <c r="F668" t="s">
        <v>9696</v>
      </c>
      <c r="G668">
        <v>0</v>
      </c>
      <c r="H668">
        <v>0</v>
      </c>
      <c r="I668">
        <v>0</v>
      </c>
      <c r="J668">
        <v>0</v>
      </c>
      <c r="L668" t="s">
        <v>9697</v>
      </c>
      <c r="M668" t="s">
        <v>9698</v>
      </c>
      <c r="N668" t="s">
        <v>9699</v>
      </c>
      <c r="O668" t="s">
        <v>9700</v>
      </c>
      <c r="P668" t="s">
        <v>9701</v>
      </c>
      <c r="Q668" t="s">
        <v>9702</v>
      </c>
      <c r="R668" t="s">
        <v>9703</v>
      </c>
      <c r="S668" t="s">
        <v>9704</v>
      </c>
      <c r="T668" s="2">
        <v>0.85416666666666674</v>
      </c>
      <c r="U668">
        <v>1</v>
      </c>
      <c r="V668" t="s">
        <v>9705</v>
      </c>
      <c r="W668" t="s">
        <v>9706</v>
      </c>
      <c r="X668" t="s">
        <v>9707</v>
      </c>
      <c r="Y668" t="s">
        <v>9708</v>
      </c>
      <c r="Z668" t="s">
        <v>9708</v>
      </c>
      <c r="AA668" t="s">
        <v>9708</v>
      </c>
      <c r="AB668" t="s">
        <v>9708</v>
      </c>
      <c r="AC668" t="s">
        <v>9708</v>
      </c>
      <c r="AD668" t="s">
        <v>9708</v>
      </c>
    </row>
    <row r="669" spans="1:30">
      <c r="A669" t="s">
        <v>9709</v>
      </c>
      <c r="B669">
        <v>9</v>
      </c>
      <c r="C669">
        <v>27</v>
      </c>
      <c r="D669">
        <v>2019</v>
      </c>
      <c r="E669" s="1">
        <v>43735</v>
      </c>
      <c r="F669" t="s">
        <v>9710</v>
      </c>
      <c r="G669">
        <v>0</v>
      </c>
      <c r="H669">
        <v>0</v>
      </c>
      <c r="I669">
        <v>0</v>
      </c>
      <c r="J669">
        <v>0</v>
      </c>
      <c r="L669" t="s">
        <v>9711</v>
      </c>
      <c r="M669" t="s">
        <v>9712</v>
      </c>
      <c r="N669" t="s">
        <v>9713</v>
      </c>
      <c r="O669" t="s">
        <v>9714</v>
      </c>
      <c r="P669" t="s">
        <v>9715</v>
      </c>
      <c r="Q669" t="s">
        <v>9716</v>
      </c>
      <c r="R669" t="s">
        <v>9717</v>
      </c>
      <c r="S669" t="s">
        <v>9718</v>
      </c>
      <c r="T669" s="2">
        <v>0.85416666666666674</v>
      </c>
      <c r="U669">
        <v>1</v>
      </c>
      <c r="V669" t="s">
        <v>9719</v>
      </c>
      <c r="W669" t="s">
        <v>9720</v>
      </c>
      <c r="Z669" t="s">
        <v>9721</v>
      </c>
      <c r="AA669" t="s">
        <v>9721</v>
      </c>
      <c r="AB669" t="s">
        <v>9721</v>
      </c>
      <c r="AC669" t="s">
        <v>9721</v>
      </c>
      <c r="AD669" t="s">
        <v>9721</v>
      </c>
    </row>
    <row r="670" spans="1:30">
      <c r="A670" t="s">
        <v>9722</v>
      </c>
      <c r="B670">
        <v>9</v>
      </c>
      <c r="C670">
        <v>27</v>
      </c>
      <c r="D670">
        <v>2019</v>
      </c>
      <c r="E670" s="1">
        <v>43735</v>
      </c>
      <c r="F670" t="s">
        <v>9723</v>
      </c>
      <c r="G670">
        <v>0</v>
      </c>
      <c r="H670">
        <v>3</v>
      </c>
      <c r="I670">
        <v>3</v>
      </c>
      <c r="J670">
        <v>0</v>
      </c>
      <c r="K670" t="s">
        <v>9724</v>
      </c>
      <c r="L670" t="s">
        <v>9725</v>
      </c>
      <c r="M670" t="s">
        <v>9726</v>
      </c>
      <c r="N670" t="s">
        <v>9727</v>
      </c>
      <c r="O670" t="s">
        <v>9728</v>
      </c>
      <c r="P670" t="s">
        <v>9729</v>
      </c>
      <c r="Q670" t="s">
        <v>9729</v>
      </c>
      <c r="R670" t="s">
        <v>9730</v>
      </c>
      <c r="S670" t="s">
        <v>9731</v>
      </c>
      <c r="T670" s="2">
        <v>0.875</v>
      </c>
      <c r="U670">
        <v>1</v>
      </c>
      <c r="V670" t="s">
        <v>9732</v>
      </c>
      <c r="W670" t="s">
        <v>9733</v>
      </c>
      <c r="X670" t="s">
        <v>9734</v>
      </c>
      <c r="Y670" t="s">
        <v>9735</v>
      </c>
      <c r="Z670" t="s">
        <v>9736</v>
      </c>
      <c r="AA670" t="s">
        <v>9736</v>
      </c>
      <c r="AB670" t="s">
        <v>9736</v>
      </c>
      <c r="AC670" t="s">
        <v>9736</v>
      </c>
      <c r="AD670" t="s">
        <v>9736</v>
      </c>
    </row>
    <row r="671" spans="1:30">
      <c r="A671" t="s">
        <v>9737</v>
      </c>
      <c r="B671">
        <v>9</v>
      </c>
      <c r="C671">
        <v>20</v>
      </c>
      <c r="D671">
        <v>2019</v>
      </c>
      <c r="E671" s="1">
        <v>43728</v>
      </c>
      <c r="F671" t="s">
        <v>9738</v>
      </c>
      <c r="G671">
        <v>0</v>
      </c>
      <c r="H671">
        <v>2</v>
      </c>
      <c r="I671">
        <v>2</v>
      </c>
      <c r="J671">
        <v>0</v>
      </c>
      <c r="L671" t="s">
        <v>9739</v>
      </c>
      <c r="M671" t="s">
        <v>9740</v>
      </c>
      <c r="N671" t="s">
        <v>9741</v>
      </c>
      <c r="O671" t="s">
        <v>9742</v>
      </c>
      <c r="P671" t="s">
        <v>9743</v>
      </c>
      <c r="Q671" t="s">
        <v>9744</v>
      </c>
      <c r="R671" t="s">
        <v>9745</v>
      </c>
      <c r="S671" t="s">
        <v>9746</v>
      </c>
      <c r="T671" s="2">
        <v>0.8125</v>
      </c>
      <c r="U671">
        <v>1</v>
      </c>
      <c r="V671" t="s">
        <v>9747</v>
      </c>
      <c r="W671" t="s">
        <v>9748</v>
      </c>
      <c r="Z671" t="s">
        <v>9749</v>
      </c>
      <c r="AA671" t="s">
        <v>9749</v>
      </c>
      <c r="AC671" t="s">
        <v>9749</v>
      </c>
      <c r="AD671" t="s">
        <v>9749</v>
      </c>
    </row>
    <row r="672" spans="1:30">
      <c r="A672" t="s">
        <v>9750</v>
      </c>
      <c r="B672">
        <v>9</v>
      </c>
      <c r="C672">
        <v>16</v>
      </c>
      <c r="D672">
        <v>2019</v>
      </c>
      <c r="E672" s="1">
        <v>43724</v>
      </c>
      <c r="F672" t="s">
        <v>9751</v>
      </c>
      <c r="G672">
        <v>0</v>
      </c>
      <c r="H672">
        <v>0</v>
      </c>
      <c r="I672">
        <v>0</v>
      </c>
      <c r="J672">
        <v>0</v>
      </c>
      <c r="L672" t="s">
        <v>9752</v>
      </c>
      <c r="M672" t="s">
        <v>9753</v>
      </c>
      <c r="N672" t="s">
        <v>9754</v>
      </c>
      <c r="P672" t="s">
        <v>9755</v>
      </c>
      <c r="Q672" t="s">
        <v>9755</v>
      </c>
      <c r="R672" t="s">
        <v>9756</v>
      </c>
      <c r="S672" t="s">
        <v>9757</v>
      </c>
      <c r="T672" s="2">
        <v>0.63888888888888884</v>
      </c>
      <c r="U672">
        <v>1</v>
      </c>
      <c r="V672" t="s">
        <v>9758</v>
      </c>
      <c r="W672" t="s">
        <v>9759</v>
      </c>
      <c r="X672" t="s">
        <v>9760</v>
      </c>
      <c r="Z672" t="s">
        <v>9761</v>
      </c>
      <c r="AA672" t="s">
        <v>9761</v>
      </c>
      <c r="AB672" t="s">
        <v>9761</v>
      </c>
      <c r="AC672" t="s">
        <v>9761</v>
      </c>
      <c r="AD672" t="s">
        <v>9761</v>
      </c>
    </row>
    <row r="673" spans="1:30">
      <c r="A673" t="s">
        <v>9762</v>
      </c>
      <c r="B673">
        <v>9</v>
      </c>
      <c r="C673">
        <v>16</v>
      </c>
      <c r="D673">
        <v>2019</v>
      </c>
      <c r="E673" s="1">
        <v>43724</v>
      </c>
      <c r="F673" t="s">
        <v>9763</v>
      </c>
      <c r="G673">
        <v>1</v>
      </c>
      <c r="H673">
        <v>0</v>
      </c>
      <c r="I673">
        <v>1</v>
      </c>
      <c r="J673">
        <v>0</v>
      </c>
      <c r="L673" t="s">
        <v>9764</v>
      </c>
      <c r="M673" t="s">
        <v>9765</v>
      </c>
      <c r="N673" t="s">
        <v>9766</v>
      </c>
      <c r="O673" t="s">
        <v>9767</v>
      </c>
      <c r="P673" t="s">
        <v>9768</v>
      </c>
      <c r="Q673" t="s">
        <v>9769</v>
      </c>
      <c r="R673" t="s">
        <v>9770</v>
      </c>
      <c r="S673" t="s">
        <v>9771</v>
      </c>
      <c r="T673" s="2">
        <v>0.49652777777777779</v>
      </c>
      <c r="U673">
        <v>1</v>
      </c>
      <c r="V673" t="s">
        <v>9772</v>
      </c>
      <c r="W673" t="s">
        <v>9773</v>
      </c>
      <c r="X673" t="s">
        <v>9774</v>
      </c>
      <c r="Y673" t="s">
        <v>9775</v>
      </c>
      <c r="Z673" t="s">
        <v>9775</v>
      </c>
      <c r="AA673" t="s">
        <v>9775</v>
      </c>
      <c r="AB673" t="s">
        <v>9775</v>
      </c>
      <c r="AC673" t="s">
        <v>9775</v>
      </c>
      <c r="AD673" t="s">
        <v>9775</v>
      </c>
    </row>
    <row r="674" spans="1:30">
      <c r="A674" t="s">
        <v>9776</v>
      </c>
      <c r="B674">
        <v>9</v>
      </c>
      <c r="C674">
        <v>14</v>
      </c>
      <c r="D674">
        <v>2019</v>
      </c>
      <c r="E674" s="1">
        <v>43722</v>
      </c>
      <c r="F674" t="s">
        <v>9777</v>
      </c>
      <c r="G674">
        <v>0</v>
      </c>
      <c r="H674">
        <v>2</v>
      </c>
      <c r="I674">
        <v>2</v>
      </c>
      <c r="J674">
        <v>0</v>
      </c>
      <c r="L674" t="s">
        <v>9778</v>
      </c>
      <c r="M674" t="s">
        <v>9779</v>
      </c>
      <c r="N674" t="s">
        <v>9780</v>
      </c>
      <c r="O674" t="s">
        <v>9781</v>
      </c>
      <c r="P674" t="s">
        <v>9782</v>
      </c>
      <c r="Q674" t="s">
        <v>9783</v>
      </c>
      <c r="R674" t="s">
        <v>9784</v>
      </c>
      <c r="S674" t="s">
        <v>9785</v>
      </c>
      <c r="T674" s="2">
        <v>0.65625</v>
      </c>
      <c r="U674">
        <v>1</v>
      </c>
      <c r="V674" t="s">
        <v>9786</v>
      </c>
      <c r="W674" t="s">
        <v>9787</v>
      </c>
      <c r="X674" t="s">
        <v>9788</v>
      </c>
      <c r="Y674" t="s">
        <v>9789</v>
      </c>
      <c r="Z674" t="s">
        <v>9790</v>
      </c>
      <c r="AA674" t="s">
        <v>9790</v>
      </c>
      <c r="AB674" t="s">
        <v>9790</v>
      </c>
      <c r="AC674" t="s">
        <v>9790</v>
      </c>
      <c r="AD674" t="s">
        <v>9790</v>
      </c>
    </row>
    <row r="675" spans="1:30">
      <c r="A675" t="s">
        <v>9791</v>
      </c>
      <c r="B675">
        <v>9</v>
      </c>
      <c r="C675">
        <v>13</v>
      </c>
      <c r="D675">
        <v>2019</v>
      </c>
      <c r="E675" s="1">
        <v>43721</v>
      </c>
      <c r="F675" t="s">
        <v>9792</v>
      </c>
      <c r="G675">
        <v>0</v>
      </c>
      <c r="H675">
        <v>3</v>
      </c>
      <c r="I675">
        <v>3</v>
      </c>
      <c r="J675">
        <v>0</v>
      </c>
      <c r="L675" t="s">
        <v>9793</v>
      </c>
      <c r="M675" t="s">
        <v>9794</v>
      </c>
      <c r="N675" t="s">
        <v>9795</v>
      </c>
      <c r="O675" t="s">
        <v>9796</v>
      </c>
      <c r="P675" t="s">
        <v>9797</v>
      </c>
      <c r="Q675" t="s">
        <v>9798</v>
      </c>
      <c r="R675" t="s">
        <v>9799</v>
      </c>
      <c r="S675" t="s">
        <v>9800</v>
      </c>
      <c r="T675" s="2">
        <v>0.89861111111111114</v>
      </c>
      <c r="U675">
        <v>1</v>
      </c>
      <c r="V675" t="s">
        <v>9801</v>
      </c>
      <c r="W675" t="s">
        <v>9802</v>
      </c>
      <c r="Z675" t="s">
        <v>9803</v>
      </c>
      <c r="AA675" t="s">
        <v>9803</v>
      </c>
      <c r="AB675" t="s">
        <v>9803</v>
      </c>
      <c r="AC675" t="s">
        <v>9803</v>
      </c>
      <c r="AD675" t="s">
        <v>9803</v>
      </c>
    </row>
    <row r="676" spans="1:30">
      <c r="A676" t="s">
        <v>9804</v>
      </c>
      <c r="B676">
        <v>9</v>
      </c>
      <c r="C676">
        <v>13</v>
      </c>
      <c r="D676">
        <v>2019</v>
      </c>
      <c r="E676" s="1">
        <v>43721</v>
      </c>
      <c r="F676" t="s">
        <v>9805</v>
      </c>
      <c r="G676">
        <v>0</v>
      </c>
      <c r="H676">
        <v>0</v>
      </c>
      <c r="I676">
        <v>0</v>
      </c>
      <c r="J676">
        <v>0</v>
      </c>
      <c r="L676" t="s">
        <v>9806</v>
      </c>
      <c r="M676" t="s">
        <v>9807</v>
      </c>
      <c r="N676" t="s">
        <v>9808</v>
      </c>
      <c r="O676" t="s">
        <v>9809</v>
      </c>
      <c r="P676" t="s">
        <v>9810</v>
      </c>
      <c r="Q676" t="s">
        <v>9811</v>
      </c>
      <c r="R676" t="s">
        <v>9812</v>
      </c>
      <c r="S676" t="s">
        <v>9813</v>
      </c>
      <c r="T676" s="2">
        <v>0.85416666666666674</v>
      </c>
      <c r="U676">
        <v>1</v>
      </c>
      <c r="V676" t="s">
        <v>9814</v>
      </c>
      <c r="W676" t="s">
        <v>9815</v>
      </c>
      <c r="X676" t="s">
        <v>9816</v>
      </c>
      <c r="Y676" t="s">
        <v>9817</v>
      </c>
      <c r="Z676" t="s">
        <v>9818</v>
      </c>
      <c r="AA676" t="s">
        <v>9818</v>
      </c>
      <c r="AB676" t="s">
        <v>9818</v>
      </c>
      <c r="AC676" t="s">
        <v>9818</v>
      </c>
      <c r="AD676" t="s">
        <v>9818</v>
      </c>
    </row>
    <row r="677" spans="1:30">
      <c r="A677" t="s">
        <v>9819</v>
      </c>
      <c r="B677">
        <v>9</v>
      </c>
      <c r="C677">
        <v>12</v>
      </c>
      <c r="D677">
        <v>2019</v>
      </c>
      <c r="E677" s="1">
        <v>43720</v>
      </c>
      <c r="F677" t="s">
        <v>9820</v>
      </c>
      <c r="G677">
        <v>0</v>
      </c>
      <c r="H677">
        <v>0</v>
      </c>
      <c r="I677">
        <v>0</v>
      </c>
      <c r="J677">
        <v>0</v>
      </c>
      <c r="L677" t="s">
        <v>9821</v>
      </c>
      <c r="M677" t="s">
        <v>9822</v>
      </c>
      <c r="N677" t="s">
        <v>9823</v>
      </c>
      <c r="O677" t="s">
        <v>9824</v>
      </c>
      <c r="P677" t="s">
        <v>9825</v>
      </c>
      <c r="Q677" t="s">
        <v>9826</v>
      </c>
      <c r="R677" t="s">
        <v>9827</v>
      </c>
      <c r="S677" t="s">
        <v>9828</v>
      </c>
      <c r="T677" s="2">
        <v>0.78125</v>
      </c>
      <c r="U677">
        <v>1</v>
      </c>
      <c r="V677" t="s">
        <v>9829</v>
      </c>
      <c r="W677" t="s">
        <v>9830</v>
      </c>
      <c r="Y677" t="s">
        <v>9831</v>
      </c>
      <c r="Z677" t="s">
        <v>9831</v>
      </c>
      <c r="AA677" t="s">
        <v>9831</v>
      </c>
      <c r="AB677" t="s">
        <v>9831</v>
      </c>
      <c r="AC677" t="s">
        <v>9831</v>
      </c>
      <c r="AD677" t="s">
        <v>9831</v>
      </c>
    </row>
    <row r="678" spans="1:30">
      <c r="A678" t="s">
        <v>9832</v>
      </c>
      <c r="B678">
        <v>9</v>
      </c>
      <c r="C678">
        <v>10</v>
      </c>
      <c r="D678">
        <v>2019</v>
      </c>
      <c r="E678" s="1">
        <v>43718</v>
      </c>
      <c r="F678" t="s">
        <v>9833</v>
      </c>
      <c r="G678">
        <v>0</v>
      </c>
      <c r="H678">
        <v>0</v>
      </c>
      <c r="I678">
        <v>0</v>
      </c>
      <c r="J678">
        <v>0</v>
      </c>
      <c r="L678" t="s">
        <v>9834</v>
      </c>
      <c r="M678" t="s">
        <v>9835</v>
      </c>
      <c r="N678" t="s">
        <v>9836</v>
      </c>
      <c r="O678" t="s">
        <v>9837</v>
      </c>
      <c r="P678" t="s">
        <v>9838</v>
      </c>
      <c r="Q678" t="s">
        <v>9839</v>
      </c>
      <c r="R678" t="s">
        <v>9840</v>
      </c>
      <c r="S678" t="s">
        <v>9841</v>
      </c>
      <c r="T678" s="2">
        <v>0.64583333333333337</v>
      </c>
      <c r="U678">
        <v>1</v>
      </c>
      <c r="V678" t="s">
        <v>9842</v>
      </c>
      <c r="W678" t="s">
        <v>9843</v>
      </c>
      <c r="X678" t="s">
        <v>9844</v>
      </c>
      <c r="Y678" t="s">
        <v>9845</v>
      </c>
      <c r="Z678" t="s">
        <v>9846</v>
      </c>
      <c r="AA678" t="s">
        <v>9846</v>
      </c>
      <c r="AB678" t="s">
        <v>9846</v>
      </c>
      <c r="AC678" t="s">
        <v>9846</v>
      </c>
      <c r="AD678" t="s">
        <v>9846</v>
      </c>
    </row>
    <row r="679" spans="1:30">
      <c r="A679" t="s">
        <v>9847</v>
      </c>
      <c r="B679">
        <v>9</v>
      </c>
      <c r="C679">
        <v>6</v>
      </c>
      <c r="D679">
        <v>2019</v>
      </c>
      <c r="E679" s="1">
        <v>43714</v>
      </c>
      <c r="F679" t="s">
        <v>9848</v>
      </c>
      <c r="G679">
        <v>0</v>
      </c>
      <c r="H679">
        <v>1</v>
      </c>
      <c r="I679">
        <v>1</v>
      </c>
      <c r="J679">
        <v>0</v>
      </c>
      <c r="L679" t="s">
        <v>9849</v>
      </c>
      <c r="M679" t="s">
        <v>9850</v>
      </c>
      <c r="N679" t="s">
        <v>9851</v>
      </c>
      <c r="O679" t="s">
        <v>9852</v>
      </c>
      <c r="P679" t="s">
        <v>9853</v>
      </c>
      <c r="Q679" t="s">
        <v>9854</v>
      </c>
      <c r="R679" t="s">
        <v>9855</v>
      </c>
      <c r="S679" t="s">
        <v>9856</v>
      </c>
      <c r="T679" s="2">
        <v>0.91666666666666663</v>
      </c>
      <c r="U679">
        <v>1</v>
      </c>
      <c r="V679" t="s">
        <v>9857</v>
      </c>
      <c r="W679" t="s">
        <v>9858</v>
      </c>
      <c r="Z679" t="s">
        <v>9859</v>
      </c>
      <c r="AA679" t="s">
        <v>9859</v>
      </c>
      <c r="AB679" t="s">
        <v>9859</v>
      </c>
      <c r="AC679" t="s">
        <v>9859</v>
      </c>
      <c r="AD679" t="s">
        <v>9859</v>
      </c>
    </row>
    <row r="680" spans="1:30">
      <c r="A680" t="s">
        <v>9860</v>
      </c>
      <c r="B680">
        <v>9</v>
      </c>
      <c r="C680">
        <v>6</v>
      </c>
      <c r="D680">
        <v>2019</v>
      </c>
      <c r="E680" s="1">
        <v>43714</v>
      </c>
      <c r="F680" t="s">
        <v>9861</v>
      </c>
      <c r="G680">
        <v>1</v>
      </c>
      <c r="H680">
        <v>0</v>
      </c>
      <c r="I680">
        <v>1</v>
      </c>
      <c r="J680">
        <v>0</v>
      </c>
      <c r="K680" t="s">
        <v>9862</v>
      </c>
      <c r="L680" t="s">
        <v>9863</v>
      </c>
      <c r="M680" t="s">
        <v>9864</v>
      </c>
      <c r="N680" t="s">
        <v>9865</v>
      </c>
      <c r="O680" t="s">
        <v>9866</v>
      </c>
      <c r="P680" t="s">
        <v>9867</v>
      </c>
      <c r="Q680" t="s">
        <v>9868</v>
      </c>
      <c r="R680" t="s">
        <v>9869</v>
      </c>
      <c r="S680" t="s">
        <v>9870</v>
      </c>
      <c r="T680" s="2">
        <v>0.88888888888888884</v>
      </c>
      <c r="U680">
        <v>1</v>
      </c>
      <c r="V680" t="s">
        <v>9871</v>
      </c>
      <c r="W680" t="s">
        <v>9872</v>
      </c>
      <c r="X680" t="s">
        <v>9873</v>
      </c>
      <c r="Y680" t="s">
        <v>9874</v>
      </c>
      <c r="Z680" t="s">
        <v>9874</v>
      </c>
      <c r="AA680" t="s">
        <v>9874</v>
      </c>
      <c r="AB680" t="s">
        <v>9874</v>
      </c>
      <c r="AC680" t="s">
        <v>9874</v>
      </c>
      <c r="AD680" t="s">
        <v>9874</v>
      </c>
    </row>
    <row r="681" spans="1:30">
      <c r="A681" t="s">
        <v>9875</v>
      </c>
      <c r="B681">
        <v>9</v>
      </c>
      <c r="C681">
        <v>6</v>
      </c>
      <c r="D681">
        <v>2019</v>
      </c>
      <c r="E681" s="1">
        <v>43714</v>
      </c>
      <c r="F681" t="s">
        <v>9876</v>
      </c>
      <c r="G681">
        <v>0</v>
      </c>
      <c r="H681">
        <v>0</v>
      </c>
      <c r="I681">
        <v>0</v>
      </c>
      <c r="J681">
        <v>0</v>
      </c>
      <c r="L681" t="s">
        <v>9877</v>
      </c>
      <c r="M681" t="s">
        <v>9878</v>
      </c>
      <c r="N681" t="s">
        <v>9879</v>
      </c>
      <c r="O681" t="s">
        <v>9880</v>
      </c>
      <c r="P681" t="s">
        <v>9881</v>
      </c>
      <c r="Q681" t="s">
        <v>9882</v>
      </c>
      <c r="R681" t="s">
        <v>9883</v>
      </c>
      <c r="S681" t="s">
        <v>9884</v>
      </c>
      <c r="T681" s="2">
        <v>0.875</v>
      </c>
      <c r="U681">
        <v>1</v>
      </c>
      <c r="V681" t="s">
        <v>9885</v>
      </c>
      <c r="W681" t="s">
        <v>9886</v>
      </c>
      <c r="Z681" t="s">
        <v>9887</v>
      </c>
      <c r="AA681" t="s">
        <v>9887</v>
      </c>
      <c r="AB681" t="s">
        <v>9887</v>
      </c>
      <c r="AC681" t="s">
        <v>9887</v>
      </c>
      <c r="AD681" t="s">
        <v>9887</v>
      </c>
    </row>
    <row r="682" spans="1:30">
      <c r="A682" t="s">
        <v>9888</v>
      </c>
      <c r="B682">
        <v>9</v>
      </c>
      <c r="C682">
        <v>2</v>
      </c>
      <c r="D682">
        <v>2019</v>
      </c>
      <c r="E682" s="1">
        <v>43710</v>
      </c>
      <c r="F682" t="s">
        <v>9889</v>
      </c>
      <c r="G682">
        <v>1</v>
      </c>
      <c r="H682">
        <v>2</v>
      </c>
      <c r="I682">
        <v>3</v>
      </c>
      <c r="J682">
        <v>0</v>
      </c>
      <c r="L682" t="s">
        <v>9890</v>
      </c>
      <c r="M682" t="s">
        <v>9891</v>
      </c>
      <c r="N682" t="s">
        <v>9892</v>
      </c>
      <c r="O682" t="s">
        <v>9893</v>
      </c>
      <c r="P682" t="s">
        <v>9894</v>
      </c>
      <c r="Q682" t="s">
        <v>9895</v>
      </c>
      <c r="R682" t="s">
        <v>9896</v>
      </c>
      <c r="S682" t="s">
        <v>9897</v>
      </c>
      <c r="T682" s="2">
        <v>0.83333333333333337</v>
      </c>
      <c r="U682">
        <v>1</v>
      </c>
      <c r="V682" t="s">
        <v>9898</v>
      </c>
      <c r="W682" t="s">
        <v>9899</v>
      </c>
      <c r="Z682" t="s">
        <v>9900</v>
      </c>
      <c r="AA682" t="s">
        <v>9900</v>
      </c>
      <c r="AB682" t="s">
        <v>9900</v>
      </c>
      <c r="AC682" t="s">
        <v>9900</v>
      </c>
      <c r="AD682" t="s">
        <v>9900</v>
      </c>
    </row>
    <row r="683" spans="1:30">
      <c r="A683" t="s">
        <v>9901</v>
      </c>
      <c r="B683">
        <v>8</v>
      </c>
      <c r="C683">
        <v>30</v>
      </c>
      <c r="D683">
        <v>2019</v>
      </c>
      <c r="E683" s="1">
        <v>43707</v>
      </c>
      <c r="F683" t="s">
        <v>9902</v>
      </c>
      <c r="G683">
        <v>0</v>
      </c>
      <c r="H683">
        <v>1</v>
      </c>
      <c r="I683">
        <v>1</v>
      </c>
      <c r="J683">
        <v>0</v>
      </c>
      <c r="L683" t="s">
        <v>9903</v>
      </c>
      <c r="M683" t="s">
        <v>9904</v>
      </c>
      <c r="N683" t="s">
        <v>9905</v>
      </c>
      <c r="O683" t="s">
        <v>9906</v>
      </c>
      <c r="P683" t="s">
        <v>9907</v>
      </c>
      <c r="Q683" t="s">
        <v>9908</v>
      </c>
      <c r="R683" t="s">
        <v>9909</v>
      </c>
      <c r="S683" t="s">
        <v>9910</v>
      </c>
      <c r="T683" s="2">
        <v>0.89583333333333337</v>
      </c>
      <c r="U683">
        <v>1</v>
      </c>
      <c r="V683" t="s">
        <v>9911</v>
      </c>
      <c r="W683" t="s">
        <v>9912</v>
      </c>
      <c r="X683" t="s">
        <v>9913</v>
      </c>
      <c r="Y683" t="s">
        <v>9914</v>
      </c>
      <c r="Z683" t="s">
        <v>9914</v>
      </c>
      <c r="AA683" t="s">
        <v>9914</v>
      </c>
      <c r="AB683" t="s">
        <v>9914</v>
      </c>
      <c r="AC683" t="s">
        <v>9914</v>
      </c>
      <c r="AD683" t="s">
        <v>9914</v>
      </c>
    </row>
    <row r="684" spans="1:30">
      <c r="A684" t="s">
        <v>9915</v>
      </c>
      <c r="B684">
        <v>8</v>
      </c>
      <c r="C684">
        <v>30</v>
      </c>
      <c r="D684">
        <v>2019</v>
      </c>
      <c r="E684" s="1">
        <v>43707</v>
      </c>
      <c r="F684" t="s">
        <v>9916</v>
      </c>
      <c r="G684">
        <v>0</v>
      </c>
      <c r="H684">
        <v>0</v>
      </c>
      <c r="I684">
        <v>0</v>
      </c>
      <c r="J684">
        <v>0</v>
      </c>
      <c r="L684" t="s">
        <v>9917</v>
      </c>
      <c r="M684" t="s">
        <v>9918</v>
      </c>
      <c r="N684" t="s">
        <v>9919</v>
      </c>
      <c r="O684" t="s">
        <v>9920</v>
      </c>
      <c r="P684" t="s">
        <v>9921</v>
      </c>
      <c r="Q684" t="s">
        <v>9922</v>
      </c>
      <c r="R684" t="s">
        <v>9923</v>
      </c>
      <c r="S684" t="s">
        <v>9924</v>
      </c>
      <c r="T684" s="2">
        <v>0.91666666666666663</v>
      </c>
      <c r="U684">
        <v>1</v>
      </c>
      <c r="V684" t="s">
        <v>9925</v>
      </c>
      <c r="W684" t="s">
        <v>9926</v>
      </c>
      <c r="X684" t="s">
        <v>9927</v>
      </c>
      <c r="Y684" t="s">
        <v>9928</v>
      </c>
      <c r="Z684" t="s">
        <v>9929</v>
      </c>
      <c r="AA684" t="s">
        <v>9929</v>
      </c>
      <c r="AB684" t="s">
        <v>9929</v>
      </c>
      <c r="AC684" t="s">
        <v>9929</v>
      </c>
      <c r="AD684" t="s">
        <v>9929</v>
      </c>
    </row>
    <row r="685" spans="1:30">
      <c r="A685" t="s">
        <v>9930</v>
      </c>
      <c r="B685">
        <v>8</v>
      </c>
      <c r="C685">
        <v>30</v>
      </c>
      <c r="D685">
        <v>2019</v>
      </c>
      <c r="E685" s="1">
        <v>43707</v>
      </c>
      <c r="F685" t="s">
        <v>9931</v>
      </c>
      <c r="G685">
        <v>0</v>
      </c>
      <c r="H685">
        <v>10</v>
      </c>
      <c r="I685">
        <v>10</v>
      </c>
      <c r="J685">
        <v>0</v>
      </c>
      <c r="L685" t="s">
        <v>9932</v>
      </c>
      <c r="M685" t="s">
        <v>9933</v>
      </c>
      <c r="N685" t="s">
        <v>9934</v>
      </c>
      <c r="O685" t="s">
        <v>9935</v>
      </c>
      <c r="P685" t="s">
        <v>9936</v>
      </c>
      <c r="Q685" t="s">
        <v>9936</v>
      </c>
      <c r="R685" t="s">
        <v>9937</v>
      </c>
      <c r="S685" t="s">
        <v>9938</v>
      </c>
      <c r="T685" s="2">
        <v>0.91666666666666663</v>
      </c>
      <c r="U685">
        <v>1</v>
      </c>
      <c r="V685" t="s">
        <v>9939</v>
      </c>
      <c r="W685" t="s">
        <v>9940</v>
      </c>
      <c r="X685" t="s">
        <v>9941</v>
      </c>
      <c r="Z685" t="s">
        <v>9942</v>
      </c>
      <c r="AA685" t="s">
        <v>9942</v>
      </c>
      <c r="AB685" t="s">
        <v>9942</v>
      </c>
      <c r="AC685" t="s">
        <v>9942</v>
      </c>
      <c r="AD685" t="s">
        <v>9943</v>
      </c>
    </row>
    <row r="686" spans="1:30">
      <c r="A686" t="s">
        <v>9944</v>
      </c>
      <c r="B686">
        <v>8</v>
      </c>
      <c r="C686">
        <v>27</v>
      </c>
      <c r="D686">
        <v>2019</v>
      </c>
      <c r="E686" s="1">
        <v>43704</v>
      </c>
      <c r="F686" t="s">
        <v>9945</v>
      </c>
      <c r="G686">
        <v>0</v>
      </c>
      <c r="H686">
        <v>1</v>
      </c>
      <c r="I686">
        <v>1</v>
      </c>
      <c r="J686">
        <v>0</v>
      </c>
      <c r="L686" t="s">
        <v>9946</v>
      </c>
      <c r="M686" t="s">
        <v>9947</v>
      </c>
      <c r="N686" t="s">
        <v>9948</v>
      </c>
      <c r="O686" t="s">
        <v>9949</v>
      </c>
      <c r="P686" t="s">
        <v>9950</v>
      </c>
      <c r="Q686" t="s">
        <v>9951</v>
      </c>
      <c r="R686" t="s">
        <v>9952</v>
      </c>
      <c r="S686" t="s">
        <v>9953</v>
      </c>
      <c r="T686" s="2">
        <v>0.45833333333333331</v>
      </c>
      <c r="U686">
        <v>1</v>
      </c>
      <c r="V686" t="s">
        <v>9954</v>
      </c>
      <c r="W686" t="s">
        <v>9955</v>
      </c>
      <c r="Z686" t="s">
        <v>9956</v>
      </c>
      <c r="AA686" t="s">
        <v>9956</v>
      </c>
      <c r="AB686" t="s">
        <v>9956</v>
      </c>
      <c r="AC686" t="s">
        <v>9956</v>
      </c>
      <c r="AD686" t="s">
        <v>9956</v>
      </c>
    </row>
    <row r="687" spans="1:30">
      <c r="A687" t="s">
        <v>9957</v>
      </c>
      <c r="B687">
        <v>8</v>
      </c>
      <c r="C687">
        <v>27</v>
      </c>
      <c r="D687">
        <v>2019</v>
      </c>
      <c r="E687" s="1">
        <v>43704</v>
      </c>
      <c r="F687" t="s">
        <v>9958</v>
      </c>
      <c r="G687">
        <v>0</v>
      </c>
      <c r="H687">
        <v>0</v>
      </c>
      <c r="I687">
        <v>0</v>
      </c>
      <c r="J687">
        <v>0</v>
      </c>
      <c r="L687" t="s">
        <v>9959</v>
      </c>
      <c r="M687" t="s">
        <v>9960</v>
      </c>
      <c r="N687" t="s">
        <v>9961</v>
      </c>
      <c r="O687" t="s">
        <v>9962</v>
      </c>
      <c r="P687" t="s">
        <v>9963</v>
      </c>
      <c r="Q687" t="s">
        <v>9964</v>
      </c>
      <c r="R687" t="s">
        <v>9965</v>
      </c>
      <c r="S687" t="s">
        <v>9966</v>
      </c>
      <c r="T687" s="2">
        <v>0.375</v>
      </c>
      <c r="U687">
        <v>1</v>
      </c>
      <c r="V687" t="s">
        <v>9967</v>
      </c>
      <c r="W687" t="s">
        <v>9968</v>
      </c>
      <c r="X687" t="s">
        <v>9969</v>
      </c>
      <c r="Y687" t="s">
        <v>9970</v>
      </c>
      <c r="Z687" t="s">
        <v>9970</v>
      </c>
      <c r="AA687" t="s">
        <v>9970</v>
      </c>
      <c r="AB687" t="s">
        <v>9970</v>
      </c>
      <c r="AC687" t="s">
        <v>9970</v>
      </c>
      <c r="AD687" t="s">
        <v>9970</v>
      </c>
    </row>
    <row r="688" spans="1:30">
      <c r="A688" t="s">
        <v>9971</v>
      </c>
      <c r="B688">
        <v>8</v>
      </c>
      <c r="C688">
        <v>24</v>
      </c>
      <c r="D688">
        <v>2019</v>
      </c>
      <c r="E688" s="1">
        <v>43701</v>
      </c>
      <c r="F688" t="s">
        <v>9972</v>
      </c>
      <c r="G688">
        <v>1</v>
      </c>
      <c r="H688">
        <v>0</v>
      </c>
      <c r="I688">
        <v>1</v>
      </c>
      <c r="J688">
        <v>0</v>
      </c>
      <c r="L688" t="s">
        <v>9973</v>
      </c>
      <c r="M688" t="s">
        <v>9974</v>
      </c>
      <c r="N688" t="s">
        <v>9975</v>
      </c>
      <c r="O688" t="s">
        <v>9976</v>
      </c>
      <c r="P688" t="s">
        <v>9977</v>
      </c>
      <c r="Q688" t="s">
        <v>9978</v>
      </c>
      <c r="R688" t="s">
        <v>9979</v>
      </c>
      <c r="S688" t="s">
        <v>9980</v>
      </c>
      <c r="T688" s="2">
        <v>0.79166666666666663</v>
      </c>
      <c r="U688">
        <v>1</v>
      </c>
      <c r="V688" t="s">
        <v>9981</v>
      </c>
      <c r="W688" t="s">
        <v>9982</v>
      </c>
      <c r="X688" t="s">
        <v>9983</v>
      </c>
      <c r="Z688" t="s">
        <v>9984</v>
      </c>
      <c r="AA688" t="s">
        <v>9984</v>
      </c>
      <c r="AB688" t="s">
        <v>9984</v>
      </c>
      <c r="AC688" t="s">
        <v>9984</v>
      </c>
      <c r="AD688" t="s">
        <v>9984</v>
      </c>
    </row>
    <row r="689" spans="1:30">
      <c r="A689" t="s">
        <v>9985</v>
      </c>
      <c r="B689">
        <v>8</v>
      </c>
      <c r="C689">
        <v>23</v>
      </c>
      <c r="D689">
        <v>2019</v>
      </c>
      <c r="E689" s="1">
        <v>43700</v>
      </c>
      <c r="F689" t="s">
        <v>9986</v>
      </c>
      <c r="G689">
        <v>0</v>
      </c>
      <c r="H689">
        <v>1</v>
      </c>
      <c r="I689">
        <v>1</v>
      </c>
      <c r="J689">
        <v>0</v>
      </c>
      <c r="L689" t="s">
        <v>9987</v>
      </c>
      <c r="M689" t="s">
        <v>9988</v>
      </c>
      <c r="N689" t="s">
        <v>9989</v>
      </c>
      <c r="O689" t="s">
        <v>9990</v>
      </c>
      <c r="P689" t="s">
        <v>9991</v>
      </c>
      <c r="Q689" t="s">
        <v>9991</v>
      </c>
      <c r="R689" t="s">
        <v>9992</v>
      </c>
      <c r="S689" t="s">
        <v>9993</v>
      </c>
      <c r="T689" s="2">
        <v>0.77430555555555558</v>
      </c>
      <c r="U689">
        <v>1</v>
      </c>
      <c r="V689" t="s">
        <v>9994</v>
      </c>
      <c r="W689" t="s">
        <v>9995</v>
      </c>
      <c r="Y689" t="s">
        <v>9996</v>
      </c>
      <c r="Z689" t="s">
        <v>9996</v>
      </c>
      <c r="AA689" t="s">
        <v>9996</v>
      </c>
      <c r="AC689" t="s">
        <v>9996</v>
      </c>
      <c r="AD689" t="s">
        <v>9996</v>
      </c>
    </row>
    <row r="690" spans="1:30">
      <c r="A690" t="s">
        <v>9997</v>
      </c>
      <c r="B690">
        <v>8</v>
      </c>
      <c r="C690">
        <v>23</v>
      </c>
      <c r="D690">
        <v>2019</v>
      </c>
      <c r="E690" s="1">
        <v>43700</v>
      </c>
      <c r="F690" t="s">
        <v>9998</v>
      </c>
      <c r="G690">
        <v>1</v>
      </c>
      <c r="H690">
        <v>0</v>
      </c>
      <c r="I690">
        <v>1</v>
      </c>
      <c r="J690">
        <v>0</v>
      </c>
      <c r="L690" t="s">
        <v>9999</v>
      </c>
      <c r="M690" t="s">
        <v>10000</v>
      </c>
      <c r="N690" t="s">
        <v>10001</v>
      </c>
      <c r="O690" t="s">
        <v>10002</v>
      </c>
      <c r="P690" t="s">
        <v>10003</v>
      </c>
      <c r="Q690" t="s">
        <v>10004</v>
      </c>
      <c r="R690" t="s">
        <v>10005</v>
      </c>
      <c r="S690" t="s">
        <v>10006</v>
      </c>
      <c r="T690" s="2">
        <v>0.20833333333333334</v>
      </c>
      <c r="U690">
        <v>1</v>
      </c>
      <c r="V690" t="s">
        <v>10007</v>
      </c>
      <c r="W690" t="s">
        <v>10008</v>
      </c>
      <c r="X690" t="s">
        <v>10009</v>
      </c>
      <c r="Z690" t="s">
        <v>10010</v>
      </c>
      <c r="AA690" t="s">
        <v>10010</v>
      </c>
      <c r="AD690" t="s">
        <v>10010</v>
      </c>
    </row>
    <row r="691" spans="1:30">
      <c r="A691" t="s">
        <v>10011</v>
      </c>
      <c r="B691">
        <v>8</v>
      </c>
      <c r="C691">
        <v>23</v>
      </c>
      <c r="D691">
        <v>2019</v>
      </c>
      <c r="E691" s="1">
        <v>43700</v>
      </c>
      <c r="F691" t="s">
        <v>10012</v>
      </c>
      <c r="G691">
        <v>0</v>
      </c>
      <c r="H691">
        <v>0</v>
      </c>
      <c r="I691">
        <v>0</v>
      </c>
      <c r="J691">
        <v>0</v>
      </c>
      <c r="L691" t="s">
        <v>10013</v>
      </c>
      <c r="M691" t="s">
        <v>10014</v>
      </c>
      <c r="N691" t="s">
        <v>10015</v>
      </c>
      <c r="O691" t="s">
        <v>10016</v>
      </c>
      <c r="P691" t="s">
        <v>10017</v>
      </c>
      <c r="Q691" t="s">
        <v>10018</v>
      </c>
      <c r="R691" t="s">
        <v>10019</v>
      </c>
      <c r="S691" t="s">
        <v>10020</v>
      </c>
      <c r="T691" s="2">
        <v>0.84375</v>
      </c>
      <c r="U691">
        <v>1</v>
      </c>
      <c r="V691" t="s">
        <v>10021</v>
      </c>
      <c r="W691" t="s">
        <v>10022</v>
      </c>
      <c r="Y691" t="s">
        <v>10023</v>
      </c>
      <c r="Z691" t="s">
        <v>10023</v>
      </c>
      <c r="AA691" t="s">
        <v>10023</v>
      </c>
      <c r="AB691" t="s">
        <v>10023</v>
      </c>
      <c r="AC691" t="s">
        <v>10023</v>
      </c>
      <c r="AD691" t="s">
        <v>10023</v>
      </c>
    </row>
    <row r="692" spans="1:30">
      <c r="A692" t="s">
        <v>10024</v>
      </c>
      <c r="B692">
        <v>8</v>
      </c>
      <c r="C692">
        <v>20</v>
      </c>
      <c r="D692">
        <v>2019</v>
      </c>
      <c r="E692" s="1">
        <v>43697</v>
      </c>
      <c r="F692" t="s">
        <v>10025</v>
      </c>
      <c r="G692">
        <v>0</v>
      </c>
      <c r="H692">
        <v>0</v>
      </c>
      <c r="I692">
        <v>0</v>
      </c>
      <c r="J692">
        <v>0</v>
      </c>
      <c r="L692" t="s">
        <v>10026</v>
      </c>
      <c r="M692" t="s">
        <v>10027</v>
      </c>
      <c r="N692" t="s">
        <v>10028</v>
      </c>
      <c r="O692" t="s">
        <v>10029</v>
      </c>
      <c r="P692" t="s">
        <v>10030</v>
      </c>
      <c r="Q692" t="s">
        <v>10031</v>
      </c>
      <c r="R692" t="s">
        <v>10032</v>
      </c>
      <c r="S692" t="s">
        <v>10033</v>
      </c>
      <c r="T692" s="2">
        <v>0.75</v>
      </c>
      <c r="U692">
        <v>1</v>
      </c>
      <c r="V692" t="s">
        <v>10034</v>
      </c>
      <c r="W692" t="s">
        <v>10035</v>
      </c>
      <c r="X692" t="s">
        <v>10036</v>
      </c>
      <c r="Y692" t="s">
        <v>10037</v>
      </c>
      <c r="Z692" t="s">
        <v>10037</v>
      </c>
      <c r="AA692" t="s">
        <v>10037</v>
      </c>
      <c r="AB692" t="s">
        <v>10037</v>
      </c>
      <c r="AC692" t="s">
        <v>10037</v>
      </c>
      <c r="AD692" t="s">
        <v>10037</v>
      </c>
    </row>
    <row r="693" spans="1:30">
      <c r="A693" t="s">
        <v>10038</v>
      </c>
      <c r="B693">
        <v>8</v>
      </c>
      <c r="C693">
        <v>17</v>
      </c>
      <c r="D693">
        <v>2019</v>
      </c>
      <c r="E693" s="1">
        <v>43694</v>
      </c>
      <c r="F693" t="s">
        <v>10039</v>
      </c>
      <c r="G693">
        <v>0</v>
      </c>
      <c r="H693">
        <v>2</v>
      </c>
      <c r="I693">
        <v>2</v>
      </c>
      <c r="J693">
        <v>0</v>
      </c>
      <c r="L693" t="s">
        <v>10040</v>
      </c>
      <c r="M693" t="s">
        <v>10041</v>
      </c>
      <c r="N693" t="s">
        <v>10042</v>
      </c>
      <c r="O693" t="s">
        <v>10043</v>
      </c>
      <c r="P693" t="s">
        <v>10044</v>
      </c>
      <c r="Q693" t="s">
        <v>10045</v>
      </c>
      <c r="R693" t="s">
        <v>10046</v>
      </c>
      <c r="S693" t="s">
        <v>10047</v>
      </c>
      <c r="T693" s="2">
        <v>0.875</v>
      </c>
      <c r="U693">
        <v>1</v>
      </c>
      <c r="V693" t="s">
        <v>10048</v>
      </c>
      <c r="W693" t="s">
        <v>10049</v>
      </c>
      <c r="X693" t="s">
        <v>10050</v>
      </c>
      <c r="Z693" t="s">
        <v>10051</v>
      </c>
      <c r="AA693" t="s">
        <v>10051</v>
      </c>
      <c r="AB693" t="s">
        <v>10051</v>
      </c>
      <c r="AC693" t="s">
        <v>10051</v>
      </c>
      <c r="AD693" t="s">
        <v>10051</v>
      </c>
    </row>
    <row r="694" spans="1:30">
      <c r="A694" t="s">
        <v>10052</v>
      </c>
      <c r="B694">
        <v>8</v>
      </c>
      <c r="C694">
        <v>15</v>
      </c>
      <c r="D694">
        <v>2019</v>
      </c>
      <c r="E694" s="1">
        <v>43692</v>
      </c>
      <c r="F694" t="s">
        <v>10053</v>
      </c>
      <c r="G694">
        <v>0</v>
      </c>
      <c r="H694">
        <v>0</v>
      </c>
      <c r="I694">
        <v>0</v>
      </c>
      <c r="J694">
        <v>0</v>
      </c>
      <c r="L694" t="s">
        <v>10054</v>
      </c>
      <c r="M694" t="s">
        <v>10055</v>
      </c>
      <c r="N694" t="s">
        <v>10056</v>
      </c>
      <c r="O694" t="s">
        <v>10057</v>
      </c>
      <c r="P694" t="s">
        <v>10058</v>
      </c>
      <c r="Q694" t="s">
        <v>10059</v>
      </c>
      <c r="R694" t="s">
        <v>10060</v>
      </c>
      <c r="S694" t="s">
        <v>10061</v>
      </c>
      <c r="U694">
        <v>1</v>
      </c>
      <c r="V694" t="s">
        <v>10062</v>
      </c>
      <c r="W694" t="s">
        <v>10063</v>
      </c>
      <c r="Y694" t="s">
        <v>10064</v>
      </c>
      <c r="Z694" t="s">
        <v>10065</v>
      </c>
      <c r="AA694" t="s">
        <v>10065</v>
      </c>
      <c r="AB694" t="s">
        <v>10065</v>
      </c>
      <c r="AC694" t="s">
        <v>10065</v>
      </c>
      <c r="AD694" t="s">
        <v>10065</v>
      </c>
    </row>
    <row r="695" spans="1:30">
      <c r="A695" t="s">
        <v>10066</v>
      </c>
      <c r="B695">
        <v>8</v>
      </c>
      <c r="C695">
        <v>9</v>
      </c>
      <c r="D695">
        <v>2019</v>
      </c>
      <c r="E695" s="1">
        <v>43686</v>
      </c>
      <c r="F695" t="s">
        <v>10067</v>
      </c>
      <c r="G695">
        <v>0</v>
      </c>
      <c r="H695">
        <v>2</v>
      </c>
      <c r="I695">
        <v>2</v>
      </c>
      <c r="J695">
        <v>0</v>
      </c>
      <c r="K695" t="s">
        <v>10068</v>
      </c>
      <c r="L695" t="s">
        <v>10069</v>
      </c>
      <c r="M695" t="s">
        <v>10070</v>
      </c>
      <c r="N695" t="s">
        <v>10071</v>
      </c>
      <c r="O695" t="s">
        <v>10072</v>
      </c>
      <c r="P695" t="s">
        <v>10073</v>
      </c>
      <c r="Q695" t="s">
        <v>10074</v>
      </c>
      <c r="R695" t="s">
        <v>10075</v>
      </c>
      <c r="S695" t="s">
        <v>10076</v>
      </c>
      <c r="T695" s="2">
        <v>0.89027777777777772</v>
      </c>
      <c r="U695">
        <v>1</v>
      </c>
      <c r="V695" t="s">
        <v>10077</v>
      </c>
      <c r="Y695" t="s">
        <v>10078</v>
      </c>
      <c r="Z695" t="s">
        <v>10078</v>
      </c>
      <c r="AA695" t="s">
        <v>10078</v>
      </c>
      <c r="AB695" t="s">
        <v>10078</v>
      </c>
      <c r="AC695" t="s">
        <v>10078</v>
      </c>
      <c r="AD695" t="s">
        <v>10078</v>
      </c>
    </row>
    <row r="696" spans="1:30">
      <c r="A696" t="s">
        <v>10079</v>
      </c>
      <c r="B696">
        <v>8</v>
      </c>
      <c r="C696">
        <v>8</v>
      </c>
      <c r="D696">
        <v>2019</v>
      </c>
      <c r="E696" s="1">
        <v>43685</v>
      </c>
      <c r="F696" t="s">
        <v>10080</v>
      </c>
      <c r="G696">
        <v>0</v>
      </c>
      <c r="H696">
        <v>0</v>
      </c>
      <c r="I696">
        <v>0</v>
      </c>
      <c r="J696">
        <v>0</v>
      </c>
      <c r="L696" t="s">
        <v>10081</v>
      </c>
      <c r="M696" t="s">
        <v>10082</v>
      </c>
      <c r="N696" t="s">
        <v>10083</v>
      </c>
      <c r="O696" t="s">
        <v>10084</v>
      </c>
      <c r="P696" t="s">
        <v>10085</v>
      </c>
      <c r="Q696" t="s">
        <v>10086</v>
      </c>
      <c r="R696" t="s">
        <v>10087</v>
      </c>
      <c r="S696" t="s">
        <v>10088</v>
      </c>
      <c r="T696" s="2">
        <v>0.3125</v>
      </c>
      <c r="U696">
        <v>1</v>
      </c>
      <c r="V696" t="s">
        <v>10089</v>
      </c>
      <c r="W696" t="s">
        <v>10090</v>
      </c>
      <c r="X696" t="s">
        <v>10091</v>
      </c>
      <c r="Y696" t="s">
        <v>10092</v>
      </c>
      <c r="Z696" t="s">
        <v>10092</v>
      </c>
      <c r="AA696" t="s">
        <v>10092</v>
      </c>
      <c r="AB696" t="s">
        <v>10092</v>
      </c>
      <c r="AC696" t="s">
        <v>10092</v>
      </c>
      <c r="AD696" t="s">
        <v>10092</v>
      </c>
    </row>
    <row r="697" spans="1:30">
      <c r="A697" t="s">
        <v>10093</v>
      </c>
      <c r="B697">
        <v>7</v>
      </c>
      <c r="C697">
        <v>19</v>
      </c>
      <c r="D697">
        <v>2019</v>
      </c>
      <c r="E697" s="1">
        <v>43665</v>
      </c>
      <c r="F697" t="s">
        <v>10094</v>
      </c>
      <c r="G697">
        <v>0</v>
      </c>
      <c r="H697">
        <v>0</v>
      </c>
      <c r="I697">
        <v>0</v>
      </c>
      <c r="J697">
        <v>0</v>
      </c>
      <c r="L697" t="s">
        <v>10095</v>
      </c>
      <c r="M697" t="s">
        <v>10096</v>
      </c>
      <c r="N697" t="s">
        <v>10097</v>
      </c>
      <c r="O697" t="s">
        <v>10098</v>
      </c>
      <c r="P697" t="s">
        <v>10099</v>
      </c>
      <c r="Q697" t="s">
        <v>10100</v>
      </c>
      <c r="R697" t="s">
        <v>10101</v>
      </c>
      <c r="S697" t="s">
        <v>10102</v>
      </c>
      <c r="T697" s="2">
        <v>0.49652777777777779</v>
      </c>
      <c r="U697">
        <v>1</v>
      </c>
      <c r="V697" t="s">
        <v>10103</v>
      </c>
      <c r="W697" t="s">
        <v>10104</v>
      </c>
      <c r="X697" t="s">
        <v>10105</v>
      </c>
      <c r="Y697" t="s">
        <v>10106</v>
      </c>
      <c r="Z697" t="s">
        <v>10106</v>
      </c>
      <c r="AA697" t="s">
        <v>10106</v>
      </c>
      <c r="AB697" t="s">
        <v>10106</v>
      </c>
      <c r="AC697" t="s">
        <v>10106</v>
      </c>
      <c r="AD697" t="s">
        <v>10106</v>
      </c>
    </row>
    <row r="698" spans="1:30">
      <c r="A698" t="s">
        <v>10107</v>
      </c>
      <c r="B698">
        <v>7</v>
      </c>
      <c r="C698">
        <v>11</v>
      </c>
      <c r="D698">
        <v>2019</v>
      </c>
      <c r="E698" s="1">
        <v>43657</v>
      </c>
      <c r="F698" t="s">
        <v>10108</v>
      </c>
      <c r="G698">
        <v>1</v>
      </c>
      <c r="H698">
        <v>0</v>
      </c>
      <c r="I698">
        <v>1</v>
      </c>
      <c r="J698">
        <v>0</v>
      </c>
      <c r="K698" t="s">
        <v>10109</v>
      </c>
      <c r="L698" t="s">
        <v>10110</v>
      </c>
      <c r="M698" t="s">
        <v>10111</v>
      </c>
      <c r="N698" t="s">
        <v>10112</v>
      </c>
      <c r="O698" t="s">
        <v>10113</v>
      </c>
      <c r="P698" t="s">
        <v>10114</v>
      </c>
      <c r="Q698" t="s">
        <v>10115</v>
      </c>
      <c r="R698" t="s">
        <v>10116</v>
      </c>
      <c r="S698" t="s">
        <v>10117</v>
      </c>
      <c r="T698" s="2">
        <v>0.5</v>
      </c>
      <c r="U698">
        <v>1</v>
      </c>
      <c r="V698" t="s">
        <v>10118</v>
      </c>
      <c r="W698" t="s">
        <v>10119</v>
      </c>
      <c r="X698" t="s">
        <v>10120</v>
      </c>
      <c r="Y698" t="s">
        <v>10121</v>
      </c>
      <c r="Z698" t="s">
        <v>10122</v>
      </c>
      <c r="AA698" t="s">
        <v>10122</v>
      </c>
      <c r="AB698" t="s">
        <v>10122</v>
      </c>
      <c r="AC698" t="s">
        <v>10122</v>
      </c>
      <c r="AD698" t="s">
        <v>10122</v>
      </c>
    </row>
    <row r="699" spans="1:30">
      <c r="A699" t="s">
        <v>10123</v>
      </c>
      <c r="B699">
        <v>7</v>
      </c>
      <c r="C699">
        <v>2</v>
      </c>
      <c r="D699">
        <v>2019</v>
      </c>
      <c r="E699" s="1">
        <v>43648</v>
      </c>
      <c r="F699" t="s">
        <v>10124</v>
      </c>
      <c r="G699">
        <v>0</v>
      </c>
      <c r="H699">
        <v>1</v>
      </c>
      <c r="I699">
        <v>1</v>
      </c>
      <c r="J699">
        <v>0</v>
      </c>
      <c r="L699" t="s">
        <v>10125</v>
      </c>
      <c r="M699" t="s">
        <v>10126</v>
      </c>
      <c r="N699" t="s">
        <v>10127</v>
      </c>
      <c r="O699" t="s">
        <v>10128</v>
      </c>
      <c r="P699" t="s">
        <v>10129</v>
      </c>
      <c r="Q699" t="s">
        <v>10130</v>
      </c>
      <c r="R699" t="s">
        <v>10131</v>
      </c>
      <c r="S699" t="s">
        <v>10132</v>
      </c>
      <c r="T699" s="2">
        <v>0.78263888888888888</v>
      </c>
      <c r="U699">
        <v>1</v>
      </c>
      <c r="V699" t="s">
        <v>10133</v>
      </c>
      <c r="W699" t="s">
        <v>10134</v>
      </c>
      <c r="Z699" t="s">
        <v>10135</v>
      </c>
      <c r="AA699" t="s">
        <v>10135</v>
      </c>
      <c r="AB699" t="s">
        <v>10135</v>
      </c>
      <c r="AC699" t="s">
        <v>10135</v>
      </c>
      <c r="AD699" t="s">
        <v>10135</v>
      </c>
    </row>
    <row r="700" spans="1:30">
      <c r="A700" t="s">
        <v>10136</v>
      </c>
      <c r="B700">
        <v>7</v>
      </c>
      <c r="C700">
        <v>1</v>
      </c>
      <c r="D700">
        <v>2019</v>
      </c>
      <c r="E700" s="1">
        <v>43647</v>
      </c>
      <c r="F700" t="s">
        <v>10137</v>
      </c>
      <c r="G700">
        <v>0</v>
      </c>
      <c r="H700">
        <v>1</v>
      </c>
      <c r="I700">
        <v>1</v>
      </c>
      <c r="J700">
        <v>0</v>
      </c>
      <c r="L700" t="s">
        <v>10138</v>
      </c>
      <c r="M700" t="s">
        <v>10139</v>
      </c>
      <c r="N700" t="s">
        <v>10140</v>
      </c>
      <c r="O700" t="s">
        <v>10141</v>
      </c>
      <c r="P700" t="s">
        <v>10142</v>
      </c>
      <c r="Q700" t="s">
        <v>10143</v>
      </c>
      <c r="R700" t="s">
        <v>10144</v>
      </c>
      <c r="S700" t="s">
        <v>10145</v>
      </c>
      <c r="T700" s="2">
        <v>0.93055555555555547</v>
      </c>
      <c r="U700">
        <v>1</v>
      </c>
      <c r="V700" t="s">
        <v>10146</v>
      </c>
      <c r="W700" t="s">
        <v>10147</v>
      </c>
      <c r="X700" t="s">
        <v>10148</v>
      </c>
      <c r="Y700" t="s">
        <v>10149</v>
      </c>
      <c r="Z700" t="s">
        <v>10149</v>
      </c>
      <c r="AA700" t="s">
        <v>10149</v>
      </c>
      <c r="AB700" t="s">
        <v>10149</v>
      </c>
      <c r="AC700" t="s">
        <v>10149</v>
      </c>
      <c r="AD700" t="s">
        <v>10149</v>
      </c>
    </row>
    <row r="701" spans="1:30">
      <c r="A701" t="s">
        <v>10150</v>
      </c>
      <c r="B701">
        <v>6</v>
      </c>
      <c r="C701">
        <v>29</v>
      </c>
      <c r="D701">
        <v>2019</v>
      </c>
      <c r="E701" s="1">
        <v>43645</v>
      </c>
      <c r="F701" t="s">
        <v>10151</v>
      </c>
      <c r="G701">
        <v>2</v>
      </c>
      <c r="H701">
        <v>0</v>
      </c>
      <c r="I701">
        <v>2</v>
      </c>
      <c r="J701">
        <v>0</v>
      </c>
      <c r="L701" t="s">
        <v>10152</v>
      </c>
      <c r="M701" t="s">
        <v>10153</v>
      </c>
      <c r="N701" t="s">
        <v>10154</v>
      </c>
      <c r="O701" t="s">
        <v>10155</v>
      </c>
      <c r="P701" t="s">
        <v>10156</v>
      </c>
      <c r="Q701" t="s">
        <v>10157</v>
      </c>
      <c r="R701" t="s">
        <v>10158</v>
      </c>
      <c r="S701" t="s">
        <v>10159</v>
      </c>
      <c r="T701" s="2">
        <v>0.16666666666666666</v>
      </c>
      <c r="U701">
        <v>1</v>
      </c>
      <c r="V701" t="s">
        <v>10160</v>
      </c>
      <c r="W701" t="s">
        <v>10161</v>
      </c>
      <c r="X701" t="s">
        <v>10162</v>
      </c>
      <c r="Y701" t="s">
        <v>10163</v>
      </c>
      <c r="Z701" t="s">
        <v>10164</v>
      </c>
      <c r="AA701" t="s">
        <v>10164</v>
      </c>
      <c r="AB701" t="s">
        <v>10164</v>
      </c>
      <c r="AC701" t="s">
        <v>10164</v>
      </c>
      <c r="AD701" t="s">
        <v>10164</v>
      </c>
    </row>
    <row r="702" spans="1:30">
      <c r="A702" t="s">
        <v>10165</v>
      </c>
      <c r="B702">
        <v>6</v>
      </c>
      <c r="C702">
        <v>21</v>
      </c>
      <c r="D702">
        <v>2019</v>
      </c>
      <c r="E702" s="1">
        <v>43637</v>
      </c>
      <c r="F702" t="s">
        <v>10166</v>
      </c>
      <c r="G702">
        <v>0</v>
      </c>
      <c r="H702">
        <v>1</v>
      </c>
      <c r="I702">
        <v>1</v>
      </c>
      <c r="J702">
        <v>0</v>
      </c>
      <c r="L702" t="s">
        <v>10167</v>
      </c>
      <c r="M702" t="s">
        <v>10168</v>
      </c>
      <c r="N702" t="s">
        <v>10169</v>
      </c>
      <c r="O702" t="s">
        <v>10170</v>
      </c>
      <c r="P702" t="s">
        <v>10171</v>
      </c>
      <c r="Q702" t="s">
        <v>10172</v>
      </c>
      <c r="R702" t="s">
        <v>10173</v>
      </c>
      <c r="S702" t="s">
        <v>10174</v>
      </c>
      <c r="T702" s="2">
        <v>0.81458333333333333</v>
      </c>
      <c r="U702">
        <v>1</v>
      </c>
      <c r="V702" t="s">
        <v>10175</v>
      </c>
      <c r="W702" t="s">
        <v>10176</v>
      </c>
      <c r="Z702" t="s">
        <v>10177</v>
      </c>
      <c r="AA702" t="s">
        <v>10177</v>
      </c>
      <c r="AB702" t="s">
        <v>10177</v>
      </c>
      <c r="AC702" t="s">
        <v>10177</v>
      </c>
      <c r="AD702" t="s">
        <v>10177</v>
      </c>
    </row>
    <row r="703" spans="1:30">
      <c r="A703" t="s">
        <v>10178</v>
      </c>
      <c r="B703">
        <v>6</v>
      </c>
      <c r="C703">
        <v>13</v>
      </c>
      <c r="D703">
        <v>2019</v>
      </c>
      <c r="E703" s="1">
        <v>43629</v>
      </c>
      <c r="F703" t="s">
        <v>10179</v>
      </c>
      <c r="G703">
        <v>0</v>
      </c>
      <c r="H703">
        <v>0</v>
      </c>
      <c r="I703">
        <v>0</v>
      </c>
      <c r="J703">
        <v>0</v>
      </c>
      <c r="L703" t="s">
        <v>10180</v>
      </c>
      <c r="M703" t="s">
        <v>10181</v>
      </c>
      <c r="N703" t="s">
        <v>10182</v>
      </c>
      <c r="O703" t="s">
        <v>10183</v>
      </c>
      <c r="P703" t="s">
        <v>10184</v>
      </c>
      <c r="Q703" t="s">
        <v>10185</v>
      </c>
      <c r="R703" t="s">
        <v>10186</v>
      </c>
      <c r="S703" t="s">
        <v>10187</v>
      </c>
      <c r="T703" s="2">
        <v>0.66319444444444442</v>
      </c>
      <c r="U703">
        <v>1</v>
      </c>
      <c r="V703" t="s">
        <v>10188</v>
      </c>
      <c r="W703" t="s">
        <v>10189</v>
      </c>
      <c r="Y703" t="s">
        <v>10190</v>
      </c>
      <c r="Z703" t="s">
        <v>10190</v>
      </c>
      <c r="AA703" t="s">
        <v>10190</v>
      </c>
      <c r="AB703" t="s">
        <v>10190</v>
      </c>
      <c r="AD703" t="s">
        <v>10190</v>
      </c>
    </row>
    <row r="704" spans="1:30">
      <c r="A704" t="s">
        <v>10191</v>
      </c>
      <c r="B704">
        <v>6</v>
      </c>
      <c r="C704">
        <v>12</v>
      </c>
      <c r="D704">
        <v>2019</v>
      </c>
      <c r="E704" s="1">
        <v>43628</v>
      </c>
      <c r="F704" t="s">
        <v>10192</v>
      </c>
      <c r="G704">
        <v>0</v>
      </c>
      <c r="H704">
        <v>0</v>
      </c>
      <c r="I704">
        <v>0</v>
      </c>
      <c r="J704">
        <v>0</v>
      </c>
      <c r="L704" t="s">
        <v>10193</v>
      </c>
      <c r="M704" t="s">
        <v>10194</v>
      </c>
      <c r="N704" t="s">
        <v>10195</v>
      </c>
      <c r="O704" t="s">
        <v>10196</v>
      </c>
      <c r="P704" t="s">
        <v>10197</v>
      </c>
      <c r="Q704" t="s">
        <v>10198</v>
      </c>
      <c r="R704" t="s">
        <v>10199</v>
      </c>
      <c r="S704" t="s">
        <v>10200</v>
      </c>
      <c r="T704" s="2">
        <v>0.95</v>
      </c>
      <c r="U704">
        <v>1</v>
      </c>
      <c r="V704" t="s">
        <v>10201</v>
      </c>
      <c r="W704" t="s">
        <v>10202</v>
      </c>
      <c r="X704" t="s">
        <v>10203</v>
      </c>
      <c r="Y704" t="s">
        <v>10204</v>
      </c>
      <c r="Z704" t="s">
        <v>10205</v>
      </c>
      <c r="AA704" t="s">
        <v>10205</v>
      </c>
      <c r="AB704" t="s">
        <v>10205</v>
      </c>
      <c r="AC704" t="s">
        <v>10206</v>
      </c>
      <c r="AD704" t="s">
        <v>10207</v>
      </c>
    </row>
    <row r="705" spans="1:30">
      <c r="A705" t="s">
        <v>10208</v>
      </c>
      <c r="B705">
        <v>6</v>
      </c>
      <c r="C705">
        <v>12</v>
      </c>
      <c r="D705">
        <v>2019</v>
      </c>
      <c r="E705" s="1">
        <v>43628</v>
      </c>
      <c r="F705" t="s">
        <v>10209</v>
      </c>
      <c r="G705">
        <v>0</v>
      </c>
      <c r="H705">
        <v>0</v>
      </c>
      <c r="I705">
        <v>0</v>
      </c>
      <c r="J705">
        <v>0</v>
      </c>
      <c r="L705" t="s">
        <v>10210</v>
      </c>
      <c r="M705" t="s">
        <v>10211</v>
      </c>
      <c r="N705" t="s">
        <v>10212</v>
      </c>
      <c r="O705" t="s">
        <v>10213</v>
      </c>
      <c r="P705" t="s">
        <v>10214</v>
      </c>
      <c r="Q705" t="s">
        <v>10215</v>
      </c>
      <c r="R705" t="s">
        <v>10216</v>
      </c>
      <c r="S705" t="s">
        <v>10217</v>
      </c>
      <c r="T705" s="2">
        <v>0.68055555555555547</v>
      </c>
      <c r="U705">
        <v>1</v>
      </c>
      <c r="V705" t="s">
        <v>10218</v>
      </c>
      <c r="W705" t="s">
        <v>10219</v>
      </c>
      <c r="Z705" t="s">
        <v>10220</v>
      </c>
      <c r="AA705" t="s">
        <v>10220</v>
      </c>
      <c r="AB705" t="s">
        <v>10220</v>
      </c>
      <c r="AC705" t="s">
        <v>10220</v>
      </c>
      <c r="AD705" t="s">
        <v>10220</v>
      </c>
    </row>
    <row r="706" spans="1:30">
      <c r="A706" t="s">
        <v>10221</v>
      </c>
      <c r="B706">
        <v>6</v>
      </c>
      <c r="C706">
        <v>10</v>
      </c>
      <c r="D706">
        <v>2019</v>
      </c>
      <c r="E706" s="1">
        <v>43626</v>
      </c>
      <c r="F706" t="s">
        <v>10222</v>
      </c>
      <c r="G706">
        <v>0</v>
      </c>
      <c r="H706">
        <v>1</v>
      </c>
      <c r="I706">
        <v>1</v>
      </c>
      <c r="J706">
        <v>0</v>
      </c>
      <c r="L706" t="s">
        <v>10223</v>
      </c>
      <c r="M706" t="s">
        <v>10224</v>
      </c>
      <c r="N706" t="s">
        <v>10225</v>
      </c>
      <c r="O706" t="s">
        <v>10226</v>
      </c>
      <c r="P706" t="s">
        <v>10227</v>
      </c>
      <c r="Q706" t="s">
        <v>10228</v>
      </c>
      <c r="R706" t="s">
        <v>10229</v>
      </c>
      <c r="S706" t="s">
        <v>10230</v>
      </c>
      <c r="T706" s="2">
        <v>0.57291666666666663</v>
      </c>
      <c r="U706">
        <v>1</v>
      </c>
      <c r="V706" t="s">
        <v>10231</v>
      </c>
      <c r="W706" t="s">
        <v>10232</v>
      </c>
      <c r="X706" t="s">
        <v>10233</v>
      </c>
      <c r="Y706" t="s">
        <v>10234</v>
      </c>
      <c r="Z706" t="s">
        <v>10234</v>
      </c>
      <c r="AA706" t="s">
        <v>10234</v>
      </c>
      <c r="AB706" t="s">
        <v>10234</v>
      </c>
      <c r="AC706" t="s">
        <v>10234</v>
      </c>
      <c r="AD706" t="s">
        <v>10234</v>
      </c>
    </row>
    <row r="707" spans="1:30">
      <c r="A707" t="s">
        <v>10235</v>
      </c>
      <c r="B707">
        <v>6</v>
      </c>
      <c r="C707">
        <v>6</v>
      </c>
      <c r="D707">
        <v>2019</v>
      </c>
      <c r="E707" s="1">
        <v>43622</v>
      </c>
      <c r="F707" t="s">
        <v>10236</v>
      </c>
      <c r="G707">
        <v>0</v>
      </c>
      <c r="H707">
        <v>1</v>
      </c>
      <c r="I707">
        <v>1</v>
      </c>
      <c r="J707">
        <v>0</v>
      </c>
      <c r="L707" t="s">
        <v>10237</v>
      </c>
      <c r="M707" t="s">
        <v>10238</v>
      </c>
      <c r="N707" t="s">
        <v>10239</v>
      </c>
      <c r="O707" t="s">
        <v>10240</v>
      </c>
      <c r="P707" t="s">
        <v>10241</v>
      </c>
      <c r="Q707" t="s">
        <v>10242</v>
      </c>
      <c r="R707" t="s">
        <v>10243</v>
      </c>
      <c r="S707" t="s">
        <v>10244</v>
      </c>
      <c r="T707" s="2">
        <v>0.82291666666666663</v>
      </c>
      <c r="U707">
        <v>1</v>
      </c>
      <c r="V707" t="s">
        <v>10245</v>
      </c>
      <c r="W707" t="s">
        <v>10246</v>
      </c>
      <c r="Z707" t="s">
        <v>10247</v>
      </c>
      <c r="AA707" t="s">
        <v>10247</v>
      </c>
      <c r="AB707" t="s">
        <v>10247</v>
      </c>
      <c r="AC707" t="s">
        <v>10247</v>
      </c>
      <c r="AD707" t="s">
        <v>10247</v>
      </c>
    </row>
    <row r="708" spans="1:30">
      <c r="A708" t="s">
        <v>10248</v>
      </c>
      <c r="B708">
        <v>5</v>
      </c>
      <c r="C708">
        <v>30</v>
      </c>
      <c r="D708">
        <v>2019</v>
      </c>
      <c r="E708" s="1">
        <v>43615</v>
      </c>
      <c r="F708" t="s">
        <v>10249</v>
      </c>
      <c r="G708">
        <v>0</v>
      </c>
      <c r="H708">
        <v>0</v>
      </c>
      <c r="I708">
        <v>0</v>
      </c>
      <c r="J708">
        <v>0</v>
      </c>
      <c r="L708" t="s">
        <v>10250</v>
      </c>
      <c r="M708" t="s">
        <v>10251</v>
      </c>
      <c r="N708" t="s">
        <v>10252</v>
      </c>
      <c r="O708" t="s">
        <v>10253</v>
      </c>
      <c r="P708" t="s">
        <v>10254</v>
      </c>
      <c r="Q708" t="s">
        <v>10255</v>
      </c>
      <c r="R708" t="s">
        <v>10256</v>
      </c>
      <c r="S708" t="s">
        <v>10257</v>
      </c>
      <c r="T708" s="2">
        <v>0.94444444444444442</v>
      </c>
      <c r="U708">
        <v>1</v>
      </c>
      <c r="V708" t="s">
        <v>10258</v>
      </c>
      <c r="W708" t="s">
        <v>10259</v>
      </c>
      <c r="Z708" t="s">
        <v>10260</v>
      </c>
      <c r="AA708" t="s">
        <v>10260</v>
      </c>
      <c r="AB708" t="s">
        <v>10260</v>
      </c>
      <c r="AC708" t="s">
        <v>10260</v>
      </c>
      <c r="AD708" t="s">
        <v>10260</v>
      </c>
    </row>
    <row r="709" spans="1:30">
      <c r="A709" t="s">
        <v>10261</v>
      </c>
      <c r="B709">
        <v>5</v>
      </c>
      <c r="C709">
        <v>22</v>
      </c>
      <c r="D709">
        <v>2019</v>
      </c>
      <c r="E709" s="1">
        <v>43607</v>
      </c>
      <c r="F709" t="s">
        <v>10262</v>
      </c>
      <c r="G709">
        <v>1</v>
      </c>
      <c r="H709">
        <v>1</v>
      </c>
      <c r="I709">
        <v>2</v>
      </c>
      <c r="J709">
        <v>0</v>
      </c>
      <c r="K709" t="s">
        <v>10263</v>
      </c>
      <c r="L709" t="s">
        <v>10264</v>
      </c>
      <c r="M709" t="s">
        <v>10265</v>
      </c>
      <c r="N709" t="s">
        <v>10266</v>
      </c>
      <c r="O709" t="s">
        <v>10267</v>
      </c>
      <c r="P709" t="s">
        <v>10268</v>
      </c>
      <c r="Q709" t="s">
        <v>10269</v>
      </c>
      <c r="R709" t="s">
        <v>10270</v>
      </c>
      <c r="S709" t="s">
        <v>10271</v>
      </c>
      <c r="T709" s="2">
        <v>0.78472222222222221</v>
      </c>
      <c r="U709">
        <v>1</v>
      </c>
      <c r="V709" t="s">
        <v>10272</v>
      </c>
      <c r="W709" t="s">
        <v>10273</v>
      </c>
      <c r="X709" t="s">
        <v>10274</v>
      </c>
      <c r="Y709" t="s">
        <v>10275</v>
      </c>
      <c r="Z709" t="s">
        <v>10276</v>
      </c>
      <c r="AA709" t="s">
        <v>10276</v>
      </c>
      <c r="AB709" t="s">
        <v>10276</v>
      </c>
      <c r="AC709" t="s">
        <v>10276</v>
      </c>
      <c r="AD709" t="s">
        <v>10276</v>
      </c>
    </row>
    <row r="710" spans="1:30">
      <c r="A710" t="s">
        <v>10277</v>
      </c>
      <c r="B710">
        <v>5</v>
      </c>
      <c r="C710">
        <v>17</v>
      </c>
      <c r="D710">
        <v>2019</v>
      </c>
      <c r="E710" s="1">
        <v>43602</v>
      </c>
      <c r="F710" t="s">
        <v>10278</v>
      </c>
      <c r="G710">
        <v>0</v>
      </c>
      <c r="H710">
        <v>0</v>
      </c>
      <c r="I710">
        <v>0</v>
      </c>
      <c r="J710">
        <v>0</v>
      </c>
      <c r="L710" t="s">
        <v>10279</v>
      </c>
      <c r="M710" t="s">
        <v>10280</v>
      </c>
      <c r="N710" t="s">
        <v>10281</v>
      </c>
      <c r="O710" t="s">
        <v>10282</v>
      </c>
      <c r="P710" t="s">
        <v>10283</v>
      </c>
      <c r="Q710" t="s">
        <v>10284</v>
      </c>
      <c r="R710" t="s">
        <v>10285</v>
      </c>
      <c r="S710" t="s">
        <v>10286</v>
      </c>
      <c r="T710" s="2">
        <v>0.49166666666666664</v>
      </c>
      <c r="U710">
        <v>1</v>
      </c>
      <c r="V710" t="s">
        <v>10287</v>
      </c>
      <c r="W710" t="s">
        <v>10288</v>
      </c>
      <c r="Y710" t="s">
        <v>10289</v>
      </c>
      <c r="Z710" t="s">
        <v>10289</v>
      </c>
      <c r="AA710" t="s">
        <v>10289</v>
      </c>
      <c r="AC710" t="s">
        <v>10289</v>
      </c>
      <c r="AD710" t="s">
        <v>10290</v>
      </c>
    </row>
    <row r="711" spans="1:30">
      <c r="A711" t="s">
        <v>10291</v>
      </c>
      <c r="B711">
        <v>5</v>
      </c>
      <c r="C711">
        <v>17</v>
      </c>
      <c r="D711">
        <v>2019</v>
      </c>
      <c r="E711" s="1">
        <v>43602</v>
      </c>
      <c r="F711" t="s">
        <v>10292</v>
      </c>
      <c r="G711">
        <v>0</v>
      </c>
      <c r="H711">
        <v>1</v>
      </c>
      <c r="I711">
        <v>1</v>
      </c>
      <c r="J711">
        <v>0</v>
      </c>
      <c r="L711" t="s">
        <v>10293</v>
      </c>
      <c r="M711" t="s">
        <v>10294</v>
      </c>
      <c r="N711" t="s">
        <v>10295</v>
      </c>
      <c r="O711" t="s">
        <v>10296</v>
      </c>
      <c r="P711" t="s">
        <v>10297</v>
      </c>
      <c r="Q711" t="s">
        <v>10298</v>
      </c>
      <c r="R711" t="s">
        <v>10299</v>
      </c>
      <c r="S711" t="s">
        <v>10300</v>
      </c>
      <c r="T711" s="2">
        <v>0.85902777777777783</v>
      </c>
      <c r="U711">
        <v>1</v>
      </c>
      <c r="V711" t="s">
        <v>10301</v>
      </c>
      <c r="W711" t="s">
        <v>10302</v>
      </c>
      <c r="X711" t="s">
        <v>10303</v>
      </c>
      <c r="Y711" t="s">
        <v>10304</v>
      </c>
      <c r="Z711" t="s">
        <v>10305</v>
      </c>
      <c r="AA711" t="s">
        <v>10305</v>
      </c>
      <c r="AB711" t="s">
        <v>10305</v>
      </c>
      <c r="AC711" t="s">
        <v>10305</v>
      </c>
      <c r="AD711" t="s">
        <v>10305</v>
      </c>
    </row>
    <row r="712" spans="1:30">
      <c r="A712" t="s">
        <v>10306</v>
      </c>
      <c r="B712">
        <v>5</v>
      </c>
      <c r="C712">
        <v>8</v>
      </c>
      <c r="D712">
        <v>2019</v>
      </c>
      <c r="E712" s="1">
        <v>43593</v>
      </c>
      <c r="F712" t="s">
        <v>10307</v>
      </c>
      <c r="G712">
        <v>0</v>
      </c>
      <c r="H712">
        <v>1</v>
      </c>
      <c r="I712">
        <v>1</v>
      </c>
      <c r="J712">
        <v>0</v>
      </c>
      <c r="L712" t="s">
        <v>10308</v>
      </c>
      <c r="M712" t="s">
        <v>10309</v>
      </c>
      <c r="N712" t="s">
        <v>10310</v>
      </c>
      <c r="O712" t="s">
        <v>10311</v>
      </c>
      <c r="P712" t="s">
        <v>10312</v>
      </c>
      <c r="Q712" t="s">
        <v>10313</v>
      </c>
      <c r="R712" t="s">
        <v>10314</v>
      </c>
      <c r="S712" t="s">
        <v>10315</v>
      </c>
      <c r="T712" s="2">
        <v>0.66666666666666663</v>
      </c>
      <c r="U712">
        <v>1</v>
      </c>
      <c r="V712" t="s">
        <v>10316</v>
      </c>
      <c r="W712" t="s">
        <v>10317</v>
      </c>
      <c r="X712" t="s">
        <v>10318</v>
      </c>
      <c r="Y712" t="s">
        <v>10319</v>
      </c>
      <c r="Z712" t="s">
        <v>10319</v>
      </c>
      <c r="AA712" t="s">
        <v>10319</v>
      </c>
      <c r="AB712" t="s">
        <v>10319</v>
      </c>
      <c r="AC712" t="s">
        <v>10319</v>
      </c>
      <c r="AD712" t="s">
        <v>10319</v>
      </c>
    </row>
    <row r="713" spans="1:30">
      <c r="A713" t="s">
        <v>10320</v>
      </c>
      <c r="B713">
        <v>5</v>
      </c>
      <c r="C713">
        <v>7</v>
      </c>
      <c r="D713">
        <v>2019</v>
      </c>
      <c r="E713" s="1">
        <v>43592</v>
      </c>
      <c r="F713" t="s">
        <v>10321</v>
      </c>
      <c r="G713">
        <v>1</v>
      </c>
      <c r="H713">
        <v>8</v>
      </c>
      <c r="I713">
        <v>9</v>
      </c>
      <c r="J713">
        <v>0</v>
      </c>
      <c r="K713" t="s">
        <v>10322</v>
      </c>
      <c r="L713" t="s">
        <v>10323</v>
      </c>
      <c r="M713" t="s">
        <v>10324</v>
      </c>
      <c r="N713" t="s">
        <v>10325</v>
      </c>
      <c r="O713" t="s">
        <v>10326</v>
      </c>
      <c r="P713" t="s">
        <v>10327</v>
      </c>
      <c r="Q713" t="s">
        <v>10328</v>
      </c>
      <c r="R713" t="s">
        <v>10329</v>
      </c>
      <c r="S713" t="s">
        <v>10330</v>
      </c>
      <c r="T713" s="2">
        <v>0.58333333333333337</v>
      </c>
      <c r="U713">
        <v>2</v>
      </c>
      <c r="V713" t="s">
        <v>10331</v>
      </c>
      <c r="W713" t="s">
        <v>10332</v>
      </c>
      <c r="Y713" t="s">
        <v>10333</v>
      </c>
      <c r="Z713" t="s">
        <v>10334</v>
      </c>
      <c r="AA713" t="s">
        <v>10334</v>
      </c>
      <c r="AB713" t="s">
        <v>10335</v>
      </c>
      <c r="AC713" t="s">
        <v>10336</v>
      </c>
      <c r="AD713" t="s">
        <v>10337</v>
      </c>
    </row>
    <row r="714" spans="1:30">
      <c r="A714" t="s">
        <v>10338</v>
      </c>
      <c r="B714">
        <v>4</v>
      </c>
      <c r="C714">
        <v>30</v>
      </c>
      <c r="D714">
        <v>2019</v>
      </c>
      <c r="E714" s="1">
        <v>43585</v>
      </c>
      <c r="F714" t="s">
        <v>10339</v>
      </c>
      <c r="G714">
        <v>0</v>
      </c>
      <c r="H714">
        <v>0</v>
      </c>
      <c r="I714">
        <v>0</v>
      </c>
      <c r="J714">
        <v>0</v>
      </c>
      <c r="L714" t="s">
        <v>10340</v>
      </c>
      <c r="M714" t="s">
        <v>10341</v>
      </c>
      <c r="N714" t="s">
        <v>10342</v>
      </c>
      <c r="O714" t="s">
        <v>10343</v>
      </c>
      <c r="P714" t="s">
        <v>10344</v>
      </c>
      <c r="Q714" t="s">
        <v>10345</v>
      </c>
      <c r="R714" t="s">
        <v>10346</v>
      </c>
      <c r="S714" t="s">
        <v>10347</v>
      </c>
      <c r="T714" s="2">
        <v>0.5</v>
      </c>
      <c r="U714">
        <v>1</v>
      </c>
      <c r="V714" t="s">
        <v>10348</v>
      </c>
      <c r="W714" t="s">
        <v>10349</v>
      </c>
      <c r="X714" t="s">
        <v>10350</v>
      </c>
      <c r="Y714" t="s">
        <v>10351</v>
      </c>
      <c r="Z714" t="s">
        <v>10351</v>
      </c>
      <c r="AA714" t="s">
        <v>10351</v>
      </c>
      <c r="AB714" t="s">
        <v>10351</v>
      </c>
      <c r="AC714" t="s">
        <v>10351</v>
      </c>
      <c r="AD714" t="s">
        <v>10351</v>
      </c>
    </row>
    <row r="715" spans="1:30">
      <c r="A715" t="s">
        <v>10352</v>
      </c>
      <c r="B715">
        <v>4</v>
      </c>
      <c r="C715">
        <v>30</v>
      </c>
      <c r="D715">
        <v>2019</v>
      </c>
      <c r="E715" s="1">
        <v>43585</v>
      </c>
      <c r="F715" t="s">
        <v>10353</v>
      </c>
      <c r="G715">
        <v>0</v>
      </c>
      <c r="H715">
        <v>0</v>
      </c>
      <c r="I715">
        <v>0</v>
      </c>
      <c r="J715">
        <v>0</v>
      </c>
      <c r="L715" t="s">
        <v>10354</v>
      </c>
      <c r="M715" t="s">
        <v>10355</v>
      </c>
      <c r="N715" t="s">
        <v>10356</v>
      </c>
      <c r="O715" t="s">
        <v>10357</v>
      </c>
      <c r="P715" t="s">
        <v>10358</v>
      </c>
      <c r="Q715" t="s">
        <v>10359</v>
      </c>
      <c r="R715" t="s">
        <v>10360</v>
      </c>
      <c r="S715" t="s">
        <v>10361</v>
      </c>
      <c r="T715" s="2">
        <v>0.5</v>
      </c>
      <c r="U715">
        <v>1</v>
      </c>
      <c r="V715" t="s">
        <v>10362</v>
      </c>
      <c r="W715" t="s">
        <v>10363</v>
      </c>
      <c r="X715" t="s">
        <v>10364</v>
      </c>
      <c r="Y715" t="s">
        <v>10365</v>
      </c>
      <c r="Z715" t="s">
        <v>10365</v>
      </c>
      <c r="AA715" t="s">
        <v>10365</v>
      </c>
      <c r="AB715" t="s">
        <v>10366</v>
      </c>
      <c r="AC715" t="s">
        <v>10366</v>
      </c>
      <c r="AD715" t="s">
        <v>10367</v>
      </c>
    </row>
    <row r="716" spans="1:30">
      <c r="A716" t="s">
        <v>10368</v>
      </c>
      <c r="B716">
        <v>4</v>
      </c>
      <c r="C716">
        <v>26</v>
      </c>
      <c r="D716">
        <v>2019</v>
      </c>
      <c r="E716" s="1">
        <v>43581</v>
      </c>
      <c r="F716" t="s">
        <v>10369</v>
      </c>
      <c r="G716">
        <v>0</v>
      </c>
      <c r="H716">
        <v>0</v>
      </c>
      <c r="I716">
        <v>0</v>
      </c>
      <c r="J716">
        <v>0</v>
      </c>
      <c r="L716" t="s">
        <v>10370</v>
      </c>
      <c r="M716" t="s">
        <v>10371</v>
      </c>
      <c r="N716" t="s">
        <v>10372</v>
      </c>
      <c r="O716" t="s">
        <v>10373</v>
      </c>
      <c r="P716" t="s">
        <v>10374</v>
      </c>
      <c r="Q716" t="s">
        <v>10374</v>
      </c>
      <c r="R716" t="s">
        <v>10375</v>
      </c>
      <c r="S716" t="s">
        <v>10376</v>
      </c>
      <c r="T716" s="2">
        <v>0.6875</v>
      </c>
      <c r="U716">
        <v>1</v>
      </c>
      <c r="V716" t="s">
        <v>10377</v>
      </c>
      <c r="W716" t="s">
        <v>10378</v>
      </c>
      <c r="X716" t="s">
        <v>10379</v>
      </c>
      <c r="Y716" t="s">
        <v>10380</v>
      </c>
      <c r="Z716" t="s">
        <v>10381</v>
      </c>
      <c r="AA716" t="s">
        <v>10381</v>
      </c>
      <c r="AB716" t="s">
        <v>10381</v>
      </c>
      <c r="AD716" t="s">
        <v>10381</v>
      </c>
    </row>
    <row r="717" spans="1:30">
      <c r="A717" t="s">
        <v>10382</v>
      </c>
      <c r="B717">
        <v>4</v>
      </c>
      <c r="C717">
        <v>25</v>
      </c>
      <c r="D717">
        <v>2019</v>
      </c>
      <c r="E717" s="1">
        <v>43580</v>
      </c>
      <c r="F717" t="s">
        <v>10383</v>
      </c>
      <c r="G717">
        <v>0</v>
      </c>
      <c r="H717">
        <v>0</v>
      </c>
      <c r="I717">
        <v>0</v>
      </c>
      <c r="J717">
        <v>0</v>
      </c>
      <c r="K717" t="s">
        <v>10384</v>
      </c>
      <c r="L717" t="s">
        <v>10385</v>
      </c>
      <c r="M717" t="s">
        <v>10386</v>
      </c>
      <c r="N717" t="s">
        <v>10387</v>
      </c>
      <c r="O717" t="s">
        <v>10388</v>
      </c>
      <c r="P717" t="s">
        <v>10389</v>
      </c>
      <c r="Q717" t="s">
        <v>10390</v>
      </c>
      <c r="R717" t="s">
        <v>10391</v>
      </c>
      <c r="S717" t="s">
        <v>10392</v>
      </c>
      <c r="T717" s="2">
        <v>0.54166666666666663</v>
      </c>
      <c r="U717">
        <v>1</v>
      </c>
      <c r="V717" t="s">
        <v>10393</v>
      </c>
      <c r="W717" t="s">
        <v>10394</v>
      </c>
      <c r="X717" t="s">
        <v>10395</v>
      </c>
      <c r="Z717" t="s">
        <v>10396</v>
      </c>
      <c r="AA717" t="s">
        <v>10396</v>
      </c>
      <c r="AC717" t="s">
        <v>10396</v>
      </c>
      <c r="AD717" t="s">
        <v>10397</v>
      </c>
    </row>
    <row r="718" spans="1:30">
      <c r="A718" t="s">
        <v>10398</v>
      </c>
      <c r="B718">
        <v>4</v>
      </c>
      <c r="C718">
        <v>24</v>
      </c>
      <c r="D718">
        <v>2019</v>
      </c>
      <c r="E718" s="1">
        <v>43579</v>
      </c>
      <c r="F718" t="s">
        <v>10399</v>
      </c>
      <c r="G718">
        <v>0</v>
      </c>
      <c r="H718">
        <v>0</v>
      </c>
      <c r="I718">
        <v>0</v>
      </c>
      <c r="J718">
        <v>1</v>
      </c>
      <c r="L718" t="s">
        <v>10400</v>
      </c>
      <c r="M718" t="s">
        <v>10401</v>
      </c>
      <c r="N718" t="s">
        <v>10402</v>
      </c>
      <c r="O718" t="s">
        <v>10403</v>
      </c>
      <c r="P718" t="s">
        <v>10404</v>
      </c>
      <c r="Q718" t="s">
        <v>10405</v>
      </c>
      <c r="R718" t="s">
        <v>10406</v>
      </c>
      <c r="S718" t="s">
        <v>10407</v>
      </c>
      <c r="T718" s="2">
        <v>0.52777777777777779</v>
      </c>
      <c r="U718">
        <v>1</v>
      </c>
      <c r="V718" t="s">
        <v>10408</v>
      </c>
      <c r="W718" t="s">
        <v>10409</v>
      </c>
      <c r="X718" t="s">
        <v>10410</v>
      </c>
      <c r="Y718" t="s">
        <v>10411</v>
      </c>
      <c r="Z718" t="s">
        <v>10411</v>
      </c>
      <c r="AA718" t="s">
        <v>10411</v>
      </c>
      <c r="AC718" t="s">
        <v>10411</v>
      </c>
      <c r="AD718" t="s">
        <v>10411</v>
      </c>
    </row>
    <row r="719" spans="1:30">
      <c r="A719" t="s">
        <v>10412</v>
      </c>
      <c r="B719">
        <v>4</v>
      </c>
      <c r="C719">
        <v>17</v>
      </c>
      <c r="D719">
        <v>2019</v>
      </c>
      <c r="E719" s="1">
        <v>43572</v>
      </c>
      <c r="F719" t="s">
        <v>10413</v>
      </c>
      <c r="G719">
        <v>0</v>
      </c>
      <c r="H719">
        <v>0</v>
      </c>
      <c r="I719">
        <v>0</v>
      </c>
      <c r="J719">
        <v>1</v>
      </c>
      <c r="L719" t="s">
        <v>10414</v>
      </c>
      <c r="M719" t="s">
        <v>10415</v>
      </c>
      <c r="N719" t="s">
        <v>10416</v>
      </c>
      <c r="O719" t="s">
        <v>10417</v>
      </c>
      <c r="P719" t="s">
        <v>10418</v>
      </c>
      <c r="Q719" t="s">
        <v>10419</v>
      </c>
      <c r="R719" t="s">
        <v>10420</v>
      </c>
      <c r="S719" t="s">
        <v>10421</v>
      </c>
      <c r="T719" s="2">
        <v>0.5625</v>
      </c>
      <c r="U719">
        <v>1</v>
      </c>
      <c r="V719" t="s">
        <v>10422</v>
      </c>
      <c r="W719" t="s">
        <v>10423</v>
      </c>
      <c r="X719" t="s">
        <v>10424</v>
      </c>
      <c r="Y719" t="s">
        <v>10425</v>
      </c>
      <c r="Z719" t="s">
        <v>10425</v>
      </c>
      <c r="AA719" t="s">
        <v>10425</v>
      </c>
      <c r="AC719" t="s">
        <v>10425</v>
      </c>
      <c r="AD719" t="s">
        <v>10425</v>
      </c>
    </row>
    <row r="720" spans="1:30">
      <c r="A720" t="s">
        <v>10426</v>
      </c>
      <c r="B720">
        <v>4</v>
      </c>
      <c r="C720">
        <v>10</v>
      </c>
      <c r="D720">
        <v>2019</v>
      </c>
      <c r="E720" s="1">
        <v>43565</v>
      </c>
      <c r="F720" t="s">
        <v>10427</v>
      </c>
      <c r="G720">
        <v>0</v>
      </c>
      <c r="H720">
        <v>1</v>
      </c>
      <c r="I720">
        <v>1</v>
      </c>
      <c r="J720">
        <v>0</v>
      </c>
      <c r="L720" t="s">
        <v>10428</v>
      </c>
      <c r="M720" t="s">
        <v>10429</v>
      </c>
      <c r="N720" t="s">
        <v>10430</v>
      </c>
      <c r="O720" t="s">
        <v>10431</v>
      </c>
      <c r="P720" t="s">
        <v>10432</v>
      </c>
      <c r="Q720" t="s">
        <v>10433</v>
      </c>
      <c r="R720" t="s">
        <v>10434</v>
      </c>
      <c r="S720" t="s">
        <v>10435</v>
      </c>
      <c r="T720" s="2">
        <v>0.66666666666666663</v>
      </c>
      <c r="U720">
        <v>1</v>
      </c>
      <c r="V720" t="s">
        <v>10436</v>
      </c>
      <c r="W720" t="s">
        <v>10437</v>
      </c>
      <c r="X720" t="s">
        <v>10438</v>
      </c>
      <c r="Y720" t="s">
        <v>10439</v>
      </c>
      <c r="Z720" t="s">
        <v>10440</v>
      </c>
      <c r="AA720" t="s">
        <v>10440</v>
      </c>
      <c r="AB720" t="s">
        <v>10440</v>
      </c>
      <c r="AC720" t="s">
        <v>10440</v>
      </c>
      <c r="AD720" t="s">
        <v>10440</v>
      </c>
    </row>
    <row r="721" spans="1:30">
      <c r="A721" t="s">
        <v>10441</v>
      </c>
      <c r="B721">
        <v>4</v>
      </c>
      <c r="C721">
        <v>7</v>
      </c>
      <c r="D721">
        <v>2019</v>
      </c>
      <c r="E721" s="1">
        <v>43562</v>
      </c>
      <c r="F721" t="s">
        <v>10442</v>
      </c>
      <c r="G721">
        <v>0</v>
      </c>
      <c r="H721">
        <v>0</v>
      </c>
      <c r="I721">
        <v>0</v>
      </c>
      <c r="J721">
        <v>0</v>
      </c>
      <c r="L721" t="s">
        <v>10443</v>
      </c>
      <c r="M721" t="s">
        <v>10444</v>
      </c>
      <c r="N721" t="s">
        <v>10445</v>
      </c>
      <c r="O721" t="s">
        <v>10446</v>
      </c>
      <c r="P721" t="s">
        <v>10447</v>
      </c>
      <c r="Q721" t="s">
        <v>10448</v>
      </c>
      <c r="R721" t="s">
        <v>10449</v>
      </c>
      <c r="S721" t="s">
        <v>10450</v>
      </c>
      <c r="V721" t="s">
        <v>10451</v>
      </c>
      <c r="W721" t="s">
        <v>10452</v>
      </c>
      <c r="Z721" t="s">
        <v>10453</v>
      </c>
      <c r="AA721" t="s">
        <v>10453</v>
      </c>
      <c r="AB721" t="s">
        <v>10453</v>
      </c>
      <c r="AC721" t="s">
        <v>10453</v>
      </c>
      <c r="AD721" t="s">
        <v>10453</v>
      </c>
    </row>
    <row r="722" spans="1:30">
      <c r="A722" t="s">
        <v>10454</v>
      </c>
      <c r="B722">
        <v>4</v>
      </c>
      <c r="C722">
        <v>5</v>
      </c>
      <c r="D722">
        <v>2019</v>
      </c>
      <c r="E722" s="1">
        <v>43560</v>
      </c>
      <c r="F722" t="s">
        <v>10455</v>
      </c>
      <c r="G722">
        <v>0</v>
      </c>
      <c r="H722">
        <v>1</v>
      </c>
      <c r="I722">
        <v>1</v>
      </c>
      <c r="J722">
        <v>0</v>
      </c>
      <c r="L722" t="s">
        <v>10456</v>
      </c>
      <c r="M722" t="s">
        <v>10457</v>
      </c>
      <c r="N722" t="s">
        <v>10458</v>
      </c>
      <c r="O722" t="s">
        <v>10459</v>
      </c>
      <c r="P722" t="s">
        <v>10460</v>
      </c>
      <c r="Q722" t="s">
        <v>10461</v>
      </c>
      <c r="R722" t="s">
        <v>10462</v>
      </c>
      <c r="S722" t="s">
        <v>10463</v>
      </c>
      <c r="U722">
        <v>1</v>
      </c>
      <c r="V722" t="s">
        <v>10464</v>
      </c>
      <c r="W722" t="s">
        <v>10465</v>
      </c>
      <c r="X722" t="s">
        <v>10466</v>
      </c>
      <c r="Y722" t="s">
        <v>10467</v>
      </c>
      <c r="Z722" t="s">
        <v>10467</v>
      </c>
      <c r="AA722" t="s">
        <v>10467</v>
      </c>
      <c r="AB722" t="s">
        <v>10467</v>
      </c>
      <c r="AC722" t="s">
        <v>10467</v>
      </c>
      <c r="AD722" t="s">
        <v>10467</v>
      </c>
    </row>
    <row r="723" spans="1:30">
      <c r="A723" t="s">
        <v>10468</v>
      </c>
      <c r="B723">
        <v>4</v>
      </c>
      <c r="C723">
        <v>3</v>
      </c>
      <c r="D723">
        <v>2019</v>
      </c>
      <c r="E723" s="1">
        <v>43558</v>
      </c>
      <c r="F723" t="s">
        <v>10469</v>
      </c>
      <c r="G723">
        <v>0</v>
      </c>
      <c r="H723">
        <v>0</v>
      </c>
      <c r="I723">
        <v>0</v>
      </c>
      <c r="J723">
        <v>0</v>
      </c>
      <c r="L723" t="s">
        <v>10470</v>
      </c>
      <c r="M723" t="s">
        <v>10471</v>
      </c>
      <c r="N723" t="s">
        <v>10472</v>
      </c>
      <c r="O723" t="s">
        <v>10473</v>
      </c>
      <c r="P723" t="s">
        <v>10474</v>
      </c>
      <c r="Q723" t="s">
        <v>10475</v>
      </c>
      <c r="R723" t="s">
        <v>10476</v>
      </c>
      <c r="S723" t="s">
        <v>10477</v>
      </c>
      <c r="V723" t="s">
        <v>10478</v>
      </c>
      <c r="W723" t="s">
        <v>10479</v>
      </c>
      <c r="X723" t="s">
        <v>10480</v>
      </c>
      <c r="Y723" t="s">
        <v>10481</v>
      </c>
      <c r="Z723" t="s">
        <v>10481</v>
      </c>
      <c r="AA723" t="s">
        <v>10481</v>
      </c>
      <c r="AB723" t="s">
        <v>10481</v>
      </c>
      <c r="AC723" t="s">
        <v>10481</v>
      </c>
      <c r="AD723" t="s">
        <v>10481</v>
      </c>
    </row>
    <row r="724" spans="1:30">
      <c r="A724" t="s">
        <v>10482</v>
      </c>
      <c r="B724">
        <v>4</v>
      </c>
      <c r="C724">
        <v>3</v>
      </c>
      <c r="D724">
        <v>2019</v>
      </c>
      <c r="E724" s="1">
        <v>43558</v>
      </c>
      <c r="F724" t="s">
        <v>10483</v>
      </c>
      <c r="G724">
        <v>0</v>
      </c>
      <c r="H724">
        <v>0</v>
      </c>
      <c r="I724">
        <v>0</v>
      </c>
      <c r="J724">
        <v>0</v>
      </c>
      <c r="L724" t="s">
        <v>10484</v>
      </c>
      <c r="M724" t="s">
        <v>10485</v>
      </c>
      <c r="N724" t="s">
        <v>10486</v>
      </c>
      <c r="O724" t="s">
        <v>10487</v>
      </c>
      <c r="P724" t="s">
        <v>10488</v>
      </c>
      <c r="Q724" t="s">
        <v>10488</v>
      </c>
      <c r="R724" t="s">
        <v>10489</v>
      </c>
      <c r="S724" t="s">
        <v>10490</v>
      </c>
      <c r="T724" s="2">
        <v>0.45833333333333331</v>
      </c>
      <c r="U724">
        <v>1</v>
      </c>
      <c r="V724" t="s">
        <v>10491</v>
      </c>
      <c r="W724" t="s">
        <v>10492</v>
      </c>
      <c r="X724" t="s">
        <v>10493</v>
      </c>
      <c r="Z724" t="s">
        <v>10494</v>
      </c>
      <c r="AA724" t="s">
        <v>10494</v>
      </c>
      <c r="AB724" t="s">
        <v>10494</v>
      </c>
      <c r="AC724" t="s">
        <v>10494</v>
      </c>
      <c r="AD724" t="s">
        <v>10494</v>
      </c>
    </row>
    <row r="725" spans="1:30">
      <c r="A725" t="s">
        <v>10495</v>
      </c>
      <c r="B725">
        <v>4</v>
      </c>
      <c r="C725">
        <v>1</v>
      </c>
      <c r="D725">
        <v>2019</v>
      </c>
      <c r="E725" s="1">
        <v>43556</v>
      </c>
      <c r="F725" t="s">
        <v>10496</v>
      </c>
      <c r="G725">
        <v>0</v>
      </c>
      <c r="H725">
        <v>1</v>
      </c>
      <c r="I725">
        <v>1</v>
      </c>
      <c r="J725">
        <v>0</v>
      </c>
      <c r="L725" t="s">
        <v>10497</v>
      </c>
      <c r="M725" t="s">
        <v>10498</v>
      </c>
      <c r="N725" t="s">
        <v>10499</v>
      </c>
      <c r="O725" t="s">
        <v>10500</v>
      </c>
      <c r="P725" t="s">
        <v>10501</v>
      </c>
      <c r="Q725" t="s">
        <v>10502</v>
      </c>
      <c r="R725" t="s">
        <v>10503</v>
      </c>
      <c r="S725" t="s">
        <v>10504</v>
      </c>
      <c r="T725" s="2">
        <v>0.38472222222222224</v>
      </c>
      <c r="U725">
        <v>1</v>
      </c>
      <c r="V725" t="s">
        <v>10505</v>
      </c>
      <c r="W725" t="s">
        <v>10506</v>
      </c>
      <c r="X725" t="s">
        <v>10507</v>
      </c>
      <c r="Y725" t="s">
        <v>10508</v>
      </c>
      <c r="Z725" t="s">
        <v>10508</v>
      </c>
      <c r="AA725" t="s">
        <v>10508</v>
      </c>
      <c r="AD725" t="s">
        <v>10508</v>
      </c>
    </row>
    <row r="726" spans="1:30">
      <c r="A726" t="s">
        <v>10509</v>
      </c>
      <c r="B726">
        <v>3</v>
      </c>
      <c r="C726">
        <v>27</v>
      </c>
      <c r="D726">
        <v>2019</v>
      </c>
      <c r="E726" s="1">
        <v>43551</v>
      </c>
      <c r="F726" t="s">
        <v>10510</v>
      </c>
      <c r="G726">
        <v>0</v>
      </c>
      <c r="H726">
        <v>1</v>
      </c>
      <c r="I726">
        <v>1</v>
      </c>
      <c r="J726">
        <v>0</v>
      </c>
      <c r="K726" t="s">
        <v>10511</v>
      </c>
      <c r="L726" t="s">
        <v>10512</v>
      </c>
      <c r="M726" t="s">
        <v>10513</v>
      </c>
      <c r="N726" t="s">
        <v>10514</v>
      </c>
      <c r="O726" t="s">
        <v>10515</v>
      </c>
      <c r="P726" t="s">
        <v>10516</v>
      </c>
      <c r="Q726" t="s">
        <v>10516</v>
      </c>
      <c r="R726" t="s">
        <v>10517</v>
      </c>
      <c r="S726" t="s">
        <v>10518</v>
      </c>
      <c r="T726" s="2">
        <v>0.70833333333333337</v>
      </c>
      <c r="U726">
        <v>1</v>
      </c>
      <c r="V726" t="s">
        <v>10519</v>
      </c>
      <c r="X726" t="s">
        <v>10520</v>
      </c>
      <c r="Y726" t="s">
        <v>10521</v>
      </c>
      <c r="Z726" t="s">
        <v>10521</v>
      </c>
      <c r="AA726" t="s">
        <v>10521</v>
      </c>
      <c r="AB726" t="s">
        <v>10521</v>
      </c>
      <c r="AC726" t="s">
        <v>10521</v>
      </c>
      <c r="AD726" t="s">
        <v>10521</v>
      </c>
    </row>
    <row r="727" spans="1:30">
      <c r="A727" t="s">
        <v>10522</v>
      </c>
      <c r="B727">
        <v>3</v>
      </c>
      <c r="C727">
        <v>27</v>
      </c>
      <c r="D727">
        <v>2019</v>
      </c>
      <c r="E727" s="1">
        <v>43551</v>
      </c>
      <c r="F727" t="s">
        <v>10523</v>
      </c>
      <c r="G727">
        <v>0</v>
      </c>
      <c r="H727">
        <v>1</v>
      </c>
      <c r="I727">
        <v>1</v>
      </c>
      <c r="J727">
        <v>0</v>
      </c>
      <c r="L727" t="s">
        <v>10524</v>
      </c>
      <c r="M727" t="s">
        <v>10525</v>
      </c>
      <c r="N727" t="s">
        <v>10526</v>
      </c>
      <c r="O727" t="s">
        <v>10527</v>
      </c>
      <c r="P727" t="s">
        <v>10528</v>
      </c>
      <c r="Q727" t="s">
        <v>10528</v>
      </c>
      <c r="R727" t="s">
        <v>10529</v>
      </c>
      <c r="S727" t="s">
        <v>10530</v>
      </c>
      <c r="T727" s="2">
        <v>0.625</v>
      </c>
      <c r="U727">
        <v>1</v>
      </c>
      <c r="V727" t="s">
        <v>10531</v>
      </c>
      <c r="W727" t="s">
        <v>10532</v>
      </c>
      <c r="X727" t="s">
        <v>10533</v>
      </c>
      <c r="Y727" t="s">
        <v>10534</v>
      </c>
      <c r="Z727" t="s">
        <v>10534</v>
      </c>
      <c r="AA727" t="s">
        <v>10534</v>
      </c>
      <c r="AB727" t="s">
        <v>10534</v>
      </c>
      <c r="AC727" t="s">
        <v>10534</v>
      </c>
      <c r="AD727" t="s">
        <v>10534</v>
      </c>
    </row>
    <row r="728" spans="1:30">
      <c r="A728" t="s">
        <v>10535</v>
      </c>
      <c r="B728">
        <v>3</v>
      </c>
      <c r="C728">
        <v>22</v>
      </c>
      <c r="D728">
        <v>2019</v>
      </c>
      <c r="E728" s="1">
        <v>43546</v>
      </c>
      <c r="F728" t="s">
        <v>10536</v>
      </c>
      <c r="G728">
        <v>0</v>
      </c>
      <c r="H728">
        <v>0</v>
      </c>
      <c r="I728">
        <v>0</v>
      </c>
      <c r="J728">
        <v>0</v>
      </c>
      <c r="L728" t="s">
        <v>10537</v>
      </c>
      <c r="M728" t="s">
        <v>10538</v>
      </c>
      <c r="N728" t="s">
        <v>10539</v>
      </c>
      <c r="O728" t="s">
        <v>10540</v>
      </c>
      <c r="P728" t="s">
        <v>10541</v>
      </c>
      <c r="Q728" t="s">
        <v>10542</v>
      </c>
      <c r="R728" t="s">
        <v>10543</v>
      </c>
      <c r="S728" t="s">
        <v>10544</v>
      </c>
      <c r="T728" s="2">
        <v>0.47916666666666663</v>
      </c>
      <c r="U728">
        <v>1</v>
      </c>
      <c r="V728" t="s">
        <v>10545</v>
      </c>
      <c r="W728" t="s">
        <v>10546</v>
      </c>
      <c r="X728" t="s">
        <v>10547</v>
      </c>
      <c r="Y728" t="s">
        <v>10548</v>
      </c>
      <c r="Z728" t="s">
        <v>10548</v>
      </c>
      <c r="AA728" t="s">
        <v>10548</v>
      </c>
      <c r="AB728" t="s">
        <v>10548</v>
      </c>
      <c r="AC728" t="s">
        <v>10548</v>
      </c>
      <c r="AD728" t="s">
        <v>10548</v>
      </c>
    </row>
    <row r="729" spans="1:30">
      <c r="A729" t="s">
        <v>10549</v>
      </c>
      <c r="B729">
        <v>3</v>
      </c>
      <c r="C729">
        <v>13</v>
      </c>
      <c r="D729">
        <v>2019</v>
      </c>
      <c r="E729" s="1">
        <v>43537</v>
      </c>
      <c r="F729" t="s">
        <v>10550</v>
      </c>
      <c r="G729">
        <v>0</v>
      </c>
      <c r="H729">
        <v>0</v>
      </c>
      <c r="I729">
        <v>0</v>
      </c>
      <c r="J729">
        <v>1</v>
      </c>
      <c r="L729" t="s">
        <v>10551</v>
      </c>
      <c r="M729" t="s">
        <v>10552</v>
      </c>
      <c r="N729" t="s">
        <v>10553</v>
      </c>
      <c r="O729" t="s">
        <v>10554</v>
      </c>
      <c r="P729" t="s">
        <v>10555</v>
      </c>
      <c r="Q729" t="s">
        <v>10556</v>
      </c>
      <c r="R729" t="s">
        <v>10557</v>
      </c>
      <c r="S729" t="s">
        <v>10558</v>
      </c>
      <c r="T729" s="2">
        <v>0.33333333333333331</v>
      </c>
      <c r="U729">
        <v>1</v>
      </c>
      <c r="V729" t="s">
        <v>10559</v>
      </c>
      <c r="W729" t="s">
        <v>10560</v>
      </c>
      <c r="X729" t="s">
        <v>10561</v>
      </c>
      <c r="Y729" t="s">
        <v>10562</v>
      </c>
      <c r="Z729" t="s">
        <v>10562</v>
      </c>
      <c r="AA729" t="s">
        <v>10562</v>
      </c>
      <c r="AC729" t="s">
        <v>10562</v>
      </c>
      <c r="AD729" t="s">
        <v>10562</v>
      </c>
    </row>
    <row r="730" spans="1:30">
      <c r="A730" t="s">
        <v>10563</v>
      </c>
      <c r="B730">
        <v>3</v>
      </c>
      <c r="C730">
        <v>1</v>
      </c>
      <c r="D730">
        <v>2019</v>
      </c>
      <c r="E730" s="1">
        <v>43525</v>
      </c>
      <c r="F730" t="s">
        <v>10564</v>
      </c>
      <c r="G730">
        <v>0</v>
      </c>
      <c r="H730">
        <v>0</v>
      </c>
      <c r="I730">
        <v>0</v>
      </c>
      <c r="J730">
        <v>0</v>
      </c>
      <c r="K730" t="s">
        <v>10565</v>
      </c>
      <c r="L730" t="s">
        <v>10566</v>
      </c>
      <c r="M730" t="s">
        <v>10567</v>
      </c>
      <c r="N730" t="s">
        <v>10568</v>
      </c>
      <c r="O730" t="s">
        <v>10569</v>
      </c>
      <c r="P730" t="s">
        <v>10570</v>
      </c>
      <c r="Q730" t="s">
        <v>10570</v>
      </c>
      <c r="R730" t="s">
        <v>10571</v>
      </c>
      <c r="S730" t="s">
        <v>10572</v>
      </c>
      <c r="T730" s="2">
        <v>0.5625</v>
      </c>
      <c r="U730">
        <v>75</v>
      </c>
      <c r="V730" t="s">
        <v>10573</v>
      </c>
      <c r="W730" t="s">
        <v>10574</v>
      </c>
      <c r="X730" t="s">
        <v>10575</v>
      </c>
      <c r="Y730" t="s">
        <v>10576</v>
      </c>
      <c r="Z730" t="s">
        <v>10576</v>
      </c>
      <c r="AA730" t="s">
        <v>10576</v>
      </c>
      <c r="AB730" t="s">
        <v>10576</v>
      </c>
      <c r="AC730" t="s">
        <v>10576</v>
      </c>
      <c r="AD730" t="s">
        <v>10576</v>
      </c>
    </row>
    <row r="731" spans="1:30">
      <c r="A731" t="s">
        <v>10577</v>
      </c>
      <c r="B731">
        <v>2</v>
      </c>
      <c r="C731">
        <v>26</v>
      </c>
      <c r="D731">
        <v>2019</v>
      </c>
      <c r="E731" s="1">
        <v>43522</v>
      </c>
      <c r="F731" t="s">
        <v>10578</v>
      </c>
      <c r="G731">
        <v>0</v>
      </c>
      <c r="H731">
        <v>1</v>
      </c>
      <c r="I731">
        <v>1</v>
      </c>
      <c r="J731">
        <v>0</v>
      </c>
      <c r="K731" t="s">
        <v>10579</v>
      </c>
      <c r="L731" t="s">
        <v>10580</v>
      </c>
      <c r="M731" t="s">
        <v>10581</v>
      </c>
      <c r="N731" t="s">
        <v>10582</v>
      </c>
      <c r="O731" t="s">
        <v>10583</v>
      </c>
      <c r="P731" t="s">
        <v>10584</v>
      </c>
      <c r="Q731" t="s">
        <v>10585</v>
      </c>
      <c r="R731" t="s">
        <v>10586</v>
      </c>
      <c r="S731" t="s">
        <v>10587</v>
      </c>
      <c r="T731" s="2">
        <v>0.45833333333333331</v>
      </c>
      <c r="U731">
        <v>1</v>
      </c>
      <c r="V731" t="s">
        <v>10588</v>
      </c>
      <c r="W731" t="s">
        <v>10589</v>
      </c>
      <c r="X731" t="s">
        <v>10590</v>
      </c>
      <c r="Y731" t="s">
        <v>10591</v>
      </c>
      <c r="Z731" t="s">
        <v>10592</v>
      </c>
      <c r="AA731" t="s">
        <v>10592</v>
      </c>
      <c r="AC731" t="s">
        <v>10592</v>
      </c>
      <c r="AD731" t="s">
        <v>10592</v>
      </c>
    </row>
    <row r="732" spans="1:30">
      <c r="A732" t="s">
        <v>10593</v>
      </c>
      <c r="B732">
        <v>2</v>
      </c>
      <c r="C732">
        <v>17</v>
      </c>
      <c r="D732">
        <v>2019</v>
      </c>
      <c r="E732" s="1">
        <v>43513</v>
      </c>
      <c r="F732" t="s">
        <v>10594</v>
      </c>
      <c r="G732">
        <v>1</v>
      </c>
      <c r="H732">
        <v>0</v>
      </c>
      <c r="I732">
        <v>1</v>
      </c>
      <c r="J732">
        <v>0</v>
      </c>
      <c r="L732" t="s">
        <v>10595</v>
      </c>
      <c r="M732" t="s">
        <v>10596</v>
      </c>
      <c r="N732" t="s">
        <v>10597</v>
      </c>
      <c r="O732" t="s">
        <v>10598</v>
      </c>
      <c r="P732" t="s">
        <v>10599</v>
      </c>
      <c r="Q732" t="s">
        <v>10600</v>
      </c>
      <c r="R732" t="s">
        <v>10601</v>
      </c>
      <c r="S732" t="s">
        <v>10602</v>
      </c>
      <c r="T732" s="2">
        <v>0.45833333333333331</v>
      </c>
      <c r="U732">
        <v>1</v>
      </c>
      <c r="V732" t="s">
        <v>10603</v>
      </c>
      <c r="W732" t="s">
        <v>10604</v>
      </c>
      <c r="X732" t="s">
        <v>10605</v>
      </c>
      <c r="Y732" t="s">
        <v>10606</v>
      </c>
      <c r="Z732" t="s">
        <v>10606</v>
      </c>
      <c r="AA732" t="s">
        <v>10606</v>
      </c>
      <c r="AB732" t="s">
        <v>10606</v>
      </c>
      <c r="AC732" t="s">
        <v>10606</v>
      </c>
      <c r="AD732" t="s">
        <v>10606</v>
      </c>
    </row>
    <row r="733" spans="1:30">
      <c r="A733" t="s">
        <v>10607</v>
      </c>
      <c r="B733">
        <v>2</v>
      </c>
      <c r="C733">
        <v>14</v>
      </c>
      <c r="D733">
        <v>2019</v>
      </c>
      <c r="E733" s="1">
        <v>43510</v>
      </c>
      <c r="F733" t="s">
        <v>10608</v>
      </c>
      <c r="G733">
        <v>0</v>
      </c>
      <c r="H733">
        <v>0</v>
      </c>
      <c r="I733">
        <v>0</v>
      </c>
      <c r="J733">
        <v>0</v>
      </c>
      <c r="L733" t="s">
        <v>10609</v>
      </c>
      <c r="M733" t="s">
        <v>10610</v>
      </c>
      <c r="N733" t="s">
        <v>10611</v>
      </c>
      <c r="O733" t="s">
        <v>10612</v>
      </c>
      <c r="P733" t="s">
        <v>10613</v>
      </c>
      <c r="Q733" t="s">
        <v>10614</v>
      </c>
      <c r="R733" t="s">
        <v>10615</v>
      </c>
      <c r="S733" t="s">
        <v>10616</v>
      </c>
      <c r="T733" s="2">
        <v>0.29166666666666669</v>
      </c>
      <c r="U733">
        <v>1</v>
      </c>
      <c r="V733" t="s">
        <v>10617</v>
      </c>
      <c r="W733" t="s">
        <v>10618</v>
      </c>
      <c r="X733" t="s">
        <v>10619</v>
      </c>
      <c r="Y733" t="s">
        <v>10620</v>
      </c>
      <c r="Z733" t="s">
        <v>10620</v>
      </c>
      <c r="AA733" t="s">
        <v>10620</v>
      </c>
      <c r="AC733" t="s">
        <v>10621</v>
      </c>
      <c r="AD733" t="s">
        <v>10622</v>
      </c>
    </row>
    <row r="734" spans="1:30">
      <c r="A734" t="s">
        <v>10623</v>
      </c>
      <c r="B734">
        <v>2</v>
      </c>
      <c r="C734">
        <v>12</v>
      </c>
      <c r="D734">
        <v>2019</v>
      </c>
      <c r="E734" s="1">
        <v>43508</v>
      </c>
      <c r="F734" t="s">
        <v>10624</v>
      </c>
      <c r="G734">
        <v>1</v>
      </c>
      <c r="H734">
        <v>0</v>
      </c>
      <c r="I734">
        <v>1</v>
      </c>
      <c r="J734">
        <v>0</v>
      </c>
      <c r="K734" t="s">
        <v>10625</v>
      </c>
      <c r="L734" t="s">
        <v>10626</v>
      </c>
      <c r="M734" t="s">
        <v>10627</v>
      </c>
      <c r="N734" t="s">
        <v>10628</v>
      </c>
      <c r="O734" t="s">
        <v>10629</v>
      </c>
      <c r="P734" t="s">
        <v>10630</v>
      </c>
      <c r="Q734" t="s">
        <v>10631</v>
      </c>
      <c r="R734" t="s">
        <v>10632</v>
      </c>
      <c r="S734" t="s">
        <v>10633</v>
      </c>
      <c r="T734" s="2">
        <v>0.84375</v>
      </c>
      <c r="U734">
        <v>1</v>
      </c>
      <c r="V734" t="s">
        <v>10634</v>
      </c>
      <c r="W734" t="s">
        <v>10635</v>
      </c>
      <c r="X734" t="s">
        <v>10636</v>
      </c>
      <c r="Y734" t="s">
        <v>10637</v>
      </c>
      <c r="Z734" t="s">
        <v>10638</v>
      </c>
      <c r="AA734" t="s">
        <v>10638</v>
      </c>
      <c r="AB734" t="s">
        <v>10638</v>
      </c>
      <c r="AC734" t="s">
        <v>10638</v>
      </c>
      <c r="AD734" t="s">
        <v>10638</v>
      </c>
    </row>
    <row r="735" spans="1:30">
      <c r="A735" t="s">
        <v>10639</v>
      </c>
      <c r="B735">
        <v>2</v>
      </c>
      <c r="C735">
        <v>8</v>
      </c>
      <c r="D735">
        <v>2019</v>
      </c>
      <c r="E735" s="1">
        <v>43504</v>
      </c>
      <c r="F735" t="s">
        <v>10640</v>
      </c>
      <c r="G735">
        <v>0</v>
      </c>
      <c r="H735">
        <v>1</v>
      </c>
      <c r="I735">
        <v>1</v>
      </c>
      <c r="J735">
        <v>0</v>
      </c>
      <c r="L735" t="s">
        <v>10641</v>
      </c>
      <c r="M735" t="s">
        <v>10642</v>
      </c>
      <c r="N735" t="s">
        <v>10643</v>
      </c>
      <c r="O735" t="s">
        <v>10644</v>
      </c>
      <c r="P735" t="s">
        <v>10645</v>
      </c>
      <c r="Q735" t="s">
        <v>10646</v>
      </c>
      <c r="R735" t="s">
        <v>10647</v>
      </c>
      <c r="S735" t="s">
        <v>10648</v>
      </c>
      <c r="T735" s="2">
        <v>0.55208333333333326</v>
      </c>
      <c r="U735">
        <v>1</v>
      </c>
      <c r="V735" t="s">
        <v>10649</v>
      </c>
      <c r="W735" t="s">
        <v>10650</v>
      </c>
      <c r="X735" t="s">
        <v>10651</v>
      </c>
      <c r="Y735" t="s">
        <v>10652</v>
      </c>
      <c r="Z735" t="s">
        <v>10652</v>
      </c>
      <c r="AA735" t="s">
        <v>10652</v>
      </c>
      <c r="AB735" t="s">
        <v>10652</v>
      </c>
      <c r="AC735" t="s">
        <v>10652</v>
      </c>
      <c r="AD735" t="s">
        <v>10653</v>
      </c>
    </row>
    <row r="736" spans="1:30">
      <c r="A736" t="s">
        <v>10654</v>
      </c>
      <c r="B736">
        <v>2</v>
      </c>
      <c r="C736">
        <v>5</v>
      </c>
      <c r="D736">
        <v>2019</v>
      </c>
      <c r="E736" s="1">
        <v>43501</v>
      </c>
      <c r="F736" t="s">
        <v>10655</v>
      </c>
      <c r="G736">
        <v>0</v>
      </c>
      <c r="H736">
        <v>1</v>
      </c>
      <c r="I736">
        <v>1</v>
      </c>
      <c r="J736">
        <v>0</v>
      </c>
      <c r="L736" t="s">
        <v>10656</v>
      </c>
      <c r="M736" t="s">
        <v>10657</v>
      </c>
      <c r="N736" t="s">
        <v>10658</v>
      </c>
      <c r="P736" t="s">
        <v>10659</v>
      </c>
      <c r="Q736" t="s">
        <v>10659</v>
      </c>
      <c r="R736" t="s">
        <v>10660</v>
      </c>
      <c r="S736" t="s">
        <v>10661</v>
      </c>
      <c r="T736" s="2">
        <v>0.59722222222222221</v>
      </c>
      <c r="U736">
        <v>1</v>
      </c>
      <c r="V736" t="s">
        <v>10662</v>
      </c>
      <c r="W736" t="s">
        <v>10663</v>
      </c>
      <c r="X736" t="s">
        <v>10664</v>
      </c>
      <c r="Y736" t="s">
        <v>10665</v>
      </c>
      <c r="Z736" t="s">
        <v>10665</v>
      </c>
      <c r="AA736" t="s">
        <v>10665</v>
      </c>
      <c r="AB736" t="s">
        <v>10665</v>
      </c>
      <c r="AC736" t="s">
        <v>10665</v>
      </c>
      <c r="AD736" t="s">
        <v>10665</v>
      </c>
    </row>
    <row r="737" spans="1:30">
      <c r="A737" t="s">
        <v>10666</v>
      </c>
      <c r="B737">
        <v>1</v>
      </c>
      <c r="C737">
        <v>31</v>
      </c>
      <c r="D737">
        <v>2019</v>
      </c>
      <c r="E737" s="1">
        <v>43496</v>
      </c>
      <c r="F737" t="s">
        <v>10667</v>
      </c>
      <c r="G737">
        <v>0</v>
      </c>
      <c r="H737">
        <v>1</v>
      </c>
      <c r="I737">
        <v>1</v>
      </c>
      <c r="J737">
        <v>0</v>
      </c>
      <c r="L737" t="s">
        <v>10668</v>
      </c>
      <c r="M737" t="s">
        <v>10669</v>
      </c>
      <c r="N737" t="s">
        <v>10670</v>
      </c>
      <c r="O737" t="s">
        <v>10671</v>
      </c>
      <c r="P737" t="s">
        <v>10672</v>
      </c>
      <c r="Q737" t="s">
        <v>10673</v>
      </c>
      <c r="R737" t="s">
        <v>10674</v>
      </c>
      <c r="S737" t="s">
        <v>10675</v>
      </c>
      <c r="T737" s="2">
        <v>0.76388888888888884</v>
      </c>
      <c r="U737">
        <v>1</v>
      </c>
      <c r="V737" t="s">
        <v>10676</v>
      </c>
      <c r="W737" t="s">
        <v>10677</v>
      </c>
      <c r="X737" t="s">
        <v>10678</v>
      </c>
      <c r="Y737" t="s">
        <v>10679</v>
      </c>
      <c r="Z737" t="s">
        <v>10680</v>
      </c>
      <c r="AA737" t="s">
        <v>10680</v>
      </c>
      <c r="AB737" t="s">
        <v>10680</v>
      </c>
      <c r="AC737" t="s">
        <v>10680</v>
      </c>
      <c r="AD737" t="s">
        <v>10680</v>
      </c>
    </row>
    <row r="738" spans="1:30">
      <c r="A738" t="s">
        <v>10681</v>
      </c>
      <c r="B738">
        <v>1</v>
      </c>
      <c r="C738">
        <v>31</v>
      </c>
      <c r="D738">
        <v>2019</v>
      </c>
      <c r="E738" s="1">
        <v>43496</v>
      </c>
      <c r="F738" t="s">
        <v>10682</v>
      </c>
      <c r="G738">
        <v>0</v>
      </c>
      <c r="H738">
        <v>1</v>
      </c>
      <c r="I738">
        <v>1</v>
      </c>
      <c r="J738">
        <v>0</v>
      </c>
      <c r="L738" t="s">
        <v>10683</v>
      </c>
      <c r="M738" t="s">
        <v>10684</v>
      </c>
      <c r="N738" t="s">
        <v>10685</v>
      </c>
      <c r="O738" t="s">
        <v>10686</v>
      </c>
      <c r="P738" t="s">
        <v>10687</v>
      </c>
      <c r="Q738" t="s">
        <v>10687</v>
      </c>
      <c r="R738" t="s">
        <v>10688</v>
      </c>
      <c r="S738" t="s">
        <v>10689</v>
      </c>
      <c r="T738" s="2">
        <v>0.66666666666666663</v>
      </c>
      <c r="U738">
        <v>1</v>
      </c>
      <c r="V738" t="s">
        <v>10690</v>
      </c>
      <c r="W738" t="s">
        <v>10691</v>
      </c>
      <c r="Z738" t="s">
        <v>10692</v>
      </c>
      <c r="AA738" t="s">
        <v>10692</v>
      </c>
      <c r="AB738" t="s">
        <v>10692</v>
      </c>
      <c r="AC738" t="s">
        <v>10692</v>
      </c>
      <c r="AD738" t="s">
        <v>10692</v>
      </c>
    </row>
    <row r="739" spans="1:30">
      <c r="A739" t="s">
        <v>10693</v>
      </c>
      <c r="B739">
        <v>1</v>
      </c>
      <c r="C739">
        <v>30</v>
      </c>
      <c r="D739">
        <v>2019</v>
      </c>
      <c r="E739" s="1">
        <v>43495</v>
      </c>
      <c r="F739" t="s">
        <v>10694</v>
      </c>
      <c r="G739">
        <v>0</v>
      </c>
      <c r="H739">
        <v>1</v>
      </c>
      <c r="I739">
        <v>1</v>
      </c>
      <c r="J739">
        <v>0</v>
      </c>
      <c r="L739" t="s">
        <v>10695</v>
      </c>
      <c r="M739" t="s">
        <v>10696</v>
      </c>
      <c r="N739" t="s">
        <v>10697</v>
      </c>
      <c r="O739" t="s">
        <v>10698</v>
      </c>
      <c r="P739" t="s">
        <v>10699</v>
      </c>
      <c r="Q739" t="s">
        <v>10700</v>
      </c>
      <c r="R739" t="s">
        <v>10701</v>
      </c>
      <c r="S739" t="s">
        <v>10702</v>
      </c>
      <c r="T739" s="2">
        <v>0.8125</v>
      </c>
      <c r="U739">
        <v>1</v>
      </c>
      <c r="V739" t="s">
        <v>10703</v>
      </c>
      <c r="W739" t="s">
        <v>10704</v>
      </c>
      <c r="X739" t="s">
        <v>10705</v>
      </c>
      <c r="Y739" t="s">
        <v>10706</v>
      </c>
      <c r="Z739" t="s">
        <v>10706</v>
      </c>
      <c r="AA739" t="s">
        <v>10706</v>
      </c>
      <c r="AB739" t="s">
        <v>10706</v>
      </c>
      <c r="AC739" t="s">
        <v>10706</v>
      </c>
      <c r="AD739" t="s">
        <v>10706</v>
      </c>
    </row>
    <row r="740" spans="1:30">
      <c r="A740" t="s">
        <v>10707</v>
      </c>
      <c r="B740">
        <v>1</v>
      </c>
      <c r="C740">
        <v>27</v>
      </c>
      <c r="D740">
        <v>2019</v>
      </c>
      <c r="E740" s="1">
        <v>43492</v>
      </c>
      <c r="F740" t="s">
        <v>10708</v>
      </c>
      <c r="G740">
        <v>0</v>
      </c>
      <c r="H740">
        <v>0</v>
      </c>
      <c r="I740">
        <v>0</v>
      </c>
      <c r="J740">
        <v>0</v>
      </c>
      <c r="K740" t="s">
        <v>10709</v>
      </c>
      <c r="L740" t="s">
        <v>10710</v>
      </c>
      <c r="M740" t="s">
        <v>10711</v>
      </c>
      <c r="N740" t="s">
        <v>10712</v>
      </c>
      <c r="O740" t="s">
        <v>10713</v>
      </c>
      <c r="P740" t="s">
        <v>10714</v>
      </c>
      <c r="Q740" t="s">
        <v>10715</v>
      </c>
      <c r="R740" t="s">
        <v>10716</v>
      </c>
      <c r="S740" t="s">
        <v>10717</v>
      </c>
      <c r="T740" s="2">
        <v>0.94444444444444442</v>
      </c>
      <c r="U740">
        <v>1</v>
      </c>
      <c r="V740" t="s">
        <v>10718</v>
      </c>
      <c r="W740" t="s">
        <v>10719</v>
      </c>
      <c r="X740" t="s">
        <v>10720</v>
      </c>
      <c r="Y740" t="s">
        <v>10721</v>
      </c>
      <c r="Z740" t="s">
        <v>10721</v>
      </c>
      <c r="AA740" t="s">
        <v>10721</v>
      </c>
      <c r="AB740" t="s">
        <v>10721</v>
      </c>
      <c r="AC740" t="s">
        <v>10721</v>
      </c>
      <c r="AD740" t="s">
        <v>10721</v>
      </c>
    </row>
    <row r="741" spans="1:30">
      <c r="A741" t="s">
        <v>10722</v>
      </c>
      <c r="B741">
        <v>1</v>
      </c>
      <c r="C741">
        <v>25</v>
      </c>
      <c r="D741">
        <v>2019</v>
      </c>
      <c r="E741" s="1">
        <v>43490</v>
      </c>
      <c r="F741" t="s">
        <v>10723</v>
      </c>
      <c r="G741">
        <v>0</v>
      </c>
      <c r="H741">
        <v>0</v>
      </c>
      <c r="I741">
        <v>0</v>
      </c>
      <c r="J741">
        <v>0</v>
      </c>
      <c r="L741" t="s">
        <v>10724</v>
      </c>
      <c r="M741" t="s">
        <v>10725</v>
      </c>
      <c r="N741" t="s">
        <v>10726</v>
      </c>
      <c r="O741" t="s">
        <v>10727</v>
      </c>
      <c r="P741" t="s">
        <v>10728</v>
      </c>
      <c r="Q741" t="s">
        <v>10729</v>
      </c>
      <c r="R741" t="s">
        <v>10730</v>
      </c>
      <c r="S741" t="s">
        <v>10731</v>
      </c>
      <c r="T741" s="2">
        <v>0.35069444444444442</v>
      </c>
      <c r="U741">
        <v>1</v>
      </c>
      <c r="V741" t="s">
        <v>10732</v>
      </c>
      <c r="W741" t="s">
        <v>10733</v>
      </c>
      <c r="Y741" t="s">
        <v>10734</v>
      </c>
      <c r="Z741" t="s">
        <v>10735</v>
      </c>
      <c r="AA741" t="s">
        <v>10735</v>
      </c>
      <c r="AB741" t="s">
        <v>10735</v>
      </c>
      <c r="AC741" t="s">
        <v>10735</v>
      </c>
      <c r="AD741" t="s">
        <v>10735</v>
      </c>
    </row>
    <row r="742" spans="1:30">
      <c r="A742" t="s">
        <v>10736</v>
      </c>
      <c r="B742">
        <v>1</v>
      </c>
      <c r="C742">
        <v>25</v>
      </c>
      <c r="D742">
        <v>2019</v>
      </c>
      <c r="E742" s="1">
        <v>43490</v>
      </c>
      <c r="F742" t="s">
        <v>10737</v>
      </c>
      <c r="G742">
        <v>0</v>
      </c>
      <c r="H742">
        <v>2</v>
      </c>
      <c r="I742">
        <v>2</v>
      </c>
      <c r="J742">
        <v>0</v>
      </c>
      <c r="L742" t="s">
        <v>10738</v>
      </c>
      <c r="M742" t="s">
        <v>10739</v>
      </c>
      <c r="N742" t="s">
        <v>10740</v>
      </c>
      <c r="O742" t="s">
        <v>10741</v>
      </c>
      <c r="P742" t="s">
        <v>10742</v>
      </c>
      <c r="Q742" t="s">
        <v>10743</v>
      </c>
      <c r="R742" t="s">
        <v>10744</v>
      </c>
      <c r="S742" t="s">
        <v>10745</v>
      </c>
      <c r="T742" s="2">
        <v>0.875</v>
      </c>
      <c r="U742">
        <v>1</v>
      </c>
      <c r="V742" t="s">
        <v>10746</v>
      </c>
      <c r="W742" t="s">
        <v>10747</v>
      </c>
      <c r="Y742" t="s">
        <v>10748</v>
      </c>
      <c r="Z742" t="s">
        <v>10749</v>
      </c>
      <c r="AA742" t="s">
        <v>10749</v>
      </c>
      <c r="AB742" t="s">
        <v>10749</v>
      </c>
      <c r="AC742" t="s">
        <v>10749</v>
      </c>
      <c r="AD742" t="s">
        <v>10749</v>
      </c>
    </row>
    <row r="743" spans="1:30">
      <c r="A743" t="s">
        <v>10750</v>
      </c>
      <c r="B743">
        <v>1</v>
      </c>
      <c r="C743">
        <v>23</v>
      </c>
      <c r="D743">
        <v>2019</v>
      </c>
      <c r="E743" s="1">
        <v>43488</v>
      </c>
      <c r="F743" t="s">
        <v>10751</v>
      </c>
      <c r="G743">
        <v>0</v>
      </c>
      <c r="H743">
        <v>1</v>
      </c>
      <c r="I743">
        <v>1</v>
      </c>
      <c r="J743">
        <v>0</v>
      </c>
      <c r="L743" t="s">
        <v>10752</v>
      </c>
      <c r="M743" t="s">
        <v>10753</v>
      </c>
      <c r="N743" t="s">
        <v>10754</v>
      </c>
      <c r="O743" t="s">
        <v>10755</v>
      </c>
      <c r="P743" t="s">
        <v>10756</v>
      </c>
      <c r="Q743" t="s">
        <v>10757</v>
      </c>
      <c r="R743" t="s">
        <v>10758</v>
      </c>
      <c r="S743" t="s">
        <v>10759</v>
      </c>
      <c r="T743" s="2">
        <v>0.625</v>
      </c>
      <c r="U743">
        <v>1</v>
      </c>
      <c r="V743" t="s">
        <v>10760</v>
      </c>
      <c r="W743" t="s">
        <v>10761</v>
      </c>
      <c r="Z743" t="s">
        <v>10762</v>
      </c>
      <c r="AA743" t="s">
        <v>10762</v>
      </c>
      <c r="AB743" t="s">
        <v>10762</v>
      </c>
      <c r="AD743" t="s">
        <v>10762</v>
      </c>
    </row>
    <row r="744" spans="1:30">
      <c r="A744" t="s">
        <v>10763</v>
      </c>
      <c r="B744">
        <v>1</v>
      </c>
      <c r="C744">
        <v>19</v>
      </c>
      <c r="D744">
        <v>2019</v>
      </c>
      <c r="E744" s="1">
        <v>43484</v>
      </c>
      <c r="F744" t="s">
        <v>10764</v>
      </c>
      <c r="G744">
        <v>0</v>
      </c>
      <c r="H744">
        <v>2</v>
      </c>
      <c r="I744">
        <v>2</v>
      </c>
      <c r="J744">
        <v>0</v>
      </c>
      <c r="L744" t="s">
        <v>10765</v>
      </c>
      <c r="M744" t="s">
        <v>10766</v>
      </c>
      <c r="N744" t="s">
        <v>10767</v>
      </c>
      <c r="O744" t="s">
        <v>10768</v>
      </c>
      <c r="P744" t="s">
        <v>10769</v>
      </c>
      <c r="Q744" t="s">
        <v>10770</v>
      </c>
      <c r="R744" t="s">
        <v>10771</v>
      </c>
      <c r="S744" t="s">
        <v>10772</v>
      </c>
      <c r="T744" s="2">
        <v>0.875</v>
      </c>
      <c r="U744">
        <v>1</v>
      </c>
      <c r="V744" t="s">
        <v>10773</v>
      </c>
      <c r="W744" t="s">
        <v>10774</v>
      </c>
      <c r="X744" t="s">
        <v>10775</v>
      </c>
      <c r="Z744" t="s">
        <v>10776</v>
      </c>
      <c r="AA744" t="s">
        <v>10776</v>
      </c>
      <c r="AB744" t="s">
        <v>10776</v>
      </c>
      <c r="AC744" t="s">
        <v>10776</v>
      </c>
      <c r="AD744" t="s">
        <v>10776</v>
      </c>
    </row>
    <row r="745" spans="1:30">
      <c r="A745" t="s">
        <v>10777</v>
      </c>
      <c r="B745">
        <v>1</v>
      </c>
      <c r="C745">
        <v>18</v>
      </c>
      <c r="D745">
        <v>2019</v>
      </c>
      <c r="E745" s="1">
        <v>43483</v>
      </c>
      <c r="F745" t="s">
        <v>10778</v>
      </c>
      <c r="G745">
        <v>0</v>
      </c>
      <c r="H745">
        <v>0</v>
      </c>
      <c r="I745">
        <v>0</v>
      </c>
      <c r="J745">
        <v>0</v>
      </c>
      <c r="L745" t="s">
        <v>10779</v>
      </c>
      <c r="M745" t="s">
        <v>10780</v>
      </c>
      <c r="N745" t="s">
        <v>10781</v>
      </c>
      <c r="O745" t="s">
        <v>10782</v>
      </c>
      <c r="P745" t="s">
        <v>10783</v>
      </c>
      <c r="Q745" t="s">
        <v>10784</v>
      </c>
      <c r="R745" t="s">
        <v>10785</v>
      </c>
      <c r="S745" t="s">
        <v>10786</v>
      </c>
      <c r="T745" s="2">
        <v>0.60416666666666674</v>
      </c>
      <c r="U745">
        <v>1</v>
      </c>
      <c r="V745" t="s">
        <v>10787</v>
      </c>
      <c r="W745" t="s">
        <v>10788</v>
      </c>
      <c r="X745" t="s">
        <v>10789</v>
      </c>
      <c r="Y745" t="s">
        <v>10790</v>
      </c>
      <c r="Z745" t="s">
        <v>10791</v>
      </c>
      <c r="AA745" t="s">
        <v>10791</v>
      </c>
      <c r="AB745" t="s">
        <v>10791</v>
      </c>
      <c r="AC745" t="s">
        <v>10791</v>
      </c>
      <c r="AD745" t="s">
        <v>10791</v>
      </c>
    </row>
    <row r="746" spans="1:30">
      <c r="A746" t="s">
        <v>10792</v>
      </c>
      <c r="B746">
        <v>1</v>
      </c>
      <c r="C746">
        <v>18</v>
      </c>
      <c r="D746">
        <v>2019</v>
      </c>
      <c r="E746" s="1">
        <v>43483</v>
      </c>
      <c r="F746" t="s">
        <v>10793</v>
      </c>
      <c r="G746">
        <v>0</v>
      </c>
      <c r="H746">
        <v>0</v>
      </c>
      <c r="I746">
        <v>0</v>
      </c>
      <c r="J746">
        <v>0</v>
      </c>
      <c r="L746" t="s">
        <v>10794</v>
      </c>
      <c r="M746" t="s">
        <v>10795</v>
      </c>
      <c r="N746" t="s">
        <v>10796</v>
      </c>
      <c r="O746" t="s">
        <v>10797</v>
      </c>
      <c r="P746" t="s">
        <v>10798</v>
      </c>
      <c r="Q746" t="s">
        <v>10799</v>
      </c>
      <c r="R746" t="s">
        <v>10800</v>
      </c>
      <c r="S746" t="s">
        <v>10801</v>
      </c>
      <c r="T746" s="2">
        <v>0.60416666666666674</v>
      </c>
      <c r="U746">
        <v>1</v>
      </c>
      <c r="V746" t="s">
        <v>10802</v>
      </c>
      <c r="W746" t="s">
        <v>10803</v>
      </c>
      <c r="X746" t="s">
        <v>10804</v>
      </c>
      <c r="Y746" t="s">
        <v>10805</v>
      </c>
      <c r="Z746" t="s">
        <v>10805</v>
      </c>
      <c r="AA746" t="s">
        <v>10805</v>
      </c>
      <c r="AB746" t="s">
        <v>10805</v>
      </c>
      <c r="AC746" t="s">
        <v>10806</v>
      </c>
      <c r="AD746" t="s">
        <v>10807</v>
      </c>
    </row>
    <row r="747" spans="1:30">
      <c r="A747" t="s">
        <v>10808</v>
      </c>
      <c r="B747">
        <v>1</v>
      </c>
      <c r="C747">
        <v>18</v>
      </c>
      <c r="D747">
        <v>2019</v>
      </c>
      <c r="E747" s="1">
        <v>43483</v>
      </c>
      <c r="F747" t="s">
        <v>10809</v>
      </c>
      <c r="G747">
        <v>0</v>
      </c>
      <c r="H747">
        <v>1</v>
      </c>
      <c r="I747">
        <v>1</v>
      </c>
      <c r="J747">
        <v>0</v>
      </c>
      <c r="L747" t="s">
        <v>10810</v>
      </c>
      <c r="M747" t="s">
        <v>10811</v>
      </c>
      <c r="N747" t="s">
        <v>10812</v>
      </c>
      <c r="O747" t="s">
        <v>10813</v>
      </c>
      <c r="P747" t="s">
        <v>10814</v>
      </c>
      <c r="Q747" t="s">
        <v>10814</v>
      </c>
      <c r="R747" t="s">
        <v>10815</v>
      </c>
      <c r="S747" t="s">
        <v>10816</v>
      </c>
      <c r="T747" s="2">
        <v>0.64583333333333337</v>
      </c>
      <c r="U747">
        <v>1</v>
      </c>
      <c r="V747" t="s">
        <v>10817</v>
      </c>
      <c r="W747" t="s">
        <v>10818</v>
      </c>
      <c r="X747" t="s">
        <v>10819</v>
      </c>
      <c r="Y747" t="s">
        <v>10820</v>
      </c>
      <c r="Z747" t="s">
        <v>10821</v>
      </c>
      <c r="AA747" t="s">
        <v>10821</v>
      </c>
      <c r="AB747" t="s">
        <v>10821</v>
      </c>
      <c r="AC747" t="s">
        <v>10821</v>
      </c>
      <c r="AD747" t="s">
        <v>10821</v>
      </c>
    </row>
    <row r="748" spans="1:30">
      <c r="A748" t="s">
        <v>10822</v>
      </c>
      <c r="B748">
        <v>1</v>
      </c>
      <c r="C748">
        <v>11</v>
      </c>
      <c r="D748">
        <v>2019</v>
      </c>
      <c r="E748" s="1">
        <v>43476</v>
      </c>
      <c r="F748" t="s">
        <v>10823</v>
      </c>
      <c r="G748">
        <v>1</v>
      </c>
      <c r="H748">
        <v>0</v>
      </c>
      <c r="I748">
        <v>1</v>
      </c>
      <c r="J748">
        <v>0</v>
      </c>
      <c r="L748" t="s">
        <v>10824</v>
      </c>
      <c r="M748" t="s">
        <v>10825</v>
      </c>
      <c r="N748" t="s">
        <v>10826</v>
      </c>
      <c r="O748" t="s">
        <v>10827</v>
      </c>
      <c r="P748" t="s">
        <v>10828</v>
      </c>
      <c r="Q748" t="s">
        <v>10829</v>
      </c>
      <c r="R748" t="s">
        <v>10830</v>
      </c>
      <c r="S748" t="s">
        <v>10831</v>
      </c>
      <c r="T748" s="2">
        <v>0.43541666666666667</v>
      </c>
      <c r="U748">
        <v>1</v>
      </c>
      <c r="V748" t="s">
        <v>10832</v>
      </c>
      <c r="W748" t="s">
        <v>10833</v>
      </c>
      <c r="X748" t="s">
        <v>10834</v>
      </c>
      <c r="Y748" t="s">
        <v>10835</v>
      </c>
      <c r="Z748" t="s">
        <v>10835</v>
      </c>
      <c r="AA748" t="s">
        <v>10835</v>
      </c>
      <c r="AB748" t="s">
        <v>10835</v>
      </c>
      <c r="AC748" t="s">
        <v>10835</v>
      </c>
      <c r="AD748" t="s">
        <v>10835</v>
      </c>
    </row>
    <row r="749" spans="1:30">
      <c r="A749" t="s">
        <v>10836</v>
      </c>
      <c r="B749">
        <v>1</v>
      </c>
      <c r="C749">
        <v>7</v>
      </c>
      <c r="D749">
        <v>2019</v>
      </c>
      <c r="E749" s="1">
        <v>43472</v>
      </c>
      <c r="F749" t="s">
        <v>10837</v>
      </c>
      <c r="G749">
        <v>1</v>
      </c>
      <c r="H749">
        <v>0</v>
      </c>
      <c r="I749">
        <v>1</v>
      </c>
      <c r="J749">
        <v>0</v>
      </c>
      <c r="L749" t="s">
        <v>10838</v>
      </c>
      <c r="M749" t="s">
        <v>10839</v>
      </c>
      <c r="N749" t="s">
        <v>10840</v>
      </c>
      <c r="O749" t="s">
        <v>10841</v>
      </c>
      <c r="P749" t="s">
        <v>10842</v>
      </c>
      <c r="Q749" t="s">
        <v>10843</v>
      </c>
      <c r="R749" t="s">
        <v>10844</v>
      </c>
      <c r="S749" t="s">
        <v>10845</v>
      </c>
      <c r="T749" s="2">
        <v>0.95833333333333337</v>
      </c>
      <c r="U749">
        <v>1</v>
      </c>
      <c r="V749" t="s">
        <v>10846</v>
      </c>
      <c r="W749" t="s">
        <v>10847</v>
      </c>
      <c r="X749" t="s">
        <v>10848</v>
      </c>
      <c r="Z749" t="s">
        <v>10849</v>
      </c>
      <c r="AA749" t="s">
        <v>10849</v>
      </c>
      <c r="AB749" t="s">
        <v>10849</v>
      </c>
      <c r="AC749" t="s">
        <v>10849</v>
      </c>
      <c r="AD749" t="s">
        <v>10849</v>
      </c>
    </row>
    <row r="750" spans="1:30">
      <c r="A750" t="s">
        <v>10850</v>
      </c>
      <c r="B750">
        <v>12</v>
      </c>
      <c r="C750">
        <v>18</v>
      </c>
      <c r="D750">
        <v>2018</v>
      </c>
      <c r="E750" s="1">
        <v>43452</v>
      </c>
      <c r="F750" t="s">
        <v>10851</v>
      </c>
      <c r="G750">
        <v>0</v>
      </c>
      <c r="H750">
        <v>0</v>
      </c>
      <c r="I750">
        <v>0</v>
      </c>
      <c r="J750">
        <v>0</v>
      </c>
      <c r="L750" t="s">
        <v>10852</v>
      </c>
      <c r="M750" t="s">
        <v>10853</v>
      </c>
      <c r="N750" t="s">
        <v>10854</v>
      </c>
      <c r="O750" t="s">
        <v>10855</v>
      </c>
      <c r="P750" t="s">
        <v>10856</v>
      </c>
      <c r="Q750" t="s">
        <v>10857</v>
      </c>
      <c r="R750" t="s">
        <v>10858</v>
      </c>
      <c r="S750" t="s">
        <v>10859</v>
      </c>
      <c r="T750" s="2">
        <v>0.82291666666666663</v>
      </c>
      <c r="U750">
        <v>1</v>
      </c>
      <c r="V750" t="s">
        <v>10860</v>
      </c>
      <c r="W750" t="s">
        <v>10861</v>
      </c>
      <c r="Z750" t="s">
        <v>10862</v>
      </c>
      <c r="AA750" t="s">
        <v>10862</v>
      </c>
      <c r="AB750" t="s">
        <v>10862</v>
      </c>
      <c r="AC750" t="s">
        <v>10862</v>
      </c>
      <c r="AD750" t="s">
        <v>10862</v>
      </c>
    </row>
    <row r="751" spans="1:30">
      <c r="A751" t="s">
        <v>10863</v>
      </c>
      <c r="B751">
        <v>12</v>
      </c>
      <c r="C751">
        <v>14</v>
      </c>
      <c r="D751">
        <v>2018</v>
      </c>
      <c r="E751" s="1">
        <v>43448</v>
      </c>
      <c r="F751" t="s">
        <v>10864</v>
      </c>
      <c r="G751">
        <v>0</v>
      </c>
      <c r="H751">
        <v>0</v>
      </c>
      <c r="I751">
        <v>0</v>
      </c>
      <c r="J751">
        <v>0</v>
      </c>
      <c r="L751" t="s">
        <v>10865</v>
      </c>
      <c r="M751" t="s">
        <v>10866</v>
      </c>
      <c r="N751" t="s">
        <v>10867</v>
      </c>
      <c r="O751" t="s">
        <v>10868</v>
      </c>
      <c r="P751" t="s">
        <v>10869</v>
      </c>
      <c r="Q751" t="s">
        <v>10870</v>
      </c>
      <c r="R751" t="s">
        <v>10871</v>
      </c>
      <c r="S751" t="s">
        <v>10872</v>
      </c>
      <c r="T751" s="2">
        <v>0.625</v>
      </c>
      <c r="U751">
        <v>1</v>
      </c>
      <c r="V751" t="s">
        <v>10873</v>
      </c>
      <c r="W751" t="s">
        <v>10874</v>
      </c>
      <c r="X751" t="s">
        <v>10875</v>
      </c>
      <c r="Z751" t="s">
        <v>10876</v>
      </c>
      <c r="AA751" t="s">
        <v>10876</v>
      </c>
      <c r="AD751" t="s">
        <v>10876</v>
      </c>
    </row>
    <row r="752" spans="1:30">
      <c r="A752" t="s">
        <v>10877</v>
      </c>
      <c r="B752">
        <v>12</v>
      </c>
      <c r="C752">
        <v>13</v>
      </c>
      <c r="D752">
        <v>2018</v>
      </c>
      <c r="E752" s="1">
        <v>43447</v>
      </c>
      <c r="F752" t="s">
        <v>10878</v>
      </c>
      <c r="G752">
        <v>0</v>
      </c>
      <c r="H752">
        <v>0</v>
      </c>
      <c r="I752">
        <v>0</v>
      </c>
      <c r="J752">
        <v>1</v>
      </c>
      <c r="K752" t="s">
        <v>10879</v>
      </c>
      <c r="L752" t="s">
        <v>10880</v>
      </c>
      <c r="M752" t="s">
        <v>10881</v>
      </c>
      <c r="N752" t="s">
        <v>10882</v>
      </c>
      <c r="O752" t="s">
        <v>10883</v>
      </c>
      <c r="P752" t="s">
        <v>10884</v>
      </c>
      <c r="Q752" t="s">
        <v>10885</v>
      </c>
      <c r="R752" t="s">
        <v>10886</v>
      </c>
      <c r="S752" t="s">
        <v>10887</v>
      </c>
      <c r="T752" s="2">
        <v>0.33333333333333331</v>
      </c>
      <c r="V752" t="s">
        <v>10888</v>
      </c>
      <c r="W752" t="s">
        <v>10889</v>
      </c>
      <c r="Y752" t="s">
        <v>10890</v>
      </c>
      <c r="Z752" t="s">
        <v>10890</v>
      </c>
      <c r="AA752" t="s">
        <v>10890</v>
      </c>
      <c r="AB752" t="s">
        <v>10891</v>
      </c>
      <c r="AC752" t="s">
        <v>10892</v>
      </c>
      <c r="AD752" t="s">
        <v>10893</v>
      </c>
    </row>
    <row r="753" spans="1:30">
      <c r="A753" t="s">
        <v>10894</v>
      </c>
      <c r="B753">
        <v>12</v>
      </c>
      <c r="C753">
        <v>11</v>
      </c>
      <c r="D753">
        <v>2018</v>
      </c>
      <c r="E753" s="1">
        <v>43445</v>
      </c>
      <c r="F753" t="s">
        <v>10895</v>
      </c>
      <c r="G753">
        <v>0</v>
      </c>
      <c r="H753">
        <v>2</v>
      </c>
      <c r="I753">
        <v>2</v>
      </c>
      <c r="J753">
        <v>0</v>
      </c>
      <c r="L753" t="s">
        <v>10896</v>
      </c>
      <c r="M753" t="s">
        <v>10897</v>
      </c>
      <c r="N753" t="s">
        <v>10898</v>
      </c>
      <c r="O753" t="s">
        <v>10899</v>
      </c>
      <c r="P753" t="s">
        <v>10900</v>
      </c>
      <c r="Q753" t="s">
        <v>10901</v>
      </c>
      <c r="R753" t="s">
        <v>10902</v>
      </c>
      <c r="S753" t="s">
        <v>10903</v>
      </c>
      <c r="T753" s="2">
        <v>0.8618055555555556</v>
      </c>
      <c r="U753">
        <v>1</v>
      </c>
      <c r="V753" t="s">
        <v>10904</v>
      </c>
      <c r="W753" t="s">
        <v>10905</v>
      </c>
      <c r="Y753" t="s">
        <v>10906</v>
      </c>
      <c r="Z753" t="s">
        <v>10907</v>
      </c>
      <c r="AA753" t="s">
        <v>10907</v>
      </c>
      <c r="AB753" t="s">
        <v>10907</v>
      </c>
      <c r="AC753" t="s">
        <v>10907</v>
      </c>
      <c r="AD753" t="s">
        <v>10907</v>
      </c>
    </row>
    <row r="754" spans="1:30">
      <c r="A754" t="s">
        <v>10908</v>
      </c>
      <c r="B754">
        <v>12</v>
      </c>
      <c r="C754">
        <v>10</v>
      </c>
      <c r="D754">
        <v>2018</v>
      </c>
      <c r="E754" s="1">
        <v>43444</v>
      </c>
      <c r="F754" t="s">
        <v>10909</v>
      </c>
      <c r="G754">
        <v>0</v>
      </c>
      <c r="H754">
        <v>0</v>
      </c>
      <c r="I754">
        <v>0</v>
      </c>
      <c r="J754">
        <v>1</v>
      </c>
      <c r="L754" t="s">
        <v>10910</v>
      </c>
      <c r="M754" t="s">
        <v>10911</v>
      </c>
      <c r="N754" t="s">
        <v>10912</v>
      </c>
      <c r="O754" t="s">
        <v>10913</v>
      </c>
      <c r="P754" t="s">
        <v>10914</v>
      </c>
      <c r="Q754" t="s">
        <v>10915</v>
      </c>
      <c r="R754" t="s">
        <v>10916</v>
      </c>
      <c r="S754" t="s">
        <v>10917</v>
      </c>
      <c r="T754" s="2">
        <v>0.40902777777777777</v>
      </c>
      <c r="U754">
        <v>1</v>
      </c>
      <c r="V754" t="s">
        <v>10918</v>
      </c>
      <c r="W754" t="s">
        <v>10919</v>
      </c>
      <c r="X754" t="s">
        <v>10920</v>
      </c>
      <c r="Y754" t="s">
        <v>10921</v>
      </c>
      <c r="Z754" t="s">
        <v>10921</v>
      </c>
      <c r="AA754" t="s">
        <v>10921</v>
      </c>
      <c r="AC754" t="s">
        <v>10921</v>
      </c>
      <c r="AD754" t="s">
        <v>10921</v>
      </c>
    </row>
    <row r="755" spans="1:30">
      <c r="A755" t="s">
        <v>10922</v>
      </c>
      <c r="B755">
        <v>11</v>
      </c>
      <c r="C755">
        <v>28</v>
      </c>
      <c r="D755">
        <v>2018</v>
      </c>
      <c r="E755" s="1">
        <v>43432</v>
      </c>
      <c r="F755" t="s">
        <v>10923</v>
      </c>
      <c r="G755">
        <v>0</v>
      </c>
      <c r="H755">
        <v>0</v>
      </c>
      <c r="I755">
        <v>0</v>
      </c>
      <c r="J755">
        <v>0</v>
      </c>
      <c r="L755" t="s">
        <v>10924</v>
      </c>
      <c r="M755" t="s">
        <v>10925</v>
      </c>
      <c r="N755" t="s">
        <v>10926</v>
      </c>
      <c r="O755" t="s">
        <v>10927</v>
      </c>
      <c r="P755" t="s">
        <v>10928</v>
      </c>
      <c r="Q755" t="s">
        <v>10929</v>
      </c>
      <c r="R755" t="s">
        <v>10930</v>
      </c>
      <c r="S755" t="s">
        <v>10931</v>
      </c>
      <c r="T755" s="2">
        <v>0.64583333333333337</v>
      </c>
      <c r="U755">
        <v>1</v>
      </c>
      <c r="V755" t="s">
        <v>10932</v>
      </c>
      <c r="W755" t="s">
        <v>10933</v>
      </c>
      <c r="X755" t="s">
        <v>10934</v>
      </c>
      <c r="Z755" t="s">
        <v>10935</v>
      </c>
      <c r="AA755" t="s">
        <v>10935</v>
      </c>
      <c r="AB755" t="s">
        <v>10935</v>
      </c>
      <c r="AC755" t="s">
        <v>10935</v>
      </c>
      <c r="AD755" t="s">
        <v>10935</v>
      </c>
    </row>
    <row r="756" spans="1:30">
      <c r="A756" t="s">
        <v>10936</v>
      </c>
      <c r="B756">
        <v>11</v>
      </c>
      <c r="C756">
        <v>24</v>
      </c>
      <c r="D756">
        <v>2018</v>
      </c>
      <c r="E756" s="1">
        <v>43428</v>
      </c>
      <c r="F756" t="s">
        <v>10937</v>
      </c>
      <c r="G756">
        <v>0</v>
      </c>
      <c r="H756">
        <v>2</v>
      </c>
      <c r="I756">
        <v>2</v>
      </c>
      <c r="J756">
        <v>0</v>
      </c>
      <c r="L756" t="s">
        <v>10938</v>
      </c>
      <c r="M756" t="s">
        <v>10939</v>
      </c>
      <c r="N756" t="s">
        <v>10940</v>
      </c>
      <c r="O756" t="s">
        <v>10941</v>
      </c>
      <c r="P756" t="s">
        <v>10942</v>
      </c>
      <c r="Q756" t="s">
        <v>10942</v>
      </c>
      <c r="R756" t="s">
        <v>10943</v>
      </c>
      <c r="S756" t="s">
        <v>10944</v>
      </c>
      <c r="T756" s="2">
        <v>0.75</v>
      </c>
      <c r="U756">
        <v>1</v>
      </c>
      <c r="V756" t="s">
        <v>10945</v>
      </c>
      <c r="W756" t="s">
        <v>10946</v>
      </c>
      <c r="X756" t="s">
        <v>10947</v>
      </c>
      <c r="Z756" t="s">
        <v>10948</v>
      </c>
      <c r="AA756" t="s">
        <v>10948</v>
      </c>
      <c r="AB756" t="s">
        <v>10948</v>
      </c>
      <c r="AC756" t="s">
        <v>10948</v>
      </c>
      <c r="AD756" t="s">
        <v>10948</v>
      </c>
    </row>
    <row r="757" spans="1:30">
      <c r="A757" t="s">
        <v>10949</v>
      </c>
      <c r="B757">
        <v>11</v>
      </c>
      <c r="C757">
        <v>22</v>
      </c>
      <c r="D757">
        <v>2018</v>
      </c>
      <c r="E757" s="1">
        <v>43426</v>
      </c>
      <c r="F757" t="s">
        <v>10950</v>
      </c>
      <c r="G757">
        <v>1</v>
      </c>
      <c r="H757">
        <v>0</v>
      </c>
      <c r="I757">
        <v>1</v>
      </c>
      <c r="J757">
        <v>0</v>
      </c>
      <c r="L757" t="s">
        <v>10951</v>
      </c>
      <c r="M757" t="s">
        <v>10952</v>
      </c>
      <c r="N757" t="s">
        <v>10953</v>
      </c>
      <c r="O757" t="s">
        <v>10954</v>
      </c>
      <c r="P757" t="s">
        <v>10955</v>
      </c>
      <c r="Q757" t="s">
        <v>10956</v>
      </c>
      <c r="R757" t="s">
        <v>10957</v>
      </c>
      <c r="S757" t="s">
        <v>10958</v>
      </c>
      <c r="T757" s="2">
        <v>0.39583333333333331</v>
      </c>
      <c r="U757">
        <v>1</v>
      </c>
      <c r="V757" t="s">
        <v>10959</v>
      </c>
      <c r="W757" t="s">
        <v>10960</v>
      </c>
      <c r="X757" t="s">
        <v>10961</v>
      </c>
      <c r="Y757" t="s">
        <v>10962</v>
      </c>
      <c r="Z757" t="s">
        <v>10963</v>
      </c>
      <c r="AA757" t="s">
        <v>10963</v>
      </c>
      <c r="AB757" t="s">
        <v>10963</v>
      </c>
      <c r="AC757" t="s">
        <v>10963</v>
      </c>
      <c r="AD757" t="s">
        <v>10963</v>
      </c>
    </row>
    <row r="758" spans="1:30">
      <c r="A758" t="s">
        <v>10964</v>
      </c>
      <c r="B758">
        <v>11</v>
      </c>
      <c r="C758">
        <v>22</v>
      </c>
      <c r="D758">
        <v>2018</v>
      </c>
      <c r="E758" s="1">
        <v>43426</v>
      </c>
      <c r="F758" t="s">
        <v>10965</v>
      </c>
      <c r="G758">
        <v>0</v>
      </c>
      <c r="H758">
        <v>1</v>
      </c>
      <c r="I758">
        <v>1</v>
      </c>
      <c r="J758">
        <v>0</v>
      </c>
      <c r="L758" t="s">
        <v>10966</v>
      </c>
      <c r="M758" t="s">
        <v>10967</v>
      </c>
      <c r="N758" t="s">
        <v>10968</v>
      </c>
      <c r="O758" t="s">
        <v>10969</v>
      </c>
      <c r="P758" t="s">
        <v>10970</v>
      </c>
      <c r="Q758" t="s">
        <v>10971</v>
      </c>
      <c r="R758" t="s">
        <v>10972</v>
      </c>
      <c r="S758" t="s">
        <v>10973</v>
      </c>
      <c r="T758" s="2">
        <v>0.5</v>
      </c>
      <c r="U758">
        <v>1</v>
      </c>
      <c r="V758" t="s">
        <v>10974</v>
      </c>
      <c r="W758" t="s">
        <v>10975</v>
      </c>
      <c r="X758" t="s">
        <v>10976</v>
      </c>
      <c r="Y758" t="s">
        <v>10977</v>
      </c>
      <c r="Z758" t="s">
        <v>10978</v>
      </c>
      <c r="AA758" t="s">
        <v>10978</v>
      </c>
      <c r="AB758" t="s">
        <v>10978</v>
      </c>
      <c r="AC758" t="s">
        <v>10978</v>
      </c>
      <c r="AD758" t="s">
        <v>10978</v>
      </c>
    </row>
    <row r="759" spans="1:30">
      <c r="A759" t="s">
        <v>10979</v>
      </c>
      <c r="B759">
        <v>11</v>
      </c>
      <c r="C759">
        <v>21</v>
      </c>
      <c r="D759">
        <v>2018</v>
      </c>
      <c r="E759" s="1">
        <v>43425</v>
      </c>
      <c r="F759" t="s">
        <v>10980</v>
      </c>
      <c r="G759">
        <v>0</v>
      </c>
      <c r="H759">
        <v>0</v>
      </c>
      <c r="I759">
        <v>0</v>
      </c>
      <c r="J759">
        <v>0</v>
      </c>
      <c r="L759" t="s">
        <v>10981</v>
      </c>
      <c r="M759" t="s">
        <v>10982</v>
      </c>
      <c r="N759" t="s">
        <v>10983</v>
      </c>
      <c r="O759" t="s">
        <v>10984</v>
      </c>
      <c r="P759" t="s">
        <v>10985</v>
      </c>
      <c r="Q759" t="s">
        <v>10986</v>
      </c>
      <c r="R759" t="s">
        <v>10987</v>
      </c>
      <c r="S759" t="s">
        <v>10988</v>
      </c>
      <c r="T759" s="2">
        <v>0.36458333333333331</v>
      </c>
      <c r="V759" t="s">
        <v>10989</v>
      </c>
      <c r="W759" t="s">
        <v>10990</v>
      </c>
      <c r="X759" t="s">
        <v>10991</v>
      </c>
      <c r="Y759" t="s">
        <v>10992</v>
      </c>
      <c r="Z759" t="s">
        <v>10992</v>
      </c>
      <c r="AA759" t="s">
        <v>10992</v>
      </c>
      <c r="AB759" t="s">
        <v>10992</v>
      </c>
      <c r="AC759" t="s">
        <v>10992</v>
      </c>
      <c r="AD759" t="s">
        <v>10992</v>
      </c>
    </row>
    <row r="760" spans="1:30">
      <c r="A760" t="s">
        <v>10993</v>
      </c>
      <c r="B760">
        <v>11</v>
      </c>
      <c r="C760">
        <v>20</v>
      </c>
      <c r="D760">
        <v>2018</v>
      </c>
      <c r="E760" s="1">
        <v>43424</v>
      </c>
      <c r="F760" t="s">
        <v>10994</v>
      </c>
      <c r="G760">
        <v>0</v>
      </c>
      <c r="H760">
        <v>1</v>
      </c>
      <c r="I760">
        <v>1</v>
      </c>
      <c r="J760">
        <v>0</v>
      </c>
      <c r="L760" t="s">
        <v>10995</v>
      </c>
      <c r="M760" t="s">
        <v>10996</v>
      </c>
      <c r="N760" t="s">
        <v>10997</v>
      </c>
      <c r="O760" t="s">
        <v>10998</v>
      </c>
      <c r="P760" t="s">
        <v>10999</v>
      </c>
      <c r="Q760" t="s">
        <v>11000</v>
      </c>
      <c r="R760" t="s">
        <v>11001</v>
      </c>
      <c r="S760" t="s">
        <v>11002</v>
      </c>
      <c r="T760" s="2">
        <v>0.66666666666666663</v>
      </c>
      <c r="U760">
        <v>1</v>
      </c>
      <c r="V760" t="s">
        <v>11003</v>
      </c>
      <c r="W760" t="s">
        <v>11004</v>
      </c>
      <c r="X760" t="s">
        <v>11005</v>
      </c>
      <c r="Y760" t="s">
        <v>11006</v>
      </c>
      <c r="Z760" t="s">
        <v>11006</v>
      </c>
      <c r="AA760" t="s">
        <v>11006</v>
      </c>
      <c r="AB760" t="s">
        <v>11006</v>
      </c>
      <c r="AC760" t="s">
        <v>11006</v>
      </c>
      <c r="AD760" t="s">
        <v>11006</v>
      </c>
    </row>
    <row r="761" spans="1:30">
      <c r="A761" t="s">
        <v>11007</v>
      </c>
      <c r="B761">
        <v>11</v>
      </c>
      <c r="C761">
        <v>12</v>
      </c>
      <c r="D761">
        <v>2018</v>
      </c>
      <c r="E761" s="1">
        <v>43416</v>
      </c>
      <c r="F761" t="s">
        <v>11008</v>
      </c>
      <c r="G761">
        <v>0</v>
      </c>
      <c r="H761">
        <v>0</v>
      </c>
      <c r="I761">
        <v>0</v>
      </c>
      <c r="J761">
        <v>1</v>
      </c>
      <c r="L761" t="s">
        <v>11009</v>
      </c>
      <c r="M761" t="s">
        <v>11010</v>
      </c>
      <c r="N761" t="s">
        <v>11011</v>
      </c>
      <c r="O761" t="s">
        <v>11012</v>
      </c>
      <c r="P761" t="s">
        <v>11013</v>
      </c>
      <c r="Q761" t="s">
        <v>11014</v>
      </c>
      <c r="R761" t="s">
        <v>11015</v>
      </c>
      <c r="S761" t="s">
        <v>11016</v>
      </c>
      <c r="T761" s="2">
        <v>0.51597222222222228</v>
      </c>
      <c r="U761">
        <v>1</v>
      </c>
      <c r="V761" t="s">
        <v>11017</v>
      </c>
      <c r="W761" t="s">
        <v>11018</v>
      </c>
      <c r="X761" t="s">
        <v>11019</v>
      </c>
      <c r="Y761" t="s">
        <v>11020</v>
      </c>
      <c r="Z761" t="s">
        <v>11020</v>
      </c>
      <c r="AA761" t="s">
        <v>11020</v>
      </c>
      <c r="AB761" t="s">
        <v>11020</v>
      </c>
      <c r="AC761" t="s">
        <v>11020</v>
      </c>
      <c r="AD761" t="s">
        <v>11020</v>
      </c>
    </row>
    <row r="762" spans="1:30">
      <c r="A762" t="s">
        <v>11021</v>
      </c>
      <c r="B762">
        <v>11</v>
      </c>
      <c r="C762">
        <v>9</v>
      </c>
      <c r="D762">
        <v>2018</v>
      </c>
      <c r="E762" s="1">
        <v>43413</v>
      </c>
      <c r="F762" t="s">
        <v>11022</v>
      </c>
      <c r="G762">
        <v>0</v>
      </c>
      <c r="H762">
        <v>0</v>
      </c>
      <c r="I762">
        <v>0</v>
      </c>
      <c r="J762">
        <v>0</v>
      </c>
      <c r="L762" t="s">
        <v>11023</v>
      </c>
      <c r="M762" t="s">
        <v>11024</v>
      </c>
      <c r="N762" t="s">
        <v>11025</v>
      </c>
      <c r="O762" t="s">
        <v>11026</v>
      </c>
      <c r="P762" t="s">
        <v>11027</v>
      </c>
      <c r="Q762" t="s">
        <v>11028</v>
      </c>
      <c r="R762" t="s">
        <v>11029</v>
      </c>
      <c r="U762">
        <v>1</v>
      </c>
      <c r="V762" t="s">
        <v>11030</v>
      </c>
      <c r="W762" t="s">
        <v>11031</v>
      </c>
      <c r="X762" t="s">
        <v>11032</v>
      </c>
      <c r="Y762" t="s">
        <v>11033</v>
      </c>
      <c r="Z762" t="s">
        <v>11034</v>
      </c>
      <c r="AA762" t="s">
        <v>11034</v>
      </c>
      <c r="AB762" t="s">
        <v>11034</v>
      </c>
      <c r="AC762" t="s">
        <v>11034</v>
      </c>
      <c r="AD762" t="s">
        <v>11034</v>
      </c>
    </row>
    <row r="763" spans="1:30">
      <c r="A763" t="s">
        <v>11035</v>
      </c>
      <c r="B763">
        <v>11</v>
      </c>
      <c r="C763">
        <v>8</v>
      </c>
      <c r="D763">
        <v>2018</v>
      </c>
      <c r="E763" s="1">
        <v>43412</v>
      </c>
      <c r="F763" t="s">
        <v>11036</v>
      </c>
      <c r="G763">
        <v>0</v>
      </c>
      <c r="H763">
        <v>1</v>
      </c>
      <c r="I763">
        <v>1</v>
      </c>
      <c r="J763">
        <v>0</v>
      </c>
      <c r="L763" t="s">
        <v>11037</v>
      </c>
      <c r="M763" t="s">
        <v>11038</v>
      </c>
      <c r="N763" t="s">
        <v>11039</v>
      </c>
      <c r="O763" t="s">
        <v>11040</v>
      </c>
      <c r="P763" t="s">
        <v>11041</v>
      </c>
      <c r="Q763" t="s">
        <v>11041</v>
      </c>
      <c r="R763" t="s">
        <v>11042</v>
      </c>
      <c r="S763" t="s">
        <v>11043</v>
      </c>
      <c r="T763" s="2">
        <v>8.3333333333333329E-2</v>
      </c>
      <c r="U763">
        <v>1</v>
      </c>
      <c r="V763" t="s">
        <v>11044</v>
      </c>
      <c r="W763" t="s">
        <v>11045</v>
      </c>
      <c r="X763" t="s">
        <v>11046</v>
      </c>
      <c r="Y763" t="s">
        <v>11047</v>
      </c>
      <c r="Z763" t="s">
        <v>11048</v>
      </c>
      <c r="AA763" t="s">
        <v>11048</v>
      </c>
      <c r="AB763" t="s">
        <v>11048</v>
      </c>
      <c r="AC763" t="s">
        <v>11048</v>
      </c>
      <c r="AD763" t="s">
        <v>11048</v>
      </c>
    </row>
    <row r="764" spans="1:30">
      <c r="A764" t="s">
        <v>11049</v>
      </c>
      <c r="B764">
        <v>11</v>
      </c>
      <c r="C764">
        <v>5</v>
      </c>
      <c r="D764">
        <v>2018</v>
      </c>
      <c r="E764" s="1">
        <v>43409</v>
      </c>
      <c r="F764" t="s">
        <v>11050</v>
      </c>
      <c r="G764">
        <v>0</v>
      </c>
      <c r="H764">
        <v>0</v>
      </c>
      <c r="I764">
        <v>0</v>
      </c>
      <c r="J764">
        <v>0</v>
      </c>
      <c r="L764" t="s">
        <v>11051</v>
      </c>
      <c r="M764" t="s">
        <v>11052</v>
      </c>
      <c r="N764" t="s">
        <v>11053</v>
      </c>
      <c r="O764" t="s">
        <v>11054</v>
      </c>
      <c r="P764" t="s">
        <v>11055</v>
      </c>
      <c r="Q764" t="s">
        <v>11056</v>
      </c>
      <c r="R764" t="s">
        <v>11057</v>
      </c>
      <c r="S764" t="s">
        <v>11058</v>
      </c>
      <c r="T764" s="2">
        <v>0.45833333333333331</v>
      </c>
      <c r="U764">
        <v>1</v>
      </c>
      <c r="V764" t="s">
        <v>11059</v>
      </c>
      <c r="W764" t="s">
        <v>11060</v>
      </c>
      <c r="Y764" t="s">
        <v>11061</v>
      </c>
      <c r="Z764" t="s">
        <v>11061</v>
      </c>
      <c r="AA764" t="s">
        <v>11061</v>
      </c>
      <c r="AC764" t="s">
        <v>11061</v>
      </c>
      <c r="AD764" t="s">
        <v>11061</v>
      </c>
    </row>
    <row r="765" spans="1:30">
      <c r="A765" t="s">
        <v>11062</v>
      </c>
      <c r="B765">
        <v>11</v>
      </c>
      <c r="C765">
        <v>4</v>
      </c>
      <c r="D765">
        <v>2018</v>
      </c>
      <c r="E765" s="1">
        <v>43408</v>
      </c>
      <c r="F765" t="s">
        <v>11063</v>
      </c>
      <c r="G765">
        <v>1</v>
      </c>
      <c r="H765">
        <v>1</v>
      </c>
      <c r="I765">
        <v>2</v>
      </c>
      <c r="J765">
        <v>0</v>
      </c>
      <c r="L765" t="s">
        <v>11064</v>
      </c>
      <c r="M765" t="s">
        <v>11065</v>
      </c>
      <c r="N765" t="s">
        <v>11066</v>
      </c>
      <c r="O765" t="s">
        <v>11067</v>
      </c>
      <c r="P765" t="s">
        <v>11068</v>
      </c>
      <c r="Q765" t="s">
        <v>11069</v>
      </c>
      <c r="R765" t="s">
        <v>11070</v>
      </c>
      <c r="S765" t="s">
        <v>11071</v>
      </c>
      <c r="T765" s="2">
        <v>0.74791666666666667</v>
      </c>
      <c r="U765">
        <v>1</v>
      </c>
      <c r="V765" t="s">
        <v>11072</v>
      </c>
      <c r="W765" t="s">
        <v>11073</v>
      </c>
      <c r="Y765" t="s">
        <v>11074</v>
      </c>
      <c r="Z765" t="s">
        <v>11074</v>
      </c>
      <c r="AA765" t="s">
        <v>11074</v>
      </c>
      <c r="AB765" t="s">
        <v>11074</v>
      </c>
      <c r="AC765" t="s">
        <v>11074</v>
      </c>
      <c r="AD765" t="s">
        <v>11074</v>
      </c>
    </row>
    <row r="766" spans="1:30">
      <c r="A766" t="s">
        <v>11075</v>
      </c>
      <c r="B766">
        <v>10</v>
      </c>
      <c r="C766">
        <v>29</v>
      </c>
      <c r="D766">
        <v>2018</v>
      </c>
      <c r="E766" s="1">
        <v>43402</v>
      </c>
      <c r="F766" t="s">
        <v>11076</v>
      </c>
      <c r="G766">
        <v>1</v>
      </c>
      <c r="H766">
        <v>0</v>
      </c>
      <c r="I766">
        <v>1</v>
      </c>
      <c r="J766">
        <v>0</v>
      </c>
      <c r="K766" t="s">
        <v>11077</v>
      </c>
      <c r="L766" t="s">
        <v>11078</v>
      </c>
      <c r="M766" t="s">
        <v>11079</v>
      </c>
      <c r="N766" t="s">
        <v>11080</v>
      </c>
      <c r="O766" t="s">
        <v>11081</v>
      </c>
      <c r="P766" t="s">
        <v>11082</v>
      </c>
      <c r="Q766" t="s">
        <v>11083</v>
      </c>
      <c r="R766" t="s">
        <v>11084</v>
      </c>
      <c r="S766" t="s">
        <v>11085</v>
      </c>
      <c r="T766" s="2">
        <v>0.30208333333333337</v>
      </c>
      <c r="U766">
        <v>1</v>
      </c>
      <c r="V766" t="s">
        <v>11086</v>
      </c>
      <c r="W766" t="s">
        <v>11087</v>
      </c>
      <c r="X766" t="s">
        <v>11088</v>
      </c>
      <c r="Y766" t="s">
        <v>11089</v>
      </c>
      <c r="Z766" t="s">
        <v>11089</v>
      </c>
      <c r="AA766" t="s">
        <v>11089</v>
      </c>
      <c r="AB766" t="s">
        <v>11090</v>
      </c>
      <c r="AC766" t="s">
        <v>11091</v>
      </c>
      <c r="AD766" t="s">
        <v>11091</v>
      </c>
    </row>
    <row r="767" spans="1:30">
      <c r="A767" t="s">
        <v>11092</v>
      </c>
      <c r="B767">
        <v>10</v>
      </c>
      <c r="C767">
        <v>26</v>
      </c>
      <c r="D767">
        <v>2018</v>
      </c>
      <c r="E767" s="1">
        <v>43399</v>
      </c>
      <c r="F767" t="s">
        <v>11093</v>
      </c>
      <c r="G767">
        <v>1</v>
      </c>
      <c r="H767">
        <v>0</v>
      </c>
      <c r="I767">
        <v>1</v>
      </c>
      <c r="J767">
        <v>0</v>
      </c>
      <c r="K767" t="s">
        <v>11094</v>
      </c>
      <c r="L767" t="s">
        <v>11095</v>
      </c>
      <c r="M767" t="s">
        <v>11096</v>
      </c>
      <c r="N767" t="s">
        <v>11097</v>
      </c>
      <c r="O767" t="s">
        <v>11098</v>
      </c>
      <c r="P767" t="s">
        <v>11099</v>
      </c>
      <c r="Q767" t="s">
        <v>11100</v>
      </c>
      <c r="R767" t="s">
        <v>11101</v>
      </c>
      <c r="S767" t="s">
        <v>11102</v>
      </c>
      <c r="T767" s="2">
        <v>0.83333333333333337</v>
      </c>
      <c r="U767">
        <v>1</v>
      </c>
      <c r="V767" t="s">
        <v>11103</v>
      </c>
      <c r="W767" t="s">
        <v>11104</v>
      </c>
      <c r="X767" t="s">
        <v>11105</v>
      </c>
      <c r="Y767" t="s">
        <v>11106</v>
      </c>
      <c r="Z767" t="s">
        <v>11107</v>
      </c>
      <c r="AA767" t="s">
        <v>11107</v>
      </c>
      <c r="AB767" t="s">
        <v>11107</v>
      </c>
      <c r="AC767" t="s">
        <v>11107</v>
      </c>
      <c r="AD767" t="s">
        <v>11107</v>
      </c>
    </row>
    <row r="768" spans="1:30">
      <c r="A768" t="s">
        <v>11108</v>
      </c>
      <c r="B768">
        <v>10</v>
      </c>
      <c r="C768">
        <v>25</v>
      </c>
      <c r="D768">
        <v>2018</v>
      </c>
      <c r="E768" s="1">
        <v>43398</v>
      </c>
      <c r="F768" t="s">
        <v>11109</v>
      </c>
      <c r="G768">
        <v>0</v>
      </c>
      <c r="H768">
        <v>0</v>
      </c>
      <c r="I768">
        <v>0</v>
      </c>
      <c r="J768">
        <v>0</v>
      </c>
      <c r="L768" t="s">
        <v>11110</v>
      </c>
      <c r="M768" t="s">
        <v>11111</v>
      </c>
      <c r="N768" t="s">
        <v>11112</v>
      </c>
      <c r="O768" t="s">
        <v>11113</v>
      </c>
      <c r="P768" t="s">
        <v>11114</v>
      </c>
      <c r="Q768" t="s">
        <v>11114</v>
      </c>
      <c r="U768">
        <v>1</v>
      </c>
      <c r="V768" t="s">
        <v>11115</v>
      </c>
      <c r="W768" t="s">
        <v>11116</v>
      </c>
      <c r="X768" t="s">
        <v>11117</v>
      </c>
      <c r="Y768" t="s">
        <v>11118</v>
      </c>
      <c r="Z768" t="s">
        <v>11119</v>
      </c>
      <c r="AA768" t="s">
        <v>11119</v>
      </c>
      <c r="AB768" t="s">
        <v>11119</v>
      </c>
      <c r="AC768" t="s">
        <v>11119</v>
      </c>
      <c r="AD768" t="s">
        <v>11119</v>
      </c>
    </row>
    <row r="769" spans="1:30">
      <c r="A769" t="s">
        <v>11120</v>
      </c>
      <c r="B769">
        <v>10</v>
      </c>
      <c r="C769">
        <v>23</v>
      </c>
      <c r="D769">
        <v>2018</v>
      </c>
      <c r="E769" s="1">
        <v>43396</v>
      </c>
      <c r="F769" t="s">
        <v>11121</v>
      </c>
      <c r="G769">
        <v>0</v>
      </c>
      <c r="H769">
        <v>1</v>
      </c>
      <c r="I769">
        <v>1</v>
      </c>
      <c r="J769">
        <v>0</v>
      </c>
      <c r="L769" t="s">
        <v>11122</v>
      </c>
      <c r="M769" t="s">
        <v>11123</v>
      </c>
      <c r="N769" t="s">
        <v>11124</v>
      </c>
      <c r="O769" t="s">
        <v>11125</v>
      </c>
      <c r="P769" t="s">
        <v>11126</v>
      </c>
      <c r="Q769" t="s">
        <v>11127</v>
      </c>
      <c r="R769" t="s">
        <v>11128</v>
      </c>
      <c r="S769" t="s">
        <v>11129</v>
      </c>
      <c r="U769">
        <v>1</v>
      </c>
      <c r="V769" t="s">
        <v>11130</v>
      </c>
      <c r="W769" t="s">
        <v>11131</v>
      </c>
      <c r="X769" t="s">
        <v>11132</v>
      </c>
      <c r="Y769" t="s">
        <v>11133</v>
      </c>
      <c r="Z769" t="s">
        <v>11133</v>
      </c>
      <c r="AA769" t="s">
        <v>11133</v>
      </c>
      <c r="AC769" t="s">
        <v>11133</v>
      </c>
      <c r="AD769" t="s">
        <v>11133</v>
      </c>
    </row>
    <row r="770" spans="1:30">
      <c r="A770" t="s">
        <v>11134</v>
      </c>
      <c r="B770">
        <v>10</v>
      </c>
      <c r="C770">
        <v>22</v>
      </c>
      <c r="D770">
        <v>2018</v>
      </c>
      <c r="E770" s="1">
        <v>43395</v>
      </c>
      <c r="F770" t="s">
        <v>11135</v>
      </c>
      <c r="G770">
        <v>0</v>
      </c>
      <c r="H770">
        <v>0</v>
      </c>
      <c r="I770">
        <v>0</v>
      </c>
      <c r="J770">
        <v>0</v>
      </c>
      <c r="L770" t="s">
        <v>11136</v>
      </c>
      <c r="M770" t="s">
        <v>11137</v>
      </c>
      <c r="N770" t="s">
        <v>11138</v>
      </c>
      <c r="O770" t="s">
        <v>11139</v>
      </c>
      <c r="P770" t="s">
        <v>11140</v>
      </c>
      <c r="Q770" t="s">
        <v>11140</v>
      </c>
      <c r="R770" t="s">
        <v>11141</v>
      </c>
      <c r="S770" t="s">
        <v>11142</v>
      </c>
      <c r="T770" s="2">
        <v>0.33333333333333331</v>
      </c>
      <c r="U770">
        <v>1</v>
      </c>
      <c r="V770" t="s">
        <v>11143</v>
      </c>
      <c r="W770" t="s">
        <v>11144</v>
      </c>
      <c r="X770" t="s">
        <v>11145</v>
      </c>
      <c r="Y770" t="s">
        <v>11146</v>
      </c>
      <c r="Z770" t="s">
        <v>11146</v>
      </c>
      <c r="AA770" t="s">
        <v>11146</v>
      </c>
      <c r="AB770" t="s">
        <v>11146</v>
      </c>
      <c r="AC770" t="s">
        <v>11147</v>
      </c>
      <c r="AD770" t="s">
        <v>11148</v>
      </c>
    </row>
    <row r="771" spans="1:30">
      <c r="A771" t="s">
        <v>11149</v>
      </c>
      <c r="B771">
        <v>10</v>
      </c>
      <c r="C771">
        <v>20</v>
      </c>
      <c r="D771">
        <v>2018</v>
      </c>
      <c r="E771" s="1">
        <v>43393</v>
      </c>
      <c r="F771" t="s">
        <v>11150</v>
      </c>
      <c r="G771">
        <v>1</v>
      </c>
      <c r="H771">
        <v>0</v>
      </c>
      <c r="I771">
        <v>1</v>
      </c>
      <c r="J771">
        <v>0</v>
      </c>
      <c r="L771" t="s">
        <v>11151</v>
      </c>
      <c r="M771" t="s">
        <v>11152</v>
      </c>
      <c r="N771" t="s">
        <v>11153</v>
      </c>
      <c r="O771" t="s">
        <v>11154</v>
      </c>
      <c r="P771" t="s">
        <v>11155</v>
      </c>
      <c r="Q771" t="s">
        <v>11156</v>
      </c>
      <c r="R771" t="s">
        <v>11157</v>
      </c>
      <c r="S771" t="s">
        <v>11158</v>
      </c>
      <c r="T771" s="2">
        <v>0.625</v>
      </c>
      <c r="U771">
        <v>1</v>
      </c>
      <c r="V771" t="s">
        <v>11159</v>
      </c>
      <c r="W771" t="s">
        <v>11160</v>
      </c>
      <c r="X771" t="s">
        <v>11161</v>
      </c>
      <c r="Y771" t="s">
        <v>11162</v>
      </c>
      <c r="Z771" t="s">
        <v>11163</v>
      </c>
      <c r="AA771" t="s">
        <v>11163</v>
      </c>
      <c r="AB771" t="s">
        <v>11163</v>
      </c>
      <c r="AC771" t="s">
        <v>11163</v>
      </c>
      <c r="AD771" t="s">
        <v>11163</v>
      </c>
    </row>
    <row r="772" spans="1:30">
      <c r="A772" t="s">
        <v>11164</v>
      </c>
      <c r="B772">
        <v>10</v>
      </c>
      <c r="C772">
        <v>13</v>
      </c>
      <c r="D772">
        <v>2018</v>
      </c>
      <c r="E772" s="1">
        <v>43386</v>
      </c>
      <c r="F772" t="s">
        <v>11165</v>
      </c>
      <c r="G772">
        <v>1</v>
      </c>
      <c r="H772">
        <v>1</v>
      </c>
      <c r="I772">
        <v>2</v>
      </c>
      <c r="J772">
        <v>0</v>
      </c>
      <c r="L772" t="s">
        <v>11166</v>
      </c>
      <c r="M772" t="s">
        <v>11167</v>
      </c>
      <c r="N772" t="s">
        <v>11168</v>
      </c>
      <c r="O772" t="s">
        <v>11169</v>
      </c>
      <c r="P772" t="s">
        <v>11170</v>
      </c>
      <c r="Q772" t="s">
        <v>11171</v>
      </c>
      <c r="R772" t="s">
        <v>11172</v>
      </c>
      <c r="S772" t="s">
        <v>11173</v>
      </c>
      <c r="T772" s="2">
        <v>0.87777777777777777</v>
      </c>
      <c r="U772">
        <v>1</v>
      </c>
      <c r="V772" t="s">
        <v>11174</v>
      </c>
      <c r="W772" t="s">
        <v>11175</v>
      </c>
      <c r="X772" t="s">
        <v>11176</v>
      </c>
      <c r="Y772" t="s">
        <v>11177</v>
      </c>
      <c r="Z772" t="s">
        <v>11178</v>
      </c>
      <c r="AA772" t="s">
        <v>11178</v>
      </c>
      <c r="AB772" t="s">
        <v>11178</v>
      </c>
      <c r="AC772" t="s">
        <v>11178</v>
      </c>
      <c r="AD772" t="s">
        <v>11178</v>
      </c>
    </row>
    <row r="773" spans="1:30">
      <c r="A773" t="s">
        <v>11179</v>
      </c>
      <c r="B773">
        <v>10</v>
      </c>
      <c r="C773">
        <v>12</v>
      </c>
      <c r="D773">
        <v>2018</v>
      </c>
      <c r="E773" s="1">
        <v>43385</v>
      </c>
      <c r="F773" t="s">
        <v>11180</v>
      </c>
      <c r="G773">
        <v>0</v>
      </c>
      <c r="H773">
        <v>0</v>
      </c>
      <c r="I773">
        <v>0</v>
      </c>
      <c r="J773">
        <v>0</v>
      </c>
      <c r="L773" t="s">
        <v>11181</v>
      </c>
      <c r="M773" t="s">
        <v>11182</v>
      </c>
      <c r="N773" t="s">
        <v>11183</v>
      </c>
      <c r="O773" t="s">
        <v>11184</v>
      </c>
      <c r="P773" t="s">
        <v>11185</v>
      </c>
      <c r="Q773" t="s">
        <v>11185</v>
      </c>
      <c r="R773" t="s">
        <v>11186</v>
      </c>
      <c r="S773" t="s">
        <v>11187</v>
      </c>
      <c r="T773" s="2">
        <v>0.54166666666666663</v>
      </c>
      <c r="U773">
        <v>1</v>
      </c>
      <c r="V773" t="s">
        <v>11188</v>
      </c>
      <c r="W773" t="s">
        <v>11189</v>
      </c>
      <c r="Y773" t="s">
        <v>11190</v>
      </c>
      <c r="Z773" t="s">
        <v>11190</v>
      </c>
      <c r="AA773" t="s">
        <v>11190</v>
      </c>
      <c r="AB773" t="s">
        <v>11190</v>
      </c>
      <c r="AC773" t="s">
        <v>11190</v>
      </c>
      <c r="AD773" t="s">
        <v>11190</v>
      </c>
    </row>
    <row r="774" spans="1:30">
      <c r="A774" t="s">
        <v>11191</v>
      </c>
      <c r="B774">
        <v>10</v>
      </c>
      <c r="C774">
        <v>7</v>
      </c>
      <c r="D774">
        <v>2018</v>
      </c>
      <c r="E774" s="1">
        <v>43380</v>
      </c>
      <c r="F774" t="s">
        <v>11192</v>
      </c>
      <c r="G774">
        <v>0</v>
      </c>
      <c r="H774">
        <v>1</v>
      </c>
      <c r="I774">
        <v>1</v>
      </c>
      <c r="J774">
        <v>0</v>
      </c>
      <c r="L774" t="s">
        <v>11193</v>
      </c>
      <c r="M774" t="s">
        <v>11194</v>
      </c>
      <c r="N774" t="s">
        <v>11195</v>
      </c>
      <c r="O774" t="s">
        <v>11196</v>
      </c>
      <c r="P774" t="s">
        <v>11197</v>
      </c>
      <c r="Q774" t="s">
        <v>11198</v>
      </c>
      <c r="R774" t="s">
        <v>11199</v>
      </c>
      <c r="S774" t="s">
        <v>11200</v>
      </c>
      <c r="T774" s="2">
        <v>0.89583333333333337</v>
      </c>
      <c r="U774">
        <v>1</v>
      </c>
      <c r="V774" t="s">
        <v>11201</v>
      </c>
      <c r="W774" t="s">
        <v>11202</v>
      </c>
      <c r="X774" t="s">
        <v>11203</v>
      </c>
      <c r="Z774" t="s">
        <v>11204</v>
      </c>
      <c r="AA774" t="s">
        <v>11204</v>
      </c>
      <c r="AB774" t="s">
        <v>11204</v>
      </c>
      <c r="AC774" t="s">
        <v>11204</v>
      </c>
      <c r="AD774" t="s">
        <v>11204</v>
      </c>
    </row>
    <row r="775" spans="1:30">
      <c r="A775" t="s">
        <v>11205</v>
      </c>
      <c r="B775">
        <v>10</v>
      </c>
      <c r="C775">
        <v>5</v>
      </c>
      <c r="D775">
        <v>2018</v>
      </c>
      <c r="E775" s="1">
        <v>43378</v>
      </c>
      <c r="F775" t="s">
        <v>11206</v>
      </c>
      <c r="G775">
        <v>0</v>
      </c>
      <c r="H775">
        <v>1</v>
      </c>
      <c r="I775">
        <v>1</v>
      </c>
      <c r="J775">
        <v>0</v>
      </c>
      <c r="L775" t="s">
        <v>11207</v>
      </c>
      <c r="M775" t="s">
        <v>11208</v>
      </c>
      <c r="N775" t="s">
        <v>11209</v>
      </c>
      <c r="O775" t="s">
        <v>11210</v>
      </c>
      <c r="P775" t="s">
        <v>11211</v>
      </c>
      <c r="Q775" t="s">
        <v>11212</v>
      </c>
      <c r="R775" t="s">
        <v>11213</v>
      </c>
      <c r="S775" t="s">
        <v>11214</v>
      </c>
      <c r="T775" s="2">
        <v>0.89583333333333337</v>
      </c>
      <c r="U775">
        <v>1</v>
      </c>
      <c r="V775" t="s">
        <v>11215</v>
      </c>
      <c r="W775" t="s">
        <v>11216</v>
      </c>
      <c r="Z775" t="s">
        <v>11217</v>
      </c>
      <c r="AA775" t="s">
        <v>11217</v>
      </c>
      <c r="AB775" t="s">
        <v>11217</v>
      </c>
      <c r="AC775" t="s">
        <v>11217</v>
      </c>
      <c r="AD775" t="s">
        <v>11217</v>
      </c>
    </row>
    <row r="776" spans="1:30">
      <c r="A776" t="s">
        <v>11218</v>
      </c>
      <c r="B776">
        <v>10</v>
      </c>
      <c r="C776">
        <v>5</v>
      </c>
      <c r="D776">
        <v>2018</v>
      </c>
      <c r="E776" s="1">
        <v>43378</v>
      </c>
      <c r="F776" t="s">
        <v>11219</v>
      </c>
      <c r="G776">
        <v>0</v>
      </c>
      <c r="H776">
        <v>2</v>
      </c>
      <c r="I776">
        <v>2</v>
      </c>
      <c r="J776">
        <v>0</v>
      </c>
      <c r="L776" t="s">
        <v>11220</v>
      </c>
      <c r="M776" t="s">
        <v>11221</v>
      </c>
      <c r="N776" t="s">
        <v>11222</v>
      </c>
      <c r="O776" t="s">
        <v>11223</v>
      </c>
      <c r="P776" t="s">
        <v>11224</v>
      </c>
      <c r="Q776" t="s">
        <v>11225</v>
      </c>
      <c r="R776" t="s">
        <v>11226</v>
      </c>
      <c r="S776" t="s">
        <v>11227</v>
      </c>
      <c r="T776" s="2">
        <v>0.89583333333333337</v>
      </c>
      <c r="U776">
        <v>1</v>
      </c>
      <c r="V776" t="s">
        <v>11228</v>
      </c>
      <c r="W776" t="s">
        <v>11229</v>
      </c>
      <c r="X776" t="s">
        <v>11230</v>
      </c>
      <c r="Y776" t="s">
        <v>11231</v>
      </c>
      <c r="Z776" t="s">
        <v>11231</v>
      </c>
      <c r="AA776" t="s">
        <v>11231</v>
      </c>
      <c r="AB776" t="s">
        <v>11231</v>
      </c>
      <c r="AC776" t="s">
        <v>11231</v>
      </c>
      <c r="AD776" t="s">
        <v>11231</v>
      </c>
    </row>
    <row r="777" spans="1:30">
      <c r="A777" t="s">
        <v>11232</v>
      </c>
      <c r="B777">
        <v>10</v>
      </c>
      <c r="C777">
        <v>4</v>
      </c>
      <c r="D777">
        <v>2018</v>
      </c>
      <c r="E777" s="1">
        <v>43377</v>
      </c>
      <c r="F777" t="s">
        <v>11233</v>
      </c>
      <c r="G777">
        <v>0</v>
      </c>
      <c r="H777">
        <v>0</v>
      </c>
      <c r="I777">
        <v>0</v>
      </c>
      <c r="J777">
        <v>0</v>
      </c>
      <c r="L777" t="s">
        <v>11234</v>
      </c>
      <c r="M777" t="s">
        <v>11235</v>
      </c>
      <c r="N777" t="s">
        <v>11236</v>
      </c>
      <c r="O777" t="s">
        <v>11237</v>
      </c>
      <c r="P777" t="s">
        <v>11238</v>
      </c>
      <c r="Q777" t="s">
        <v>11239</v>
      </c>
      <c r="R777" t="s">
        <v>11240</v>
      </c>
      <c r="S777" t="s">
        <v>11241</v>
      </c>
      <c r="T777" s="2">
        <v>0.69097222222222221</v>
      </c>
      <c r="U777">
        <v>1</v>
      </c>
      <c r="V777" t="s">
        <v>11242</v>
      </c>
      <c r="W777" t="s">
        <v>11243</v>
      </c>
      <c r="X777" t="s">
        <v>11244</v>
      </c>
      <c r="Y777" t="s">
        <v>11245</v>
      </c>
      <c r="Z777" t="s">
        <v>11245</v>
      </c>
      <c r="AA777" t="s">
        <v>11245</v>
      </c>
      <c r="AB777" t="s">
        <v>11245</v>
      </c>
      <c r="AC777" t="s">
        <v>11245</v>
      </c>
      <c r="AD777" t="s">
        <v>11245</v>
      </c>
    </row>
    <row r="778" spans="1:30">
      <c r="A778" t="s">
        <v>11246</v>
      </c>
      <c r="B778">
        <v>10</v>
      </c>
      <c r="C778">
        <v>3</v>
      </c>
      <c r="D778">
        <v>2018</v>
      </c>
      <c r="E778" s="1">
        <v>43376</v>
      </c>
      <c r="F778" t="s">
        <v>11247</v>
      </c>
      <c r="G778">
        <v>0</v>
      </c>
      <c r="H778">
        <v>1</v>
      </c>
      <c r="I778">
        <v>1</v>
      </c>
      <c r="J778">
        <v>0</v>
      </c>
      <c r="K778" t="s">
        <v>11248</v>
      </c>
      <c r="L778" t="s">
        <v>11249</v>
      </c>
      <c r="M778" t="s">
        <v>11250</v>
      </c>
      <c r="N778" t="s">
        <v>11251</v>
      </c>
      <c r="O778" t="s">
        <v>11252</v>
      </c>
      <c r="P778" t="s">
        <v>11253</v>
      </c>
      <c r="Q778" t="s">
        <v>11254</v>
      </c>
      <c r="R778" t="s">
        <v>11255</v>
      </c>
      <c r="S778" t="s">
        <v>11256</v>
      </c>
      <c r="T778" s="2">
        <v>0.41666666666666669</v>
      </c>
      <c r="U778">
        <v>1</v>
      </c>
      <c r="V778" t="s">
        <v>11257</v>
      </c>
      <c r="W778" t="s">
        <v>11258</v>
      </c>
      <c r="X778" t="s">
        <v>11259</v>
      </c>
      <c r="Y778" t="s">
        <v>11260</v>
      </c>
      <c r="Z778" t="s">
        <v>11260</v>
      </c>
      <c r="AA778" t="s">
        <v>11260</v>
      </c>
      <c r="AB778" t="s">
        <v>11260</v>
      </c>
      <c r="AC778" t="s">
        <v>11261</v>
      </c>
      <c r="AD778" t="s">
        <v>11262</v>
      </c>
    </row>
    <row r="779" spans="1:30">
      <c r="A779" t="s">
        <v>11263</v>
      </c>
      <c r="B779">
        <v>10</v>
      </c>
      <c r="C779">
        <v>2</v>
      </c>
      <c r="D779">
        <v>2018</v>
      </c>
      <c r="E779" s="1">
        <v>43375</v>
      </c>
      <c r="F779" t="s">
        <v>11264</v>
      </c>
      <c r="G779">
        <v>0</v>
      </c>
      <c r="H779">
        <v>0</v>
      </c>
      <c r="I779">
        <v>0</v>
      </c>
      <c r="J779">
        <v>0</v>
      </c>
      <c r="L779" t="s">
        <v>11265</v>
      </c>
      <c r="M779" t="s">
        <v>11266</v>
      </c>
      <c r="N779" t="s">
        <v>11267</v>
      </c>
      <c r="O779" t="s">
        <v>11268</v>
      </c>
      <c r="P779" t="s">
        <v>11269</v>
      </c>
      <c r="Q779" t="s">
        <v>11270</v>
      </c>
      <c r="R779" t="s">
        <v>11271</v>
      </c>
      <c r="S779" t="s">
        <v>11272</v>
      </c>
      <c r="T779" s="2">
        <v>0.41666666666666669</v>
      </c>
      <c r="U779">
        <v>1</v>
      </c>
      <c r="V779" t="s">
        <v>11273</v>
      </c>
      <c r="W779" t="s">
        <v>11274</v>
      </c>
      <c r="Z779" t="s">
        <v>11275</v>
      </c>
      <c r="AA779" t="s">
        <v>11275</v>
      </c>
      <c r="AB779" t="s">
        <v>11275</v>
      </c>
      <c r="AC779" t="s">
        <v>11275</v>
      </c>
      <c r="AD779" t="s">
        <v>11275</v>
      </c>
    </row>
    <row r="780" spans="1:30">
      <c r="A780" t="s">
        <v>11276</v>
      </c>
      <c r="B780">
        <v>9</v>
      </c>
      <c r="C780">
        <v>28</v>
      </c>
      <c r="D780">
        <v>2018</v>
      </c>
      <c r="E780" s="1">
        <v>43371</v>
      </c>
      <c r="F780" t="s">
        <v>11277</v>
      </c>
      <c r="G780">
        <v>0</v>
      </c>
      <c r="H780">
        <v>0</v>
      </c>
      <c r="I780">
        <v>0</v>
      </c>
      <c r="J780">
        <v>0</v>
      </c>
      <c r="L780" t="s">
        <v>11278</v>
      </c>
      <c r="M780" t="s">
        <v>11279</v>
      </c>
      <c r="N780" t="s">
        <v>11280</v>
      </c>
      <c r="O780" t="s">
        <v>11281</v>
      </c>
      <c r="P780" t="s">
        <v>11282</v>
      </c>
      <c r="Q780" t="s">
        <v>11283</v>
      </c>
      <c r="R780" t="s">
        <v>11284</v>
      </c>
      <c r="S780" t="s">
        <v>11285</v>
      </c>
      <c r="T780" s="2">
        <v>0.64583333333333337</v>
      </c>
      <c r="U780">
        <v>1</v>
      </c>
      <c r="V780" t="s">
        <v>11286</v>
      </c>
      <c r="W780" t="s">
        <v>11287</v>
      </c>
      <c r="X780" t="s">
        <v>11288</v>
      </c>
      <c r="Y780" t="s">
        <v>11289</v>
      </c>
      <c r="Z780" t="s">
        <v>11289</v>
      </c>
      <c r="AA780" t="s">
        <v>11289</v>
      </c>
      <c r="AB780" t="s">
        <v>11289</v>
      </c>
      <c r="AC780" t="s">
        <v>11289</v>
      </c>
      <c r="AD780" t="s">
        <v>11289</v>
      </c>
    </row>
    <row r="781" spans="1:30">
      <c r="A781" t="s">
        <v>11290</v>
      </c>
      <c r="B781">
        <v>9</v>
      </c>
      <c r="C781">
        <v>27</v>
      </c>
      <c r="D781">
        <v>2018</v>
      </c>
      <c r="E781" s="1">
        <v>43370</v>
      </c>
      <c r="F781" t="s">
        <v>11291</v>
      </c>
      <c r="G781">
        <v>0</v>
      </c>
      <c r="H781">
        <v>1</v>
      </c>
      <c r="I781">
        <v>1</v>
      </c>
      <c r="J781">
        <v>0</v>
      </c>
      <c r="L781" t="s">
        <v>11292</v>
      </c>
      <c r="M781" t="s">
        <v>11293</v>
      </c>
      <c r="N781" t="s">
        <v>11294</v>
      </c>
      <c r="O781" t="s">
        <v>11295</v>
      </c>
      <c r="P781" t="s">
        <v>11296</v>
      </c>
      <c r="Q781" t="s">
        <v>11297</v>
      </c>
      <c r="R781" t="s">
        <v>11298</v>
      </c>
      <c r="S781" t="s">
        <v>11299</v>
      </c>
      <c r="T781" s="2">
        <v>0.85763888888888895</v>
      </c>
      <c r="U781">
        <v>1</v>
      </c>
      <c r="V781" t="s">
        <v>11300</v>
      </c>
      <c r="W781" t="s">
        <v>11301</v>
      </c>
      <c r="X781" t="s">
        <v>11302</v>
      </c>
      <c r="Y781" t="s">
        <v>11303</v>
      </c>
      <c r="Z781" t="s">
        <v>11303</v>
      </c>
      <c r="AA781" t="s">
        <v>11303</v>
      </c>
      <c r="AB781" t="s">
        <v>11303</v>
      </c>
      <c r="AC781" t="s">
        <v>11303</v>
      </c>
      <c r="AD781" t="s">
        <v>11303</v>
      </c>
    </row>
    <row r="782" spans="1:30">
      <c r="A782" t="s">
        <v>11304</v>
      </c>
      <c r="B782">
        <v>9</v>
      </c>
      <c r="C782">
        <v>26</v>
      </c>
      <c r="D782">
        <v>2018</v>
      </c>
      <c r="E782" s="1">
        <v>43369</v>
      </c>
      <c r="F782" t="s">
        <v>11305</v>
      </c>
      <c r="G782">
        <v>0</v>
      </c>
      <c r="H782">
        <v>0</v>
      </c>
      <c r="I782">
        <v>0</v>
      </c>
      <c r="J782">
        <v>0</v>
      </c>
      <c r="L782" t="s">
        <v>11306</v>
      </c>
      <c r="M782" t="s">
        <v>11307</v>
      </c>
      <c r="N782" t="s">
        <v>11308</v>
      </c>
      <c r="O782" t="s">
        <v>11309</v>
      </c>
      <c r="P782" t="s">
        <v>11310</v>
      </c>
      <c r="Q782" t="s">
        <v>11311</v>
      </c>
      <c r="R782" t="s">
        <v>11312</v>
      </c>
      <c r="S782" t="s">
        <v>11313</v>
      </c>
      <c r="U782">
        <v>1</v>
      </c>
      <c r="V782" t="s">
        <v>11314</v>
      </c>
      <c r="W782" t="s">
        <v>11315</v>
      </c>
      <c r="X782" t="s">
        <v>11316</v>
      </c>
      <c r="Y782" t="s">
        <v>11317</v>
      </c>
      <c r="Z782" t="s">
        <v>11318</v>
      </c>
      <c r="AA782" t="s">
        <v>11318</v>
      </c>
      <c r="AB782" t="s">
        <v>11318</v>
      </c>
      <c r="AC782" t="s">
        <v>11318</v>
      </c>
      <c r="AD782" t="s">
        <v>11318</v>
      </c>
    </row>
    <row r="783" spans="1:30">
      <c r="A783" t="s">
        <v>11319</v>
      </c>
      <c r="B783">
        <v>9</v>
      </c>
      <c r="C783">
        <v>24</v>
      </c>
      <c r="D783">
        <v>2018</v>
      </c>
      <c r="E783" s="1">
        <v>43367</v>
      </c>
      <c r="F783" t="s">
        <v>11320</v>
      </c>
      <c r="G783">
        <v>0</v>
      </c>
      <c r="H783">
        <v>0</v>
      </c>
      <c r="I783">
        <v>0</v>
      </c>
      <c r="J783">
        <v>1</v>
      </c>
      <c r="L783" t="s">
        <v>11321</v>
      </c>
      <c r="M783" t="s">
        <v>11322</v>
      </c>
      <c r="N783" t="s">
        <v>11323</v>
      </c>
      <c r="O783" t="s">
        <v>11324</v>
      </c>
      <c r="P783" t="s">
        <v>11325</v>
      </c>
      <c r="Q783" t="s">
        <v>11326</v>
      </c>
      <c r="R783" t="s">
        <v>11327</v>
      </c>
      <c r="S783" t="s">
        <v>11328</v>
      </c>
      <c r="U783">
        <v>1</v>
      </c>
      <c r="V783" t="s">
        <v>11329</v>
      </c>
      <c r="W783" t="s">
        <v>11330</v>
      </c>
      <c r="X783" t="s">
        <v>11331</v>
      </c>
      <c r="Y783" t="s">
        <v>11332</v>
      </c>
      <c r="Z783" t="s">
        <v>11332</v>
      </c>
      <c r="AA783" t="s">
        <v>11332</v>
      </c>
      <c r="AC783" t="s">
        <v>11332</v>
      </c>
      <c r="AD783" t="s">
        <v>11332</v>
      </c>
    </row>
    <row r="784" spans="1:30">
      <c r="A784" t="s">
        <v>11333</v>
      </c>
      <c r="B784">
        <v>9</v>
      </c>
      <c r="C784">
        <v>24</v>
      </c>
      <c r="D784">
        <v>2018</v>
      </c>
      <c r="E784" s="1">
        <v>43367</v>
      </c>
      <c r="F784" t="s">
        <v>11334</v>
      </c>
      <c r="G784">
        <v>1</v>
      </c>
      <c r="H784">
        <v>0</v>
      </c>
      <c r="I784">
        <v>1</v>
      </c>
      <c r="J784">
        <v>0</v>
      </c>
      <c r="L784" t="s">
        <v>11335</v>
      </c>
      <c r="M784" t="s">
        <v>11336</v>
      </c>
      <c r="N784" t="s">
        <v>11337</v>
      </c>
      <c r="O784" t="s">
        <v>11338</v>
      </c>
      <c r="P784" t="s">
        <v>11339</v>
      </c>
      <c r="Q784" t="s">
        <v>11340</v>
      </c>
      <c r="R784" t="s">
        <v>11341</v>
      </c>
      <c r="S784" t="s">
        <v>11342</v>
      </c>
      <c r="T784" s="2">
        <v>0.34375</v>
      </c>
      <c r="U784">
        <v>1</v>
      </c>
      <c r="V784" t="s">
        <v>11343</v>
      </c>
      <c r="W784" t="s">
        <v>11344</v>
      </c>
      <c r="X784" t="s">
        <v>11345</v>
      </c>
      <c r="Y784" t="s">
        <v>11346</v>
      </c>
      <c r="Z784" t="s">
        <v>11346</v>
      </c>
      <c r="AA784" t="s">
        <v>11346</v>
      </c>
      <c r="AB784" t="s">
        <v>11346</v>
      </c>
      <c r="AC784" t="s">
        <v>11346</v>
      </c>
      <c r="AD784" t="s">
        <v>11346</v>
      </c>
    </row>
    <row r="785" spans="1:30">
      <c r="A785" t="s">
        <v>11347</v>
      </c>
      <c r="B785">
        <v>9</v>
      </c>
      <c r="C785">
        <v>24</v>
      </c>
      <c r="D785">
        <v>2018</v>
      </c>
      <c r="E785" s="1">
        <v>43367</v>
      </c>
      <c r="F785" t="s">
        <v>11348</v>
      </c>
      <c r="G785">
        <v>0</v>
      </c>
      <c r="H785">
        <v>0</v>
      </c>
      <c r="I785">
        <v>0</v>
      </c>
      <c r="J785">
        <v>0</v>
      </c>
      <c r="L785" t="s">
        <v>11349</v>
      </c>
      <c r="M785" t="s">
        <v>11350</v>
      </c>
      <c r="N785" t="s">
        <v>11351</v>
      </c>
      <c r="O785" t="s">
        <v>11352</v>
      </c>
      <c r="P785" t="s">
        <v>11353</v>
      </c>
      <c r="Q785" t="s">
        <v>11354</v>
      </c>
      <c r="R785" t="s">
        <v>11355</v>
      </c>
      <c r="S785" t="s">
        <v>11356</v>
      </c>
      <c r="T785" s="2">
        <v>0.375</v>
      </c>
      <c r="U785">
        <v>1</v>
      </c>
      <c r="V785" t="s">
        <v>11357</v>
      </c>
      <c r="W785" t="s">
        <v>11358</v>
      </c>
      <c r="X785" t="s">
        <v>11359</v>
      </c>
      <c r="Y785" t="s">
        <v>11360</v>
      </c>
      <c r="Z785" t="s">
        <v>11360</v>
      </c>
      <c r="AA785" t="s">
        <v>11360</v>
      </c>
      <c r="AB785" t="s">
        <v>11360</v>
      </c>
      <c r="AD785" t="s">
        <v>11360</v>
      </c>
    </row>
    <row r="786" spans="1:30">
      <c r="A786" t="s">
        <v>11361</v>
      </c>
      <c r="B786">
        <v>9</v>
      </c>
      <c r="C786">
        <v>20</v>
      </c>
      <c r="D786">
        <v>2018</v>
      </c>
      <c r="E786" s="1">
        <v>43363</v>
      </c>
      <c r="F786" t="s">
        <v>11362</v>
      </c>
      <c r="G786">
        <v>0</v>
      </c>
      <c r="H786">
        <v>0</v>
      </c>
      <c r="I786">
        <v>0</v>
      </c>
      <c r="J786">
        <v>1</v>
      </c>
      <c r="L786" t="s">
        <v>11363</v>
      </c>
      <c r="M786" t="s">
        <v>11364</v>
      </c>
      <c r="N786" t="s">
        <v>11365</v>
      </c>
      <c r="O786" t="s">
        <v>11366</v>
      </c>
      <c r="P786" t="s">
        <v>11367</v>
      </c>
      <c r="Q786" t="s">
        <v>11368</v>
      </c>
      <c r="R786" t="s">
        <v>11369</v>
      </c>
      <c r="S786" t="s">
        <v>11370</v>
      </c>
      <c r="U786">
        <v>1</v>
      </c>
      <c r="V786" t="s">
        <v>11371</v>
      </c>
      <c r="W786" t="s">
        <v>11372</v>
      </c>
      <c r="X786" t="s">
        <v>11373</v>
      </c>
      <c r="Y786" t="s">
        <v>11374</v>
      </c>
      <c r="Z786" t="s">
        <v>11374</v>
      </c>
      <c r="AA786" t="s">
        <v>11374</v>
      </c>
      <c r="AB786" t="s">
        <v>11374</v>
      </c>
      <c r="AC786" t="s">
        <v>11374</v>
      </c>
      <c r="AD786" t="s">
        <v>11374</v>
      </c>
    </row>
    <row r="787" spans="1:30">
      <c r="A787" t="s">
        <v>11375</v>
      </c>
      <c r="B787">
        <v>9</v>
      </c>
      <c r="C787">
        <v>20</v>
      </c>
      <c r="D787">
        <v>2018</v>
      </c>
      <c r="E787" s="1">
        <v>43363</v>
      </c>
      <c r="F787" t="s">
        <v>11376</v>
      </c>
      <c r="G787">
        <v>0</v>
      </c>
      <c r="H787">
        <v>2</v>
      </c>
      <c r="I787">
        <v>2</v>
      </c>
      <c r="J787">
        <v>0</v>
      </c>
      <c r="L787" t="s">
        <v>11377</v>
      </c>
      <c r="M787" t="s">
        <v>11378</v>
      </c>
      <c r="N787" t="s">
        <v>11379</v>
      </c>
      <c r="O787" t="s">
        <v>11380</v>
      </c>
      <c r="P787" t="s">
        <v>11381</v>
      </c>
      <c r="Q787" t="s">
        <v>11381</v>
      </c>
      <c r="R787" t="s">
        <v>11382</v>
      </c>
      <c r="S787" t="s">
        <v>11383</v>
      </c>
      <c r="T787" s="2">
        <v>0.50694444444444442</v>
      </c>
      <c r="U787">
        <v>1</v>
      </c>
      <c r="V787" t="s">
        <v>11384</v>
      </c>
      <c r="W787" t="s">
        <v>11385</v>
      </c>
      <c r="Y787" t="s">
        <v>11386</v>
      </c>
      <c r="Z787" t="s">
        <v>11387</v>
      </c>
      <c r="AA787" t="s">
        <v>11387</v>
      </c>
      <c r="AB787" t="s">
        <v>11387</v>
      </c>
      <c r="AC787" t="s">
        <v>11387</v>
      </c>
      <c r="AD787" t="s">
        <v>11387</v>
      </c>
    </row>
    <row r="788" spans="1:30">
      <c r="A788" t="s">
        <v>11388</v>
      </c>
      <c r="B788">
        <v>9</v>
      </c>
      <c r="C788">
        <v>17</v>
      </c>
      <c r="D788">
        <v>2018</v>
      </c>
      <c r="E788" s="1">
        <v>43360</v>
      </c>
      <c r="F788" t="s">
        <v>11389</v>
      </c>
      <c r="G788">
        <v>0</v>
      </c>
      <c r="H788">
        <v>1</v>
      </c>
      <c r="I788">
        <v>1</v>
      </c>
      <c r="J788">
        <v>0</v>
      </c>
      <c r="L788" t="s">
        <v>11390</v>
      </c>
      <c r="M788" t="s">
        <v>11391</v>
      </c>
      <c r="N788" t="s">
        <v>11392</v>
      </c>
      <c r="O788" t="s">
        <v>11393</v>
      </c>
      <c r="P788" t="s">
        <v>11394</v>
      </c>
      <c r="Q788" t="s">
        <v>11395</v>
      </c>
      <c r="R788" t="s">
        <v>11396</v>
      </c>
      <c r="S788" t="s">
        <v>11397</v>
      </c>
      <c r="T788" s="2">
        <v>0.4375</v>
      </c>
      <c r="U788">
        <v>1</v>
      </c>
      <c r="V788" t="s">
        <v>11398</v>
      </c>
      <c r="W788" t="s">
        <v>11399</v>
      </c>
      <c r="X788" t="s">
        <v>11400</v>
      </c>
      <c r="Y788" t="s">
        <v>11401</v>
      </c>
      <c r="Z788" t="s">
        <v>11401</v>
      </c>
      <c r="AA788" t="s">
        <v>11401</v>
      </c>
      <c r="AB788" t="s">
        <v>11401</v>
      </c>
      <c r="AC788" t="s">
        <v>11401</v>
      </c>
      <c r="AD788" t="s">
        <v>11401</v>
      </c>
    </row>
    <row r="789" spans="1:30">
      <c r="A789" t="s">
        <v>11402</v>
      </c>
      <c r="B789">
        <v>9</v>
      </c>
      <c r="C789">
        <v>14</v>
      </c>
      <c r="D789">
        <v>2018</v>
      </c>
      <c r="E789" s="1">
        <v>43357</v>
      </c>
      <c r="F789" t="s">
        <v>11403</v>
      </c>
      <c r="G789">
        <v>0</v>
      </c>
      <c r="H789">
        <v>0</v>
      </c>
      <c r="I789">
        <v>0</v>
      </c>
      <c r="J789">
        <v>0</v>
      </c>
      <c r="L789" t="s">
        <v>11404</v>
      </c>
      <c r="M789" t="s">
        <v>11405</v>
      </c>
      <c r="N789" t="s">
        <v>11406</v>
      </c>
      <c r="O789" t="s">
        <v>11407</v>
      </c>
      <c r="P789" t="s">
        <v>11408</v>
      </c>
      <c r="Q789" t="s">
        <v>11408</v>
      </c>
      <c r="R789" t="s">
        <v>11409</v>
      </c>
      <c r="S789" t="s">
        <v>11410</v>
      </c>
      <c r="U789">
        <v>1</v>
      </c>
      <c r="V789" t="s">
        <v>11411</v>
      </c>
      <c r="W789" t="s">
        <v>11412</v>
      </c>
      <c r="X789" t="s">
        <v>11413</v>
      </c>
      <c r="Y789" t="s">
        <v>11414</v>
      </c>
      <c r="Z789" t="s">
        <v>11415</v>
      </c>
      <c r="AA789" t="s">
        <v>11415</v>
      </c>
      <c r="AB789" t="s">
        <v>11415</v>
      </c>
      <c r="AC789" t="s">
        <v>11415</v>
      </c>
      <c r="AD789" t="s">
        <v>11415</v>
      </c>
    </row>
    <row r="790" spans="1:30">
      <c r="A790" t="s">
        <v>11416</v>
      </c>
      <c r="B790">
        <v>9</v>
      </c>
      <c r="C790">
        <v>14</v>
      </c>
      <c r="D790">
        <v>2018</v>
      </c>
      <c r="E790" s="1">
        <v>43357</v>
      </c>
      <c r="F790" t="s">
        <v>11417</v>
      </c>
      <c r="G790">
        <v>0</v>
      </c>
      <c r="H790">
        <v>0</v>
      </c>
      <c r="I790">
        <v>0</v>
      </c>
      <c r="J790">
        <v>0</v>
      </c>
      <c r="L790" t="s">
        <v>11418</v>
      </c>
      <c r="M790" t="s">
        <v>11419</v>
      </c>
      <c r="N790" t="s">
        <v>11420</v>
      </c>
      <c r="O790" t="s">
        <v>11421</v>
      </c>
      <c r="P790" t="s">
        <v>11422</v>
      </c>
      <c r="Q790" t="s">
        <v>11423</v>
      </c>
      <c r="R790" t="s">
        <v>11424</v>
      </c>
      <c r="S790" t="s">
        <v>11425</v>
      </c>
      <c r="T790" s="2">
        <v>0.875</v>
      </c>
      <c r="U790">
        <v>1</v>
      </c>
      <c r="V790" t="s">
        <v>11426</v>
      </c>
      <c r="W790" t="s">
        <v>11427</v>
      </c>
      <c r="X790" t="s">
        <v>11428</v>
      </c>
      <c r="Z790" t="s">
        <v>11429</v>
      </c>
      <c r="AA790" t="s">
        <v>11429</v>
      </c>
      <c r="AB790" t="s">
        <v>11429</v>
      </c>
      <c r="AC790" t="s">
        <v>11429</v>
      </c>
      <c r="AD790" t="s">
        <v>11429</v>
      </c>
    </row>
    <row r="791" spans="1:30">
      <c r="A791" t="s">
        <v>11430</v>
      </c>
      <c r="B791">
        <v>9</v>
      </c>
      <c r="C791">
        <v>11</v>
      </c>
      <c r="D791">
        <v>2018</v>
      </c>
      <c r="E791" s="1">
        <v>43354</v>
      </c>
      <c r="F791" t="s">
        <v>11431</v>
      </c>
      <c r="G791">
        <v>1</v>
      </c>
      <c r="H791">
        <v>0</v>
      </c>
      <c r="I791">
        <v>1</v>
      </c>
      <c r="J791">
        <v>0</v>
      </c>
      <c r="L791" t="s">
        <v>11432</v>
      </c>
      <c r="M791" t="s">
        <v>11433</v>
      </c>
      <c r="N791" t="s">
        <v>11434</v>
      </c>
      <c r="O791" t="s">
        <v>11435</v>
      </c>
      <c r="P791" t="s">
        <v>11436</v>
      </c>
      <c r="Q791" t="s">
        <v>11437</v>
      </c>
      <c r="R791" t="s">
        <v>11438</v>
      </c>
      <c r="S791" t="s">
        <v>11439</v>
      </c>
      <c r="T791" s="2">
        <v>0.61111111111111116</v>
      </c>
      <c r="U791">
        <v>1</v>
      </c>
      <c r="V791" t="s">
        <v>11440</v>
      </c>
      <c r="W791" t="s">
        <v>11441</v>
      </c>
      <c r="X791" t="s">
        <v>11442</v>
      </c>
      <c r="Y791" t="s">
        <v>11443</v>
      </c>
      <c r="Z791" t="s">
        <v>11443</v>
      </c>
      <c r="AA791" t="s">
        <v>11443</v>
      </c>
      <c r="AB791" t="s">
        <v>11443</v>
      </c>
      <c r="AC791" t="s">
        <v>11443</v>
      </c>
      <c r="AD791" t="s">
        <v>11443</v>
      </c>
    </row>
    <row r="792" spans="1:30">
      <c r="A792" t="s">
        <v>11444</v>
      </c>
      <c r="B792">
        <v>9</v>
      </c>
      <c r="C792">
        <v>10</v>
      </c>
      <c r="D792">
        <v>2018</v>
      </c>
      <c r="E792" s="1">
        <v>43353</v>
      </c>
      <c r="F792" t="s">
        <v>11445</v>
      </c>
      <c r="G792">
        <v>0</v>
      </c>
      <c r="H792">
        <v>1</v>
      </c>
      <c r="I792">
        <v>1</v>
      </c>
      <c r="J792">
        <v>0</v>
      </c>
      <c r="L792" t="s">
        <v>11446</v>
      </c>
      <c r="M792" t="s">
        <v>11447</v>
      </c>
      <c r="N792" t="s">
        <v>11448</v>
      </c>
      <c r="O792" t="s">
        <v>11449</v>
      </c>
      <c r="P792" t="s">
        <v>11450</v>
      </c>
      <c r="Q792" t="s">
        <v>11450</v>
      </c>
      <c r="R792" t="s">
        <v>11451</v>
      </c>
      <c r="S792" t="s">
        <v>11452</v>
      </c>
      <c r="T792" s="2">
        <v>0.66666666666666663</v>
      </c>
      <c r="U792">
        <v>1</v>
      </c>
      <c r="V792" t="s">
        <v>11453</v>
      </c>
      <c r="W792" t="s">
        <v>11454</v>
      </c>
      <c r="Y792" t="s">
        <v>11455</v>
      </c>
      <c r="Z792" t="s">
        <v>11455</v>
      </c>
      <c r="AA792" t="s">
        <v>11455</v>
      </c>
      <c r="AB792" t="s">
        <v>11455</v>
      </c>
      <c r="AC792" t="s">
        <v>11455</v>
      </c>
      <c r="AD792" t="s">
        <v>11455</v>
      </c>
    </row>
    <row r="793" spans="1:30">
      <c r="A793" t="s">
        <v>11456</v>
      </c>
      <c r="B793">
        <v>9</v>
      </c>
      <c r="C793">
        <v>10</v>
      </c>
      <c r="D793">
        <v>2018</v>
      </c>
      <c r="E793" s="1">
        <v>43353</v>
      </c>
      <c r="F793" t="s">
        <v>11457</v>
      </c>
      <c r="G793">
        <v>0</v>
      </c>
      <c r="H793">
        <v>3</v>
      </c>
      <c r="I793">
        <v>3</v>
      </c>
      <c r="J793">
        <v>0</v>
      </c>
      <c r="L793" t="s">
        <v>11458</v>
      </c>
      <c r="M793" t="s">
        <v>11459</v>
      </c>
      <c r="N793" t="s">
        <v>11460</v>
      </c>
      <c r="O793" t="s">
        <v>11461</v>
      </c>
      <c r="P793" t="s">
        <v>11462</v>
      </c>
      <c r="Q793" t="s">
        <v>11463</v>
      </c>
      <c r="R793" t="s">
        <v>11464</v>
      </c>
      <c r="S793" t="s">
        <v>11465</v>
      </c>
      <c r="T793" s="2">
        <v>0.66666666666666663</v>
      </c>
      <c r="U793">
        <v>1</v>
      </c>
      <c r="V793" t="s">
        <v>11466</v>
      </c>
      <c r="W793" t="s">
        <v>11467</v>
      </c>
      <c r="X793" t="s">
        <v>11468</v>
      </c>
      <c r="Y793" t="s">
        <v>11469</v>
      </c>
      <c r="Z793" t="s">
        <v>11470</v>
      </c>
      <c r="AA793" t="s">
        <v>11470</v>
      </c>
      <c r="AB793" t="s">
        <v>11470</v>
      </c>
      <c r="AC793" t="s">
        <v>11470</v>
      </c>
      <c r="AD793" t="s">
        <v>11470</v>
      </c>
    </row>
    <row r="794" spans="1:30">
      <c r="A794" t="s">
        <v>11471</v>
      </c>
      <c r="B794">
        <v>9</v>
      </c>
      <c r="C794">
        <v>9</v>
      </c>
      <c r="D794">
        <v>2018</v>
      </c>
      <c r="E794" s="1">
        <v>43352</v>
      </c>
      <c r="F794" t="s">
        <v>11472</v>
      </c>
      <c r="G794">
        <v>0</v>
      </c>
      <c r="H794">
        <v>0</v>
      </c>
      <c r="I794">
        <v>0</v>
      </c>
      <c r="J794">
        <v>0</v>
      </c>
      <c r="L794" t="s">
        <v>11473</v>
      </c>
      <c r="M794" t="s">
        <v>11474</v>
      </c>
      <c r="N794" t="s">
        <v>11475</v>
      </c>
      <c r="O794" t="s">
        <v>11476</v>
      </c>
      <c r="P794" t="s">
        <v>11477</v>
      </c>
      <c r="Q794" t="s">
        <v>11478</v>
      </c>
      <c r="R794" t="s">
        <v>11479</v>
      </c>
      <c r="S794" t="s">
        <v>11480</v>
      </c>
      <c r="T794" s="2">
        <v>0.54166666666666663</v>
      </c>
      <c r="U794">
        <v>1</v>
      </c>
      <c r="V794" t="s">
        <v>11481</v>
      </c>
      <c r="W794" t="s">
        <v>11482</v>
      </c>
      <c r="X794" t="s">
        <v>11483</v>
      </c>
      <c r="Y794" t="s">
        <v>11484</v>
      </c>
      <c r="Z794" t="s">
        <v>11484</v>
      </c>
      <c r="AA794" t="s">
        <v>11484</v>
      </c>
      <c r="AB794" t="s">
        <v>11485</v>
      </c>
      <c r="AC794" t="s">
        <v>11485</v>
      </c>
      <c r="AD794" t="s">
        <v>11486</v>
      </c>
    </row>
    <row r="795" spans="1:30">
      <c r="A795" t="s">
        <v>11487</v>
      </c>
      <c r="B795">
        <v>9</v>
      </c>
      <c r="C795">
        <v>7</v>
      </c>
      <c r="D795">
        <v>2018</v>
      </c>
      <c r="E795" s="1">
        <v>43350</v>
      </c>
      <c r="F795" t="s">
        <v>11488</v>
      </c>
      <c r="G795">
        <v>0</v>
      </c>
      <c r="H795">
        <v>0</v>
      </c>
      <c r="I795">
        <v>0</v>
      </c>
      <c r="J795">
        <v>0</v>
      </c>
      <c r="L795" t="s">
        <v>11489</v>
      </c>
      <c r="M795" t="s">
        <v>11490</v>
      </c>
      <c r="N795" t="s">
        <v>11491</v>
      </c>
      <c r="O795" t="s">
        <v>11492</v>
      </c>
      <c r="P795" t="s">
        <v>11493</v>
      </c>
      <c r="Q795" t="s">
        <v>11494</v>
      </c>
      <c r="R795" t="s">
        <v>11495</v>
      </c>
      <c r="S795" t="s">
        <v>11496</v>
      </c>
      <c r="T795" s="2">
        <v>0.875</v>
      </c>
      <c r="U795">
        <v>1</v>
      </c>
      <c r="V795" t="s">
        <v>11497</v>
      </c>
      <c r="W795" t="s">
        <v>11498</v>
      </c>
      <c r="Z795" t="s">
        <v>11499</v>
      </c>
      <c r="AA795" t="s">
        <v>11499</v>
      </c>
      <c r="AB795" t="s">
        <v>11499</v>
      </c>
      <c r="AC795" t="s">
        <v>11499</v>
      </c>
      <c r="AD795" t="s">
        <v>11499</v>
      </c>
    </row>
    <row r="796" spans="1:30">
      <c r="A796" t="s">
        <v>11500</v>
      </c>
      <c r="B796">
        <v>9</v>
      </c>
      <c r="C796">
        <v>5</v>
      </c>
      <c r="D796">
        <v>2018</v>
      </c>
      <c r="E796" s="1">
        <v>43348</v>
      </c>
      <c r="F796" t="s">
        <v>11501</v>
      </c>
      <c r="G796">
        <v>1</v>
      </c>
      <c r="H796">
        <v>0</v>
      </c>
      <c r="I796">
        <v>1</v>
      </c>
      <c r="J796">
        <v>0</v>
      </c>
      <c r="K796" t="s">
        <v>11502</v>
      </c>
      <c r="L796" t="s">
        <v>11503</v>
      </c>
      <c r="M796" t="s">
        <v>11504</v>
      </c>
      <c r="N796" t="s">
        <v>11505</v>
      </c>
      <c r="O796" t="s">
        <v>11506</v>
      </c>
      <c r="P796" t="s">
        <v>11507</v>
      </c>
      <c r="Q796" t="s">
        <v>11508</v>
      </c>
      <c r="R796" t="s">
        <v>11509</v>
      </c>
      <c r="S796" t="s">
        <v>11510</v>
      </c>
      <c r="T796" s="2">
        <v>0.58333333333333337</v>
      </c>
      <c r="U796">
        <v>1</v>
      </c>
      <c r="V796" t="s">
        <v>11511</v>
      </c>
      <c r="W796" t="s">
        <v>11512</v>
      </c>
      <c r="X796" t="s">
        <v>11513</v>
      </c>
      <c r="Y796" t="s">
        <v>11514</v>
      </c>
      <c r="Z796" t="s">
        <v>11515</v>
      </c>
      <c r="AA796" t="s">
        <v>11515</v>
      </c>
      <c r="AB796" t="s">
        <v>11515</v>
      </c>
      <c r="AC796" t="s">
        <v>11515</v>
      </c>
      <c r="AD796" t="s">
        <v>11515</v>
      </c>
    </row>
    <row r="797" spans="1:30">
      <c r="A797" t="s">
        <v>11516</v>
      </c>
      <c r="B797">
        <v>9</v>
      </c>
      <c r="C797">
        <v>3</v>
      </c>
      <c r="D797">
        <v>2018</v>
      </c>
      <c r="E797" s="1">
        <v>43346</v>
      </c>
      <c r="F797" t="s">
        <v>11517</v>
      </c>
      <c r="G797">
        <v>1</v>
      </c>
      <c r="H797">
        <v>0</v>
      </c>
      <c r="I797">
        <v>1</v>
      </c>
      <c r="J797">
        <v>0</v>
      </c>
      <c r="K797" t="s">
        <v>11518</v>
      </c>
      <c r="L797" t="s">
        <v>11519</v>
      </c>
      <c r="M797" t="s">
        <v>11520</v>
      </c>
      <c r="N797" t="s">
        <v>11521</v>
      </c>
      <c r="O797" t="s">
        <v>11522</v>
      </c>
      <c r="P797" t="s">
        <v>11523</v>
      </c>
      <c r="Q797" t="s">
        <v>11524</v>
      </c>
      <c r="R797" t="s">
        <v>11525</v>
      </c>
      <c r="S797" t="s">
        <v>11526</v>
      </c>
      <c r="T797" s="2">
        <v>0.88888888888888884</v>
      </c>
      <c r="U797">
        <v>1</v>
      </c>
      <c r="V797" t="s">
        <v>11527</v>
      </c>
      <c r="W797" t="s">
        <v>11528</v>
      </c>
      <c r="X797" t="s">
        <v>11529</v>
      </c>
      <c r="Y797" t="s">
        <v>11530</v>
      </c>
      <c r="Z797" t="s">
        <v>11530</v>
      </c>
      <c r="AA797" t="s">
        <v>11530</v>
      </c>
      <c r="AB797" t="s">
        <v>11530</v>
      </c>
      <c r="AC797" t="s">
        <v>11530</v>
      </c>
      <c r="AD797" t="s">
        <v>11530</v>
      </c>
    </row>
    <row r="798" spans="1:30">
      <c r="A798" t="s">
        <v>11531</v>
      </c>
      <c r="B798">
        <v>8</v>
      </c>
      <c r="C798">
        <v>31</v>
      </c>
      <c r="D798">
        <v>2018</v>
      </c>
      <c r="E798" s="1">
        <v>43343</v>
      </c>
      <c r="F798" t="s">
        <v>11532</v>
      </c>
      <c r="G798">
        <v>0</v>
      </c>
      <c r="H798">
        <v>0</v>
      </c>
      <c r="I798">
        <v>0</v>
      </c>
      <c r="J798">
        <v>0</v>
      </c>
      <c r="K798" t="s">
        <v>11533</v>
      </c>
      <c r="L798" t="s">
        <v>11534</v>
      </c>
      <c r="M798" t="s">
        <v>11535</v>
      </c>
      <c r="N798" t="s">
        <v>11536</v>
      </c>
      <c r="O798" t="s">
        <v>11537</v>
      </c>
      <c r="P798" t="s">
        <v>11538</v>
      </c>
      <c r="Q798" t="s">
        <v>11539</v>
      </c>
      <c r="R798" t="s">
        <v>11540</v>
      </c>
      <c r="S798" t="s">
        <v>11541</v>
      </c>
      <c r="T798" s="2">
        <v>0.63263888888888886</v>
      </c>
      <c r="U798">
        <v>1</v>
      </c>
      <c r="V798" t="s">
        <v>11542</v>
      </c>
      <c r="W798" t="s">
        <v>11543</v>
      </c>
      <c r="X798" t="s">
        <v>11544</v>
      </c>
      <c r="Y798" t="s">
        <v>11545</v>
      </c>
      <c r="Z798" t="s">
        <v>11546</v>
      </c>
      <c r="AA798" t="s">
        <v>11546</v>
      </c>
      <c r="AB798" t="s">
        <v>11546</v>
      </c>
      <c r="AC798" t="s">
        <v>11546</v>
      </c>
      <c r="AD798" t="s">
        <v>11546</v>
      </c>
    </row>
    <row r="799" spans="1:30">
      <c r="A799" t="s">
        <v>11547</v>
      </c>
      <c r="B799">
        <v>8</v>
      </c>
      <c r="C799">
        <v>31</v>
      </c>
      <c r="D799">
        <v>2018</v>
      </c>
      <c r="E799" s="1">
        <v>43343</v>
      </c>
      <c r="F799" t="s">
        <v>11548</v>
      </c>
      <c r="G799">
        <v>0</v>
      </c>
      <c r="H799">
        <v>0</v>
      </c>
      <c r="I799">
        <v>0</v>
      </c>
      <c r="J799">
        <v>0</v>
      </c>
      <c r="K799" t="s">
        <v>11549</v>
      </c>
      <c r="L799" t="s">
        <v>11550</v>
      </c>
      <c r="M799" t="s">
        <v>11551</v>
      </c>
      <c r="N799" t="s">
        <v>11552</v>
      </c>
      <c r="O799" t="s">
        <v>11553</v>
      </c>
      <c r="P799" t="s">
        <v>11554</v>
      </c>
      <c r="Q799" t="s">
        <v>11555</v>
      </c>
      <c r="R799" t="s">
        <v>11556</v>
      </c>
      <c r="S799" t="s">
        <v>11557</v>
      </c>
      <c r="T799" s="2">
        <v>0.35416666666666663</v>
      </c>
      <c r="U799">
        <v>1</v>
      </c>
      <c r="V799" t="s">
        <v>11558</v>
      </c>
      <c r="W799" t="s">
        <v>11559</v>
      </c>
      <c r="X799" t="s">
        <v>11560</v>
      </c>
      <c r="Y799" t="s">
        <v>11561</v>
      </c>
      <c r="Z799" t="s">
        <v>11561</v>
      </c>
      <c r="AA799" t="s">
        <v>11561</v>
      </c>
      <c r="AD799" t="s">
        <v>11562</v>
      </c>
    </row>
    <row r="800" spans="1:30">
      <c r="A800" t="s">
        <v>11563</v>
      </c>
      <c r="B800">
        <v>8</v>
      </c>
      <c r="C800">
        <v>30</v>
      </c>
      <c r="D800">
        <v>2018</v>
      </c>
      <c r="E800" s="1">
        <v>43342</v>
      </c>
      <c r="F800" t="s">
        <v>11564</v>
      </c>
      <c r="G800">
        <v>0</v>
      </c>
      <c r="H800">
        <v>1</v>
      </c>
      <c r="I800">
        <v>1</v>
      </c>
      <c r="J800">
        <v>0</v>
      </c>
      <c r="K800" t="s">
        <v>11565</v>
      </c>
      <c r="L800" t="s">
        <v>11566</v>
      </c>
      <c r="M800" t="s">
        <v>11567</v>
      </c>
      <c r="N800" t="s">
        <v>11568</v>
      </c>
      <c r="O800" t="s">
        <v>11569</v>
      </c>
      <c r="P800" t="s">
        <v>11570</v>
      </c>
      <c r="Q800" t="s">
        <v>11571</v>
      </c>
      <c r="R800" t="s">
        <v>11572</v>
      </c>
      <c r="S800" t="s">
        <v>11573</v>
      </c>
      <c r="T800" s="2">
        <v>0.4375</v>
      </c>
      <c r="U800">
        <v>1</v>
      </c>
      <c r="V800" t="s">
        <v>11574</v>
      </c>
      <c r="W800" t="s">
        <v>11575</v>
      </c>
      <c r="X800" t="s">
        <v>11576</v>
      </c>
      <c r="Z800" t="s">
        <v>11577</v>
      </c>
      <c r="AA800" t="s">
        <v>11577</v>
      </c>
      <c r="AB800" t="s">
        <v>11577</v>
      </c>
      <c r="AC800" t="s">
        <v>11577</v>
      </c>
      <c r="AD800" t="s">
        <v>11577</v>
      </c>
    </row>
    <row r="801" spans="1:30">
      <c r="A801" t="s">
        <v>11578</v>
      </c>
      <c r="B801">
        <v>8</v>
      </c>
      <c r="C801">
        <v>30</v>
      </c>
      <c r="D801">
        <v>2018</v>
      </c>
      <c r="E801" s="1">
        <v>43342</v>
      </c>
      <c r="F801" t="s">
        <v>11579</v>
      </c>
      <c r="G801">
        <v>0</v>
      </c>
      <c r="H801">
        <v>0</v>
      </c>
      <c r="I801">
        <v>0</v>
      </c>
      <c r="J801">
        <v>0</v>
      </c>
      <c r="K801" t="s">
        <v>11580</v>
      </c>
      <c r="L801" t="s">
        <v>11581</v>
      </c>
      <c r="M801" t="s">
        <v>11582</v>
      </c>
      <c r="N801" t="s">
        <v>11583</v>
      </c>
      <c r="O801" t="s">
        <v>11584</v>
      </c>
      <c r="P801" t="s">
        <v>11585</v>
      </c>
      <c r="Q801" t="s">
        <v>11586</v>
      </c>
      <c r="R801" t="s">
        <v>11587</v>
      </c>
      <c r="S801" t="s">
        <v>11588</v>
      </c>
      <c r="T801" s="2">
        <v>0.35416666666666663</v>
      </c>
      <c r="U801">
        <v>1</v>
      </c>
      <c r="V801" t="s">
        <v>11589</v>
      </c>
      <c r="W801" t="s">
        <v>11590</v>
      </c>
      <c r="X801" t="s">
        <v>11591</v>
      </c>
      <c r="Y801" t="s">
        <v>11592</v>
      </c>
      <c r="Z801" t="s">
        <v>11592</v>
      </c>
      <c r="AA801" t="s">
        <v>11592</v>
      </c>
      <c r="AB801" t="s">
        <v>11592</v>
      </c>
      <c r="AC801" t="s">
        <v>11593</v>
      </c>
      <c r="AD801" t="s">
        <v>11594</v>
      </c>
    </row>
    <row r="802" spans="1:30">
      <c r="A802" t="s">
        <v>11595</v>
      </c>
      <c r="B802">
        <v>8</v>
      </c>
      <c r="C802">
        <v>29</v>
      </c>
      <c r="D802">
        <v>2018</v>
      </c>
      <c r="E802" s="1">
        <v>43341</v>
      </c>
      <c r="F802" t="s">
        <v>11596</v>
      </c>
      <c r="G802">
        <v>1</v>
      </c>
      <c r="H802">
        <v>0</v>
      </c>
      <c r="I802">
        <v>1</v>
      </c>
      <c r="J802">
        <v>0</v>
      </c>
      <c r="K802" t="s">
        <v>11597</v>
      </c>
      <c r="L802" t="s">
        <v>11598</v>
      </c>
      <c r="M802" t="s">
        <v>11599</v>
      </c>
      <c r="N802" t="s">
        <v>11600</v>
      </c>
      <c r="O802" t="s">
        <v>11601</v>
      </c>
      <c r="P802" t="s">
        <v>11602</v>
      </c>
      <c r="Q802" t="s">
        <v>11603</v>
      </c>
      <c r="R802" t="s">
        <v>11604</v>
      </c>
      <c r="S802" t="s">
        <v>11605</v>
      </c>
      <c r="T802" s="2">
        <v>0.91666666666666663</v>
      </c>
      <c r="U802">
        <v>1</v>
      </c>
      <c r="V802" t="s">
        <v>11606</v>
      </c>
      <c r="W802" t="s">
        <v>11607</v>
      </c>
      <c r="X802" t="s">
        <v>11608</v>
      </c>
      <c r="Y802" t="s">
        <v>11609</v>
      </c>
      <c r="Z802" t="s">
        <v>11609</v>
      </c>
      <c r="AA802" t="s">
        <v>11609</v>
      </c>
      <c r="AB802" t="s">
        <v>11609</v>
      </c>
      <c r="AC802" t="s">
        <v>11610</v>
      </c>
      <c r="AD802" t="s">
        <v>11611</v>
      </c>
    </row>
    <row r="803" spans="1:30">
      <c r="A803" t="s">
        <v>11612</v>
      </c>
      <c r="B803">
        <v>8</v>
      </c>
      <c r="C803">
        <v>28</v>
      </c>
      <c r="D803">
        <v>2018</v>
      </c>
      <c r="E803" s="1">
        <v>43340</v>
      </c>
      <c r="F803" t="s">
        <v>11613</v>
      </c>
      <c r="G803">
        <v>0</v>
      </c>
      <c r="H803">
        <v>1</v>
      </c>
      <c r="I803">
        <v>1</v>
      </c>
      <c r="J803">
        <v>0</v>
      </c>
      <c r="L803" t="s">
        <v>11614</v>
      </c>
      <c r="M803" t="s">
        <v>11615</v>
      </c>
      <c r="N803" t="s">
        <v>11616</v>
      </c>
      <c r="O803" t="s">
        <v>11617</v>
      </c>
      <c r="P803" t="s">
        <v>11618</v>
      </c>
      <c r="Q803" t="s">
        <v>11618</v>
      </c>
      <c r="R803" t="s">
        <v>11619</v>
      </c>
      <c r="S803" t="s">
        <v>11620</v>
      </c>
      <c r="T803" s="2">
        <v>0.58333333333333337</v>
      </c>
      <c r="U803">
        <v>1</v>
      </c>
      <c r="V803" t="s">
        <v>11621</v>
      </c>
      <c r="W803" t="s">
        <v>11622</v>
      </c>
      <c r="Y803" t="s">
        <v>11623</v>
      </c>
      <c r="Z803" t="s">
        <v>11623</v>
      </c>
      <c r="AA803" t="s">
        <v>11623</v>
      </c>
      <c r="AB803" t="s">
        <v>11623</v>
      </c>
      <c r="AC803" t="s">
        <v>11623</v>
      </c>
      <c r="AD803" t="s">
        <v>11623</v>
      </c>
    </row>
    <row r="804" spans="1:30">
      <c r="A804" t="s">
        <v>11624</v>
      </c>
      <c r="B804">
        <v>8</v>
      </c>
      <c r="C804">
        <v>24</v>
      </c>
      <c r="D804">
        <v>2018</v>
      </c>
      <c r="E804" s="1">
        <v>43336</v>
      </c>
      <c r="F804" t="s">
        <v>11625</v>
      </c>
      <c r="G804">
        <v>0</v>
      </c>
      <c r="H804">
        <v>3</v>
      </c>
      <c r="I804">
        <v>3</v>
      </c>
      <c r="J804">
        <v>0</v>
      </c>
      <c r="L804" t="s">
        <v>11626</v>
      </c>
      <c r="M804" t="s">
        <v>11627</v>
      </c>
      <c r="N804" t="s">
        <v>11628</v>
      </c>
      <c r="O804" t="s">
        <v>11629</v>
      </c>
      <c r="P804" t="s">
        <v>11630</v>
      </c>
      <c r="Q804" t="s">
        <v>11631</v>
      </c>
      <c r="R804" t="s">
        <v>11632</v>
      </c>
      <c r="S804" t="s">
        <v>11633</v>
      </c>
      <c r="U804">
        <v>1</v>
      </c>
      <c r="V804" t="s">
        <v>11634</v>
      </c>
      <c r="W804" t="s">
        <v>11635</v>
      </c>
      <c r="X804" t="s">
        <v>11636</v>
      </c>
      <c r="Y804" t="s">
        <v>11637</v>
      </c>
      <c r="Z804" t="s">
        <v>11638</v>
      </c>
      <c r="AA804" t="s">
        <v>11638</v>
      </c>
      <c r="AB804" t="s">
        <v>11638</v>
      </c>
      <c r="AC804" t="s">
        <v>11638</v>
      </c>
      <c r="AD804" t="s">
        <v>11638</v>
      </c>
    </row>
    <row r="805" spans="1:30">
      <c r="A805" t="s">
        <v>11639</v>
      </c>
      <c r="B805">
        <v>8</v>
      </c>
      <c r="C805">
        <v>24</v>
      </c>
      <c r="D805">
        <v>2018</v>
      </c>
      <c r="E805" s="1">
        <v>43336</v>
      </c>
      <c r="F805" t="s">
        <v>11640</v>
      </c>
      <c r="G805">
        <v>1</v>
      </c>
      <c r="H805">
        <v>2</v>
      </c>
      <c r="I805">
        <v>3</v>
      </c>
      <c r="J805">
        <v>0</v>
      </c>
      <c r="L805" t="s">
        <v>11641</v>
      </c>
      <c r="M805" t="s">
        <v>11642</v>
      </c>
      <c r="N805" t="s">
        <v>11643</v>
      </c>
      <c r="O805" t="s">
        <v>11644</v>
      </c>
      <c r="P805" t="s">
        <v>11645</v>
      </c>
      <c r="Q805" t="s">
        <v>11646</v>
      </c>
      <c r="R805" t="s">
        <v>11647</v>
      </c>
      <c r="S805" t="s">
        <v>11648</v>
      </c>
      <c r="T805" s="2">
        <v>0.91666666666666663</v>
      </c>
      <c r="U805">
        <v>1</v>
      </c>
      <c r="V805" t="s">
        <v>11649</v>
      </c>
      <c r="W805" t="s">
        <v>11650</v>
      </c>
      <c r="X805" t="s">
        <v>11651</v>
      </c>
      <c r="Z805" t="s">
        <v>11652</v>
      </c>
      <c r="AA805" t="s">
        <v>11652</v>
      </c>
      <c r="AB805" t="s">
        <v>11652</v>
      </c>
      <c r="AC805" t="s">
        <v>11652</v>
      </c>
      <c r="AD805" t="s">
        <v>11652</v>
      </c>
    </row>
    <row r="806" spans="1:30">
      <c r="A806" t="s">
        <v>11653</v>
      </c>
      <c r="B806">
        <v>8</v>
      </c>
      <c r="C806">
        <v>23</v>
      </c>
      <c r="D806">
        <v>2018</v>
      </c>
      <c r="E806" s="1">
        <v>43335</v>
      </c>
      <c r="F806" t="s">
        <v>11654</v>
      </c>
      <c r="G806">
        <v>0</v>
      </c>
      <c r="H806">
        <v>0</v>
      </c>
      <c r="I806">
        <v>0</v>
      </c>
      <c r="J806">
        <v>0</v>
      </c>
      <c r="L806" t="s">
        <v>11655</v>
      </c>
      <c r="M806" t="s">
        <v>11656</v>
      </c>
      <c r="N806" t="s">
        <v>11657</v>
      </c>
      <c r="O806" t="s">
        <v>11658</v>
      </c>
      <c r="P806" t="s">
        <v>11659</v>
      </c>
      <c r="Q806" t="s">
        <v>11660</v>
      </c>
      <c r="R806" t="s">
        <v>11661</v>
      </c>
      <c r="S806" t="s">
        <v>11662</v>
      </c>
      <c r="T806" s="2">
        <v>0.89583333333333337</v>
      </c>
      <c r="U806">
        <v>1</v>
      </c>
      <c r="V806" t="s">
        <v>11663</v>
      </c>
      <c r="W806" t="s">
        <v>11664</v>
      </c>
      <c r="Z806" t="s">
        <v>11665</v>
      </c>
      <c r="AA806" t="s">
        <v>11665</v>
      </c>
      <c r="AB806" t="s">
        <v>11665</v>
      </c>
      <c r="AC806" t="s">
        <v>11665</v>
      </c>
      <c r="AD806" t="s">
        <v>11665</v>
      </c>
    </row>
    <row r="807" spans="1:30">
      <c r="A807" t="s">
        <v>11666</v>
      </c>
      <c r="B807">
        <v>8</v>
      </c>
      <c r="C807">
        <v>17</v>
      </c>
      <c r="D807">
        <v>2018</v>
      </c>
      <c r="E807" s="1">
        <v>43329</v>
      </c>
      <c r="F807" t="s">
        <v>11667</v>
      </c>
      <c r="G807">
        <v>0</v>
      </c>
      <c r="H807">
        <v>2</v>
      </c>
      <c r="I807">
        <v>2</v>
      </c>
      <c r="J807">
        <v>0</v>
      </c>
      <c r="K807" t="s">
        <v>11668</v>
      </c>
      <c r="L807" t="s">
        <v>11669</v>
      </c>
      <c r="M807" t="s">
        <v>11670</v>
      </c>
      <c r="N807" t="s">
        <v>11671</v>
      </c>
      <c r="O807" t="s">
        <v>11672</v>
      </c>
      <c r="P807" t="s">
        <v>11673</v>
      </c>
      <c r="Q807" t="s">
        <v>11674</v>
      </c>
      <c r="R807" t="s">
        <v>11675</v>
      </c>
      <c r="S807" t="s">
        <v>11676</v>
      </c>
      <c r="T807" s="2">
        <v>0.90625</v>
      </c>
      <c r="U807">
        <v>1</v>
      </c>
      <c r="V807" t="s">
        <v>11677</v>
      </c>
      <c r="W807" t="s">
        <v>11678</v>
      </c>
      <c r="X807" t="s">
        <v>11679</v>
      </c>
      <c r="Z807" t="s">
        <v>11680</v>
      </c>
      <c r="AA807" t="s">
        <v>11680</v>
      </c>
      <c r="AB807" t="s">
        <v>11680</v>
      </c>
      <c r="AC807" t="s">
        <v>11680</v>
      </c>
      <c r="AD807" t="s">
        <v>11680</v>
      </c>
    </row>
    <row r="808" spans="1:30">
      <c r="A808" t="s">
        <v>11681</v>
      </c>
      <c r="B808">
        <v>8</v>
      </c>
      <c r="C808">
        <v>11</v>
      </c>
      <c r="D808">
        <v>2018</v>
      </c>
      <c r="E808" s="1">
        <v>43323</v>
      </c>
      <c r="F808" t="s">
        <v>11682</v>
      </c>
      <c r="G808">
        <v>0</v>
      </c>
      <c r="H808">
        <v>1</v>
      </c>
      <c r="I808">
        <v>1</v>
      </c>
      <c r="J808">
        <v>0</v>
      </c>
      <c r="L808" t="s">
        <v>11683</v>
      </c>
      <c r="M808" t="s">
        <v>11684</v>
      </c>
      <c r="N808" t="s">
        <v>11685</v>
      </c>
      <c r="O808" t="s">
        <v>11686</v>
      </c>
      <c r="P808" t="s">
        <v>11687</v>
      </c>
      <c r="Q808" t="s">
        <v>11688</v>
      </c>
      <c r="R808" t="s">
        <v>11689</v>
      </c>
      <c r="S808" t="s">
        <v>11690</v>
      </c>
      <c r="T808" s="2">
        <v>0.75</v>
      </c>
      <c r="U808">
        <v>1</v>
      </c>
      <c r="V808" t="s">
        <v>11691</v>
      </c>
      <c r="W808" t="s">
        <v>11692</v>
      </c>
      <c r="X808" t="s">
        <v>11693</v>
      </c>
      <c r="Y808" t="s">
        <v>11694</v>
      </c>
      <c r="Z808" t="s">
        <v>11694</v>
      </c>
      <c r="AA808" t="s">
        <v>11694</v>
      </c>
      <c r="AB808" t="s">
        <v>11694</v>
      </c>
      <c r="AC808" t="s">
        <v>11694</v>
      </c>
      <c r="AD808" t="s">
        <v>11694</v>
      </c>
    </row>
    <row r="809" spans="1:30">
      <c r="A809" t="s">
        <v>11695</v>
      </c>
      <c r="B809">
        <v>8</v>
      </c>
      <c r="C809">
        <v>9</v>
      </c>
      <c r="D809">
        <v>2018</v>
      </c>
      <c r="E809" s="1">
        <v>43321</v>
      </c>
      <c r="F809" t="s">
        <v>11696</v>
      </c>
      <c r="G809">
        <v>1</v>
      </c>
      <c r="H809">
        <v>0</v>
      </c>
      <c r="I809">
        <v>1</v>
      </c>
      <c r="J809">
        <v>0</v>
      </c>
      <c r="L809" t="s">
        <v>11697</v>
      </c>
      <c r="M809" t="s">
        <v>11698</v>
      </c>
      <c r="N809" t="s">
        <v>11699</v>
      </c>
      <c r="O809" t="s">
        <v>11700</v>
      </c>
      <c r="P809" t="s">
        <v>11701</v>
      </c>
      <c r="Q809" t="s">
        <v>11702</v>
      </c>
      <c r="R809" t="s">
        <v>11703</v>
      </c>
      <c r="S809" t="s">
        <v>11704</v>
      </c>
      <c r="T809" s="2">
        <v>0.84375</v>
      </c>
      <c r="U809">
        <v>1</v>
      </c>
      <c r="V809" t="s">
        <v>11705</v>
      </c>
      <c r="W809" t="s">
        <v>11706</v>
      </c>
      <c r="X809" t="s">
        <v>11707</v>
      </c>
      <c r="Z809" t="s">
        <v>11708</v>
      </c>
      <c r="AA809" t="s">
        <v>11708</v>
      </c>
      <c r="AB809" t="s">
        <v>11708</v>
      </c>
      <c r="AC809" t="s">
        <v>11708</v>
      </c>
      <c r="AD809" t="s">
        <v>11708</v>
      </c>
    </row>
    <row r="810" spans="1:30">
      <c r="A810" t="s">
        <v>11709</v>
      </c>
      <c r="B810">
        <v>8</v>
      </c>
      <c r="C810">
        <v>4</v>
      </c>
      <c r="D810">
        <v>2018</v>
      </c>
      <c r="E810" s="1">
        <v>43316</v>
      </c>
      <c r="F810" t="s">
        <v>11710</v>
      </c>
      <c r="G810">
        <v>1</v>
      </c>
      <c r="H810">
        <v>0</v>
      </c>
      <c r="I810">
        <v>1</v>
      </c>
      <c r="J810">
        <v>0</v>
      </c>
      <c r="L810" t="s">
        <v>11711</v>
      </c>
      <c r="M810" t="s">
        <v>11712</v>
      </c>
      <c r="N810" t="s">
        <v>11713</v>
      </c>
      <c r="O810" t="s">
        <v>11714</v>
      </c>
      <c r="P810" t="s">
        <v>11715</v>
      </c>
      <c r="Q810" t="s">
        <v>11716</v>
      </c>
      <c r="R810" t="s">
        <v>11717</v>
      </c>
      <c r="S810" t="s">
        <v>11718</v>
      </c>
      <c r="T810" s="2">
        <v>0.8881944444444444</v>
      </c>
      <c r="U810">
        <v>1</v>
      </c>
      <c r="V810" t="s">
        <v>11719</v>
      </c>
      <c r="W810" t="s">
        <v>11720</v>
      </c>
      <c r="Z810" t="s">
        <v>11721</v>
      </c>
      <c r="AA810" t="s">
        <v>11721</v>
      </c>
      <c r="AD810" t="s">
        <v>11721</v>
      </c>
    </row>
    <row r="811" spans="1:30">
      <c r="A811" t="s">
        <v>11722</v>
      </c>
      <c r="B811">
        <v>8</v>
      </c>
      <c r="C811">
        <v>3</v>
      </c>
      <c r="D811">
        <v>2018</v>
      </c>
      <c r="E811" s="1">
        <v>43315</v>
      </c>
      <c r="F811" t="s">
        <v>11723</v>
      </c>
      <c r="G811">
        <v>0</v>
      </c>
      <c r="H811">
        <v>0</v>
      </c>
      <c r="I811">
        <v>0</v>
      </c>
      <c r="J811">
        <v>1</v>
      </c>
      <c r="K811" t="s">
        <v>11724</v>
      </c>
      <c r="L811" t="s">
        <v>11725</v>
      </c>
      <c r="M811" t="s">
        <v>11726</v>
      </c>
      <c r="N811" t="s">
        <v>11727</v>
      </c>
      <c r="O811" t="s">
        <v>11728</v>
      </c>
      <c r="P811" t="s">
        <v>11729</v>
      </c>
      <c r="Q811" t="s">
        <v>11730</v>
      </c>
      <c r="R811" t="s">
        <v>11731</v>
      </c>
      <c r="S811" t="s">
        <v>11732</v>
      </c>
      <c r="T811" s="2">
        <v>0.58333333333333337</v>
      </c>
      <c r="U811">
        <v>15</v>
      </c>
      <c r="V811" t="s">
        <v>11733</v>
      </c>
      <c r="W811" t="s">
        <v>11734</v>
      </c>
      <c r="X811" t="s">
        <v>11735</v>
      </c>
      <c r="Y811" t="s">
        <v>11736</v>
      </c>
      <c r="Z811" t="s">
        <v>11737</v>
      </c>
      <c r="AA811" t="s">
        <v>11737</v>
      </c>
      <c r="AB811" t="s">
        <v>11737</v>
      </c>
      <c r="AC811" t="s">
        <v>11737</v>
      </c>
      <c r="AD811" t="s">
        <v>11737</v>
      </c>
    </row>
    <row r="812" spans="1:30">
      <c r="A812" t="s">
        <v>11738</v>
      </c>
      <c r="B812">
        <v>7</v>
      </c>
      <c r="C812">
        <v>19</v>
      </c>
      <c r="D812">
        <v>2018</v>
      </c>
      <c r="E812" s="1">
        <v>43300</v>
      </c>
      <c r="F812" t="s">
        <v>11739</v>
      </c>
      <c r="G812">
        <v>1</v>
      </c>
      <c r="H812">
        <v>0</v>
      </c>
      <c r="I812">
        <v>1</v>
      </c>
      <c r="J812">
        <v>0</v>
      </c>
      <c r="L812" t="s">
        <v>11740</v>
      </c>
      <c r="M812" t="s">
        <v>11741</v>
      </c>
      <c r="N812" t="s">
        <v>11742</v>
      </c>
      <c r="O812" t="s">
        <v>11743</v>
      </c>
      <c r="P812" t="s">
        <v>11744</v>
      </c>
      <c r="Q812" t="s">
        <v>11745</v>
      </c>
      <c r="R812" t="s">
        <v>11746</v>
      </c>
      <c r="S812" t="s">
        <v>11747</v>
      </c>
      <c r="T812" s="2">
        <v>0.71875</v>
      </c>
      <c r="U812">
        <v>1</v>
      </c>
      <c r="V812" t="s">
        <v>11748</v>
      </c>
      <c r="W812" t="s">
        <v>11749</v>
      </c>
      <c r="Z812" t="s">
        <v>11750</v>
      </c>
      <c r="AA812" t="s">
        <v>11750</v>
      </c>
      <c r="AD812" t="s">
        <v>11750</v>
      </c>
    </row>
    <row r="813" spans="1:30">
      <c r="A813" t="s">
        <v>11751</v>
      </c>
      <c r="B813">
        <v>7</v>
      </c>
      <c r="C813">
        <v>17</v>
      </c>
      <c r="D813">
        <v>2018</v>
      </c>
      <c r="E813" s="1">
        <v>43298</v>
      </c>
      <c r="F813" t="s">
        <v>11752</v>
      </c>
      <c r="G813">
        <v>0</v>
      </c>
      <c r="H813">
        <v>0</v>
      </c>
      <c r="I813">
        <v>0</v>
      </c>
      <c r="J813">
        <v>0</v>
      </c>
      <c r="L813" t="s">
        <v>11753</v>
      </c>
      <c r="M813" t="s">
        <v>11754</v>
      </c>
      <c r="N813" t="s">
        <v>11755</v>
      </c>
      <c r="O813" t="s">
        <v>11756</v>
      </c>
      <c r="P813" t="s">
        <v>11757</v>
      </c>
      <c r="Q813" t="s">
        <v>11758</v>
      </c>
      <c r="R813" t="s">
        <v>11759</v>
      </c>
      <c r="S813" t="s">
        <v>11760</v>
      </c>
      <c r="T813" s="2">
        <v>0.75</v>
      </c>
      <c r="U813">
        <v>1</v>
      </c>
      <c r="V813" t="s">
        <v>11761</v>
      </c>
      <c r="W813" t="s">
        <v>11762</v>
      </c>
      <c r="X813" t="s">
        <v>11763</v>
      </c>
      <c r="Y813" t="s">
        <v>11764</v>
      </c>
      <c r="Z813" t="s">
        <v>11764</v>
      </c>
      <c r="AA813" t="s">
        <v>11764</v>
      </c>
      <c r="AB813" t="s">
        <v>11764</v>
      </c>
      <c r="AC813" t="s">
        <v>11764</v>
      </c>
      <c r="AD813" t="s">
        <v>11764</v>
      </c>
    </row>
    <row r="814" spans="1:30">
      <c r="A814" t="s">
        <v>11765</v>
      </c>
      <c r="B814">
        <v>7</v>
      </c>
      <c r="C814">
        <v>11</v>
      </c>
      <c r="D814">
        <v>2018</v>
      </c>
      <c r="E814" s="1">
        <v>43292</v>
      </c>
      <c r="F814" t="s">
        <v>11766</v>
      </c>
      <c r="G814">
        <v>1</v>
      </c>
      <c r="H814">
        <v>0</v>
      </c>
      <c r="I814">
        <v>1</v>
      </c>
      <c r="J814">
        <v>0</v>
      </c>
      <c r="L814" t="s">
        <v>11767</v>
      </c>
      <c r="M814" t="s">
        <v>11768</v>
      </c>
      <c r="N814" t="s">
        <v>11769</v>
      </c>
      <c r="O814" t="s">
        <v>11770</v>
      </c>
      <c r="P814" t="s">
        <v>11771</v>
      </c>
      <c r="Q814" t="s">
        <v>11772</v>
      </c>
      <c r="R814" t="s">
        <v>11773</v>
      </c>
      <c r="S814" t="s">
        <v>11774</v>
      </c>
      <c r="T814" s="2">
        <v>0.85416666666666674</v>
      </c>
      <c r="U814">
        <v>1</v>
      </c>
      <c r="V814" t="s">
        <v>11775</v>
      </c>
      <c r="W814" t="s">
        <v>11776</v>
      </c>
      <c r="Z814" t="s">
        <v>11777</v>
      </c>
      <c r="AA814" t="s">
        <v>11777</v>
      </c>
      <c r="AD814" t="s">
        <v>11777</v>
      </c>
    </row>
    <row r="815" spans="1:30">
      <c r="A815" t="s">
        <v>11778</v>
      </c>
      <c r="B815">
        <v>7</v>
      </c>
      <c r="C815">
        <v>3</v>
      </c>
      <c r="D815">
        <v>2018</v>
      </c>
      <c r="E815" s="1">
        <v>43284</v>
      </c>
      <c r="F815" t="s">
        <v>11779</v>
      </c>
      <c r="G815">
        <v>1</v>
      </c>
      <c r="H815">
        <v>1</v>
      </c>
      <c r="I815">
        <v>2</v>
      </c>
      <c r="J815">
        <v>0</v>
      </c>
      <c r="K815" t="s">
        <v>11780</v>
      </c>
      <c r="L815" t="s">
        <v>11781</v>
      </c>
      <c r="M815" t="s">
        <v>11782</v>
      </c>
      <c r="N815" t="s">
        <v>11783</v>
      </c>
      <c r="O815" t="s">
        <v>11784</v>
      </c>
      <c r="P815" t="s">
        <v>11785</v>
      </c>
      <c r="Q815" t="s">
        <v>11786</v>
      </c>
      <c r="R815" t="s">
        <v>11787</v>
      </c>
      <c r="S815" t="s">
        <v>11788</v>
      </c>
      <c r="T815" s="2">
        <v>0.375</v>
      </c>
      <c r="U815">
        <v>1</v>
      </c>
      <c r="V815" t="s">
        <v>11789</v>
      </c>
      <c r="W815" t="s">
        <v>11790</v>
      </c>
      <c r="X815" t="s">
        <v>11791</v>
      </c>
      <c r="Z815" t="s">
        <v>11792</v>
      </c>
      <c r="AA815" t="s">
        <v>11792</v>
      </c>
      <c r="AB815" t="s">
        <v>11792</v>
      </c>
      <c r="AC815" t="s">
        <v>11792</v>
      </c>
      <c r="AD815" t="s">
        <v>11792</v>
      </c>
    </row>
    <row r="816" spans="1:30">
      <c r="A816" t="s">
        <v>11793</v>
      </c>
      <c r="B816">
        <v>7</v>
      </c>
      <c r="C816">
        <v>1</v>
      </c>
      <c r="D816">
        <v>2018</v>
      </c>
      <c r="E816" s="1">
        <v>43282</v>
      </c>
      <c r="F816" t="s">
        <v>11794</v>
      </c>
      <c r="G816">
        <v>1</v>
      </c>
      <c r="H816">
        <v>0</v>
      </c>
      <c r="I816">
        <v>1</v>
      </c>
      <c r="J816">
        <v>0</v>
      </c>
      <c r="K816" t="s">
        <v>11795</v>
      </c>
      <c r="L816" t="s">
        <v>11796</v>
      </c>
      <c r="M816" t="s">
        <v>11797</v>
      </c>
      <c r="N816" t="s">
        <v>11798</v>
      </c>
      <c r="O816" t="s">
        <v>11799</v>
      </c>
      <c r="P816" t="s">
        <v>11800</v>
      </c>
      <c r="Q816" t="s">
        <v>11801</v>
      </c>
      <c r="R816" t="s">
        <v>11802</v>
      </c>
      <c r="S816" t="s">
        <v>11803</v>
      </c>
      <c r="T816" s="2">
        <v>0.875</v>
      </c>
      <c r="U816">
        <v>1</v>
      </c>
      <c r="V816" t="s">
        <v>11804</v>
      </c>
      <c r="W816" t="s">
        <v>11805</v>
      </c>
      <c r="Z816" t="s">
        <v>11806</v>
      </c>
      <c r="AA816" t="s">
        <v>11806</v>
      </c>
      <c r="AB816" t="s">
        <v>11806</v>
      </c>
      <c r="AD816" t="s">
        <v>11806</v>
      </c>
    </row>
    <row r="817" spans="1:30">
      <c r="A817" t="s">
        <v>11807</v>
      </c>
      <c r="B817">
        <v>6</v>
      </c>
      <c r="C817">
        <v>25</v>
      </c>
      <c r="D817">
        <v>2018</v>
      </c>
      <c r="E817" s="1">
        <v>43276</v>
      </c>
      <c r="F817" t="s">
        <v>11808</v>
      </c>
      <c r="G817">
        <v>0</v>
      </c>
      <c r="H817">
        <v>1</v>
      </c>
      <c r="I817">
        <v>1</v>
      </c>
      <c r="J817">
        <v>0</v>
      </c>
      <c r="K817" t="s">
        <v>11809</v>
      </c>
      <c r="L817" t="s">
        <v>11810</v>
      </c>
      <c r="M817" t="s">
        <v>11811</v>
      </c>
      <c r="N817" t="s">
        <v>11812</v>
      </c>
      <c r="O817" t="s">
        <v>11813</v>
      </c>
      <c r="P817" t="s">
        <v>11814</v>
      </c>
      <c r="Q817" t="s">
        <v>11815</v>
      </c>
      <c r="R817" t="s">
        <v>11816</v>
      </c>
      <c r="S817" t="s">
        <v>11817</v>
      </c>
      <c r="T817" s="2">
        <v>0.625</v>
      </c>
      <c r="U817">
        <v>1</v>
      </c>
      <c r="V817" t="s">
        <v>11818</v>
      </c>
      <c r="W817" t="s">
        <v>11819</v>
      </c>
      <c r="X817" t="s">
        <v>11820</v>
      </c>
      <c r="Z817" t="s">
        <v>11821</v>
      </c>
      <c r="AA817" t="s">
        <v>11821</v>
      </c>
      <c r="AB817" t="s">
        <v>11821</v>
      </c>
      <c r="AC817" t="s">
        <v>11821</v>
      </c>
      <c r="AD817" t="s">
        <v>11821</v>
      </c>
    </row>
    <row r="818" spans="1:30">
      <c r="A818" t="s">
        <v>11822</v>
      </c>
      <c r="B818">
        <v>6</v>
      </c>
      <c r="C818">
        <v>24</v>
      </c>
      <c r="D818">
        <v>2018</v>
      </c>
      <c r="E818" s="1">
        <v>43275</v>
      </c>
      <c r="F818" t="s">
        <v>11823</v>
      </c>
      <c r="G818">
        <v>0</v>
      </c>
      <c r="H818">
        <v>2</v>
      </c>
      <c r="I818">
        <v>2</v>
      </c>
      <c r="J818">
        <v>0</v>
      </c>
      <c r="K818" t="s">
        <v>11824</v>
      </c>
      <c r="L818" t="s">
        <v>11825</v>
      </c>
      <c r="M818" t="s">
        <v>11826</v>
      </c>
      <c r="N818" t="s">
        <v>11827</v>
      </c>
      <c r="O818" t="s">
        <v>11828</v>
      </c>
      <c r="P818" t="s">
        <v>11829</v>
      </c>
      <c r="Q818" t="s">
        <v>11830</v>
      </c>
      <c r="R818" t="s">
        <v>11831</v>
      </c>
      <c r="S818" t="s">
        <v>11832</v>
      </c>
      <c r="T818" s="2">
        <v>0.77083333333333337</v>
      </c>
      <c r="U818">
        <v>1</v>
      </c>
      <c r="V818" t="s">
        <v>11833</v>
      </c>
      <c r="W818" t="s">
        <v>11834</v>
      </c>
      <c r="X818" t="s">
        <v>11835</v>
      </c>
      <c r="Y818" t="s">
        <v>11836</v>
      </c>
      <c r="Z818" t="s">
        <v>11836</v>
      </c>
      <c r="AA818" t="s">
        <v>11836</v>
      </c>
      <c r="AB818" t="s">
        <v>11836</v>
      </c>
      <c r="AC818" t="s">
        <v>11836</v>
      </c>
      <c r="AD818" t="s">
        <v>11836</v>
      </c>
    </row>
    <row r="819" spans="1:30">
      <c r="A819" t="s">
        <v>11837</v>
      </c>
      <c r="B819">
        <v>6</v>
      </c>
      <c r="C819">
        <v>21</v>
      </c>
      <c r="D819">
        <v>2018</v>
      </c>
      <c r="E819" s="1">
        <v>43272</v>
      </c>
      <c r="F819" t="s">
        <v>11838</v>
      </c>
      <c r="G819">
        <v>0</v>
      </c>
      <c r="H819">
        <v>1</v>
      </c>
      <c r="I819">
        <v>1</v>
      </c>
      <c r="J819">
        <v>0</v>
      </c>
      <c r="K819" t="s">
        <v>11839</v>
      </c>
      <c r="L819" t="s">
        <v>11840</v>
      </c>
      <c r="M819" t="s">
        <v>11841</v>
      </c>
      <c r="N819" t="s">
        <v>11842</v>
      </c>
      <c r="O819" t="s">
        <v>11843</v>
      </c>
      <c r="P819" t="s">
        <v>11844</v>
      </c>
      <c r="Q819" t="s">
        <v>11845</v>
      </c>
      <c r="R819" t="s">
        <v>11846</v>
      </c>
      <c r="S819" t="s">
        <v>11847</v>
      </c>
      <c r="T819" s="2">
        <v>0.20833333333333334</v>
      </c>
      <c r="U819">
        <v>1</v>
      </c>
      <c r="V819" t="s">
        <v>11848</v>
      </c>
      <c r="W819" t="s">
        <v>11849</v>
      </c>
      <c r="Z819" t="s">
        <v>11850</v>
      </c>
      <c r="AA819" t="s">
        <v>11850</v>
      </c>
      <c r="AB819" t="s">
        <v>11850</v>
      </c>
      <c r="AC819" t="s">
        <v>11850</v>
      </c>
      <c r="AD819" t="s">
        <v>11850</v>
      </c>
    </row>
    <row r="820" spans="1:30">
      <c r="A820" t="s">
        <v>11851</v>
      </c>
      <c r="B820">
        <v>6</v>
      </c>
      <c r="C820">
        <v>17</v>
      </c>
      <c r="D820">
        <v>2018</v>
      </c>
      <c r="E820" s="1">
        <v>43268</v>
      </c>
      <c r="F820" t="s">
        <v>11852</v>
      </c>
      <c r="G820">
        <v>1</v>
      </c>
      <c r="H820">
        <v>0</v>
      </c>
      <c r="I820">
        <v>1</v>
      </c>
      <c r="J820">
        <v>0</v>
      </c>
      <c r="L820" t="s">
        <v>11853</v>
      </c>
      <c r="M820" t="s">
        <v>11854</v>
      </c>
      <c r="N820" t="s">
        <v>11855</v>
      </c>
      <c r="O820" t="s">
        <v>11856</v>
      </c>
      <c r="P820" t="s">
        <v>11857</v>
      </c>
      <c r="Q820" t="s">
        <v>11858</v>
      </c>
      <c r="R820" t="s">
        <v>11859</v>
      </c>
      <c r="S820" t="s">
        <v>11860</v>
      </c>
      <c r="T820" s="2">
        <v>0.19791666666666666</v>
      </c>
      <c r="U820">
        <v>1</v>
      </c>
      <c r="V820" t="s">
        <v>11861</v>
      </c>
      <c r="W820" t="s">
        <v>11862</v>
      </c>
      <c r="Z820" t="s">
        <v>11863</v>
      </c>
      <c r="AA820" t="s">
        <v>11863</v>
      </c>
      <c r="AB820" t="s">
        <v>11863</v>
      </c>
      <c r="AC820" t="s">
        <v>11863</v>
      </c>
      <c r="AD820" t="s">
        <v>11863</v>
      </c>
    </row>
    <row r="821" spans="1:30">
      <c r="A821" t="s">
        <v>11864</v>
      </c>
      <c r="B821">
        <v>6</v>
      </c>
      <c r="C821">
        <v>15</v>
      </c>
      <c r="D821">
        <v>2018</v>
      </c>
      <c r="E821" s="1">
        <v>43266</v>
      </c>
      <c r="F821" t="s">
        <v>11865</v>
      </c>
      <c r="G821">
        <v>0</v>
      </c>
      <c r="H821">
        <v>0</v>
      </c>
      <c r="I821">
        <v>0</v>
      </c>
      <c r="J821">
        <v>0</v>
      </c>
      <c r="L821" t="s">
        <v>11866</v>
      </c>
      <c r="M821" t="s">
        <v>11867</v>
      </c>
      <c r="N821" t="s">
        <v>11868</v>
      </c>
      <c r="O821" t="s">
        <v>11869</v>
      </c>
      <c r="P821" t="s">
        <v>11870</v>
      </c>
      <c r="Q821" t="s">
        <v>11871</v>
      </c>
      <c r="R821" t="s">
        <v>11872</v>
      </c>
      <c r="S821" t="s">
        <v>11873</v>
      </c>
      <c r="T821" s="2">
        <v>0.16666666666666666</v>
      </c>
      <c r="U821">
        <v>1</v>
      </c>
      <c r="V821" t="s">
        <v>11874</v>
      </c>
      <c r="W821" t="s">
        <v>11875</v>
      </c>
      <c r="X821" t="s">
        <v>11876</v>
      </c>
      <c r="Z821" t="s">
        <v>11877</v>
      </c>
      <c r="AA821" t="s">
        <v>11877</v>
      </c>
      <c r="AB821" t="s">
        <v>11877</v>
      </c>
      <c r="AC821" t="s">
        <v>11878</v>
      </c>
      <c r="AD821" t="s">
        <v>11879</v>
      </c>
    </row>
    <row r="822" spans="1:30">
      <c r="A822" t="s">
        <v>11880</v>
      </c>
      <c r="B822">
        <v>6</v>
      </c>
      <c r="C822">
        <v>1</v>
      </c>
      <c r="D822">
        <v>2018</v>
      </c>
      <c r="E822" s="1">
        <v>43252</v>
      </c>
      <c r="F822" t="s">
        <v>11881</v>
      </c>
      <c r="G822">
        <v>0</v>
      </c>
      <c r="H822">
        <v>0</v>
      </c>
      <c r="I822">
        <v>0</v>
      </c>
      <c r="J822">
        <v>1</v>
      </c>
      <c r="K822" t="s">
        <v>11882</v>
      </c>
      <c r="L822" t="s">
        <v>11883</v>
      </c>
      <c r="M822" t="s">
        <v>11884</v>
      </c>
      <c r="N822" t="s">
        <v>11885</v>
      </c>
      <c r="O822" t="s">
        <v>11886</v>
      </c>
      <c r="P822" t="s">
        <v>11887</v>
      </c>
      <c r="Q822" t="s">
        <v>11888</v>
      </c>
      <c r="R822" t="s">
        <v>11889</v>
      </c>
      <c r="S822" t="s">
        <v>11890</v>
      </c>
      <c r="U822">
        <v>1</v>
      </c>
      <c r="V822" t="s">
        <v>11891</v>
      </c>
      <c r="W822" t="s">
        <v>11892</v>
      </c>
      <c r="X822" t="s">
        <v>11893</v>
      </c>
      <c r="Y822" t="s">
        <v>11894</v>
      </c>
      <c r="Z822" t="s">
        <v>11894</v>
      </c>
      <c r="AA822" t="s">
        <v>11894</v>
      </c>
      <c r="AB822" t="s">
        <v>11894</v>
      </c>
      <c r="AC822" t="s">
        <v>11894</v>
      </c>
      <c r="AD822" t="s">
        <v>11894</v>
      </c>
    </row>
    <row r="823" spans="1:30">
      <c r="A823" t="s">
        <v>11895</v>
      </c>
      <c r="B823">
        <v>5</v>
      </c>
      <c r="C823">
        <v>25</v>
      </c>
      <c r="D823">
        <v>2018</v>
      </c>
      <c r="E823" s="1">
        <v>43245</v>
      </c>
      <c r="F823" t="s">
        <v>11896</v>
      </c>
      <c r="G823">
        <v>0</v>
      </c>
      <c r="H823">
        <v>2</v>
      </c>
      <c r="I823">
        <v>2</v>
      </c>
      <c r="J823">
        <v>0</v>
      </c>
      <c r="K823" t="s">
        <v>11897</v>
      </c>
      <c r="L823" t="s">
        <v>11898</v>
      </c>
      <c r="M823" t="s">
        <v>11899</v>
      </c>
      <c r="N823" t="s">
        <v>11900</v>
      </c>
      <c r="O823" t="s">
        <v>11901</v>
      </c>
      <c r="P823" t="s">
        <v>11902</v>
      </c>
      <c r="Q823" t="s">
        <v>11903</v>
      </c>
      <c r="R823" t="s">
        <v>11904</v>
      </c>
      <c r="S823" t="s">
        <v>11905</v>
      </c>
      <c r="T823" s="2">
        <v>0.375</v>
      </c>
      <c r="U823">
        <v>1</v>
      </c>
      <c r="V823" t="s">
        <v>11906</v>
      </c>
      <c r="W823" t="s">
        <v>11907</v>
      </c>
      <c r="X823" t="s">
        <v>11908</v>
      </c>
      <c r="Y823" t="s">
        <v>11909</v>
      </c>
      <c r="Z823" t="s">
        <v>11909</v>
      </c>
      <c r="AA823" t="s">
        <v>11909</v>
      </c>
      <c r="AB823" t="s">
        <v>11909</v>
      </c>
      <c r="AC823" t="s">
        <v>11909</v>
      </c>
      <c r="AD823" t="s">
        <v>11910</v>
      </c>
    </row>
    <row r="824" spans="1:30">
      <c r="A824" t="s">
        <v>11911</v>
      </c>
      <c r="B824">
        <v>5</v>
      </c>
      <c r="C824">
        <v>21</v>
      </c>
      <c r="D824">
        <v>2018</v>
      </c>
      <c r="E824" s="1">
        <v>43241</v>
      </c>
      <c r="F824" t="s">
        <v>11912</v>
      </c>
      <c r="G824">
        <v>0</v>
      </c>
      <c r="H824">
        <v>1</v>
      </c>
      <c r="I824">
        <v>1</v>
      </c>
      <c r="J824">
        <v>0</v>
      </c>
      <c r="L824" t="s">
        <v>11913</v>
      </c>
      <c r="M824" t="s">
        <v>11914</v>
      </c>
      <c r="N824" t="s">
        <v>11915</v>
      </c>
      <c r="O824" t="s">
        <v>11916</v>
      </c>
      <c r="P824" t="s">
        <v>11917</v>
      </c>
      <c r="Q824" t="s">
        <v>11918</v>
      </c>
      <c r="R824" t="s">
        <v>11919</v>
      </c>
      <c r="S824" t="s">
        <v>11920</v>
      </c>
      <c r="U824">
        <v>1</v>
      </c>
      <c r="V824" t="s">
        <v>11921</v>
      </c>
      <c r="W824" t="s">
        <v>11922</v>
      </c>
      <c r="X824" t="s">
        <v>11923</v>
      </c>
      <c r="Z824" t="s">
        <v>11924</v>
      </c>
      <c r="AA824" t="s">
        <v>11924</v>
      </c>
      <c r="AB824" t="s">
        <v>11924</v>
      </c>
      <c r="AC824" t="s">
        <v>11924</v>
      </c>
      <c r="AD824" t="s">
        <v>11924</v>
      </c>
    </row>
    <row r="825" spans="1:30">
      <c r="A825" t="s">
        <v>11925</v>
      </c>
      <c r="B825">
        <v>5</v>
      </c>
      <c r="C825">
        <v>18</v>
      </c>
      <c r="D825">
        <v>2018</v>
      </c>
      <c r="E825" s="1">
        <v>43238</v>
      </c>
      <c r="F825" t="s">
        <v>11926</v>
      </c>
      <c r="G825">
        <v>10</v>
      </c>
      <c r="H825">
        <v>13</v>
      </c>
      <c r="I825">
        <v>23</v>
      </c>
      <c r="J825">
        <v>0</v>
      </c>
      <c r="K825" t="s">
        <v>11927</v>
      </c>
      <c r="L825" t="s">
        <v>11928</v>
      </c>
      <c r="M825" t="s">
        <v>11929</v>
      </c>
      <c r="N825" t="s">
        <v>11930</v>
      </c>
      <c r="O825" t="s">
        <v>11931</v>
      </c>
      <c r="P825" t="s">
        <v>11932</v>
      </c>
      <c r="Q825" t="s">
        <v>11933</v>
      </c>
      <c r="R825" t="s">
        <v>11934</v>
      </c>
      <c r="S825" t="s">
        <v>11935</v>
      </c>
      <c r="T825" s="2">
        <v>0.32291666666666669</v>
      </c>
      <c r="U825">
        <v>32</v>
      </c>
      <c r="V825" t="s">
        <v>11936</v>
      </c>
      <c r="W825" t="s">
        <v>11937</v>
      </c>
      <c r="X825" t="s">
        <v>11938</v>
      </c>
      <c r="Y825" t="s">
        <v>11939</v>
      </c>
      <c r="Z825" t="s">
        <v>11939</v>
      </c>
      <c r="AA825" t="s">
        <v>11940</v>
      </c>
      <c r="AB825" t="s">
        <v>11940</v>
      </c>
      <c r="AC825" t="s">
        <v>11941</v>
      </c>
      <c r="AD825" t="s">
        <v>11942</v>
      </c>
    </row>
    <row r="826" spans="1:30">
      <c r="A826" t="s">
        <v>11943</v>
      </c>
      <c r="B826">
        <v>5</v>
      </c>
      <c r="C826">
        <v>18</v>
      </c>
      <c r="D826">
        <v>2018</v>
      </c>
      <c r="E826" s="1">
        <v>43238</v>
      </c>
      <c r="F826" t="s">
        <v>11944</v>
      </c>
      <c r="G826">
        <v>1</v>
      </c>
      <c r="H826">
        <v>2</v>
      </c>
      <c r="I826">
        <v>3</v>
      </c>
      <c r="J826">
        <v>0</v>
      </c>
      <c r="L826" t="s">
        <v>11945</v>
      </c>
      <c r="M826" t="s">
        <v>11946</v>
      </c>
      <c r="N826" t="s">
        <v>11947</v>
      </c>
      <c r="O826" t="s">
        <v>11948</v>
      </c>
      <c r="P826" t="s">
        <v>11949</v>
      </c>
      <c r="Q826" t="s">
        <v>11950</v>
      </c>
      <c r="R826" t="s">
        <v>11951</v>
      </c>
      <c r="S826" t="s">
        <v>11952</v>
      </c>
      <c r="U826">
        <v>1</v>
      </c>
      <c r="V826" t="s">
        <v>11953</v>
      </c>
      <c r="W826" t="s">
        <v>11954</v>
      </c>
      <c r="X826" t="s">
        <v>11955</v>
      </c>
      <c r="Z826" t="s">
        <v>11956</v>
      </c>
      <c r="AA826" t="s">
        <v>11956</v>
      </c>
      <c r="AB826" t="s">
        <v>11956</v>
      </c>
      <c r="AC826" t="s">
        <v>11956</v>
      </c>
      <c r="AD826" t="s">
        <v>11956</v>
      </c>
    </row>
    <row r="827" spans="1:30">
      <c r="A827" t="s">
        <v>11957</v>
      </c>
      <c r="B827">
        <v>5</v>
      </c>
      <c r="C827">
        <v>17</v>
      </c>
      <c r="D827">
        <v>2018</v>
      </c>
      <c r="E827" s="1">
        <v>43237</v>
      </c>
      <c r="F827" t="s">
        <v>11958</v>
      </c>
      <c r="G827">
        <v>0</v>
      </c>
      <c r="H827">
        <v>2</v>
      </c>
      <c r="I827">
        <v>2</v>
      </c>
      <c r="J827">
        <v>0</v>
      </c>
      <c r="L827" t="s">
        <v>11959</v>
      </c>
      <c r="M827" t="s">
        <v>11960</v>
      </c>
      <c r="N827" t="s">
        <v>11961</v>
      </c>
      <c r="O827" t="s">
        <v>11962</v>
      </c>
      <c r="P827" t="s">
        <v>11963</v>
      </c>
      <c r="Q827" t="s">
        <v>11963</v>
      </c>
      <c r="R827" t="s">
        <v>11964</v>
      </c>
      <c r="S827" t="s">
        <v>11965</v>
      </c>
      <c r="T827" s="2">
        <v>0.85416666666666674</v>
      </c>
      <c r="U827">
        <v>1</v>
      </c>
      <c r="V827" t="s">
        <v>11966</v>
      </c>
      <c r="W827" t="s">
        <v>11967</v>
      </c>
      <c r="Y827" t="s">
        <v>11968</v>
      </c>
      <c r="Z827" t="s">
        <v>11969</v>
      </c>
      <c r="AA827" t="s">
        <v>11969</v>
      </c>
      <c r="AB827" t="s">
        <v>11969</v>
      </c>
      <c r="AC827" t="s">
        <v>11969</v>
      </c>
      <c r="AD827" t="s">
        <v>11969</v>
      </c>
    </row>
    <row r="828" spans="1:30">
      <c r="A828" t="s">
        <v>11970</v>
      </c>
      <c r="B828">
        <v>5</v>
      </c>
      <c r="C828">
        <v>16</v>
      </c>
      <c r="D828">
        <v>2018</v>
      </c>
      <c r="E828" s="1">
        <v>43236</v>
      </c>
      <c r="F828" t="s">
        <v>11971</v>
      </c>
      <c r="G828">
        <v>0</v>
      </c>
      <c r="H828">
        <v>1</v>
      </c>
      <c r="I828">
        <v>1</v>
      </c>
      <c r="J828">
        <v>0</v>
      </c>
      <c r="L828" t="s">
        <v>11972</v>
      </c>
      <c r="M828" t="s">
        <v>11973</v>
      </c>
      <c r="N828" t="s">
        <v>11974</v>
      </c>
      <c r="O828" t="s">
        <v>11975</v>
      </c>
      <c r="P828" t="s">
        <v>11976</v>
      </c>
      <c r="Q828" t="s">
        <v>11977</v>
      </c>
      <c r="R828" t="s">
        <v>11978</v>
      </c>
      <c r="S828" t="s">
        <v>11979</v>
      </c>
      <c r="T828" s="2">
        <v>0.33333333333333331</v>
      </c>
      <c r="U828">
        <v>2</v>
      </c>
      <c r="V828" t="s">
        <v>11980</v>
      </c>
      <c r="W828" t="s">
        <v>11981</v>
      </c>
      <c r="X828" t="s">
        <v>11982</v>
      </c>
      <c r="Y828" t="s">
        <v>11983</v>
      </c>
      <c r="Z828" t="s">
        <v>11983</v>
      </c>
      <c r="AA828" t="s">
        <v>11983</v>
      </c>
      <c r="AB828" t="s">
        <v>11984</v>
      </c>
      <c r="AC828" t="s">
        <v>11985</v>
      </c>
      <c r="AD828" t="s">
        <v>11986</v>
      </c>
    </row>
    <row r="829" spans="1:30">
      <c r="A829" t="s">
        <v>11987</v>
      </c>
      <c r="B829">
        <v>5</v>
      </c>
      <c r="C829">
        <v>11</v>
      </c>
      <c r="D829">
        <v>2018</v>
      </c>
      <c r="E829" s="1">
        <v>43231</v>
      </c>
      <c r="F829" t="s">
        <v>11988</v>
      </c>
      <c r="G829">
        <v>0</v>
      </c>
      <c r="H829">
        <v>1</v>
      </c>
      <c r="I829">
        <v>1</v>
      </c>
      <c r="J829">
        <v>0</v>
      </c>
      <c r="L829" t="s">
        <v>11989</v>
      </c>
      <c r="M829" t="s">
        <v>11990</v>
      </c>
      <c r="N829" t="s">
        <v>11991</v>
      </c>
      <c r="O829" t="s">
        <v>11992</v>
      </c>
      <c r="P829" t="s">
        <v>11993</v>
      </c>
      <c r="Q829" t="s">
        <v>11994</v>
      </c>
      <c r="R829" t="s">
        <v>11995</v>
      </c>
      <c r="S829" t="s">
        <v>11996</v>
      </c>
      <c r="T829" s="2">
        <v>0.2951388888888889</v>
      </c>
      <c r="U829">
        <v>1</v>
      </c>
      <c r="V829" t="s">
        <v>11997</v>
      </c>
      <c r="W829" t="s">
        <v>11998</v>
      </c>
      <c r="X829" t="s">
        <v>11999</v>
      </c>
      <c r="Y829" t="s">
        <v>12000</v>
      </c>
      <c r="Z829" t="s">
        <v>12000</v>
      </c>
      <c r="AA829" t="s">
        <v>12000</v>
      </c>
      <c r="AC829" t="s">
        <v>12000</v>
      </c>
      <c r="AD829" t="s">
        <v>12001</v>
      </c>
    </row>
    <row r="830" spans="1:30">
      <c r="A830" t="s">
        <v>12002</v>
      </c>
      <c r="B830">
        <v>5</v>
      </c>
      <c r="C830">
        <v>5</v>
      </c>
      <c r="D830">
        <v>2018</v>
      </c>
      <c r="E830" s="1">
        <v>43225</v>
      </c>
      <c r="F830" t="s">
        <v>12003</v>
      </c>
      <c r="G830">
        <v>0</v>
      </c>
      <c r="H830">
        <v>0</v>
      </c>
      <c r="I830">
        <v>0</v>
      </c>
      <c r="J830">
        <v>0</v>
      </c>
      <c r="L830" t="s">
        <v>12004</v>
      </c>
      <c r="M830" t="s">
        <v>12005</v>
      </c>
      <c r="N830" t="s">
        <v>12006</v>
      </c>
      <c r="O830" t="s">
        <v>12007</v>
      </c>
      <c r="P830" t="s">
        <v>12008</v>
      </c>
      <c r="Q830" t="s">
        <v>12009</v>
      </c>
      <c r="R830" t="s">
        <v>12010</v>
      </c>
      <c r="S830" t="s">
        <v>12011</v>
      </c>
      <c r="T830" s="2">
        <v>0.625</v>
      </c>
      <c r="U830">
        <v>1</v>
      </c>
      <c r="V830" t="s">
        <v>12012</v>
      </c>
      <c r="W830" t="s">
        <v>12013</v>
      </c>
      <c r="X830" t="s">
        <v>12014</v>
      </c>
      <c r="Y830" t="s">
        <v>12015</v>
      </c>
      <c r="Z830" t="s">
        <v>12015</v>
      </c>
      <c r="AA830" t="s">
        <v>12015</v>
      </c>
      <c r="AB830" t="s">
        <v>12016</v>
      </c>
      <c r="AC830" t="s">
        <v>12016</v>
      </c>
      <c r="AD830" t="s">
        <v>12016</v>
      </c>
    </row>
    <row r="831" spans="1:30">
      <c r="A831" t="s">
        <v>12017</v>
      </c>
      <c r="B831">
        <v>5</v>
      </c>
      <c r="C831">
        <v>3</v>
      </c>
      <c r="D831">
        <v>2018</v>
      </c>
      <c r="E831" s="1">
        <v>43223</v>
      </c>
      <c r="F831" t="s">
        <v>12018</v>
      </c>
      <c r="G831">
        <v>0</v>
      </c>
      <c r="H831">
        <v>1</v>
      </c>
      <c r="I831">
        <v>1</v>
      </c>
      <c r="J831">
        <v>0</v>
      </c>
      <c r="L831" t="s">
        <v>12019</v>
      </c>
      <c r="M831" t="s">
        <v>12020</v>
      </c>
      <c r="N831" t="s">
        <v>12021</v>
      </c>
      <c r="O831" t="s">
        <v>12022</v>
      </c>
      <c r="P831" t="s">
        <v>12023</v>
      </c>
      <c r="Q831" t="s">
        <v>12024</v>
      </c>
      <c r="R831" t="s">
        <v>12025</v>
      </c>
      <c r="S831" t="s">
        <v>12026</v>
      </c>
      <c r="T831" s="2">
        <v>0.91319444444444442</v>
      </c>
      <c r="U831">
        <v>1</v>
      </c>
      <c r="V831" t="s">
        <v>12027</v>
      </c>
      <c r="W831" t="s">
        <v>12028</v>
      </c>
      <c r="Z831" t="s">
        <v>12029</v>
      </c>
      <c r="AA831" t="s">
        <v>12029</v>
      </c>
      <c r="AD831" t="s">
        <v>12029</v>
      </c>
    </row>
    <row r="832" spans="1:30">
      <c r="A832" t="s">
        <v>12030</v>
      </c>
      <c r="B832">
        <v>5</v>
      </c>
      <c r="C832">
        <v>3</v>
      </c>
      <c r="D832">
        <v>2018</v>
      </c>
      <c r="E832" s="1">
        <v>43223</v>
      </c>
      <c r="F832" t="s">
        <v>12031</v>
      </c>
      <c r="G832">
        <v>0</v>
      </c>
      <c r="H832">
        <v>0</v>
      </c>
      <c r="I832">
        <v>0</v>
      </c>
      <c r="J832">
        <v>0</v>
      </c>
      <c r="L832" t="s">
        <v>12032</v>
      </c>
      <c r="M832" t="s">
        <v>12033</v>
      </c>
      <c r="N832" t="s">
        <v>12034</v>
      </c>
      <c r="O832" t="s">
        <v>12035</v>
      </c>
      <c r="P832" t="s">
        <v>12036</v>
      </c>
      <c r="Q832" t="s">
        <v>12037</v>
      </c>
      <c r="R832" t="s">
        <v>12038</v>
      </c>
      <c r="S832" t="s">
        <v>12039</v>
      </c>
      <c r="U832">
        <v>1</v>
      </c>
      <c r="V832" t="s">
        <v>12040</v>
      </c>
      <c r="W832" t="s">
        <v>12041</v>
      </c>
      <c r="X832" t="s">
        <v>12042</v>
      </c>
      <c r="Y832" t="s">
        <v>12043</v>
      </c>
      <c r="Z832" t="s">
        <v>12043</v>
      </c>
      <c r="AA832" t="s">
        <v>12043</v>
      </c>
      <c r="AB832" t="s">
        <v>12043</v>
      </c>
      <c r="AC832" t="s">
        <v>12043</v>
      </c>
      <c r="AD832" t="s">
        <v>12043</v>
      </c>
    </row>
    <row r="833" spans="1:30">
      <c r="A833" t="s">
        <v>12044</v>
      </c>
      <c r="B833">
        <v>4</v>
      </c>
      <c r="C833">
        <v>25</v>
      </c>
      <c r="D833">
        <v>2018</v>
      </c>
      <c r="E833" s="1">
        <v>43215</v>
      </c>
      <c r="F833" t="s">
        <v>12045</v>
      </c>
      <c r="G833">
        <v>0</v>
      </c>
      <c r="H833">
        <v>1</v>
      </c>
      <c r="I833">
        <v>1</v>
      </c>
      <c r="J833">
        <v>0</v>
      </c>
      <c r="K833" t="s">
        <v>12046</v>
      </c>
      <c r="L833" t="s">
        <v>12047</v>
      </c>
      <c r="M833" t="s">
        <v>12048</v>
      </c>
      <c r="N833" t="s">
        <v>12049</v>
      </c>
      <c r="O833" t="s">
        <v>12050</v>
      </c>
      <c r="P833" t="s">
        <v>12051</v>
      </c>
      <c r="Q833" t="s">
        <v>12052</v>
      </c>
      <c r="R833" t="s">
        <v>12053</v>
      </c>
      <c r="S833" t="s">
        <v>12054</v>
      </c>
      <c r="T833" s="2">
        <v>0.60416666666666674</v>
      </c>
      <c r="U833">
        <v>1</v>
      </c>
      <c r="V833" t="s">
        <v>12055</v>
      </c>
      <c r="W833" t="s">
        <v>12056</v>
      </c>
      <c r="X833" t="s">
        <v>12057</v>
      </c>
      <c r="Y833" t="s">
        <v>12058</v>
      </c>
      <c r="Z833" t="s">
        <v>12058</v>
      </c>
      <c r="AA833" t="s">
        <v>12058</v>
      </c>
      <c r="AB833" t="s">
        <v>12058</v>
      </c>
      <c r="AC833" t="s">
        <v>12058</v>
      </c>
      <c r="AD833" t="s">
        <v>12058</v>
      </c>
    </row>
    <row r="834" spans="1:30">
      <c r="A834" t="s">
        <v>12059</v>
      </c>
      <c r="B834">
        <v>4</v>
      </c>
      <c r="C834">
        <v>23</v>
      </c>
      <c r="D834">
        <v>2018</v>
      </c>
      <c r="E834" s="1">
        <v>43213</v>
      </c>
      <c r="F834" t="s">
        <v>12060</v>
      </c>
      <c r="G834">
        <v>0</v>
      </c>
      <c r="H834">
        <v>0</v>
      </c>
      <c r="I834">
        <v>0</v>
      </c>
      <c r="J834">
        <v>0</v>
      </c>
      <c r="K834" t="s">
        <v>12061</v>
      </c>
      <c r="L834" t="s">
        <v>12062</v>
      </c>
      <c r="M834" t="s">
        <v>12063</v>
      </c>
      <c r="N834" t="s">
        <v>12064</v>
      </c>
      <c r="O834" t="s">
        <v>12065</v>
      </c>
      <c r="P834" t="s">
        <v>12066</v>
      </c>
      <c r="Q834" t="s">
        <v>12067</v>
      </c>
      <c r="R834" t="s">
        <v>12068</v>
      </c>
      <c r="S834" t="s">
        <v>12069</v>
      </c>
      <c r="T834" s="2">
        <v>0.54166666666666663</v>
      </c>
      <c r="U834">
        <v>1</v>
      </c>
      <c r="V834" t="s">
        <v>12070</v>
      </c>
      <c r="W834" t="s">
        <v>12071</v>
      </c>
      <c r="X834" t="s">
        <v>12072</v>
      </c>
      <c r="Z834" t="s">
        <v>12073</v>
      </c>
      <c r="AA834" t="s">
        <v>12073</v>
      </c>
      <c r="AB834" t="s">
        <v>12073</v>
      </c>
      <c r="AC834" t="s">
        <v>12074</v>
      </c>
      <c r="AD834" t="s">
        <v>12075</v>
      </c>
    </row>
    <row r="835" spans="1:30">
      <c r="A835" t="s">
        <v>12076</v>
      </c>
      <c r="B835">
        <v>4</v>
      </c>
      <c r="C835">
        <v>20</v>
      </c>
      <c r="D835">
        <v>2018</v>
      </c>
      <c r="E835" s="1">
        <v>43210</v>
      </c>
      <c r="F835" t="s">
        <v>12077</v>
      </c>
      <c r="G835">
        <v>0</v>
      </c>
      <c r="H835">
        <v>1</v>
      </c>
      <c r="I835">
        <v>1</v>
      </c>
      <c r="J835">
        <v>0</v>
      </c>
      <c r="K835" t="s">
        <v>12078</v>
      </c>
      <c r="L835" t="s">
        <v>12079</v>
      </c>
      <c r="M835" t="s">
        <v>12080</v>
      </c>
      <c r="N835" t="s">
        <v>12081</v>
      </c>
      <c r="O835" t="s">
        <v>12082</v>
      </c>
      <c r="P835" t="s">
        <v>12083</v>
      </c>
      <c r="Q835" t="s">
        <v>12084</v>
      </c>
      <c r="R835" t="s">
        <v>12085</v>
      </c>
      <c r="S835" t="s">
        <v>12086</v>
      </c>
      <c r="T835" s="2">
        <v>0.36041666666666666</v>
      </c>
      <c r="U835">
        <v>1</v>
      </c>
      <c r="V835" t="s">
        <v>12087</v>
      </c>
      <c r="W835" t="s">
        <v>12088</v>
      </c>
      <c r="X835" t="s">
        <v>12089</v>
      </c>
      <c r="Y835" t="s">
        <v>12090</v>
      </c>
      <c r="Z835" t="s">
        <v>12090</v>
      </c>
      <c r="AA835" t="s">
        <v>12090</v>
      </c>
      <c r="AB835" t="s">
        <v>12090</v>
      </c>
      <c r="AC835" t="s">
        <v>12090</v>
      </c>
      <c r="AD835" t="s">
        <v>12091</v>
      </c>
    </row>
    <row r="836" spans="1:30">
      <c r="A836" t="s">
        <v>12092</v>
      </c>
      <c r="B836">
        <v>4</v>
      </c>
      <c r="C836">
        <v>19</v>
      </c>
      <c r="D836">
        <v>2018</v>
      </c>
      <c r="E836" s="1">
        <v>43209</v>
      </c>
      <c r="F836" t="s">
        <v>12093</v>
      </c>
      <c r="G836">
        <v>0</v>
      </c>
      <c r="H836">
        <v>0</v>
      </c>
      <c r="I836">
        <v>0</v>
      </c>
      <c r="J836">
        <v>0</v>
      </c>
      <c r="L836" t="s">
        <v>12094</v>
      </c>
      <c r="M836" t="s">
        <v>12095</v>
      </c>
      <c r="N836" t="s">
        <v>12096</v>
      </c>
      <c r="O836" t="s">
        <v>12097</v>
      </c>
      <c r="P836" t="s">
        <v>12098</v>
      </c>
      <c r="Q836" t="s">
        <v>12098</v>
      </c>
      <c r="R836" t="s">
        <v>12099</v>
      </c>
      <c r="S836" t="s">
        <v>12100</v>
      </c>
      <c r="T836" s="2">
        <v>0.57222222222222219</v>
      </c>
      <c r="U836">
        <v>1</v>
      </c>
      <c r="V836" t="s">
        <v>12101</v>
      </c>
      <c r="W836" t="s">
        <v>12102</v>
      </c>
      <c r="X836" t="s">
        <v>12103</v>
      </c>
      <c r="Y836" t="s">
        <v>12104</v>
      </c>
      <c r="Z836" t="s">
        <v>12105</v>
      </c>
      <c r="AA836" t="s">
        <v>12105</v>
      </c>
      <c r="AB836" t="s">
        <v>12105</v>
      </c>
      <c r="AC836" t="s">
        <v>12105</v>
      </c>
      <c r="AD836" t="s">
        <v>12105</v>
      </c>
    </row>
    <row r="837" spans="1:30">
      <c r="A837" t="s">
        <v>12106</v>
      </c>
      <c r="B837">
        <v>4</v>
      </c>
      <c r="C837">
        <v>12</v>
      </c>
      <c r="D837">
        <v>2018</v>
      </c>
      <c r="E837" s="1">
        <v>43202</v>
      </c>
      <c r="F837" t="s">
        <v>12107</v>
      </c>
      <c r="G837">
        <v>0</v>
      </c>
      <c r="H837">
        <v>1</v>
      </c>
      <c r="I837">
        <v>1</v>
      </c>
      <c r="J837">
        <v>0</v>
      </c>
      <c r="L837" t="s">
        <v>12108</v>
      </c>
      <c r="M837" t="s">
        <v>12109</v>
      </c>
      <c r="N837" t="s">
        <v>12110</v>
      </c>
      <c r="O837" t="s">
        <v>12111</v>
      </c>
      <c r="P837" t="s">
        <v>12112</v>
      </c>
      <c r="Q837" t="s">
        <v>12113</v>
      </c>
      <c r="R837" t="s">
        <v>12114</v>
      </c>
      <c r="S837" t="s">
        <v>12115</v>
      </c>
      <c r="T837" s="2">
        <v>0.72916666666666674</v>
      </c>
      <c r="U837">
        <v>1</v>
      </c>
      <c r="V837" t="s">
        <v>12116</v>
      </c>
      <c r="W837" t="s">
        <v>12117</v>
      </c>
      <c r="X837" t="s">
        <v>12118</v>
      </c>
      <c r="Z837" t="s">
        <v>12119</v>
      </c>
      <c r="AA837" t="s">
        <v>12119</v>
      </c>
      <c r="AB837" t="s">
        <v>12119</v>
      </c>
      <c r="AC837" t="s">
        <v>12119</v>
      </c>
      <c r="AD837" t="s">
        <v>12119</v>
      </c>
    </row>
    <row r="838" spans="1:30">
      <c r="A838" t="s">
        <v>12120</v>
      </c>
      <c r="B838">
        <v>4</v>
      </c>
      <c r="C838">
        <v>9</v>
      </c>
      <c r="D838">
        <v>2018</v>
      </c>
      <c r="E838" s="1">
        <v>43199</v>
      </c>
      <c r="F838" t="s">
        <v>12121</v>
      </c>
      <c r="G838">
        <v>0</v>
      </c>
      <c r="H838">
        <v>1</v>
      </c>
      <c r="I838">
        <v>1</v>
      </c>
      <c r="J838">
        <v>0</v>
      </c>
      <c r="K838" t="s">
        <v>12122</v>
      </c>
      <c r="L838" t="s">
        <v>12123</v>
      </c>
      <c r="M838" t="s">
        <v>12124</v>
      </c>
      <c r="N838" t="s">
        <v>12125</v>
      </c>
      <c r="O838" t="s">
        <v>12126</v>
      </c>
      <c r="P838" t="s">
        <v>12127</v>
      </c>
      <c r="Q838" t="s">
        <v>12128</v>
      </c>
      <c r="R838" t="s">
        <v>12129</v>
      </c>
      <c r="S838" t="s">
        <v>12130</v>
      </c>
      <c r="T838" s="2">
        <v>0.45833333333333331</v>
      </c>
      <c r="V838" t="s">
        <v>12131</v>
      </c>
      <c r="W838" t="s">
        <v>12132</v>
      </c>
      <c r="X838" t="s">
        <v>12133</v>
      </c>
      <c r="Z838" t="s">
        <v>12134</v>
      </c>
      <c r="AA838" t="s">
        <v>12134</v>
      </c>
      <c r="AB838" t="s">
        <v>12134</v>
      </c>
      <c r="AC838" t="s">
        <v>12134</v>
      </c>
      <c r="AD838" t="s">
        <v>12134</v>
      </c>
    </row>
    <row r="839" spans="1:30">
      <c r="A839" t="s">
        <v>12135</v>
      </c>
      <c r="B839">
        <v>3</v>
      </c>
      <c r="C839">
        <v>29</v>
      </c>
      <c r="D839">
        <v>2018</v>
      </c>
      <c r="E839" s="1">
        <v>43188</v>
      </c>
      <c r="F839" t="s">
        <v>12136</v>
      </c>
      <c r="G839">
        <v>0</v>
      </c>
      <c r="H839">
        <v>0</v>
      </c>
      <c r="I839">
        <v>0</v>
      </c>
      <c r="J839">
        <v>1</v>
      </c>
      <c r="L839" t="s">
        <v>12137</v>
      </c>
      <c r="M839" t="s">
        <v>12138</v>
      </c>
      <c r="N839" t="s">
        <v>12139</v>
      </c>
      <c r="O839" t="s">
        <v>12140</v>
      </c>
      <c r="P839" t="s">
        <v>12141</v>
      </c>
      <c r="Q839" t="s">
        <v>12142</v>
      </c>
      <c r="R839" t="s">
        <v>12143</v>
      </c>
      <c r="S839" t="s">
        <v>12144</v>
      </c>
      <c r="T839" s="2">
        <v>0.54166666666666663</v>
      </c>
      <c r="U839">
        <v>1</v>
      </c>
      <c r="V839" t="s">
        <v>12145</v>
      </c>
      <c r="W839" t="s">
        <v>12146</v>
      </c>
      <c r="Y839" t="s">
        <v>12147</v>
      </c>
      <c r="Z839" t="s">
        <v>12147</v>
      </c>
      <c r="AA839" t="s">
        <v>12147</v>
      </c>
      <c r="AB839" t="s">
        <v>12147</v>
      </c>
      <c r="AC839" t="s">
        <v>12148</v>
      </c>
      <c r="AD839" t="s">
        <v>12149</v>
      </c>
    </row>
    <row r="840" spans="1:30">
      <c r="A840" t="s">
        <v>12150</v>
      </c>
      <c r="B840">
        <v>3</v>
      </c>
      <c r="C840">
        <v>28</v>
      </c>
      <c r="D840">
        <v>2018</v>
      </c>
      <c r="E840" s="1">
        <v>43187</v>
      </c>
      <c r="F840" t="s">
        <v>12151</v>
      </c>
      <c r="G840">
        <v>0</v>
      </c>
      <c r="H840">
        <v>0</v>
      </c>
      <c r="I840">
        <v>0</v>
      </c>
      <c r="J840">
        <v>0</v>
      </c>
      <c r="K840" t="s">
        <v>12152</v>
      </c>
      <c r="L840" t="s">
        <v>12153</v>
      </c>
      <c r="M840" t="s">
        <v>12154</v>
      </c>
      <c r="N840" t="s">
        <v>12155</v>
      </c>
      <c r="O840" t="s">
        <v>12156</v>
      </c>
      <c r="P840" t="s">
        <v>12157</v>
      </c>
      <c r="Q840" t="s">
        <v>12158</v>
      </c>
      <c r="R840" t="s">
        <v>12159</v>
      </c>
      <c r="S840" t="s">
        <v>12160</v>
      </c>
      <c r="T840" s="2">
        <v>0.60416666666666674</v>
      </c>
      <c r="V840" t="s">
        <v>12161</v>
      </c>
      <c r="W840" t="s">
        <v>12162</v>
      </c>
      <c r="X840" t="s">
        <v>12163</v>
      </c>
      <c r="Z840" t="s">
        <v>12164</v>
      </c>
      <c r="AA840" t="s">
        <v>12164</v>
      </c>
      <c r="AC840" t="s">
        <v>12164</v>
      </c>
      <c r="AD840" t="s">
        <v>12164</v>
      </c>
    </row>
    <row r="841" spans="1:30">
      <c r="A841" t="s">
        <v>12165</v>
      </c>
      <c r="B841">
        <v>3</v>
      </c>
      <c r="C841">
        <v>20</v>
      </c>
      <c r="D841">
        <v>2018</v>
      </c>
      <c r="E841" s="1">
        <v>43179</v>
      </c>
      <c r="F841" t="s">
        <v>12166</v>
      </c>
      <c r="G841">
        <v>1</v>
      </c>
      <c r="H841">
        <v>1</v>
      </c>
      <c r="I841">
        <v>2</v>
      </c>
      <c r="J841">
        <v>1</v>
      </c>
      <c r="K841" t="s">
        <v>12167</v>
      </c>
      <c r="L841" t="s">
        <v>12168</v>
      </c>
      <c r="M841" t="s">
        <v>12169</v>
      </c>
      <c r="N841" t="s">
        <v>12170</v>
      </c>
      <c r="O841" t="s">
        <v>12171</v>
      </c>
      <c r="P841" t="s">
        <v>12172</v>
      </c>
      <c r="Q841" t="s">
        <v>12173</v>
      </c>
      <c r="R841" t="s">
        <v>12174</v>
      </c>
      <c r="S841" t="s">
        <v>12175</v>
      </c>
      <c r="T841" s="2">
        <v>0.32986111111111116</v>
      </c>
      <c r="U841">
        <v>1</v>
      </c>
      <c r="V841" t="s">
        <v>12176</v>
      </c>
      <c r="W841" t="s">
        <v>12177</v>
      </c>
      <c r="X841" t="s">
        <v>12178</v>
      </c>
      <c r="Y841" t="s">
        <v>12179</v>
      </c>
      <c r="Z841" t="s">
        <v>12179</v>
      </c>
      <c r="AA841" t="s">
        <v>12179</v>
      </c>
      <c r="AB841" t="s">
        <v>12179</v>
      </c>
      <c r="AC841" t="s">
        <v>12180</v>
      </c>
      <c r="AD841" t="s">
        <v>12181</v>
      </c>
    </row>
    <row r="842" spans="1:30">
      <c r="A842" t="s">
        <v>12182</v>
      </c>
      <c r="B842">
        <v>3</v>
      </c>
      <c r="C842">
        <v>19</v>
      </c>
      <c r="D842">
        <v>2018</v>
      </c>
      <c r="E842" s="1">
        <v>43178</v>
      </c>
      <c r="F842" t="s">
        <v>12183</v>
      </c>
      <c r="G842">
        <v>0</v>
      </c>
      <c r="H842">
        <v>1</v>
      </c>
      <c r="I842">
        <v>1</v>
      </c>
      <c r="J842">
        <v>0</v>
      </c>
      <c r="L842" t="s">
        <v>12184</v>
      </c>
      <c r="M842" t="s">
        <v>12185</v>
      </c>
      <c r="N842" t="s">
        <v>12186</v>
      </c>
      <c r="O842" t="s">
        <v>12187</v>
      </c>
      <c r="P842" t="s">
        <v>12188</v>
      </c>
      <c r="Q842" t="s">
        <v>12189</v>
      </c>
      <c r="R842" t="s">
        <v>12190</v>
      </c>
      <c r="S842" t="s">
        <v>12191</v>
      </c>
      <c r="T842" s="2">
        <v>0.6826388888888888</v>
      </c>
      <c r="U842">
        <v>1</v>
      </c>
      <c r="V842" t="s">
        <v>12192</v>
      </c>
      <c r="W842" t="s">
        <v>12193</v>
      </c>
      <c r="X842" t="s">
        <v>12194</v>
      </c>
      <c r="Z842" t="s">
        <v>12195</v>
      </c>
      <c r="AA842" t="s">
        <v>12195</v>
      </c>
      <c r="AB842" t="s">
        <v>12195</v>
      </c>
      <c r="AC842" t="s">
        <v>12195</v>
      </c>
      <c r="AD842" t="s">
        <v>12195</v>
      </c>
    </row>
    <row r="843" spans="1:30">
      <c r="A843" t="s">
        <v>12196</v>
      </c>
      <c r="B843">
        <v>3</v>
      </c>
      <c r="C843">
        <v>16</v>
      </c>
      <c r="D843">
        <v>2018</v>
      </c>
      <c r="E843" s="1">
        <v>43175</v>
      </c>
      <c r="F843" t="s">
        <v>12197</v>
      </c>
      <c r="G843">
        <v>0</v>
      </c>
      <c r="H843">
        <v>0</v>
      </c>
      <c r="I843">
        <v>0</v>
      </c>
      <c r="J843">
        <v>0</v>
      </c>
      <c r="K843" t="s">
        <v>12198</v>
      </c>
      <c r="L843" t="s">
        <v>12199</v>
      </c>
      <c r="M843" t="s">
        <v>12200</v>
      </c>
      <c r="N843" t="s">
        <v>12201</v>
      </c>
      <c r="O843" t="s">
        <v>12202</v>
      </c>
      <c r="P843" t="s">
        <v>12203</v>
      </c>
      <c r="Q843" t="s">
        <v>12204</v>
      </c>
      <c r="R843" t="s">
        <v>12205</v>
      </c>
      <c r="S843" t="s">
        <v>12206</v>
      </c>
      <c r="T843" s="2">
        <v>0.53125</v>
      </c>
      <c r="U843">
        <v>1</v>
      </c>
      <c r="V843" t="s">
        <v>12207</v>
      </c>
      <c r="W843" t="s">
        <v>12208</v>
      </c>
      <c r="X843" t="s">
        <v>12209</v>
      </c>
      <c r="Y843" t="s">
        <v>12210</v>
      </c>
      <c r="Z843" t="s">
        <v>12210</v>
      </c>
      <c r="AA843" t="s">
        <v>12210</v>
      </c>
      <c r="AB843" t="s">
        <v>12211</v>
      </c>
      <c r="AC843" t="s">
        <v>12211</v>
      </c>
      <c r="AD843" t="s">
        <v>12211</v>
      </c>
    </row>
    <row r="844" spans="1:30">
      <c r="A844" t="s">
        <v>12212</v>
      </c>
      <c r="B844">
        <v>3</v>
      </c>
      <c r="C844">
        <v>13</v>
      </c>
      <c r="D844">
        <v>2018</v>
      </c>
      <c r="E844" s="1">
        <v>43172</v>
      </c>
      <c r="F844" t="s">
        <v>12213</v>
      </c>
      <c r="G844">
        <v>0</v>
      </c>
      <c r="H844">
        <v>0</v>
      </c>
      <c r="I844">
        <v>0</v>
      </c>
      <c r="J844">
        <v>0</v>
      </c>
      <c r="K844" t="s">
        <v>12214</v>
      </c>
      <c r="L844" t="s">
        <v>12215</v>
      </c>
      <c r="M844" t="s">
        <v>12216</v>
      </c>
      <c r="N844" t="s">
        <v>12217</v>
      </c>
      <c r="O844" t="s">
        <v>12218</v>
      </c>
      <c r="P844" t="s">
        <v>12219</v>
      </c>
      <c r="Q844" t="s">
        <v>12220</v>
      </c>
      <c r="R844" t="s">
        <v>12221</v>
      </c>
      <c r="S844" t="s">
        <v>12222</v>
      </c>
      <c r="T844" s="2">
        <v>0.38194444444444442</v>
      </c>
      <c r="U844">
        <v>1</v>
      </c>
      <c r="V844" t="s">
        <v>12223</v>
      </c>
      <c r="W844" t="s">
        <v>12224</v>
      </c>
      <c r="X844" t="s">
        <v>12225</v>
      </c>
      <c r="Y844" t="s">
        <v>12226</v>
      </c>
      <c r="Z844" t="s">
        <v>12226</v>
      </c>
      <c r="AA844" t="s">
        <v>12226</v>
      </c>
      <c r="AB844" t="s">
        <v>12226</v>
      </c>
      <c r="AC844" t="s">
        <v>12226</v>
      </c>
      <c r="AD844" t="s">
        <v>12226</v>
      </c>
    </row>
    <row r="845" spans="1:30">
      <c r="A845" t="s">
        <v>12227</v>
      </c>
      <c r="B845">
        <v>3</v>
      </c>
      <c r="C845">
        <v>13</v>
      </c>
      <c r="D845">
        <v>2018</v>
      </c>
      <c r="E845" s="1">
        <v>43172</v>
      </c>
      <c r="F845" t="s">
        <v>12228</v>
      </c>
      <c r="G845">
        <v>0</v>
      </c>
      <c r="H845">
        <v>0</v>
      </c>
      <c r="I845">
        <v>0</v>
      </c>
      <c r="J845">
        <v>0</v>
      </c>
      <c r="L845" t="s">
        <v>12229</v>
      </c>
      <c r="M845" t="s">
        <v>12230</v>
      </c>
      <c r="N845" t="s">
        <v>12231</v>
      </c>
      <c r="O845" t="s">
        <v>12232</v>
      </c>
      <c r="P845" t="s">
        <v>12233</v>
      </c>
      <c r="Q845" t="s">
        <v>12234</v>
      </c>
      <c r="R845" t="s">
        <v>12235</v>
      </c>
      <c r="S845" t="s">
        <v>12236</v>
      </c>
      <c r="T845" s="2">
        <v>0.55555555555555547</v>
      </c>
      <c r="U845">
        <v>1</v>
      </c>
      <c r="V845" t="s">
        <v>12237</v>
      </c>
      <c r="W845" t="s">
        <v>12238</v>
      </c>
      <c r="X845" t="s">
        <v>12239</v>
      </c>
      <c r="Y845" t="s">
        <v>12240</v>
      </c>
      <c r="Z845" t="s">
        <v>12240</v>
      </c>
      <c r="AA845" t="s">
        <v>12240</v>
      </c>
      <c r="AB845" t="s">
        <v>12240</v>
      </c>
      <c r="AC845" t="s">
        <v>12240</v>
      </c>
      <c r="AD845" t="s">
        <v>12240</v>
      </c>
    </row>
    <row r="846" spans="1:30">
      <c r="A846" t="s">
        <v>12241</v>
      </c>
      <c r="B846">
        <v>3</v>
      </c>
      <c r="C846">
        <v>9</v>
      </c>
      <c r="D846">
        <v>2018</v>
      </c>
      <c r="E846" s="1">
        <v>43168</v>
      </c>
      <c r="F846" t="s">
        <v>12242</v>
      </c>
      <c r="G846">
        <v>0</v>
      </c>
      <c r="H846">
        <v>0</v>
      </c>
      <c r="I846">
        <v>0</v>
      </c>
      <c r="J846">
        <v>0</v>
      </c>
      <c r="L846" t="s">
        <v>12243</v>
      </c>
      <c r="M846" t="s">
        <v>12244</v>
      </c>
      <c r="N846" t="s">
        <v>12245</v>
      </c>
      <c r="O846" t="s">
        <v>12246</v>
      </c>
      <c r="P846" t="s">
        <v>12247</v>
      </c>
      <c r="Q846" t="s">
        <v>12248</v>
      </c>
      <c r="R846" t="s">
        <v>12249</v>
      </c>
      <c r="S846" t="s">
        <v>12250</v>
      </c>
      <c r="U846">
        <v>1</v>
      </c>
      <c r="V846" t="s">
        <v>12251</v>
      </c>
      <c r="W846" t="s">
        <v>12252</v>
      </c>
      <c r="X846" t="s">
        <v>12253</v>
      </c>
      <c r="Y846" t="s">
        <v>12254</v>
      </c>
      <c r="Z846" t="s">
        <v>12254</v>
      </c>
      <c r="AA846" t="s">
        <v>12254</v>
      </c>
      <c r="AB846" t="s">
        <v>12254</v>
      </c>
      <c r="AC846" t="s">
        <v>12254</v>
      </c>
      <c r="AD846" t="s">
        <v>12254</v>
      </c>
    </row>
    <row r="847" spans="1:30">
      <c r="A847" t="s">
        <v>12255</v>
      </c>
      <c r="B847">
        <v>3</v>
      </c>
      <c r="C847">
        <v>7</v>
      </c>
      <c r="D847">
        <v>2018</v>
      </c>
      <c r="E847" s="1">
        <v>43166</v>
      </c>
      <c r="F847" t="s">
        <v>12256</v>
      </c>
      <c r="G847">
        <v>1</v>
      </c>
      <c r="H847">
        <v>0</v>
      </c>
      <c r="I847">
        <v>1</v>
      </c>
      <c r="J847">
        <v>0</v>
      </c>
      <c r="L847" t="s">
        <v>12257</v>
      </c>
      <c r="M847" t="s">
        <v>12258</v>
      </c>
      <c r="N847" t="s">
        <v>12259</v>
      </c>
      <c r="O847" t="s">
        <v>12260</v>
      </c>
      <c r="P847" t="s">
        <v>12261</v>
      </c>
      <c r="Q847" t="s">
        <v>12261</v>
      </c>
      <c r="R847" t="s">
        <v>12262</v>
      </c>
      <c r="S847" t="s">
        <v>12263</v>
      </c>
      <c r="T847" s="2">
        <v>0.65625</v>
      </c>
      <c r="U847">
        <v>1</v>
      </c>
      <c r="V847" t="s">
        <v>12264</v>
      </c>
      <c r="W847" t="s">
        <v>12265</v>
      </c>
      <c r="X847" t="s">
        <v>12266</v>
      </c>
      <c r="Z847" t="s">
        <v>12267</v>
      </c>
      <c r="AA847" t="s">
        <v>12267</v>
      </c>
      <c r="AB847" t="s">
        <v>12267</v>
      </c>
      <c r="AC847" t="s">
        <v>12267</v>
      </c>
      <c r="AD847" t="s">
        <v>12267</v>
      </c>
    </row>
    <row r="848" spans="1:30">
      <c r="A848" t="s">
        <v>12268</v>
      </c>
      <c r="B848">
        <v>3</v>
      </c>
      <c r="C848">
        <v>5</v>
      </c>
      <c r="D848">
        <v>2018</v>
      </c>
      <c r="E848" s="1">
        <v>43164</v>
      </c>
      <c r="F848" t="s">
        <v>12269</v>
      </c>
      <c r="G848">
        <v>0</v>
      </c>
      <c r="H848">
        <v>0</v>
      </c>
      <c r="I848">
        <v>0</v>
      </c>
      <c r="J848">
        <v>1</v>
      </c>
      <c r="L848" t="s">
        <v>12270</v>
      </c>
      <c r="M848" t="s">
        <v>12271</v>
      </c>
      <c r="N848" t="s">
        <v>12272</v>
      </c>
      <c r="O848" t="s">
        <v>12273</v>
      </c>
      <c r="P848" t="s">
        <v>12274</v>
      </c>
      <c r="Q848" t="s">
        <v>12275</v>
      </c>
      <c r="R848" t="s">
        <v>12276</v>
      </c>
      <c r="S848" t="s">
        <v>12277</v>
      </c>
      <c r="T848" s="2">
        <v>0.31944444444444448</v>
      </c>
      <c r="U848">
        <v>1</v>
      </c>
      <c r="V848" t="s">
        <v>12278</v>
      </c>
      <c r="W848" t="s">
        <v>12279</v>
      </c>
      <c r="X848" t="s">
        <v>12280</v>
      </c>
      <c r="Y848" t="s">
        <v>12281</v>
      </c>
      <c r="Z848" t="s">
        <v>12281</v>
      </c>
      <c r="AA848" t="s">
        <v>12281</v>
      </c>
      <c r="AB848" t="s">
        <v>12281</v>
      </c>
      <c r="AC848" t="s">
        <v>12281</v>
      </c>
      <c r="AD848" t="s">
        <v>12281</v>
      </c>
    </row>
    <row r="849" spans="1:30">
      <c r="A849" t="s">
        <v>12282</v>
      </c>
      <c r="B849">
        <v>2</v>
      </c>
      <c r="C849">
        <v>28</v>
      </c>
      <c r="D849">
        <v>2018</v>
      </c>
      <c r="E849" s="1">
        <v>43159</v>
      </c>
      <c r="F849" t="s">
        <v>12283</v>
      </c>
      <c r="G849">
        <v>0</v>
      </c>
      <c r="H849">
        <v>0</v>
      </c>
      <c r="I849">
        <v>0</v>
      </c>
      <c r="J849">
        <v>0</v>
      </c>
      <c r="K849" t="s">
        <v>12284</v>
      </c>
      <c r="L849" t="s">
        <v>12285</v>
      </c>
      <c r="M849" t="s">
        <v>12286</v>
      </c>
      <c r="N849" t="s">
        <v>12287</v>
      </c>
      <c r="O849" t="s">
        <v>12288</v>
      </c>
      <c r="P849" t="s">
        <v>12289</v>
      </c>
      <c r="Q849" t="s">
        <v>12290</v>
      </c>
      <c r="R849" t="s">
        <v>12291</v>
      </c>
      <c r="S849" t="s">
        <v>12292</v>
      </c>
      <c r="T849" s="2">
        <v>0.47916666666666663</v>
      </c>
      <c r="V849" t="s">
        <v>12293</v>
      </c>
      <c r="W849" t="s">
        <v>12294</v>
      </c>
      <c r="X849" t="s">
        <v>12295</v>
      </c>
      <c r="Y849" t="s">
        <v>12296</v>
      </c>
      <c r="Z849" t="s">
        <v>12296</v>
      </c>
      <c r="AA849" t="s">
        <v>12297</v>
      </c>
      <c r="AB849" t="s">
        <v>12298</v>
      </c>
      <c r="AC849" t="s">
        <v>12298</v>
      </c>
      <c r="AD849" t="s">
        <v>12299</v>
      </c>
    </row>
    <row r="850" spans="1:30">
      <c r="A850" t="s">
        <v>12300</v>
      </c>
      <c r="B850">
        <v>2</v>
      </c>
      <c r="C850">
        <v>26</v>
      </c>
      <c r="D850">
        <v>2018</v>
      </c>
      <c r="E850" s="1">
        <v>43157</v>
      </c>
      <c r="F850" t="s">
        <v>12301</v>
      </c>
      <c r="G850">
        <v>0</v>
      </c>
      <c r="H850">
        <v>0</v>
      </c>
      <c r="I850">
        <v>0</v>
      </c>
      <c r="J850">
        <v>0</v>
      </c>
      <c r="L850" t="s">
        <v>12302</v>
      </c>
      <c r="M850" t="s">
        <v>12303</v>
      </c>
      <c r="N850" t="s">
        <v>12304</v>
      </c>
      <c r="O850" t="s">
        <v>12305</v>
      </c>
      <c r="P850" t="s">
        <v>12306</v>
      </c>
      <c r="Q850" t="s">
        <v>12307</v>
      </c>
      <c r="R850" t="s">
        <v>12308</v>
      </c>
      <c r="S850" t="s">
        <v>12309</v>
      </c>
      <c r="U850">
        <v>1</v>
      </c>
      <c r="V850" t="s">
        <v>12310</v>
      </c>
      <c r="W850" t="s">
        <v>12311</v>
      </c>
      <c r="X850" t="s">
        <v>12312</v>
      </c>
      <c r="Y850" t="s">
        <v>12313</v>
      </c>
      <c r="Z850" t="s">
        <v>12314</v>
      </c>
      <c r="AA850" t="s">
        <v>12314</v>
      </c>
      <c r="AB850" t="s">
        <v>12314</v>
      </c>
      <c r="AC850" t="s">
        <v>12314</v>
      </c>
      <c r="AD850" t="s">
        <v>12314</v>
      </c>
    </row>
    <row r="851" spans="1:30">
      <c r="A851" t="s">
        <v>12315</v>
      </c>
      <c r="B851">
        <v>2</v>
      </c>
      <c r="C851">
        <v>20</v>
      </c>
      <c r="D851">
        <v>2018</v>
      </c>
      <c r="E851" s="1">
        <v>43151</v>
      </c>
      <c r="F851" t="s">
        <v>12316</v>
      </c>
      <c r="G851">
        <v>0</v>
      </c>
      <c r="H851">
        <v>0</v>
      </c>
      <c r="I851">
        <v>0</v>
      </c>
      <c r="J851">
        <v>1</v>
      </c>
      <c r="L851" t="s">
        <v>12317</v>
      </c>
      <c r="M851" t="s">
        <v>12318</v>
      </c>
      <c r="N851" t="s">
        <v>12319</v>
      </c>
      <c r="O851" t="s">
        <v>12320</v>
      </c>
      <c r="P851" t="s">
        <v>12321</v>
      </c>
      <c r="Q851" t="s">
        <v>12322</v>
      </c>
      <c r="R851" t="s">
        <v>12323</v>
      </c>
      <c r="S851" t="s">
        <v>12324</v>
      </c>
      <c r="U851">
        <v>1</v>
      </c>
      <c r="V851" t="s">
        <v>12325</v>
      </c>
      <c r="W851" t="s">
        <v>12326</v>
      </c>
      <c r="X851" t="s">
        <v>12327</v>
      </c>
      <c r="Y851" t="s">
        <v>12328</v>
      </c>
      <c r="Z851" t="s">
        <v>12328</v>
      </c>
      <c r="AA851" t="s">
        <v>12328</v>
      </c>
      <c r="AC851" t="s">
        <v>12328</v>
      </c>
      <c r="AD851" t="s">
        <v>12328</v>
      </c>
    </row>
    <row r="852" spans="1:30">
      <c r="A852" t="s">
        <v>12329</v>
      </c>
      <c r="B852">
        <v>2</v>
      </c>
      <c r="C852">
        <v>15</v>
      </c>
      <c r="D852">
        <v>2018</v>
      </c>
      <c r="E852" s="1">
        <v>43146</v>
      </c>
      <c r="F852" t="s">
        <v>12330</v>
      </c>
      <c r="G852">
        <v>0</v>
      </c>
      <c r="H852">
        <v>0</v>
      </c>
      <c r="I852">
        <v>0</v>
      </c>
      <c r="J852">
        <v>0</v>
      </c>
      <c r="L852" t="s">
        <v>12331</v>
      </c>
      <c r="M852" t="s">
        <v>12332</v>
      </c>
      <c r="N852" t="s">
        <v>12333</v>
      </c>
      <c r="O852" t="s">
        <v>12334</v>
      </c>
      <c r="P852" t="s">
        <v>12335</v>
      </c>
      <c r="Q852" t="s">
        <v>12336</v>
      </c>
      <c r="R852" t="s">
        <v>12337</v>
      </c>
      <c r="S852" t="s">
        <v>12338</v>
      </c>
      <c r="T852" s="2">
        <v>0.39583333333333331</v>
      </c>
      <c r="U852">
        <v>1</v>
      </c>
      <c r="V852" t="s">
        <v>12339</v>
      </c>
      <c r="W852" t="s">
        <v>12340</v>
      </c>
      <c r="X852" t="s">
        <v>12341</v>
      </c>
      <c r="Y852" t="s">
        <v>12342</v>
      </c>
      <c r="Z852" t="s">
        <v>12342</v>
      </c>
      <c r="AA852" t="s">
        <v>12342</v>
      </c>
      <c r="AB852" t="s">
        <v>12343</v>
      </c>
      <c r="AC852" t="s">
        <v>12343</v>
      </c>
      <c r="AD852" t="s">
        <v>12344</v>
      </c>
    </row>
    <row r="853" spans="1:30">
      <c r="A853" t="s">
        <v>12345</v>
      </c>
      <c r="B853">
        <v>2</v>
      </c>
      <c r="C853">
        <v>14</v>
      </c>
      <c r="D853">
        <v>2018</v>
      </c>
      <c r="E853" s="1">
        <v>43145</v>
      </c>
      <c r="F853" t="s">
        <v>12346</v>
      </c>
      <c r="G853">
        <v>17</v>
      </c>
      <c r="H853">
        <v>17</v>
      </c>
      <c r="I853">
        <v>34</v>
      </c>
      <c r="J853">
        <v>0</v>
      </c>
      <c r="K853" t="s">
        <v>12347</v>
      </c>
      <c r="L853" t="s">
        <v>12348</v>
      </c>
      <c r="M853" t="s">
        <v>12349</v>
      </c>
      <c r="N853" t="s">
        <v>12350</v>
      </c>
      <c r="O853" t="s">
        <v>12351</v>
      </c>
      <c r="P853" t="s">
        <v>12352</v>
      </c>
      <c r="Q853" t="s">
        <v>12353</v>
      </c>
      <c r="R853" t="s">
        <v>12354</v>
      </c>
      <c r="S853" t="s">
        <v>12355</v>
      </c>
      <c r="T853" s="2">
        <v>0.59791666666666665</v>
      </c>
      <c r="U853">
        <v>7</v>
      </c>
      <c r="V853" t="s">
        <v>12356</v>
      </c>
      <c r="W853" t="s">
        <v>12357</v>
      </c>
      <c r="X853" t="s">
        <v>12358</v>
      </c>
      <c r="Y853" t="s">
        <v>12359</v>
      </c>
      <c r="Z853" t="s">
        <v>12359</v>
      </c>
      <c r="AA853" t="s">
        <v>12359</v>
      </c>
      <c r="AB853" t="s">
        <v>12359</v>
      </c>
      <c r="AC853" t="s">
        <v>12359</v>
      </c>
      <c r="AD853" t="s">
        <v>12360</v>
      </c>
    </row>
    <row r="854" spans="1:30">
      <c r="A854" t="s">
        <v>12361</v>
      </c>
      <c r="B854">
        <v>2</v>
      </c>
      <c r="C854">
        <v>9</v>
      </c>
      <c r="D854">
        <v>2018</v>
      </c>
      <c r="E854" s="1">
        <v>43140</v>
      </c>
      <c r="F854" t="s">
        <v>12362</v>
      </c>
      <c r="G854">
        <v>0</v>
      </c>
      <c r="H854">
        <v>1</v>
      </c>
      <c r="I854">
        <v>1</v>
      </c>
      <c r="J854">
        <v>0</v>
      </c>
      <c r="K854" t="s">
        <v>12363</v>
      </c>
      <c r="L854" t="s">
        <v>12364</v>
      </c>
      <c r="M854" t="s">
        <v>12365</v>
      </c>
      <c r="N854" t="s">
        <v>12366</v>
      </c>
      <c r="O854" t="s">
        <v>12367</v>
      </c>
      <c r="P854" t="s">
        <v>12368</v>
      </c>
      <c r="Q854" t="s">
        <v>12369</v>
      </c>
      <c r="R854" t="s">
        <v>12370</v>
      </c>
      <c r="S854" t="s">
        <v>12371</v>
      </c>
      <c r="U854">
        <v>1</v>
      </c>
      <c r="V854" t="s">
        <v>12372</v>
      </c>
      <c r="W854" t="s">
        <v>12373</v>
      </c>
      <c r="X854" t="s">
        <v>12374</v>
      </c>
      <c r="Z854" t="s">
        <v>12375</v>
      </c>
      <c r="AA854" t="s">
        <v>12375</v>
      </c>
      <c r="AC854" t="s">
        <v>12375</v>
      </c>
      <c r="AD854" t="s">
        <v>12375</v>
      </c>
    </row>
    <row r="855" spans="1:30">
      <c r="A855" t="s">
        <v>12376</v>
      </c>
      <c r="B855">
        <v>2</v>
      </c>
      <c r="C855">
        <v>8</v>
      </c>
      <c r="D855">
        <v>2018</v>
      </c>
      <c r="E855" s="1">
        <v>43139</v>
      </c>
      <c r="F855" t="s">
        <v>12377</v>
      </c>
      <c r="G855">
        <v>0</v>
      </c>
      <c r="H855">
        <v>0</v>
      </c>
      <c r="I855">
        <v>0</v>
      </c>
      <c r="J855">
        <v>0</v>
      </c>
      <c r="L855" t="s">
        <v>12378</v>
      </c>
      <c r="M855" t="s">
        <v>12379</v>
      </c>
      <c r="N855" t="s">
        <v>12380</v>
      </c>
      <c r="O855" t="s">
        <v>12381</v>
      </c>
      <c r="P855" t="s">
        <v>12382</v>
      </c>
      <c r="Q855" t="s">
        <v>12383</v>
      </c>
      <c r="R855" t="s">
        <v>12384</v>
      </c>
      <c r="S855" t="s">
        <v>12385</v>
      </c>
      <c r="T855" s="2">
        <v>0.63888888888888884</v>
      </c>
      <c r="U855">
        <v>1</v>
      </c>
      <c r="V855" t="s">
        <v>12386</v>
      </c>
      <c r="W855" t="s">
        <v>12387</v>
      </c>
      <c r="Y855" t="s">
        <v>12388</v>
      </c>
      <c r="Z855" t="s">
        <v>12388</v>
      </c>
      <c r="AA855" t="s">
        <v>12388</v>
      </c>
      <c r="AD855" t="s">
        <v>12388</v>
      </c>
    </row>
    <row r="856" spans="1:30">
      <c r="A856" t="s">
        <v>12389</v>
      </c>
      <c r="B856">
        <v>2</v>
      </c>
      <c r="C856">
        <v>5</v>
      </c>
      <c r="D856">
        <v>2018</v>
      </c>
      <c r="E856" s="1">
        <v>43136</v>
      </c>
      <c r="F856" t="s">
        <v>12390</v>
      </c>
      <c r="G856">
        <v>0</v>
      </c>
      <c r="H856">
        <v>0</v>
      </c>
      <c r="I856">
        <v>0</v>
      </c>
      <c r="J856">
        <v>0</v>
      </c>
      <c r="L856" t="s">
        <v>12391</v>
      </c>
      <c r="M856" t="s">
        <v>12392</v>
      </c>
      <c r="N856" t="s">
        <v>12393</v>
      </c>
      <c r="O856" t="s">
        <v>12394</v>
      </c>
      <c r="P856" t="s">
        <v>12395</v>
      </c>
      <c r="Q856" t="s">
        <v>12396</v>
      </c>
      <c r="R856" t="s">
        <v>12397</v>
      </c>
      <c r="S856" t="s">
        <v>12398</v>
      </c>
      <c r="T856" s="2">
        <v>0.57291666666666663</v>
      </c>
      <c r="U856">
        <v>1</v>
      </c>
      <c r="V856" t="s">
        <v>12399</v>
      </c>
      <c r="W856" t="s">
        <v>12400</v>
      </c>
      <c r="X856" t="s">
        <v>12401</v>
      </c>
      <c r="Y856" t="s">
        <v>12402</v>
      </c>
      <c r="Z856" t="s">
        <v>12402</v>
      </c>
      <c r="AA856" t="s">
        <v>12402</v>
      </c>
      <c r="AB856" t="s">
        <v>12402</v>
      </c>
      <c r="AC856" t="s">
        <v>12402</v>
      </c>
      <c r="AD856" t="s">
        <v>12402</v>
      </c>
    </row>
    <row r="857" spans="1:30">
      <c r="A857" t="s">
        <v>12403</v>
      </c>
      <c r="B857">
        <v>2</v>
      </c>
      <c r="C857">
        <v>5</v>
      </c>
      <c r="D857">
        <v>2018</v>
      </c>
      <c r="E857" s="1">
        <v>43136</v>
      </c>
      <c r="F857" t="s">
        <v>12404</v>
      </c>
      <c r="G857">
        <v>0</v>
      </c>
      <c r="H857">
        <v>1</v>
      </c>
      <c r="I857">
        <v>1</v>
      </c>
      <c r="J857">
        <v>0</v>
      </c>
      <c r="K857" t="s">
        <v>12405</v>
      </c>
      <c r="L857" t="s">
        <v>12406</v>
      </c>
      <c r="M857" t="s">
        <v>12407</v>
      </c>
      <c r="N857" t="s">
        <v>12408</v>
      </c>
      <c r="O857" t="s">
        <v>12409</v>
      </c>
      <c r="P857" t="s">
        <v>12410</v>
      </c>
      <c r="Q857" t="s">
        <v>12411</v>
      </c>
      <c r="R857" t="s">
        <v>12412</v>
      </c>
      <c r="S857" t="s">
        <v>12413</v>
      </c>
      <c r="U857">
        <v>1</v>
      </c>
      <c r="V857" t="s">
        <v>12414</v>
      </c>
      <c r="W857" t="s">
        <v>12415</v>
      </c>
      <c r="X857" t="s">
        <v>12416</v>
      </c>
      <c r="Z857" t="s">
        <v>12417</v>
      </c>
      <c r="AA857" t="s">
        <v>12417</v>
      </c>
      <c r="AC857" t="s">
        <v>12417</v>
      </c>
      <c r="AD857" t="s">
        <v>12417</v>
      </c>
    </row>
    <row r="858" spans="1:30">
      <c r="A858" t="s">
        <v>12418</v>
      </c>
      <c r="B858">
        <v>2</v>
      </c>
      <c r="C858">
        <v>1</v>
      </c>
      <c r="D858">
        <v>2018</v>
      </c>
      <c r="E858" s="1">
        <v>43132</v>
      </c>
      <c r="F858" t="s">
        <v>12419</v>
      </c>
      <c r="G858">
        <v>0</v>
      </c>
      <c r="H858">
        <v>2</v>
      </c>
      <c r="I858">
        <v>2</v>
      </c>
      <c r="J858">
        <v>0</v>
      </c>
      <c r="K858" t="s">
        <v>12420</v>
      </c>
      <c r="L858" t="s">
        <v>12421</v>
      </c>
      <c r="M858" t="s">
        <v>12422</v>
      </c>
      <c r="N858" t="s">
        <v>12423</v>
      </c>
      <c r="O858" t="s">
        <v>12424</v>
      </c>
      <c r="P858" t="s">
        <v>12425</v>
      </c>
      <c r="Q858" t="s">
        <v>12426</v>
      </c>
      <c r="R858" t="s">
        <v>12427</v>
      </c>
      <c r="S858" t="s">
        <v>12428</v>
      </c>
      <c r="T858" s="2">
        <v>0.37152777777777779</v>
      </c>
      <c r="U858">
        <v>1</v>
      </c>
      <c r="V858" t="s">
        <v>12429</v>
      </c>
      <c r="W858" t="s">
        <v>12430</v>
      </c>
      <c r="X858" t="s">
        <v>12431</v>
      </c>
      <c r="Y858" t="s">
        <v>12432</v>
      </c>
      <c r="Z858" t="s">
        <v>12432</v>
      </c>
      <c r="AA858" t="s">
        <v>12432</v>
      </c>
      <c r="AB858" t="s">
        <v>12433</v>
      </c>
      <c r="AC858" t="s">
        <v>12434</v>
      </c>
      <c r="AD858" t="s">
        <v>12434</v>
      </c>
    </row>
    <row r="859" spans="1:30">
      <c r="A859" t="s">
        <v>12435</v>
      </c>
      <c r="B859">
        <v>1</v>
      </c>
      <c r="C859">
        <v>31</v>
      </c>
      <c r="D859">
        <v>2018</v>
      </c>
      <c r="E859" s="1">
        <v>43131</v>
      </c>
      <c r="F859" t="s">
        <v>12436</v>
      </c>
      <c r="G859">
        <v>1</v>
      </c>
      <c r="H859">
        <v>0</v>
      </c>
      <c r="I859">
        <v>1</v>
      </c>
      <c r="J859">
        <v>0</v>
      </c>
      <c r="K859" t="s">
        <v>12437</v>
      </c>
      <c r="L859" t="s">
        <v>12438</v>
      </c>
      <c r="M859" t="s">
        <v>12439</v>
      </c>
      <c r="N859" t="s">
        <v>12440</v>
      </c>
      <c r="O859" t="s">
        <v>12441</v>
      </c>
      <c r="P859" t="s">
        <v>12442</v>
      </c>
      <c r="Q859" t="s">
        <v>12443</v>
      </c>
      <c r="R859" t="s">
        <v>12444</v>
      </c>
      <c r="S859" t="s">
        <v>12445</v>
      </c>
      <c r="T859" s="2">
        <v>0.66041666666666665</v>
      </c>
      <c r="U859">
        <v>1</v>
      </c>
      <c r="V859" t="s">
        <v>12446</v>
      </c>
      <c r="W859" t="s">
        <v>12447</v>
      </c>
      <c r="X859" t="s">
        <v>12448</v>
      </c>
      <c r="Z859" t="s">
        <v>12449</v>
      </c>
      <c r="AA859" t="s">
        <v>12449</v>
      </c>
      <c r="AC859" t="s">
        <v>12449</v>
      </c>
      <c r="AD859" t="s">
        <v>12449</v>
      </c>
    </row>
    <row r="860" spans="1:30">
      <c r="A860" t="s">
        <v>12450</v>
      </c>
      <c r="B860">
        <v>1</v>
      </c>
      <c r="C860">
        <v>26</v>
      </c>
      <c r="D860">
        <v>2018</v>
      </c>
      <c r="E860" s="1">
        <v>43126</v>
      </c>
      <c r="F860" t="s">
        <v>12451</v>
      </c>
      <c r="G860">
        <v>0</v>
      </c>
      <c r="H860">
        <v>0</v>
      </c>
      <c r="I860">
        <v>0</v>
      </c>
      <c r="J860">
        <v>0</v>
      </c>
      <c r="L860" t="s">
        <v>12452</v>
      </c>
      <c r="M860" t="s">
        <v>12453</v>
      </c>
      <c r="N860" t="s">
        <v>12454</v>
      </c>
      <c r="O860" t="s">
        <v>12455</v>
      </c>
      <c r="P860" t="s">
        <v>12456</v>
      </c>
      <c r="Q860" t="s">
        <v>12457</v>
      </c>
      <c r="R860" t="s">
        <v>12458</v>
      </c>
      <c r="S860" t="s">
        <v>12459</v>
      </c>
      <c r="T860" s="2">
        <v>0.83333333333333337</v>
      </c>
      <c r="U860">
        <v>1</v>
      </c>
      <c r="V860" t="s">
        <v>12460</v>
      </c>
      <c r="W860" t="s">
        <v>12461</v>
      </c>
      <c r="Y860" t="s">
        <v>12462</v>
      </c>
      <c r="Z860" t="s">
        <v>12463</v>
      </c>
      <c r="AA860" t="s">
        <v>12463</v>
      </c>
      <c r="AB860" t="s">
        <v>12463</v>
      </c>
      <c r="AC860" t="s">
        <v>12463</v>
      </c>
      <c r="AD860" t="s">
        <v>12463</v>
      </c>
    </row>
    <row r="861" spans="1:30">
      <c r="A861" t="s">
        <v>12464</v>
      </c>
      <c r="B861">
        <v>1</v>
      </c>
      <c r="C861">
        <v>25</v>
      </c>
      <c r="D861">
        <v>2018</v>
      </c>
      <c r="E861" s="1">
        <v>43125</v>
      </c>
      <c r="F861" t="s">
        <v>12465</v>
      </c>
      <c r="G861">
        <v>0</v>
      </c>
      <c r="H861">
        <v>0</v>
      </c>
      <c r="I861">
        <v>0</v>
      </c>
      <c r="J861">
        <v>0</v>
      </c>
      <c r="K861" t="s">
        <v>12466</v>
      </c>
      <c r="L861" t="s">
        <v>12467</v>
      </c>
      <c r="M861" t="s">
        <v>12468</v>
      </c>
      <c r="N861" t="s">
        <v>12469</v>
      </c>
      <c r="O861" t="s">
        <v>12470</v>
      </c>
      <c r="P861" t="s">
        <v>12471</v>
      </c>
      <c r="Q861" t="s">
        <v>12472</v>
      </c>
      <c r="R861" t="s">
        <v>12473</v>
      </c>
      <c r="S861" t="s">
        <v>12474</v>
      </c>
      <c r="T861" s="2">
        <v>0.47222222222222221</v>
      </c>
      <c r="U861">
        <v>1</v>
      </c>
      <c r="V861" t="s">
        <v>12475</v>
      </c>
      <c r="W861" t="s">
        <v>12476</v>
      </c>
      <c r="X861" t="s">
        <v>12477</v>
      </c>
      <c r="Y861" t="s">
        <v>12478</v>
      </c>
      <c r="Z861" t="s">
        <v>12478</v>
      </c>
      <c r="AA861" t="s">
        <v>12478</v>
      </c>
      <c r="AC861" t="s">
        <v>12478</v>
      </c>
      <c r="AD861" t="s">
        <v>12478</v>
      </c>
    </row>
    <row r="862" spans="1:30">
      <c r="A862" t="s">
        <v>12479</v>
      </c>
      <c r="B862">
        <v>1</v>
      </c>
      <c r="C862">
        <v>23</v>
      </c>
      <c r="D862">
        <v>2018</v>
      </c>
      <c r="E862" s="1">
        <v>43123</v>
      </c>
      <c r="F862" t="s">
        <v>12480</v>
      </c>
      <c r="G862">
        <v>2</v>
      </c>
      <c r="H862">
        <v>18</v>
      </c>
      <c r="I862">
        <v>20</v>
      </c>
      <c r="J862">
        <v>0</v>
      </c>
      <c r="K862" t="s">
        <v>12481</v>
      </c>
      <c r="L862" t="s">
        <v>12482</v>
      </c>
      <c r="M862" t="s">
        <v>12483</v>
      </c>
      <c r="N862" t="s">
        <v>12484</v>
      </c>
      <c r="O862" t="s">
        <v>12485</v>
      </c>
      <c r="P862" t="s">
        <v>12486</v>
      </c>
      <c r="Q862" t="s">
        <v>12487</v>
      </c>
      <c r="R862" t="s">
        <v>12488</v>
      </c>
      <c r="S862" t="s">
        <v>12489</v>
      </c>
      <c r="T862" s="2">
        <v>0.33125000000000004</v>
      </c>
      <c r="U862">
        <v>3</v>
      </c>
      <c r="V862" t="s">
        <v>12490</v>
      </c>
      <c r="W862" t="s">
        <v>12491</v>
      </c>
      <c r="X862" t="s">
        <v>12492</v>
      </c>
      <c r="Y862" t="s">
        <v>12493</v>
      </c>
      <c r="Z862" t="s">
        <v>12493</v>
      </c>
      <c r="AA862" t="s">
        <v>12493</v>
      </c>
      <c r="AC862" t="s">
        <v>12493</v>
      </c>
      <c r="AD862" t="s">
        <v>12494</v>
      </c>
    </row>
    <row r="863" spans="1:30">
      <c r="A863" t="s">
        <v>12495</v>
      </c>
      <c r="B863">
        <v>1</v>
      </c>
      <c r="C863">
        <v>22</v>
      </c>
      <c r="D863">
        <v>2018</v>
      </c>
      <c r="E863" s="1">
        <v>43122</v>
      </c>
      <c r="F863" t="s">
        <v>12496</v>
      </c>
      <c r="G863">
        <v>0</v>
      </c>
      <c r="H863">
        <v>0</v>
      </c>
      <c r="I863">
        <v>0</v>
      </c>
      <c r="J863">
        <v>0</v>
      </c>
      <c r="K863" t="s">
        <v>12497</v>
      </c>
      <c r="L863" t="s">
        <v>12498</v>
      </c>
      <c r="M863" t="s">
        <v>12499</v>
      </c>
      <c r="N863" t="s">
        <v>12500</v>
      </c>
      <c r="O863" t="s">
        <v>12501</v>
      </c>
      <c r="P863" t="s">
        <v>12502</v>
      </c>
      <c r="Q863" t="s">
        <v>12503</v>
      </c>
      <c r="R863" t="s">
        <v>12504</v>
      </c>
      <c r="S863" t="s">
        <v>12505</v>
      </c>
      <c r="T863" s="2">
        <v>0.5625</v>
      </c>
      <c r="U863">
        <v>1</v>
      </c>
      <c r="V863" t="s">
        <v>12506</v>
      </c>
      <c r="W863" t="s">
        <v>12507</v>
      </c>
      <c r="X863" t="s">
        <v>12508</v>
      </c>
      <c r="Z863" t="s">
        <v>12509</v>
      </c>
      <c r="AA863" t="s">
        <v>12509</v>
      </c>
      <c r="AB863" t="s">
        <v>12509</v>
      </c>
      <c r="AC863" t="s">
        <v>12509</v>
      </c>
      <c r="AD863" t="s">
        <v>12509</v>
      </c>
    </row>
    <row r="864" spans="1:30">
      <c r="A864" t="s">
        <v>12510</v>
      </c>
      <c r="B864">
        <v>1</v>
      </c>
      <c r="C864">
        <v>22</v>
      </c>
      <c r="D864">
        <v>2018</v>
      </c>
      <c r="E864" s="1">
        <v>43122</v>
      </c>
      <c r="F864" t="s">
        <v>12511</v>
      </c>
      <c r="G864">
        <v>0</v>
      </c>
      <c r="H864">
        <v>1</v>
      </c>
      <c r="I864">
        <v>1</v>
      </c>
      <c r="J864">
        <v>0</v>
      </c>
      <c r="K864" t="s">
        <v>12512</v>
      </c>
      <c r="L864" t="s">
        <v>12513</v>
      </c>
      <c r="M864" t="s">
        <v>12514</v>
      </c>
      <c r="N864" t="s">
        <v>12515</v>
      </c>
      <c r="O864" t="s">
        <v>12516</v>
      </c>
      <c r="P864" t="s">
        <v>12517</v>
      </c>
      <c r="Q864" t="s">
        <v>12518</v>
      </c>
      <c r="R864" t="s">
        <v>12519</v>
      </c>
      <c r="S864" t="s">
        <v>12520</v>
      </c>
      <c r="T864" s="2">
        <v>0.32847222222222222</v>
      </c>
      <c r="U864">
        <v>1</v>
      </c>
      <c r="V864" t="s">
        <v>12521</v>
      </c>
      <c r="W864" t="s">
        <v>12522</v>
      </c>
      <c r="X864" t="s">
        <v>12523</v>
      </c>
      <c r="Z864" t="s">
        <v>12524</v>
      </c>
      <c r="AA864" t="s">
        <v>12524</v>
      </c>
      <c r="AB864" t="s">
        <v>12524</v>
      </c>
      <c r="AC864" t="s">
        <v>12525</v>
      </c>
      <c r="AD864" t="s">
        <v>12525</v>
      </c>
    </row>
    <row r="865" spans="1:30">
      <c r="A865" t="s">
        <v>12526</v>
      </c>
      <c r="B865">
        <v>1</v>
      </c>
      <c r="C865">
        <v>16</v>
      </c>
      <c r="D865">
        <v>2018</v>
      </c>
      <c r="E865" s="1">
        <v>43116</v>
      </c>
      <c r="F865" t="s">
        <v>12527</v>
      </c>
      <c r="G865">
        <v>0</v>
      </c>
      <c r="H865">
        <v>0</v>
      </c>
      <c r="I865">
        <v>0</v>
      </c>
      <c r="J865">
        <v>1</v>
      </c>
      <c r="L865" t="s">
        <v>12528</v>
      </c>
      <c r="M865" t="s">
        <v>12529</v>
      </c>
      <c r="N865" t="s">
        <v>12530</v>
      </c>
      <c r="O865" t="s">
        <v>12531</v>
      </c>
      <c r="P865" t="s">
        <v>12532</v>
      </c>
      <c r="Q865" t="s">
        <v>12532</v>
      </c>
      <c r="R865" t="s">
        <v>12533</v>
      </c>
      <c r="S865" t="s">
        <v>12534</v>
      </c>
      <c r="T865" s="2">
        <v>0.39583333333333331</v>
      </c>
      <c r="U865">
        <v>4</v>
      </c>
      <c r="V865" t="s">
        <v>12535</v>
      </c>
      <c r="W865" t="s">
        <v>12536</v>
      </c>
      <c r="X865" t="s">
        <v>12537</v>
      </c>
      <c r="Y865" t="s">
        <v>12538</v>
      </c>
      <c r="Z865" t="s">
        <v>12538</v>
      </c>
      <c r="AA865" t="s">
        <v>12538</v>
      </c>
      <c r="AB865" t="s">
        <v>12539</v>
      </c>
      <c r="AC865" t="s">
        <v>12539</v>
      </c>
      <c r="AD865" t="s">
        <v>12540</v>
      </c>
    </row>
    <row r="866" spans="1:30">
      <c r="A866" t="s">
        <v>12541</v>
      </c>
      <c r="B866">
        <v>1</v>
      </c>
      <c r="C866">
        <v>9</v>
      </c>
      <c r="D866">
        <v>2018</v>
      </c>
      <c r="E866" s="1">
        <v>43109</v>
      </c>
      <c r="F866" t="s">
        <v>12542</v>
      </c>
      <c r="G866">
        <v>0</v>
      </c>
      <c r="H866">
        <v>0</v>
      </c>
      <c r="I866">
        <v>0</v>
      </c>
      <c r="J866">
        <v>1</v>
      </c>
      <c r="K866" t="s">
        <v>12543</v>
      </c>
      <c r="L866" t="s">
        <v>12544</v>
      </c>
      <c r="M866" t="s">
        <v>12545</v>
      </c>
      <c r="N866" t="s">
        <v>12546</v>
      </c>
      <c r="O866" t="s">
        <v>12547</v>
      </c>
      <c r="P866" t="s">
        <v>12548</v>
      </c>
      <c r="Q866" t="s">
        <v>12548</v>
      </c>
      <c r="R866" t="s">
        <v>12549</v>
      </c>
      <c r="S866" t="s">
        <v>12550</v>
      </c>
      <c r="T866" s="2">
        <v>0.3888888888888889</v>
      </c>
      <c r="U866">
        <v>1</v>
      </c>
      <c r="V866" t="s">
        <v>12551</v>
      </c>
      <c r="W866" t="s">
        <v>12552</v>
      </c>
      <c r="X866" t="s">
        <v>12553</v>
      </c>
      <c r="Y866" t="s">
        <v>12554</v>
      </c>
      <c r="Z866" t="s">
        <v>12554</v>
      </c>
      <c r="AA866" t="s">
        <v>12554</v>
      </c>
      <c r="AC866" t="s">
        <v>12554</v>
      </c>
      <c r="AD866" t="s">
        <v>12554</v>
      </c>
    </row>
    <row r="867" spans="1:30">
      <c r="A867" t="s">
        <v>12555</v>
      </c>
      <c r="B867">
        <v>1</v>
      </c>
      <c r="C867">
        <v>5</v>
      </c>
      <c r="D867">
        <v>2018</v>
      </c>
      <c r="E867" s="1">
        <v>43105</v>
      </c>
      <c r="F867" t="s">
        <v>12556</v>
      </c>
      <c r="G867">
        <v>0</v>
      </c>
      <c r="H867">
        <v>0</v>
      </c>
      <c r="I867">
        <v>0</v>
      </c>
      <c r="J867">
        <v>0</v>
      </c>
      <c r="L867" t="s">
        <v>12557</v>
      </c>
      <c r="M867" t="s">
        <v>12558</v>
      </c>
      <c r="N867" t="s">
        <v>12559</v>
      </c>
      <c r="P867" t="s">
        <v>12560</v>
      </c>
      <c r="Q867" t="s">
        <v>12560</v>
      </c>
      <c r="R867" t="s">
        <v>12561</v>
      </c>
      <c r="S867" t="s">
        <v>12562</v>
      </c>
      <c r="U867">
        <v>1</v>
      </c>
      <c r="V867" t="s">
        <v>12563</v>
      </c>
      <c r="W867" t="s">
        <v>12564</v>
      </c>
      <c r="X867" t="s">
        <v>12565</v>
      </c>
      <c r="Y867" t="s">
        <v>12566</v>
      </c>
      <c r="Z867" t="s">
        <v>12566</v>
      </c>
      <c r="AA867" t="s">
        <v>12566</v>
      </c>
      <c r="AB867" t="s">
        <v>12566</v>
      </c>
      <c r="AC867" t="s">
        <v>12566</v>
      </c>
      <c r="AD867" t="s">
        <v>12566</v>
      </c>
    </row>
    <row r="868" spans="1:30">
      <c r="A868" t="s">
        <v>12567</v>
      </c>
      <c r="B868">
        <v>1</v>
      </c>
      <c r="C868">
        <v>4</v>
      </c>
      <c r="D868">
        <v>2018</v>
      </c>
      <c r="E868" s="1">
        <v>43104</v>
      </c>
      <c r="F868" t="s">
        <v>12568</v>
      </c>
      <c r="G868">
        <v>0</v>
      </c>
      <c r="H868">
        <v>0</v>
      </c>
      <c r="I868">
        <v>0</v>
      </c>
      <c r="J868">
        <v>0</v>
      </c>
      <c r="L868" t="s">
        <v>12569</v>
      </c>
      <c r="M868" t="s">
        <v>12570</v>
      </c>
      <c r="N868" t="s">
        <v>12571</v>
      </c>
      <c r="O868" t="s">
        <v>12572</v>
      </c>
      <c r="P868" t="s">
        <v>12573</v>
      </c>
      <c r="Q868" t="s">
        <v>12574</v>
      </c>
      <c r="R868" t="s">
        <v>12575</v>
      </c>
      <c r="S868" t="s">
        <v>12576</v>
      </c>
      <c r="T868" s="2">
        <v>0.5625</v>
      </c>
      <c r="U868">
        <v>1</v>
      </c>
      <c r="V868" t="s">
        <v>12577</v>
      </c>
      <c r="W868" t="s">
        <v>12578</v>
      </c>
      <c r="X868" t="s">
        <v>12579</v>
      </c>
      <c r="Z868" t="s">
        <v>12580</v>
      </c>
      <c r="AA868" t="s">
        <v>12580</v>
      </c>
      <c r="AB868" t="s">
        <v>12581</v>
      </c>
      <c r="AC868" t="s">
        <v>12581</v>
      </c>
      <c r="AD868" t="s">
        <v>12582</v>
      </c>
    </row>
    <row r="869" spans="1:30">
      <c r="A869" t="s">
        <v>12583</v>
      </c>
      <c r="B869">
        <v>12</v>
      </c>
      <c r="C869">
        <v>31</v>
      </c>
      <c r="D869">
        <v>2017</v>
      </c>
      <c r="E869" s="1">
        <v>43100</v>
      </c>
      <c r="F869" t="s">
        <v>12584</v>
      </c>
      <c r="G869">
        <v>0</v>
      </c>
      <c r="H869">
        <v>0</v>
      </c>
      <c r="I869">
        <v>0</v>
      </c>
      <c r="J869">
        <v>0</v>
      </c>
      <c r="L869" t="s">
        <v>12585</v>
      </c>
      <c r="M869" t="s">
        <v>12586</v>
      </c>
      <c r="N869" t="s">
        <v>12587</v>
      </c>
      <c r="O869" t="s">
        <v>12588</v>
      </c>
      <c r="P869" t="s">
        <v>12589</v>
      </c>
      <c r="Q869" t="s">
        <v>12590</v>
      </c>
      <c r="R869" t="s">
        <v>12591</v>
      </c>
      <c r="S869" t="s">
        <v>12592</v>
      </c>
      <c r="T869" s="2">
        <v>0.99652777777777779</v>
      </c>
      <c r="V869" t="s">
        <v>12593</v>
      </c>
      <c r="W869" t="s">
        <v>12594</v>
      </c>
      <c r="X869" t="s">
        <v>12595</v>
      </c>
      <c r="Y869" t="s">
        <v>12596</v>
      </c>
      <c r="Z869" t="s">
        <v>12597</v>
      </c>
      <c r="AA869" t="s">
        <v>12597</v>
      </c>
      <c r="AB869" t="s">
        <v>12597</v>
      </c>
      <c r="AC869" t="s">
        <v>12597</v>
      </c>
      <c r="AD869" t="s">
        <v>12597</v>
      </c>
    </row>
    <row r="870" spans="1:30">
      <c r="A870" t="s">
        <v>12598</v>
      </c>
      <c r="B870">
        <v>12</v>
      </c>
      <c r="C870">
        <v>31</v>
      </c>
      <c r="D870">
        <v>2017</v>
      </c>
      <c r="E870" s="1">
        <v>43100</v>
      </c>
      <c r="F870" t="s">
        <v>12599</v>
      </c>
      <c r="G870">
        <v>2</v>
      </c>
      <c r="H870">
        <v>0</v>
      </c>
      <c r="I870">
        <v>2</v>
      </c>
      <c r="J870">
        <v>0</v>
      </c>
      <c r="L870" t="s">
        <v>12600</v>
      </c>
      <c r="M870" t="s">
        <v>12601</v>
      </c>
      <c r="N870" t="s">
        <v>12602</v>
      </c>
      <c r="O870" t="s">
        <v>12603</v>
      </c>
      <c r="P870" t="s">
        <v>12604</v>
      </c>
      <c r="Q870" t="s">
        <v>12605</v>
      </c>
      <c r="R870" t="s">
        <v>12606</v>
      </c>
      <c r="S870" t="s">
        <v>12607</v>
      </c>
      <c r="T870" s="2">
        <v>0.83333333333333337</v>
      </c>
      <c r="U870">
        <v>1</v>
      </c>
      <c r="V870" t="s">
        <v>12608</v>
      </c>
      <c r="W870" t="s">
        <v>12609</v>
      </c>
      <c r="X870" t="s">
        <v>12610</v>
      </c>
      <c r="Y870" t="s">
        <v>12611</v>
      </c>
      <c r="Z870" t="s">
        <v>12612</v>
      </c>
      <c r="AA870" t="s">
        <v>12612</v>
      </c>
      <c r="AB870" t="s">
        <v>12612</v>
      </c>
      <c r="AC870" t="s">
        <v>12612</v>
      </c>
      <c r="AD870" t="s">
        <v>12612</v>
      </c>
    </row>
    <row r="871" spans="1:30">
      <c r="A871" t="s">
        <v>12613</v>
      </c>
      <c r="B871">
        <v>12</v>
      </c>
      <c r="C871">
        <v>27</v>
      </c>
      <c r="D871">
        <v>2017</v>
      </c>
      <c r="E871" s="1">
        <v>43096</v>
      </c>
      <c r="F871" t="s">
        <v>12614</v>
      </c>
      <c r="G871">
        <v>0</v>
      </c>
      <c r="H871">
        <v>1</v>
      </c>
      <c r="I871">
        <v>1</v>
      </c>
      <c r="J871">
        <v>0</v>
      </c>
      <c r="L871" t="s">
        <v>12615</v>
      </c>
      <c r="M871" t="s">
        <v>12616</v>
      </c>
      <c r="N871" t="s">
        <v>12617</v>
      </c>
      <c r="O871" t="s">
        <v>12618</v>
      </c>
      <c r="P871" t="s">
        <v>12619</v>
      </c>
      <c r="Q871" t="s">
        <v>12620</v>
      </c>
      <c r="R871" t="s">
        <v>12621</v>
      </c>
      <c r="S871" t="s">
        <v>12622</v>
      </c>
      <c r="T871" s="2">
        <v>0.94444444444444442</v>
      </c>
      <c r="U871">
        <v>1</v>
      </c>
      <c r="V871" t="s">
        <v>12623</v>
      </c>
      <c r="W871" t="s">
        <v>12624</v>
      </c>
      <c r="X871" t="s">
        <v>12625</v>
      </c>
      <c r="Z871" t="s">
        <v>12626</v>
      </c>
      <c r="AA871" t="s">
        <v>12626</v>
      </c>
      <c r="AB871" t="s">
        <v>12626</v>
      </c>
      <c r="AC871" t="s">
        <v>12626</v>
      </c>
      <c r="AD871" t="s">
        <v>12626</v>
      </c>
    </row>
    <row r="872" spans="1:30">
      <c r="A872" t="s">
        <v>12627</v>
      </c>
      <c r="B872">
        <v>12</v>
      </c>
      <c r="C872">
        <v>19</v>
      </c>
      <c r="D872">
        <v>2017</v>
      </c>
      <c r="E872" s="1">
        <v>43088</v>
      </c>
      <c r="F872" t="s">
        <v>12628</v>
      </c>
      <c r="G872">
        <v>0</v>
      </c>
      <c r="H872">
        <v>1</v>
      </c>
      <c r="I872">
        <v>1</v>
      </c>
      <c r="J872">
        <v>0</v>
      </c>
      <c r="L872" t="s">
        <v>12629</v>
      </c>
      <c r="M872" t="s">
        <v>12630</v>
      </c>
      <c r="N872" t="s">
        <v>12631</v>
      </c>
      <c r="O872" t="s">
        <v>12632</v>
      </c>
      <c r="P872" t="s">
        <v>12633</v>
      </c>
      <c r="Q872" t="s">
        <v>12634</v>
      </c>
      <c r="R872" t="s">
        <v>12635</v>
      </c>
      <c r="S872" t="s">
        <v>12636</v>
      </c>
      <c r="U872">
        <v>1</v>
      </c>
      <c r="V872" t="s">
        <v>12637</v>
      </c>
      <c r="W872" t="s">
        <v>12638</v>
      </c>
      <c r="X872" t="s">
        <v>12639</v>
      </c>
      <c r="Y872" t="s">
        <v>12640</v>
      </c>
      <c r="Z872" t="s">
        <v>12641</v>
      </c>
      <c r="AA872" t="s">
        <v>12641</v>
      </c>
      <c r="AB872" t="s">
        <v>12641</v>
      </c>
      <c r="AC872" t="s">
        <v>12641</v>
      </c>
      <c r="AD872" t="s">
        <v>12641</v>
      </c>
    </row>
    <row r="873" spans="1:30">
      <c r="A873" t="s">
        <v>12642</v>
      </c>
      <c r="B873">
        <v>12</v>
      </c>
      <c r="C873">
        <v>14</v>
      </c>
      <c r="D873">
        <v>2017</v>
      </c>
      <c r="E873" s="1">
        <v>43083</v>
      </c>
      <c r="F873" t="s">
        <v>12643</v>
      </c>
      <c r="G873">
        <v>0</v>
      </c>
      <c r="H873">
        <v>0</v>
      </c>
      <c r="I873">
        <v>0</v>
      </c>
      <c r="J873">
        <v>0</v>
      </c>
      <c r="L873" t="s">
        <v>12644</v>
      </c>
      <c r="M873" t="s">
        <v>12645</v>
      </c>
      <c r="N873" t="s">
        <v>12646</v>
      </c>
      <c r="O873" t="s">
        <v>12647</v>
      </c>
      <c r="P873" t="s">
        <v>12648</v>
      </c>
      <c r="Q873" t="s">
        <v>12649</v>
      </c>
      <c r="R873" t="s">
        <v>12650</v>
      </c>
      <c r="S873" t="s">
        <v>12651</v>
      </c>
      <c r="U873">
        <v>1</v>
      </c>
      <c r="V873" t="s">
        <v>12652</v>
      </c>
      <c r="W873" t="s">
        <v>12653</v>
      </c>
      <c r="X873" t="s">
        <v>12654</v>
      </c>
      <c r="Y873" t="s">
        <v>12655</v>
      </c>
      <c r="Z873" t="s">
        <v>12655</v>
      </c>
      <c r="AA873" t="s">
        <v>12655</v>
      </c>
      <c r="AB873" t="s">
        <v>12655</v>
      </c>
      <c r="AC873" t="s">
        <v>12655</v>
      </c>
      <c r="AD873" t="s">
        <v>12655</v>
      </c>
    </row>
    <row r="874" spans="1:30">
      <c r="A874" t="s">
        <v>12656</v>
      </c>
      <c r="B874">
        <v>12</v>
      </c>
      <c r="C874">
        <v>12</v>
      </c>
      <c r="D874">
        <v>2017</v>
      </c>
      <c r="E874" s="1">
        <v>43081</v>
      </c>
      <c r="F874" t="s">
        <v>12657</v>
      </c>
      <c r="G874">
        <v>0</v>
      </c>
      <c r="H874">
        <v>2</v>
      </c>
      <c r="I874">
        <v>2</v>
      </c>
      <c r="J874">
        <v>0</v>
      </c>
      <c r="L874" t="s">
        <v>12658</v>
      </c>
      <c r="M874" t="s">
        <v>12659</v>
      </c>
      <c r="N874" t="s">
        <v>12660</v>
      </c>
      <c r="O874" t="s">
        <v>12661</v>
      </c>
      <c r="P874" t="s">
        <v>12662</v>
      </c>
      <c r="Q874" t="s">
        <v>12663</v>
      </c>
      <c r="R874" t="s">
        <v>12664</v>
      </c>
      <c r="S874" t="s">
        <v>12665</v>
      </c>
      <c r="T874" s="2">
        <v>0.75</v>
      </c>
      <c r="U874">
        <v>1</v>
      </c>
      <c r="V874" t="s">
        <v>12666</v>
      </c>
      <c r="W874" t="s">
        <v>12667</v>
      </c>
      <c r="X874" t="s">
        <v>12668</v>
      </c>
      <c r="Y874" t="s">
        <v>12669</v>
      </c>
      <c r="Z874" t="s">
        <v>12670</v>
      </c>
      <c r="AA874" t="s">
        <v>12670</v>
      </c>
      <c r="AB874" t="s">
        <v>12670</v>
      </c>
      <c r="AC874" t="s">
        <v>12670</v>
      </c>
      <c r="AD874" t="s">
        <v>12670</v>
      </c>
    </row>
    <row r="875" spans="1:30">
      <c r="A875" t="s">
        <v>12671</v>
      </c>
      <c r="B875">
        <v>12</v>
      </c>
      <c r="C875">
        <v>11</v>
      </c>
      <c r="D875">
        <v>2017</v>
      </c>
      <c r="E875" s="1">
        <v>43080</v>
      </c>
      <c r="F875" t="s">
        <v>12672</v>
      </c>
      <c r="G875">
        <v>0</v>
      </c>
      <c r="H875">
        <v>0</v>
      </c>
      <c r="I875">
        <v>0</v>
      </c>
      <c r="J875">
        <v>0</v>
      </c>
      <c r="K875" t="s">
        <v>12673</v>
      </c>
      <c r="L875" t="s">
        <v>12674</v>
      </c>
      <c r="M875" t="s">
        <v>12675</v>
      </c>
      <c r="N875" t="s">
        <v>12676</v>
      </c>
      <c r="O875" t="s">
        <v>12677</v>
      </c>
      <c r="P875" t="s">
        <v>12678</v>
      </c>
      <c r="Q875" t="s">
        <v>12679</v>
      </c>
      <c r="R875" t="s">
        <v>12680</v>
      </c>
      <c r="S875" t="s">
        <v>12681</v>
      </c>
      <c r="T875" s="2">
        <v>0.58888888888888891</v>
      </c>
      <c r="U875">
        <v>1</v>
      </c>
      <c r="V875" t="s">
        <v>12682</v>
      </c>
      <c r="W875" t="s">
        <v>12683</v>
      </c>
      <c r="X875" t="s">
        <v>12684</v>
      </c>
      <c r="Z875" t="s">
        <v>12685</v>
      </c>
      <c r="AA875" t="s">
        <v>12685</v>
      </c>
      <c r="AB875" t="s">
        <v>12685</v>
      </c>
      <c r="AC875" t="s">
        <v>12685</v>
      </c>
      <c r="AD875" t="s">
        <v>12685</v>
      </c>
    </row>
    <row r="876" spans="1:30">
      <c r="A876" t="s">
        <v>12686</v>
      </c>
      <c r="B876">
        <v>12</v>
      </c>
      <c r="C876">
        <v>9</v>
      </c>
      <c r="D876">
        <v>2017</v>
      </c>
      <c r="E876" s="1">
        <v>43078</v>
      </c>
      <c r="F876" t="s">
        <v>12687</v>
      </c>
      <c r="G876">
        <v>0</v>
      </c>
      <c r="H876">
        <v>3</v>
      </c>
      <c r="I876">
        <v>3</v>
      </c>
      <c r="J876">
        <v>0</v>
      </c>
      <c r="L876" t="s">
        <v>12688</v>
      </c>
      <c r="M876" t="s">
        <v>12689</v>
      </c>
      <c r="N876" t="s">
        <v>12690</v>
      </c>
      <c r="O876" t="s">
        <v>12691</v>
      </c>
      <c r="P876" t="s">
        <v>12692</v>
      </c>
      <c r="Q876" t="s">
        <v>12693</v>
      </c>
      <c r="R876" t="s">
        <v>12694</v>
      </c>
      <c r="S876" t="s">
        <v>12695</v>
      </c>
      <c r="T876" s="2">
        <v>0.88888888888888884</v>
      </c>
      <c r="U876">
        <v>1</v>
      </c>
      <c r="V876" t="s">
        <v>12696</v>
      </c>
      <c r="W876" t="s">
        <v>12697</v>
      </c>
      <c r="X876" t="s">
        <v>12698</v>
      </c>
      <c r="Z876" t="s">
        <v>12699</v>
      </c>
      <c r="AA876" t="s">
        <v>12699</v>
      </c>
      <c r="AB876" t="s">
        <v>12699</v>
      </c>
      <c r="AC876" t="s">
        <v>12699</v>
      </c>
      <c r="AD876" t="s">
        <v>12699</v>
      </c>
    </row>
    <row r="877" spans="1:30">
      <c r="A877" t="s">
        <v>12700</v>
      </c>
      <c r="B877">
        <v>12</v>
      </c>
      <c r="C877">
        <v>7</v>
      </c>
      <c r="D877">
        <v>2017</v>
      </c>
      <c r="E877" s="1">
        <v>43076</v>
      </c>
      <c r="F877" t="s">
        <v>12701</v>
      </c>
      <c r="G877">
        <v>2</v>
      </c>
      <c r="H877">
        <v>0</v>
      </c>
      <c r="I877">
        <v>2</v>
      </c>
      <c r="J877">
        <v>1</v>
      </c>
      <c r="K877" t="s">
        <v>12702</v>
      </c>
      <c r="L877" t="s">
        <v>12703</v>
      </c>
      <c r="M877" t="s">
        <v>12704</v>
      </c>
      <c r="N877" t="s">
        <v>12705</v>
      </c>
      <c r="O877" t="s">
        <v>12706</v>
      </c>
      <c r="P877" t="s">
        <v>12707</v>
      </c>
      <c r="Q877" t="s">
        <v>12708</v>
      </c>
      <c r="R877" t="s">
        <v>12709</v>
      </c>
      <c r="S877" t="s">
        <v>12710</v>
      </c>
      <c r="T877" s="2">
        <v>0.33611111111111108</v>
      </c>
      <c r="U877">
        <v>6</v>
      </c>
      <c r="V877" t="s">
        <v>12711</v>
      </c>
      <c r="W877" t="s">
        <v>12712</v>
      </c>
      <c r="X877" t="s">
        <v>12713</v>
      </c>
      <c r="Y877" t="s">
        <v>12714</v>
      </c>
      <c r="Z877" t="s">
        <v>12714</v>
      </c>
      <c r="AA877" t="s">
        <v>12714</v>
      </c>
      <c r="AB877" t="s">
        <v>12715</v>
      </c>
      <c r="AC877" t="s">
        <v>12716</v>
      </c>
      <c r="AD877" t="s">
        <v>12717</v>
      </c>
    </row>
    <row r="878" spans="1:30">
      <c r="A878" t="s">
        <v>12718</v>
      </c>
      <c r="B878">
        <v>11</v>
      </c>
      <c r="C878">
        <v>30</v>
      </c>
      <c r="D878">
        <v>2017</v>
      </c>
      <c r="E878" s="1">
        <v>43069</v>
      </c>
      <c r="F878" t="s">
        <v>12719</v>
      </c>
      <c r="G878">
        <v>0</v>
      </c>
      <c r="H878">
        <v>0</v>
      </c>
      <c r="I878">
        <v>0</v>
      </c>
      <c r="J878">
        <v>1</v>
      </c>
      <c r="L878" t="s">
        <v>12720</v>
      </c>
      <c r="M878" t="s">
        <v>12721</v>
      </c>
      <c r="N878" t="s">
        <v>12722</v>
      </c>
      <c r="O878" t="s">
        <v>12723</v>
      </c>
      <c r="P878" t="s">
        <v>12724</v>
      </c>
      <c r="Q878" t="s">
        <v>12724</v>
      </c>
      <c r="R878" t="s">
        <v>12725</v>
      </c>
      <c r="S878" t="s">
        <v>12726</v>
      </c>
      <c r="T878" s="2">
        <v>0.34027777777777773</v>
      </c>
      <c r="U878">
        <v>1</v>
      </c>
      <c r="V878" t="s">
        <v>12727</v>
      </c>
      <c r="W878" t="s">
        <v>12728</v>
      </c>
      <c r="X878" t="s">
        <v>12729</v>
      </c>
      <c r="Y878" t="s">
        <v>12730</v>
      </c>
      <c r="Z878" t="s">
        <v>12730</v>
      </c>
      <c r="AA878" t="s">
        <v>12730</v>
      </c>
      <c r="AB878" t="s">
        <v>12730</v>
      </c>
      <c r="AC878" t="s">
        <v>12730</v>
      </c>
      <c r="AD878" t="s">
        <v>12730</v>
      </c>
    </row>
    <row r="879" spans="1:30">
      <c r="A879" t="s">
        <v>12731</v>
      </c>
      <c r="B879">
        <v>11</v>
      </c>
      <c r="C879">
        <v>29</v>
      </c>
      <c r="D879">
        <v>2017</v>
      </c>
      <c r="E879" s="1">
        <v>43068</v>
      </c>
      <c r="F879" t="s">
        <v>12732</v>
      </c>
      <c r="G879">
        <v>0</v>
      </c>
      <c r="H879">
        <v>0</v>
      </c>
      <c r="I879">
        <v>0</v>
      </c>
      <c r="J879">
        <v>0</v>
      </c>
      <c r="L879" t="s">
        <v>12733</v>
      </c>
      <c r="M879" t="s">
        <v>12734</v>
      </c>
      <c r="N879" t="s">
        <v>12735</v>
      </c>
      <c r="O879" t="s">
        <v>12736</v>
      </c>
      <c r="P879" t="s">
        <v>12737</v>
      </c>
      <c r="Q879" t="s">
        <v>12738</v>
      </c>
      <c r="R879" t="s">
        <v>12739</v>
      </c>
      <c r="S879" t="s">
        <v>12740</v>
      </c>
      <c r="T879" s="2">
        <v>0.79166666666666663</v>
      </c>
      <c r="U879">
        <v>1</v>
      </c>
      <c r="V879" t="s">
        <v>12741</v>
      </c>
      <c r="W879" t="s">
        <v>12742</v>
      </c>
      <c r="X879" t="s">
        <v>12743</v>
      </c>
      <c r="Y879" t="s">
        <v>12744</v>
      </c>
      <c r="Z879" t="s">
        <v>12744</v>
      </c>
      <c r="AA879" t="s">
        <v>12744</v>
      </c>
      <c r="AB879" t="s">
        <v>12744</v>
      </c>
      <c r="AC879" t="s">
        <v>12744</v>
      </c>
      <c r="AD879" t="s">
        <v>12744</v>
      </c>
    </row>
    <row r="880" spans="1:30">
      <c r="A880" t="s">
        <v>12745</v>
      </c>
      <c r="B880">
        <v>11</v>
      </c>
      <c r="C880">
        <v>28</v>
      </c>
      <c r="D880">
        <v>2017</v>
      </c>
      <c r="E880" s="1">
        <v>43067</v>
      </c>
      <c r="F880" t="s">
        <v>12746</v>
      </c>
      <c r="G880">
        <v>0</v>
      </c>
      <c r="H880">
        <v>0</v>
      </c>
      <c r="I880">
        <v>0</v>
      </c>
      <c r="J880">
        <v>0</v>
      </c>
      <c r="L880" t="s">
        <v>12747</v>
      </c>
      <c r="M880" t="s">
        <v>12748</v>
      </c>
      <c r="N880" t="s">
        <v>12749</v>
      </c>
      <c r="O880" t="s">
        <v>12750</v>
      </c>
      <c r="P880" t="s">
        <v>12751</v>
      </c>
      <c r="Q880" t="s">
        <v>12752</v>
      </c>
      <c r="R880" t="s">
        <v>12753</v>
      </c>
      <c r="S880" t="s">
        <v>12754</v>
      </c>
      <c r="T880" s="2">
        <v>0.16666666666666666</v>
      </c>
      <c r="U880">
        <v>1</v>
      </c>
      <c r="V880" t="s">
        <v>12755</v>
      </c>
      <c r="W880" t="s">
        <v>12756</v>
      </c>
      <c r="X880" t="s">
        <v>12757</v>
      </c>
      <c r="Z880" t="s">
        <v>12758</v>
      </c>
      <c r="AA880" t="s">
        <v>12758</v>
      </c>
      <c r="AB880" t="s">
        <v>12759</v>
      </c>
      <c r="AC880" t="s">
        <v>12759</v>
      </c>
      <c r="AD880" t="s">
        <v>12760</v>
      </c>
    </row>
    <row r="881" spans="1:30">
      <c r="A881" t="s">
        <v>12761</v>
      </c>
      <c r="B881">
        <v>11</v>
      </c>
      <c r="C881">
        <v>23</v>
      </c>
      <c r="D881">
        <v>2017</v>
      </c>
      <c r="E881" s="1">
        <v>43062</v>
      </c>
      <c r="F881" t="s">
        <v>12762</v>
      </c>
      <c r="G881">
        <v>0</v>
      </c>
      <c r="H881">
        <v>3</v>
      </c>
      <c r="I881">
        <v>3</v>
      </c>
      <c r="J881">
        <v>0</v>
      </c>
      <c r="L881" t="s">
        <v>12763</v>
      </c>
      <c r="M881" t="s">
        <v>12764</v>
      </c>
      <c r="N881" t="s">
        <v>12765</v>
      </c>
      <c r="O881" t="s">
        <v>12766</v>
      </c>
      <c r="P881" t="s">
        <v>12767</v>
      </c>
      <c r="Q881" t="s">
        <v>12768</v>
      </c>
      <c r="R881" t="s">
        <v>12769</v>
      </c>
      <c r="S881" t="s">
        <v>12770</v>
      </c>
      <c r="T881" s="2">
        <v>0.50416666666666665</v>
      </c>
      <c r="U881">
        <v>1</v>
      </c>
      <c r="V881" t="s">
        <v>12771</v>
      </c>
      <c r="W881" t="s">
        <v>12772</v>
      </c>
      <c r="Y881" t="s">
        <v>12773</v>
      </c>
      <c r="Z881" t="s">
        <v>12774</v>
      </c>
      <c r="AA881" t="s">
        <v>12774</v>
      </c>
      <c r="AB881" t="s">
        <v>12774</v>
      </c>
      <c r="AC881" t="s">
        <v>12774</v>
      </c>
      <c r="AD881" t="s">
        <v>12774</v>
      </c>
    </row>
    <row r="882" spans="1:30">
      <c r="A882" t="s">
        <v>12775</v>
      </c>
      <c r="B882">
        <v>11</v>
      </c>
      <c r="C882">
        <v>17</v>
      </c>
      <c r="D882">
        <v>2017</v>
      </c>
      <c r="E882" s="1">
        <v>43056</v>
      </c>
      <c r="F882" t="s">
        <v>12776</v>
      </c>
      <c r="G882">
        <v>0</v>
      </c>
      <c r="H882">
        <v>0</v>
      </c>
      <c r="I882">
        <v>0</v>
      </c>
      <c r="J882">
        <v>0</v>
      </c>
      <c r="L882" t="s">
        <v>12777</v>
      </c>
      <c r="M882" t="s">
        <v>12778</v>
      </c>
      <c r="N882" t="s">
        <v>12779</v>
      </c>
      <c r="O882" t="s">
        <v>12780</v>
      </c>
      <c r="P882" t="s">
        <v>12781</v>
      </c>
      <c r="Q882" t="s">
        <v>12782</v>
      </c>
      <c r="R882" t="s">
        <v>12783</v>
      </c>
      <c r="S882" t="s">
        <v>12784</v>
      </c>
      <c r="T882" s="2">
        <v>0.89583333333333337</v>
      </c>
      <c r="U882">
        <v>1</v>
      </c>
      <c r="V882" t="s">
        <v>12785</v>
      </c>
      <c r="W882" t="s">
        <v>12786</v>
      </c>
      <c r="Y882" t="s">
        <v>12787</v>
      </c>
      <c r="Z882" t="s">
        <v>12788</v>
      </c>
      <c r="AA882" t="s">
        <v>12788</v>
      </c>
      <c r="AB882" t="s">
        <v>12788</v>
      </c>
      <c r="AC882" t="s">
        <v>12788</v>
      </c>
      <c r="AD882" t="s">
        <v>12788</v>
      </c>
    </row>
    <row r="883" spans="1:30">
      <c r="A883" t="s">
        <v>12789</v>
      </c>
      <c r="B883">
        <v>11</v>
      </c>
      <c r="C883">
        <v>14</v>
      </c>
      <c r="D883">
        <v>2017</v>
      </c>
      <c r="E883" s="1">
        <v>43053</v>
      </c>
      <c r="F883" t="s">
        <v>12790</v>
      </c>
      <c r="G883">
        <v>0</v>
      </c>
      <c r="H883">
        <v>0</v>
      </c>
      <c r="I883">
        <v>0</v>
      </c>
      <c r="J883">
        <v>1</v>
      </c>
      <c r="L883" t="s">
        <v>12791</v>
      </c>
      <c r="M883" t="s">
        <v>12792</v>
      </c>
      <c r="N883" t="s">
        <v>12793</v>
      </c>
      <c r="O883" t="s">
        <v>12794</v>
      </c>
      <c r="P883" t="s">
        <v>12795</v>
      </c>
      <c r="Q883" t="s">
        <v>12796</v>
      </c>
      <c r="R883" t="s">
        <v>12797</v>
      </c>
      <c r="S883" t="s">
        <v>12798</v>
      </c>
      <c r="U883">
        <v>1</v>
      </c>
      <c r="V883" t="s">
        <v>12799</v>
      </c>
      <c r="W883" t="s">
        <v>12800</v>
      </c>
      <c r="X883" t="s">
        <v>12801</v>
      </c>
      <c r="Y883" t="s">
        <v>12802</v>
      </c>
      <c r="Z883" t="s">
        <v>12802</v>
      </c>
      <c r="AA883" t="s">
        <v>12802</v>
      </c>
      <c r="AB883" t="s">
        <v>12802</v>
      </c>
      <c r="AC883" t="s">
        <v>12802</v>
      </c>
      <c r="AD883" t="s">
        <v>12802</v>
      </c>
    </row>
    <row r="884" spans="1:30">
      <c r="A884" t="s">
        <v>12803</v>
      </c>
      <c r="B884">
        <v>11</v>
      </c>
      <c r="C884">
        <v>14</v>
      </c>
      <c r="D884">
        <v>2017</v>
      </c>
      <c r="E884" s="1">
        <v>43053</v>
      </c>
      <c r="F884" t="s">
        <v>12804</v>
      </c>
      <c r="G884">
        <v>0</v>
      </c>
      <c r="H884">
        <v>18</v>
      </c>
      <c r="I884">
        <v>18</v>
      </c>
      <c r="J884">
        <v>1</v>
      </c>
      <c r="K884" t="s">
        <v>12805</v>
      </c>
      <c r="L884" t="s">
        <v>12806</v>
      </c>
      <c r="M884" t="s">
        <v>12807</v>
      </c>
      <c r="N884" t="s">
        <v>12808</v>
      </c>
      <c r="O884" t="s">
        <v>12809</v>
      </c>
      <c r="P884" t="s">
        <v>12810</v>
      </c>
      <c r="Q884" t="s">
        <v>12811</v>
      </c>
      <c r="R884" t="s">
        <v>12812</v>
      </c>
      <c r="S884" t="s">
        <v>12813</v>
      </c>
      <c r="T884" s="2">
        <v>0.3263888888888889</v>
      </c>
      <c r="V884" t="s">
        <v>12814</v>
      </c>
      <c r="W884" t="s">
        <v>12815</v>
      </c>
      <c r="X884" t="s">
        <v>12816</v>
      </c>
      <c r="Y884" t="s">
        <v>12817</v>
      </c>
      <c r="Z884" t="s">
        <v>12817</v>
      </c>
      <c r="AA884" t="s">
        <v>12817</v>
      </c>
      <c r="AB884" t="s">
        <v>12817</v>
      </c>
      <c r="AC884" t="s">
        <v>12817</v>
      </c>
      <c r="AD884" t="s">
        <v>12818</v>
      </c>
    </row>
    <row r="885" spans="1:30">
      <c r="A885" t="s">
        <v>12819</v>
      </c>
      <c r="B885">
        <v>11</v>
      </c>
      <c r="C885">
        <v>10</v>
      </c>
      <c r="D885">
        <v>2017</v>
      </c>
      <c r="E885" s="1">
        <v>43049</v>
      </c>
      <c r="F885" t="s">
        <v>12820</v>
      </c>
      <c r="G885">
        <v>0</v>
      </c>
      <c r="H885">
        <v>0</v>
      </c>
      <c r="I885">
        <v>0</v>
      </c>
      <c r="J885">
        <v>0</v>
      </c>
      <c r="L885" t="s">
        <v>12821</v>
      </c>
      <c r="M885" t="s">
        <v>12822</v>
      </c>
      <c r="N885" t="s">
        <v>12823</v>
      </c>
      <c r="O885" t="s">
        <v>12824</v>
      </c>
      <c r="P885" t="s">
        <v>12825</v>
      </c>
      <c r="Q885" t="s">
        <v>12826</v>
      </c>
      <c r="R885" t="s">
        <v>12827</v>
      </c>
      <c r="S885" t="s">
        <v>12828</v>
      </c>
      <c r="T885" s="2">
        <v>0.35416666666666663</v>
      </c>
      <c r="U885">
        <v>1</v>
      </c>
      <c r="V885" t="s">
        <v>12829</v>
      </c>
      <c r="W885" t="s">
        <v>12830</v>
      </c>
      <c r="X885" t="s">
        <v>12831</v>
      </c>
      <c r="Y885" t="s">
        <v>12832</v>
      </c>
      <c r="Z885" t="s">
        <v>12832</v>
      </c>
      <c r="AA885" t="s">
        <v>12832</v>
      </c>
      <c r="AB885" t="s">
        <v>12832</v>
      </c>
      <c r="AC885" t="s">
        <v>12832</v>
      </c>
      <c r="AD885" t="s">
        <v>12832</v>
      </c>
    </row>
    <row r="886" spans="1:30">
      <c r="A886" t="s">
        <v>12833</v>
      </c>
      <c r="B886">
        <v>11</v>
      </c>
      <c r="C886">
        <v>9</v>
      </c>
      <c r="D886">
        <v>2017</v>
      </c>
      <c r="E886" s="1">
        <v>43048</v>
      </c>
      <c r="F886" t="s">
        <v>12834</v>
      </c>
      <c r="G886">
        <v>0</v>
      </c>
      <c r="H886">
        <v>2</v>
      </c>
      <c r="I886">
        <v>2</v>
      </c>
      <c r="J886">
        <v>0</v>
      </c>
      <c r="K886" t="s">
        <v>12835</v>
      </c>
      <c r="L886" t="s">
        <v>12836</v>
      </c>
      <c r="M886" t="s">
        <v>12837</v>
      </c>
      <c r="N886" t="s">
        <v>12838</v>
      </c>
      <c r="O886" t="s">
        <v>12839</v>
      </c>
      <c r="P886" t="s">
        <v>12840</v>
      </c>
      <c r="Q886" t="s">
        <v>12841</v>
      </c>
      <c r="R886" t="s">
        <v>12842</v>
      </c>
      <c r="S886" t="s">
        <v>12843</v>
      </c>
      <c r="T886" s="2">
        <v>0.64236111111111116</v>
      </c>
      <c r="U886">
        <v>1</v>
      </c>
      <c r="V886" t="s">
        <v>12844</v>
      </c>
      <c r="W886" t="s">
        <v>12845</v>
      </c>
      <c r="X886" t="s">
        <v>12846</v>
      </c>
      <c r="Y886" t="s">
        <v>12847</v>
      </c>
      <c r="Z886" t="s">
        <v>12847</v>
      </c>
      <c r="AA886" t="s">
        <v>12847</v>
      </c>
      <c r="AB886" t="s">
        <v>12847</v>
      </c>
      <c r="AC886" t="s">
        <v>12847</v>
      </c>
      <c r="AD886" t="s">
        <v>12847</v>
      </c>
    </row>
    <row r="887" spans="1:30">
      <c r="A887" t="s">
        <v>12848</v>
      </c>
      <c r="B887">
        <v>11</v>
      </c>
      <c r="C887">
        <v>3</v>
      </c>
      <c r="D887">
        <v>2017</v>
      </c>
      <c r="E887" s="1">
        <v>43042</v>
      </c>
      <c r="F887" t="s">
        <v>12849</v>
      </c>
      <c r="G887">
        <v>0</v>
      </c>
      <c r="H887">
        <v>1</v>
      </c>
      <c r="I887">
        <v>1</v>
      </c>
      <c r="J887">
        <v>0</v>
      </c>
      <c r="K887" t="s">
        <v>12850</v>
      </c>
      <c r="L887" t="s">
        <v>12851</v>
      </c>
      <c r="M887" t="s">
        <v>12852</v>
      </c>
      <c r="N887" t="s">
        <v>12853</v>
      </c>
      <c r="O887" t="s">
        <v>12854</v>
      </c>
      <c r="P887" t="s">
        <v>12855</v>
      </c>
      <c r="Q887" t="s">
        <v>12856</v>
      </c>
      <c r="R887" t="s">
        <v>12857</v>
      </c>
      <c r="S887" t="s">
        <v>12858</v>
      </c>
      <c r="T887" s="2">
        <v>0.6875</v>
      </c>
      <c r="U887">
        <v>1</v>
      </c>
      <c r="V887" t="s">
        <v>12859</v>
      </c>
      <c r="W887" t="s">
        <v>12860</v>
      </c>
      <c r="X887" t="s">
        <v>12861</v>
      </c>
      <c r="Z887" t="s">
        <v>12862</v>
      </c>
      <c r="AA887" t="s">
        <v>12862</v>
      </c>
      <c r="AB887" t="s">
        <v>12862</v>
      </c>
      <c r="AC887" t="s">
        <v>12862</v>
      </c>
      <c r="AD887" t="s">
        <v>12862</v>
      </c>
    </row>
    <row r="888" spans="1:30">
      <c r="A888" t="s">
        <v>12863</v>
      </c>
      <c r="B888">
        <v>10</v>
      </c>
      <c r="C888">
        <v>27</v>
      </c>
      <c r="D888">
        <v>2017</v>
      </c>
      <c r="E888" s="1">
        <v>43035</v>
      </c>
      <c r="F888" t="s">
        <v>12864</v>
      </c>
      <c r="G888">
        <v>0</v>
      </c>
      <c r="H888">
        <v>0</v>
      </c>
      <c r="I888">
        <v>0</v>
      </c>
      <c r="J888">
        <v>0</v>
      </c>
      <c r="L888" t="s">
        <v>12865</v>
      </c>
      <c r="M888" t="s">
        <v>12866</v>
      </c>
      <c r="N888" t="s">
        <v>12867</v>
      </c>
      <c r="O888" t="s">
        <v>12868</v>
      </c>
      <c r="P888" t="s">
        <v>12869</v>
      </c>
      <c r="Q888" t="s">
        <v>12870</v>
      </c>
      <c r="R888" t="s">
        <v>12871</v>
      </c>
      <c r="S888" t="s">
        <v>12872</v>
      </c>
      <c r="T888" s="2">
        <v>0.60416666666666674</v>
      </c>
      <c r="U888">
        <v>1</v>
      </c>
      <c r="V888" t="s">
        <v>12873</v>
      </c>
      <c r="W888" t="s">
        <v>12874</v>
      </c>
      <c r="X888" t="s">
        <v>12875</v>
      </c>
      <c r="Z888" t="s">
        <v>12876</v>
      </c>
      <c r="AA888" t="s">
        <v>12876</v>
      </c>
      <c r="AB888" t="s">
        <v>12876</v>
      </c>
      <c r="AC888" t="s">
        <v>12876</v>
      </c>
      <c r="AD888" t="s">
        <v>12876</v>
      </c>
    </row>
    <row r="889" spans="1:30">
      <c r="A889" t="s">
        <v>12877</v>
      </c>
      <c r="B889">
        <v>10</v>
      </c>
      <c r="C889">
        <v>20</v>
      </c>
      <c r="D889">
        <v>2017</v>
      </c>
      <c r="E889" s="1">
        <v>43028</v>
      </c>
      <c r="F889" t="s">
        <v>12878</v>
      </c>
      <c r="G889">
        <v>0</v>
      </c>
      <c r="H889">
        <v>0</v>
      </c>
      <c r="I889">
        <v>0</v>
      </c>
      <c r="J889">
        <v>0</v>
      </c>
      <c r="L889" t="s">
        <v>12879</v>
      </c>
      <c r="M889" t="s">
        <v>12880</v>
      </c>
      <c r="N889" t="s">
        <v>12881</v>
      </c>
      <c r="O889" t="s">
        <v>12882</v>
      </c>
      <c r="P889" t="s">
        <v>12883</v>
      </c>
      <c r="Q889" t="s">
        <v>12884</v>
      </c>
      <c r="R889" t="s">
        <v>12885</v>
      </c>
      <c r="S889" t="s">
        <v>12886</v>
      </c>
      <c r="T889" s="2">
        <v>0.89583333333333337</v>
      </c>
      <c r="U889">
        <v>1</v>
      </c>
      <c r="V889" t="s">
        <v>12887</v>
      </c>
      <c r="W889" t="s">
        <v>12888</v>
      </c>
      <c r="Y889" t="s">
        <v>12889</v>
      </c>
      <c r="Z889" t="s">
        <v>12889</v>
      </c>
      <c r="AA889" t="s">
        <v>12889</v>
      </c>
      <c r="AB889" t="s">
        <v>12889</v>
      </c>
      <c r="AC889" t="s">
        <v>12889</v>
      </c>
      <c r="AD889" t="s">
        <v>12889</v>
      </c>
    </row>
    <row r="890" spans="1:30">
      <c r="A890" t="s">
        <v>12890</v>
      </c>
      <c r="B890">
        <v>10</v>
      </c>
      <c r="C890">
        <v>14</v>
      </c>
      <c r="D890">
        <v>2017</v>
      </c>
      <c r="E890" s="1">
        <v>43022</v>
      </c>
      <c r="F890" t="s">
        <v>12891</v>
      </c>
      <c r="G890">
        <v>0</v>
      </c>
      <c r="H890">
        <v>0</v>
      </c>
      <c r="I890">
        <v>0</v>
      </c>
      <c r="J890">
        <v>0</v>
      </c>
      <c r="L890" t="s">
        <v>12892</v>
      </c>
      <c r="M890" t="s">
        <v>12893</v>
      </c>
      <c r="N890" t="s">
        <v>12894</v>
      </c>
      <c r="O890" t="s">
        <v>12895</v>
      </c>
      <c r="P890" t="s">
        <v>12896</v>
      </c>
      <c r="Q890" t="s">
        <v>12897</v>
      </c>
      <c r="R890" t="s">
        <v>12898</v>
      </c>
      <c r="S890" t="s">
        <v>12899</v>
      </c>
      <c r="T890" s="2">
        <v>0.45833333333333331</v>
      </c>
      <c r="U890">
        <v>1</v>
      </c>
      <c r="V890" t="s">
        <v>12900</v>
      </c>
      <c r="W890" t="s">
        <v>12901</v>
      </c>
      <c r="X890" t="s">
        <v>12902</v>
      </c>
      <c r="Y890" t="s">
        <v>12903</v>
      </c>
      <c r="Z890" t="s">
        <v>12903</v>
      </c>
      <c r="AA890" t="s">
        <v>12903</v>
      </c>
      <c r="AB890" t="s">
        <v>12903</v>
      </c>
      <c r="AC890" t="s">
        <v>12903</v>
      </c>
      <c r="AD890" t="s">
        <v>12903</v>
      </c>
    </row>
    <row r="891" spans="1:30">
      <c r="A891" t="s">
        <v>12904</v>
      </c>
      <c r="B891">
        <v>10</v>
      </c>
      <c r="C891">
        <v>12</v>
      </c>
      <c r="D891">
        <v>2017</v>
      </c>
      <c r="E891" s="1">
        <v>43020</v>
      </c>
      <c r="F891" t="s">
        <v>12905</v>
      </c>
      <c r="G891">
        <v>0</v>
      </c>
      <c r="H891">
        <v>0</v>
      </c>
      <c r="I891">
        <v>0</v>
      </c>
      <c r="J891">
        <v>0</v>
      </c>
      <c r="L891" t="s">
        <v>12906</v>
      </c>
      <c r="M891" t="s">
        <v>12907</v>
      </c>
      <c r="N891" t="s">
        <v>12908</v>
      </c>
      <c r="P891" t="s">
        <v>12909</v>
      </c>
      <c r="Q891" t="s">
        <v>12909</v>
      </c>
      <c r="R891" t="s">
        <v>12910</v>
      </c>
      <c r="S891" t="s">
        <v>12911</v>
      </c>
      <c r="T891" s="2">
        <v>0.3125</v>
      </c>
      <c r="U891">
        <v>1</v>
      </c>
      <c r="V891" t="s">
        <v>12912</v>
      </c>
      <c r="W891" t="s">
        <v>12913</v>
      </c>
      <c r="X891" t="s">
        <v>12914</v>
      </c>
      <c r="Y891" t="s">
        <v>12915</v>
      </c>
      <c r="Z891" t="s">
        <v>12915</v>
      </c>
      <c r="AA891" t="s">
        <v>12915</v>
      </c>
      <c r="AB891" t="s">
        <v>12915</v>
      </c>
      <c r="AC891" t="s">
        <v>12915</v>
      </c>
      <c r="AD891" t="s">
        <v>12915</v>
      </c>
    </row>
    <row r="892" spans="1:30">
      <c r="A892" t="s">
        <v>12916</v>
      </c>
      <c r="B892">
        <v>9</v>
      </c>
      <c r="C892">
        <v>30</v>
      </c>
      <c r="D892">
        <v>2017</v>
      </c>
      <c r="E892" s="1">
        <v>43008</v>
      </c>
      <c r="F892" t="s">
        <v>12917</v>
      </c>
      <c r="G892">
        <v>0</v>
      </c>
      <c r="H892">
        <v>1</v>
      </c>
      <c r="I892">
        <v>1</v>
      </c>
      <c r="J892">
        <v>0</v>
      </c>
      <c r="L892" t="s">
        <v>12918</v>
      </c>
      <c r="M892" t="s">
        <v>12919</v>
      </c>
      <c r="N892" t="s">
        <v>12920</v>
      </c>
      <c r="O892" t="s">
        <v>12921</v>
      </c>
      <c r="P892" t="s">
        <v>12922</v>
      </c>
      <c r="Q892" t="s">
        <v>12923</v>
      </c>
      <c r="R892" t="s">
        <v>12924</v>
      </c>
      <c r="S892" t="s">
        <v>12925</v>
      </c>
      <c r="T892" s="2">
        <v>0.95833333333333337</v>
      </c>
      <c r="U892">
        <v>1</v>
      </c>
      <c r="V892" t="s">
        <v>12926</v>
      </c>
      <c r="W892" t="s">
        <v>12927</v>
      </c>
      <c r="X892" t="s">
        <v>12928</v>
      </c>
      <c r="Y892" t="s">
        <v>12929</v>
      </c>
      <c r="Z892" t="s">
        <v>12929</v>
      </c>
      <c r="AA892" t="s">
        <v>12929</v>
      </c>
      <c r="AB892" t="s">
        <v>12929</v>
      </c>
      <c r="AC892" t="s">
        <v>12930</v>
      </c>
      <c r="AD892" t="s">
        <v>12931</v>
      </c>
    </row>
    <row r="893" spans="1:30">
      <c r="A893" t="s">
        <v>12932</v>
      </c>
      <c r="B893">
        <v>9</v>
      </c>
      <c r="C893">
        <v>29</v>
      </c>
      <c r="D893">
        <v>2017</v>
      </c>
      <c r="E893" s="1">
        <v>43007</v>
      </c>
      <c r="F893" t="s">
        <v>12933</v>
      </c>
      <c r="G893">
        <v>0</v>
      </c>
      <c r="H893">
        <v>5</v>
      </c>
      <c r="I893">
        <v>5</v>
      </c>
      <c r="J893">
        <v>0</v>
      </c>
      <c r="L893" t="s">
        <v>12934</v>
      </c>
      <c r="M893" t="s">
        <v>12935</v>
      </c>
      <c r="N893" t="s">
        <v>12936</v>
      </c>
      <c r="O893" t="s">
        <v>12937</v>
      </c>
      <c r="P893" t="s">
        <v>12938</v>
      </c>
      <c r="Q893" t="s">
        <v>12938</v>
      </c>
      <c r="R893" t="s">
        <v>12939</v>
      </c>
      <c r="S893" t="s">
        <v>12940</v>
      </c>
      <c r="T893" s="2">
        <v>0.64513888888888893</v>
      </c>
      <c r="V893" t="s">
        <v>12941</v>
      </c>
      <c r="W893" t="s">
        <v>12942</v>
      </c>
      <c r="Z893" t="s">
        <v>12943</v>
      </c>
      <c r="AA893" t="s">
        <v>12943</v>
      </c>
      <c r="AB893" t="s">
        <v>12943</v>
      </c>
      <c r="AC893" t="s">
        <v>12943</v>
      </c>
      <c r="AD893" t="s">
        <v>12943</v>
      </c>
    </row>
    <row r="894" spans="1:30">
      <c r="A894" t="s">
        <v>12944</v>
      </c>
      <c r="B894">
        <v>9</v>
      </c>
      <c r="C894">
        <v>29</v>
      </c>
      <c r="D894">
        <v>2017</v>
      </c>
      <c r="E894" s="1">
        <v>43007</v>
      </c>
      <c r="F894" t="s">
        <v>12945</v>
      </c>
      <c r="G894">
        <v>0</v>
      </c>
      <c r="H894">
        <v>0</v>
      </c>
      <c r="I894">
        <v>0</v>
      </c>
      <c r="J894">
        <v>1</v>
      </c>
      <c r="L894" t="s">
        <v>12946</v>
      </c>
      <c r="M894" t="s">
        <v>12947</v>
      </c>
      <c r="N894" t="s">
        <v>12948</v>
      </c>
      <c r="O894" t="s">
        <v>12949</v>
      </c>
      <c r="P894" t="s">
        <v>12950</v>
      </c>
      <c r="Q894" t="s">
        <v>12950</v>
      </c>
      <c r="R894" t="s">
        <v>12951</v>
      </c>
      <c r="S894" t="s">
        <v>12952</v>
      </c>
      <c r="T894" s="2">
        <v>0.36458333333333331</v>
      </c>
      <c r="U894">
        <v>1</v>
      </c>
      <c r="V894" t="s">
        <v>12953</v>
      </c>
      <c r="W894" t="s">
        <v>12954</v>
      </c>
      <c r="X894" t="s">
        <v>12955</v>
      </c>
      <c r="Y894" t="s">
        <v>12956</v>
      </c>
      <c r="Z894" t="s">
        <v>12956</v>
      </c>
      <c r="AA894" t="s">
        <v>12956</v>
      </c>
      <c r="AB894" t="s">
        <v>12956</v>
      </c>
      <c r="AC894" t="s">
        <v>12956</v>
      </c>
      <c r="AD894" t="s">
        <v>12956</v>
      </c>
    </row>
    <row r="895" spans="1:30">
      <c r="A895" t="s">
        <v>12957</v>
      </c>
      <c r="B895">
        <v>9</v>
      </c>
      <c r="C895">
        <v>28</v>
      </c>
      <c r="D895">
        <v>2017</v>
      </c>
      <c r="E895" s="1">
        <v>43006</v>
      </c>
      <c r="F895" t="s">
        <v>12958</v>
      </c>
      <c r="G895">
        <v>0</v>
      </c>
      <c r="H895">
        <v>0</v>
      </c>
      <c r="I895">
        <v>0</v>
      </c>
      <c r="J895">
        <v>0</v>
      </c>
      <c r="L895" t="s">
        <v>12959</v>
      </c>
      <c r="M895" t="s">
        <v>12960</v>
      </c>
      <c r="N895" t="s">
        <v>12961</v>
      </c>
      <c r="O895" t="s">
        <v>12962</v>
      </c>
      <c r="P895" t="s">
        <v>12963</v>
      </c>
      <c r="Q895" t="s">
        <v>12964</v>
      </c>
      <c r="R895" t="s">
        <v>12965</v>
      </c>
      <c r="S895" t="s">
        <v>12966</v>
      </c>
      <c r="T895" s="2">
        <v>0.8125</v>
      </c>
      <c r="U895">
        <v>1</v>
      </c>
      <c r="V895" t="s">
        <v>12967</v>
      </c>
      <c r="W895" t="s">
        <v>12968</v>
      </c>
      <c r="Z895" t="s">
        <v>12969</v>
      </c>
      <c r="AA895" t="s">
        <v>12969</v>
      </c>
      <c r="AB895" t="s">
        <v>12969</v>
      </c>
      <c r="AC895" t="s">
        <v>12969</v>
      </c>
      <c r="AD895" t="s">
        <v>12969</v>
      </c>
    </row>
    <row r="896" spans="1:30">
      <c r="A896" t="s">
        <v>12970</v>
      </c>
      <c r="B896">
        <v>9</v>
      </c>
      <c r="C896">
        <v>20</v>
      </c>
      <c r="D896">
        <v>2017</v>
      </c>
      <c r="E896" s="1">
        <v>42998</v>
      </c>
      <c r="F896" t="s">
        <v>12971</v>
      </c>
      <c r="G896">
        <v>0</v>
      </c>
      <c r="H896">
        <v>1</v>
      </c>
      <c r="I896">
        <v>1</v>
      </c>
      <c r="J896">
        <v>0</v>
      </c>
      <c r="K896" t="s">
        <v>12972</v>
      </c>
      <c r="L896" t="s">
        <v>12973</v>
      </c>
      <c r="M896" t="s">
        <v>12974</v>
      </c>
      <c r="N896" t="s">
        <v>12975</v>
      </c>
      <c r="O896" t="s">
        <v>12976</v>
      </c>
      <c r="P896" t="s">
        <v>12977</v>
      </c>
      <c r="Q896" t="s">
        <v>12978</v>
      </c>
      <c r="R896" t="s">
        <v>12979</v>
      </c>
      <c r="S896" t="s">
        <v>12980</v>
      </c>
      <c r="T896" s="2">
        <v>0.47916666666666663</v>
      </c>
      <c r="U896">
        <v>1</v>
      </c>
      <c r="V896" t="s">
        <v>12981</v>
      </c>
      <c r="W896" t="s">
        <v>12982</v>
      </c>
      <c r="X896" t="s">
        <v>12983</v>
      </c>
      <c r="Y896" t="s">
        <v>12984</v>
      </c>
      <c r="Z896" t="s">
        <v>12984</v>
      </c>
      <c r="AA896" t="s">
        <v>12984</v>
      </c>
      <c r="AB896" t="s">
        <v>12985</v>
      </c>
      <c r="AC896" t="s">
        <v>12985</v>
      </c>
      <c r="AD896" t="s">
        <v>12985</v>
      </c>
    </row>
    <row r="897" spans="1:30">
      <c r="A897" t="s">
        <v>12986</v>
      </c>
      <c r="B897">
        <v>9</v>
      </c>
      <c r="C897">
        <v>13</v>
      </c>
      <c r="D897">
        <v>2017</v>
      </c>
      <c r="E897" s="1">
        <v>42991</v>
      </c>
      <c r="F897" t="s">
        <v>12987</v>
      </c>
      <c r="G897">
        <v>1</v>
      </c>
      <c r="H897">
        <v>3</v>
      </c>
      <c r="I897">
        <v>4</v>
      </c>
      <c r="J897">
        <v>0</v>
      </c>
      <c r="K897" t="s">
        <v>12988</v>
      </c>
      <c r="L897" t="s">
        <v>12989</v>
      </c>
      <c r="M897" t="s">
        <v>12990</v>
      </c>
      <c r="N897" t="s">
        <v>12991</v>
      </c>
      <c r="O897" t="s">
        <v>12992</v>
      </c>
      <c r="P897" t="s">
        <v>12993</v>
      </c>
      <c r="Q897" t="s">
        <v>12994</v>
      </c>
      <c r="R897" t="s">
        <v>12995</v>
      </c>
      <c r="S897" t="s">
        <v>12996</v>
      </c>
      <c r="T897" s="2">
        <v>0.41666666666666669</v>
      </c>
      <c r="U897">
        <v>1</v>
      </c>
      <c r="V897" t="s">
        <v>12997</v>
      </c>
      <c r="W897" t="s">
        <v>12998</v>
      </c>
      <c r="X897" t="s">
        <v>12999</v>
      </c>
      <c r="Y897" t="s">
        <v>13000</v>
      </c>
      <c r="Z897" t="s">
        <v>13000</v>
      </c>
      <c r="AA897" t="s">
        <v>13000</v>
      </c>
      <c r="AB897" t="s">
        <v>13001</v>
      </c>
      <c r="AC897" t="s">
        <v>13002</v>
      </c>
      <c r="AD897" t="s">
        <v>13003</v>
      </c>
    </row>
    <row r="898" spans="1:30">
      <c r="A898" t="s">
        <v>13004</v>
      </c>
      <c r="B898">
        <v>9</v>
      </c>
      <c r="C898">
        <v>8</v>
      </c>
      <c r="D898">
        <v>2017</v>
      </c>
      <c r="E898" s="1">
        <v>42986</v>
      </c>
      <c r="F898" t="s">
        <v>13005</v>
      </c>
      <c r="G898">
        <v>0</v>
      </c>
      <c r="H898">
        <v>0</v>
      </c>
      <c r="I898">
        <v>0</v>
      </c>
      <c r="J898">
        <v>0</v>
      </c>
      <c r="K898" t="s">
        <v>13006</v>
      </c>
      <c r="L898" t="s">
        <v>13007</v>
      </c>
      <c r="M898" t="s">
        <v>13008</v>
      </c>
      <c r="N898" t="s">
        <v>13009</v>
      </c>
      <c r="O898" t="s">
        <v>13010</v>
      </c>
      <c r="P898" t="s">
        <v>13011</v>
      </c>
      <c r="Q898" t="s">
        <v>13012</v>
      </c>
      <c r="R898" t="s">
        <v>13013</v>
      </c>
      <c r="S898" t="s">
        <v>13014</v>
      </c>
      <c r="T898" s="2">
        <v>0.35624999999999996</v>
      </c>
      <c r="V898" t="s">
        <v>13015</v>
      </c>
      <c r="W898" t="s">
        <v>13016</v>
      </c>
      <c r="X898" t="s">
        <v>13017</v>
      </c>
      <c r="Y898" t="s">
        <v>13018</v>
      </c>
      <c r="Z898" t="s">
        <v>13018</v>
      </c>
      <c r="AA898" t="s">
        <v>13018</v>
      </c>
      <c r="AD898" t="s">
        <v>13019</v>
      </c>
    </row>
    <row r="899" spans="1:30">
      <c r="A899" t="s">
        <v>13020</v>
      </c>
      <c r="B899">
        <v>9</v>
      </c>
      <c r="C899">
        <v>8</v>
      </c>
      <c r="D899">
        <v>2017</v>
      </c>
      <c r="E899" s="1">
        <v>42986</v>
      </c>
      <c r="F899" t="s">
        <v>13021</v>
      </c>
      <c r="G899">
        <v>0</v>
      </c>
      <c r="H899">
        <v>1</v>
      </c>
      <c r="I899">
        <v>1</v>
      </c>
      <c r="J899">
        <v>0</v>
      </c>
      <c r="L899" t="s">
        <v>13022</v>
      </c>
      <c r="M899" t="s">
        <v>13023</v>
      </c>
      <c r="N899" t="s">
        <v>13024</v>
      </c>
      <c r="O899" t="s">
        <v>13025</v>
      </c>
      <c r="P899" t="s">
        <v>13026</v>
      </c>
      <c r="Q899" t="s">
        <v>13027</v>
      </c>
      <c r="R899" t="s">
        <v>13028</v>
      </c>
      <c r="S899" t="s">
        <v>13029</v>
      </c>
      <c r="U899">
        <v>1</v>
      </c>
      <c r="V899" t="s">
        <v>13030</v>
      </c>
      <c r="W899" t="s">
        <v>13031</v>
      </c>
      <c r="X899" t="s">
        <v>13032</v>
      </c>
      <c r="Y899" t="s">
        <v>13033</v>
      </c>
      <c r="Z899" t="s">
        <v>13034</v>
      </c>
      <c r="AA899" t="s">
        <v>13034</v>
      </c>
      <c r="AB899" t="s">
        <v>13034</v>
      </c>
      <c r="AC899" t="s">
        <v>13034</v>
      </c>
      <c r="AD899" t="s">
        <v>13034</v>
      </c>
    </row>
    <row r="900" spans="1:30">
      <c r="A900" t="s">
        <v>13035</v>
      </c>
      <c r="B900">
        <v>8</v>
      </c>
      <c r="C900">
        <v>31</v>
      </c>
      <c r="D900">
        <v>2017</v>
      </c>
      <c r="E900" s="1">
        <v>42978</v>
      </c>
      <c r="F900" t="s">
        <v>13036</v>
      </c>
      <c r="G900">
        <v>0</v>
      </c>
      <c r="H900">
        <v>0</v>
      </c>
      <c r="I900">
        <v>0</v>
      </c>
      <c r="J900">
        <v>0</v>
      </c>
      <c r="L900" t="s">
        <v>13037</v>
      </c>
      <c r="M900" t="s">
        <v>13038</v>
      </c>
      <c r="N900" t="s">
        <v>13039</v>
      </c>
      <c r="O900" t="s">
        <v>13040</v>
      </c>
      <c r="P900" t="s">
        <v>13041</v>
      </c>
      <c r="Q900" t="s">
        <v>13042</v>
      </c>
      <c r="R900" t="s">
        <v>13043</v>
      </c>
      <c r="S900" t="s">
        <v>13044</v>
      </c>
      <c r="T900" s="2">
        <v>0.875</v>
      </c>
      <c r="U900">
        <v>1</v>
      </c>
      <c r="V900" t="s">
        <v>13045</v>
      </c>
      <c r="W900" t="s">
        <v>13046</v>
      </c>
      <c r="X900" t="s">
        <v>13047</v>
      </c>
      <c r="Y900" t="s">
        <v>13048</v>
      </c>
      <c r="Z900" t="s">
        <v>13049</v>
      </c>
      <c r="AA900" t="s">
        <v>13049</v>
      </c>
      <c r="AB900" t="s">
        <v>13049</v>
      </c>
      <c r="AC900" t="s">
        <v>13049</v>
      </c>
      <c r="AD900" t="s">
        <v>13049</v>
      </c>
    </row>
    <row r="901" spans="1:30">
      <c r="A901" t="s">
        <v>13050</v>
      </c>
      <c r="B901">
        <v>8</v>
      </c>
      <c r="C901">
        <v>17</v>
      </c>
      <c r="D901">
        <v>2017</v>
      </c>
      <c r="E901" s="1">
        <v>42964</v>
      </c>
      <c r="F901" t="s">
        <v>13051</v>
      </c>
      <c r="G901">
        <v>0</v>
      </c>
      <c r="H901">
        <v>0</v>
      </c>
      <c r="I901">
        <v>0</v>
      </c>
      <c r="J901">
        <v>0</v>
      </c>
      <c r="L901" t="s">
        <v>13052</v>
      </c>
      <c r="M901" t="s">
        <v>13053</v>
      </c>
      <c r="N901" t="s">
        <v>13054</v>
      </c>
      <c r="O901" t="s">
        <v>13055</v>
      </c>
      <c r="P901" t="s">
        <v>13056</v>
      </c>
      <c r="Q901" t="s">
        <v>13057</v>
      </c>
      <c r="R901" t="s">
        <v>13058</v>
      </c>
      <c r="S901" t="s">
        <v>13059</v>
      </c>
      <c r="T901" s="2">
        <v>0.30208333333333337</v>
      </c>
      <c r="U901">
        <v>1</v>
      </c>
      <c r="V901" t="s">
        <v>13060</v>
      </c>
      <c r="W901" t="s">
        <v>13061</v>
      </c>
      <c r="X901" t="s">
        <v>13062</v>
      </c>
      <c r="Y901" t="s">
        <v>13063</v>
      </c>
      <c r="Z901" t="s">
        <v>13063</v>
      </c>
      <c r="AA901" t="s">
        <v>13063</v>
      </c>
      <c r="AB901" t="s">
        <v>13063</v>
      </c>
      <c r="AC901" t="s">
        <v>13063</v>
      </c>
      <c r="AD901" t="s">
        <v>13063</v>
      </c>
    </row>
    <row r="902" spans="1:30">
      <c r="A902" t="s">
        <v>13064</v>
      </c>
      <c r="B902">
        <v>8</v>
      </c>
      <c r="C902">
        <v>13</v>
      </c>
      <c r="D902">
        <v>2017</v>
      </c>
      <c r="E902" s="1">
        <v>42960</v>
      </c>
      <c r="F902" t="s">
        <v>13065</v>
      </c>
      <c r="G902">
        <v>0</v>
      </c>
      <c r="H902">
        <v>2</v>
      </c>
      <c r="I902">
        <v>2</v>
      </c>
      <c r="J902">
        <v>0</v>
      </c>
      <c r="K902" t="s">
        <v>13066</v>
      </c>
      <c r="L902" t="s">
        <v>13067</v>
      </c>
      <c r="M902" t="s">
        <v>13068</v>
      </c>
      <c r="N902" t="s">
        <v>13069</v>
      </c>
      <c r="P902" t="s">
        <v>13070</v>
      </c>
      <c r="Q902" t="s">
        <v>13070</v>
      </c>
      <c r="U902">
        <v>1</v>
      </c>
      <c r="V902" t="s">
        <v>13071</v>
      </c>
      <c r="X902" t="s">
        <v>13072</v>
      </c>
      <c r="Y902" t="s">
        <v>13073</v>
      </c>
      <c r="Z902" t="s">
        <v>13073</v>
      </c>
      <c r="AA902" t="s">
        <v>13073</v>
      </c>
      <c r="AB902" t="s">
        <v>13073</v>
      </c>
      <c r="AC902" t="s">
        <v>13073</v>
      </c>
      <c r="AD902" t="s">
        <v>13073</v>
      </c>
    </row>
    <row r="903" spans="1:30">
      <c r="A903" t="s">
        <v>13074</v>
      </c>
      <c r="B903">
        <v>8</v>
      </c>
      <c r="C903">
        <v>1</v>
      </c>
      <c r="D903">
        <v>2017</v>
      </c>
      <c r="E903" s="1">
        <v>42948</v>
      </c>
      <c r="F903" t="s">
        <v>13075</v>
      </c>
      <c r="G903">
        <v>0</v>
      </c>
      <c r="H903">
        <v>1</v>
      </c>
      <c r="I903">
        <v>1</v>
      </c>
      <c r="J903">
        <v>0</v>
      </c>
      <c r="L903" t="s">
        <v>13076</v>
      </c>
      <c r="M903" t="s">
        <v>13077</v>
      </c>
      <c r="N903" t="s">
        <v>13078</v>
      </c>
      <c r="O903" t="s">
        <v>13079</v>
      </c>
      <c r="P903" t="s">
        <v>13080</v>
      </c>
      <c r="Q903" t="s">
        <v>13081</v>
      </c>
      <c r="R903" t="s">
        <v>13082</v>
      </c>
      <c r="S903" t="s">
        <v>13083</v>
      </c>
      <c r="T903" s="2">
        <v>3.125E-2</v>
      </c>
      <c r="U903">
        <v>1</v>
      </c>
      <c r="V903" t="s">
        <v>13084</v>
      </c>
      <c r="W903" t="s">
        <v>13085</v>
      </c>
      <c r="X903" t="s">
        <v>13086</v>
      </c>
      <c r="Z903" t="s">
        <v>13087</v>
      </c>
      <c r="AA903" t="s">
        <v>13087</v>
      </c>
      <c r="AB903" t="s">
        <v>13087</v>
      </c>
      <c r="AC903" t="s">
        <v>13087</v>
      </c>
      <c r="AD903" t="s">
        <v>13087</v>
      </c>
    </row>
    <row r="904" spans="1:30">
      <c r="A904" t="s">
        <v>13088</v>
      </c>
      <c r="B904">
        <v>7</v>
      </c>
      <c r="C904">
        <v>21</v>
      </c>
      <c r="D904">
        <v>2017</v>
      </c>
      <c r="E904" s="1">
        <v>42937</v>
      </c>
      <c r="F904" t="s">
        <v>13089</v>
      </c>
      <c r="G904">
        <v>0</v>
      </c>
      <c r="H904">
        <v>1</v>
      </c>
      <c r="I904">
        <v>1</v>
      </c>
      <c r="J904">
        <v>1</v>
      </c>
      <c r="L904" t="s">
        <v>13090</v>
      </c>
      <c r="M904" t="s">
        <v>13091</v>
      </c>
      <c r="N904" t="s">
        <v>13092</v>
      </c>
      <c r="O904" t="s">
        <v>13093</v>
      </c>
      <c r="P904" t="s">
        <v>13094</v>
      </c>
      <c r="Q904" t="s">
        <v>13095</v>
      </c>
      <c r="R904" t="s">
        <v>13096</v>
      </c>
      <c r="S904" t="s">
        <v>13097</v>
      </c>
      <c r="T904" s="2">
        <v>0.10416666666666666</v>
      </c>
      <c r="U904">
        <v>1</v>
      </c>
      <c r="V904" t="s">
        <v>13098</v>
      </c>
      <c r="W904" t="s">
        <v>13099</v>
      </c>
      <c r="X904" t="s">
        <v>13100</v>
      </c>
      <c r="Y904" t="s">
        <v>13101</v>
      </c>
      <c r="Z904" t="s">
        <v>13102</v>
      </c>
      <c r="AA904" t="s">
        <v>13102</v>
      </c>
      <c r="AB904" t="s">
        <v>13102</v>
      </c>
      <c r="AC904" t="s">
        <v>13102</v>
      </c>
      <c r="AD904" t="s">
        <v>13102</v>
      </c>
    </row>
    <row r="905" spans="1:30">
      <c r="A905" t="s">
        <v>13103</v>
      </c>
      <c r="B905">
        <v>7</v>
      </c>
      <c r="C905">
        <v>19</v>
      </c>
      <c r="D905">
        <v>2017</v>
      </c>
      <c r="E905" s="1">
        <v>42935</v>
      </c>
      <c r="F905" t="s">
        <v>13104</v>
      </c>
      <c r="G905">
        <v>0</v>
      </c>
      <c r="H905">
        <v>1</v>
      </c>
      <c r="I905">
        <v>1</v>
      </c>
      <c r="J905">
        <v>0</v>
      </c>
      <c r="L905" t="s">
        <v>13105</v>
      </c>
      <c r="M905" t="s">
        <v>13106</v>
      </c>
      <c r="N905" t="s">
        <v>13107</v>
      </c>
      <c r="O905" t="s">
        <v>13108</v>
      </c>
      <c r="P905" t="s">
        <v>13109</v>
      </c>
      <c r="Q905" t="s">
        <v>13110</v>
      </c>
      <c r="R905" t="s">
        <v>13111</v>
      </c>
      <c r="S905" t="s">
        <v>13112</v>
      </c>
      <c r="T905" s="2">
        <v>0.875</v>
      </c>
      <c r="U905">
        <v>1</v>
      </c>
      <c r="V905" t="s">
        <v>13113</v>
      </c>
      <c r="W905" t="s">
        <v>13114</v>
      </c>
      <c r="X905" t="s">
        <v>13115</v>
      </c>
      <c r="Z905" t="s">
        <v>13116</v>
      </c>
      <c r="AA905" t="s">
        <v>13116</v>
      </c>
      <c r="AB905" t="s">
        <v>13116</v>
      </c>
      <c r="AC905" t="s">
        <v>13116</v>
      </c>
      <c r="AD905" t="s">
        <v>13116</v>
      </c>
    </row>
    <row r="906" spans="1:30">
      <c r="A906" t="s">
        <v>13117</v>
      </c>
      <c r="B906">
        <v>6</v>
      </c>
      <c r="C906">
        <v>22</v>
      </c>
      <c r="D906">
        <v>2017</v>
      </c>
      <c r="E906" s="1">
        <v>42908</v>
      </c>
      <c r="F906" t="s">
        <v>13118</v>
      </c>
      <c r="G906">
        <v>0</v>
      </c>
      <c r="H906">
        <v>0</v>
      </c>
      <c r="I906">
        <v>0</v>
      </c>
      <c r="J906">
        <v>0</v>
      </c>
      <c r="L906" t="s">
        <v>13119</v>
      </c>
      <c r="M906" t="s">
        <v>13120</v>
      </c>
      <c r="N906" t="s">
        <v>13121</v>
      </c>
      <c r="O906" t="s">
        <v>13122</v>
      </c>
      <c r="P906" t="s">
        <v>13123</v>
      </c>
      <c r="Q906" t="s">
        <v>13124</v>
      </c>
      <c r="R906" t="s">
        <v>13125</v>
      </c>
      <c r="S906" t="s">
        <v>13126</v>
      </c>
      <c r="T906" s="2">
        <v>0.33333333333333331</v>
      </c>
      <c r="U906">
        <v>1</v>
      </c>
      <c r="V906" t="s">
        <v>13127</v>
      </c>
      <c r="W906" t="s">
        <v>13128</v>
      </c>
      <c r="X906" t="s">
        <v>13129</v>
      </c>
      <c r="Y906" t="s">
        <v>13130</v>
      </c>
      <c r="Z906" t="s">
        <v>13131</v>
      </c>
      <c r="AA906" t="s">
        <v>13131</v>
      </c>
      <c r="AB906" t="s">
        <v>13131</v>
      </c>
      <c r="AC906" t="s">
        <v>13131</v>
      </c>
      <c r="AD906" t="s">
        <v>13131</v>
      </c>
    </row>
    <row r="907" spans="1:30">
      <c r="A907" t="s">
        <v>13132</v>
      </c>
      <c r="B907">
        <v>6</v>
      </c>
      <c r="C907">
        <v>16</v>
      </c>
      <c r="D907">
        <v>2017</v>
      </c>
      <c r="E907" s="1">
        <v>42902</v>
      </c>
      <c r="F907" t="s">
        <v>13133</v>
      </c>
      <c r="G907">
        <v>0</v>
      </c>
      <c r="H907">
        <v>2</v>
      </c>
      <c r="I907">
        <v>2</v>
      </c>
      <c r="J907">
        <v>0</v>
      </c>
      <c r="K907" t="s">
        <v>13134</v>
      </c>
      <c r="L907" t="s">
        <v>13135</v>
      </c>
      <c r="M907" t="s">
        <v>13136</v>
      </c>
      <c r="N907" t="s">
        <v>13137</v>
      </c>
      <c r="O907" t="s">
        <v>13138</v>
      </c>
      <c r="P907" t="s">
        <v>13139</v>
      </c>
      <c r="Q907" t="s">
        <v>13140</v>
      </c>
      <c r="R907" t="s">
        <v>13141</v>
      </c>
      <c r="S907" t="s">
        <v>13142</v>
      </c>
      <c r="T907" s="2">
        <v>0.57708333333333328</v>
      </c>
      <c r="U907">
        <v>1</v>
      </c>
      <c r="V907" t="s">
        <v>13143</v>
      </c>
      <c r="W907" t="s">
        <v>13144</v>
      </c>
      <c r="X907" t="s">
        <v>13145</v>
      </c>
      <c r="Z907" t="s">
        <v>13146</v>
      </c>
      <c r="AA907" t="s">
        <v>13146</v>
      </c>
      <c r="AB907" t="s">
        <v>13146</v>
      </c>
      <c r="AC907" t="s">
        <v>13146</v>
      </c>
      <c r="AD907" t="s">
        <v>13146</v>
      </c>
    </row>
    <row r="908" spans="1:30">
      <c r="A908" t="s">
        <v>13147</v>
      </c>
      <c r="B908">
        <v>5</v>
      </c>
      <c r="C908">
        <v>26</v>
      </c>
      <c r="D908">
        <v>2017</v>
      </c>
      <c r="E908" s="1">
        <v>42881</v>
      </c>
      <c r="F908" t="s">
        <v>13148</v>
      </c>
      <c r="G908">
        <v>0</v>
      </c>
      <c r="H908">
        <v>1</v>
      </c>
      <c r="I908">
        <v>1</v>
      </c>
      <c r="J908">
        <v>0</v>
      </c>
      <c r="L908" t="s">
        <v>13149</v>
      </c>
      <c r="M908" t="s">
        <v>13150</v>
      </c>
      <c r="N908" t="s">
        <v>13151</v>
      </c>
      <c r="O908" t="s">
        <v>13152</v>
      </c>
      <c r="P908" t="s">
        <v>13153</v>
      </c>
      <c r="Q908" t="s">
        <v>13154</v>
      </c>
      <c r="R908" t="s">
        <v>13155</v>
      </c>
      <c r="S908" t="s">
        <v>13156</v>
      </c>
      <c r="U908">
        <v>1</v>
      </c>
      <c r="V908" t="s">
        <v>13157</v>
      </c>
      <c r="W908" t="s">
        <v>13158</v>
      </c>
      <c r="X908" t="s">
        <v>13159</v>
      </c>
      <c r="Y908" t="s">
        <v>13160</v>
      </c>
      <c r="Z908" t="s">
        <v>13160</v>
      </c>
      <c r="AA908" t="s">
        <v>13160</v>
      </c>
      <c r="AC908" t="s">
        <v>13160</v>
      </c>
      <c r="AD908" t="s">
        <v>13160</v>
      </c>
    </row>
    <row r="909" spans="1:30">
      <c r="A909" t="s">
        <v>13161</v>
      </c>
      <c r="B909">
        <v>5</v>
      </c>
      <c r="C909">
        <v>24</v>
      </c>
      <c r="D909">
        <v>2017</v>
      </c>
      <c r="E909" s="1">
        <v>42879</v>
      </c>
      <c r="F909" t="s">
        <v>13162</v>
      </c>
      <c r="G909">
        <v>1</v>
      </c>
      <c r="H909">
        <v>0</v>
      </c>
      <c r="I909">
        <v>1</v>
      </c>
      <c r="J909">
        <v>0</v>
      </c>
      <c r="L909" t="s">
        <v>13163</v>
      </c>
      <c r="M909" t="s">
        <v>13164</v>
      </c>
      <c r="N909" t="s">
        <v>13165</v>
      </c>
      <c r="O909" t="s">
        <v>13166</v>
      </c>
      <c r="P909" t="s">
        <v>13167</v>
      </c>
      <c r="Q909" t="s">
        <v>13168</v>
      </c>
      <c r="R909" t="s">
        <v>13169</v>
      </c>
      <c r="S909" t="s">
        <v>13170</v>
      </c>
      <c r="T909" s="2">
        <v>0.83333333333333337</v>
      </c>
      <c r="U909">
        <v>1</v>
      </c>
      <c r="V909" t="s">
        <v>13171</v>
      </c>
      <c r="W909" t="s">
        <v>13172</v>
      </c>
      <c r="X909" t="s">
        <v>13173</v>
      </c>
      <c r="Z909" t="s">
        <v>13174</v>
      </c>
      <c r="AA909" t="s">
        <v>13174</v>
      </c>
      <c r="AB909" t="s">
        <v>13174</v>
      </c>
      <c r="AC909" t="s">
        <v>13174</v>
      </c>
      <c r="AD909" t="s">
        <v>13174</v>
      </c>
    </row>
    <row r="910" spans="1:30">
      <c r="A910" t="s">
        <v>13175</v>
      </c>
      <c r="B910">
        <v>5</v>
      </c>
      <c r="C910">
        <v>24</v>
      </c>
      <c r="D910">
        <v>2017</v>
      </c>
      <c r="E910" s="1">
        <v>42879</v>
      </c>
      <c r="F910" t="s">
        <v>13176</v>
      </c>
      <c r="G910">
        <v>0</v>
      </c>
      <c r="H910">
        <v>0</v>
      </c>
      <c r="I910">
        <v>0</v>
      </c>
      <c r="J910">
        <v>0</v>
      </c>
      <c r="K910" t="s">
        <v>13177</v>
      </c>
      <c r="L910" t="s">
        <v>13178</v>
      </c>
      <c r="M910" t="s">
        <v>13179</v>
      </c>
      <c r="N910" t="s">
        <v>13180</v>
      </c>
      <c r="O910" t="s">
        <v>13181</v>
      </c>
      <c r="P910" t="s">
        <v>13182</v>
      </c>
      <c r="Q910" t="s">
        <v>13183</v>
      </c>
      <c r="R910" t="s">
        <v>13184</v>
      </c>
      <c r="S910" t="s">
        <v>13185</v>
      </c>
      <c r="T910" s="2">
        <v>0.47916666666666663</v>
      </c>
      <c r="U910">
        <v>1</v>
      </c>
      <c r="V910" t="s">
        <v>13186</v>
      </c>
      <c r="W910" t="s">
        <v>13187</v>
      </c>
      <c r="X910" t="s">
        <v>13188</v>
      </c>
      <c r="Y910" t="s">
        <v>13189</v>
      </c>
      <c r="Z910" t="s">
        <v>13189</v>
      </c>
      <c r="AA910" t="s">
        <v>13189</v>
      </c>
      <c r="AD910" t="s">
        <v>13189</v>
      </c>
    </row>
    <row r="911" spans="1:30">
      <c r="A911" t="s">
        <v>13190</v>
      </c>
      <c r="B911">
        <v>5</v>
      </c>
      <c r="C911">
        <v>23</v>
      </c>
      <c r="D911">
        <v>2017</v>
      </c>
      <c r="E911" s="1">
        <v>42878</v>
      </c>
      <c r="F911" t="s">
        <v>13191</v>
      </c>
      <c r="G911">
        <v>0</v>
      </c>
      <c r="H911">
        <v>0</v>
      </c>
      <c r="I911">
        <v>0</v>
      </c>
      <c r="J911">
        <v>1</v>
      </c>
      <c r="L911" t="s">
        <v>13192</v>
      </c>
      <c r="M911" t="s">
        <v>13193</v>
      </c>
      <c r="N911" t="s">
        <v>13194</v>
      </c>
      <c r="O911" t="s">
        <v>13195</v>
      </c>
      <c r="P911" t="s">
        <v>13196</v>
      </c>
      <c r="Q911" t="s">
        <v>13197</v>
      </c>
      <c r="R911" t="s">
        <v>13198</v>
      </c>
      <c r="S911" t="s">
        <v>13199</v>
      </c>
      <c r="T911" s="2">
        <v>0.66666666666666663</v>
      </c>
      <c r="U911">
        <v>1</v>
      </c>
      <c r="V911" t="s">
        <v>13200</v>
      </c>
      <c r="W911" t="s">
        <v>13201</v>
      </c>
      <c r="X911" t="s">
        <v>13202</v>
      </c>
      <c r="Y911" t="s">
        <v>13203</v>
      </c>
      <c r="Z911" t="s">
        <v>13203</v>
      </c>
      <c r="AA911" t="s">
        <v>13203</v>
      </c>
      <c r="AB911" t="s">
        <v>13203</v>
      </c>
      <c r="AC911" t="s">
        <v>13203</v>
      </c>
      <c r="AD911" t="s">
        <v>13203</v>
      </c>
    </row>
    <row r="912" spans="1:30">
      <c r="A912" t="s">
        <v>13204</v>
      </c>
      <c r="B912">
        <v>5</v>
      </c>
      <c r="C912">
        <v>15</v>
      </c>
      <c r="D912">
        <v>2017</v>
      </c>
      <c r="E912" s="1">
        <v>42870</v>
      </c>
      <c r="F912" t="s">
        <v>13205</v>
      </c>
      <c r="G912">
        <v>0</v>
      </c>
      <c r="H912">
        <v>1</v>
      </c>
      <c r="I912">
        <v>1</v>
      </c>
      <c r="J912">
        <v>0</v>
      </c>
      <c r="K912" t="s">
        <v>13206</v>
      </c>
      <c r="L912" t="s">
        <v>13207</v>
      </c>
      <c r="M912" t="s">
        <v>13208</v>
      </c>
      <c r="N912" t="s">
        <v>13209</v>
      </c>
      <c r="O912" t="s">
        <v>13210</v>
      </c>
      <c r="P912" t="s">
        <v>13211</v>
      </c>
      <c r="Q912" t="s">
        <v>13211</v>
      </c>
      <c r="R912" t="s">
        <v>13212</v>
      </c>
      <c r="S912" t="s">
        <v>13213</v>
      </c>
      <c r="T912" s="2">
        <v>0.3263888888888889</v>
      </c>
      <c r="U912">
        <v>1</v>
      </c>
      <c r="V912" t="s">
        <v>13214</v>
      </c>
      <c r="W912" t="s">
        <v>13215</v>
      </c>
      <c r="X912" t="s">
        <v>13216</v>
      </c>
      <c r="Y912" t="s">
        <v>13217</v>
      </c>
      <c r="Z912" t="s">
        <v>13217</v>
      </c>
      <c r="AA912" t="s">
        <v>13217</v>
      </c>
      <c r="AB912" t="s">
        <v>13217</v>
      </c>
      <c r="AC912" t="s">
        <v>13217</v>
      </c>
      <c r="AD912" t="s">
        <v>13217</v>
      </c>
    </row>
    <row r="913" spans="1:30">
      <c r="A913" t="s">
        <v>13218</v>
      </c>
      <c r="B913">
        <v>4</v>
      </c>
      <c r="C913">
        <v>15</v>
      </c>
      <c r="D913">
        <v>2017</v>
      </c>
      <c r="E913" s="1">
        <v>42840</v>
      </c>
      <c r="F913" t="s">
        <v>13219</v>
      </c>
      <c r="G913">
        <v>1</v>
      </c>
      <c r="H913">
        <v>0</v>
      </c>
      <c r="I913">
        <v>1</v>
      </c>
      <c r="J913">
        <v>0</v>
      </c>
      <c r="K913" t="s">
        <v>13220</v>
      </c>
      <c r="L913" t="s">
        <v>13221</v>
      </c>
      <c r="M913" t="s">
        <v>13222</v>
      </c>
      <c r="N913" t="s">
        <v>13223</v>
      </c>
      <c r="O913" t="s">
        <v>13224</v>
      </c>
      <c r="P913" t="s">
        <v>13225</v>
      </c>
      <c r="Q913" t="s">
        <v>13226</v>
      </c>
      <c r="R913" t="s">
        <v>13227</v>
      </c>
      <c r="S913" t="s">
        <v>13228</v>
      </c>
      <c r="T913" s="2">
        <v>0.52916666666666667</v>
      </c>
      <c r="U913">
        <v>1</v>
      </c>
      <c r="V913" t="s">
        <v>13229</v>
      </c>
      <c r="X913" t="s">
        <v>13230</v>
      </c>
      <c r="Y913" t="s">
        <v>13231</v>
      </c>
      <c r="Z913" t="s">
        <v>13232</v>
      </c>
      <c r="AA913" t="s">
        <v>13232</v>
      </c>
      <c r="AB913" t="s">
        <v>13232</v>
      </c>
      <c r="AC913" t="s">
        <v>13232</v>
      </c>
      <c r="AD913" t="s">
        <v>13232</v>
      </c>
    </row>
    <row r="914" spans="1:30">
      <c r="A914" t="s">
        <v>13233</v>
      </c>
      <c r="B914">
        <v>4</v>
      </c>
      <c r="C914">
        <v>15</v>
      </c>
      <c r="D914">
        <v>2017</v>
      </c>
      <c r="E914" s="1">
        <v>42840</v>
      </c>
      <c r="F914" t="s">
        <v>13234</v>
      </c>
      <c r="G914">
        <v>0</v>
      </c>
      <c r="H914">
        <v>1</v>
      </c>
      <c r="I914">
        <v>1</v>
      </c>
      <c r="J914">
        <v>0</v>
      </c>
      <c r="L914" t="s">
        <v>13235</v>
      </c>
      <c r="M914" t="s">
        <v>13236</v>
      </c>
      <c r="N914" t="s">
        <v>13237</v>
      </c>
      <c r="O914" t="s">
        <v>13238</v>
      </c>
      <c r="P914" t="s">
        <v>13239</v>
      </c>
      <c r="Q914" t="s">
        <v>13240</v>
      </c>
      <c r="R914" t="s">
        <v>13241</v>
      </c>
      <c r="S914" t="s">
        <v>13242</v>
      </c>
      <c r="T914" s="2">
        <v>0.87847222222222221</v>
      </c>
      <c r="U914">
        <v>1</v>
      </c>
      <c r="V914" t="s">
        <v>13243</v>
      </c>
      <c r="W914" t="s">
        <v>13244</v>
      </c>
      <c r="Y914" t="s">
        <v>13245</v>
      </c>
      <c r="Z914" t="s">
        <v>13246</v>
      </c>
      <c r="AA914" t="s">
        <v>13246</v>
      </c>
      <c r="AB914" t="s">
        <v>13246</v>
      </c>
      <c r="AC914" t="s">
        <v>13246</v>
      </c>
      <c r="AD914" t="s">
        <v>13246</v>
      </c>
    </row>
    <row r="915" spans="1:30">
      <c r="A915" t="s">
        <v>13247</v>
      </c>
      <c r="B915">
        <v>4</v>
      </c>
      <c r="C915">
        <v>10</v>
      </c>
      <c r="D915">
        <v>2017</v>
      </c>
      <c r="E915" s="1">
        <v>42835</v>
      </c>
      <c r="F915" t="s">
        <v>13248</v>
      </c>
      <c r="G915">
        <v>1</v>
      </c>
      <c r="H915">
        <v>2</v>
      </c>
      <c r="I915">
        <v>3</v>
      </c>
      <c r="J915">
        <v>1</v>
      </c>
      <c r="K915" t="s">
        <v>13249</v>
      </c>
      <c r="L915" t="s">
        <v>13250</v>
      </c>
      <c r="M915" t="s">
        <v>13251</v>
      </c>
      <c r="N915" t="s">
        <v>13252</v>
      </c>
      <c r="O915" t="s">
        <v>13253</v>
      </c>
      <c r="P915" t="s">
        <v>13254</v>
      </c>
      <c r="Q915" t="s">
        <v>13255</v>
      </c>
      <c r="R915" t="s">
        <v>13256</v>
      </c>
      <c r="S915" t="s">
        <v>13257</v>
      </c>
      <c r="T915" s="2">
        <v>0.4375</v>
      </c>
      <c r="U915">
        <v>1</v>
      </c>
      <c r="V915" t="s">
        <v>13258</v>
      </c>
      <c r="W915" t="s">
        <v>13259</v>
      </c>
      <c r="X915" t="s">
        <v>13260</v>
      </c>
      <c r="Y915" t="s">
        <v>13261</v>
      </c>
      <c r="Z915" t="s">
        <v>13261</v>
      </c>
      <c r="AA915" t="s">
        <v>13261</v>
      </c>
      <c r="AB915" t="s">
        <v>13261</v>
      </c>
      <c r="AC915" t="s">
        <v>13262</v>
      </c>
      <c r="AD915" t="s">
        <v>13263</v>
      </c>
    </row>
    <row r="916" spans="1:30">
      <c r="A916" t="s">
        <v>13264</v>
      </c>
      <c r="B916">
        <v>3</v>
      </c>
      <c r="C916">
        <v>28</v>
      </c>
      <c r="D916">
        <v>2017</v>
      </c>
      <c r="E916" s="1">
        <v>42822</v>
      </c>
      <c r="F916" t="s">
        <v>13265</v>
      </c>
      <c r="G916">
        <v>0</v>
      </c>
      <c r="H916">
        <v>1</v>
      </c>
      <c r="I916">
        <v>1</v>
      </c>
      <c r="J916">
        <v>1</v>
      </c>
      <c r="L916" t="s">
        <v>13266</v>
      </c>
      <c r="M916" t="s">
        <v>13267</v>
      </c>
      <c r="N916" t="s">
        <v>13268</v>
      </c>
      <c r="O916" t="s">
        <v>13269</v>
      </c>
      <c r="P916" t="s">
        <v>13270</v>
      </c>
      <c r="Q916" t="s">
        <v>13271</v>
      </c>
      <c r="R916" t="s">
        <v>13272</v>
      </c>
      <c r="S916" t="s">
        <v>13273</v>
      </c>
      <c r="T916" s="2">
        <v>0.6875</v>
      </c>
      <c r="U916">
        <v>1</v>
      </c>
      <c r="V916" t="s">
        <v>13274</v>
      </c>
      <c r="W916" t="s">
        <v>13275</v>
      </c>
      <c r="X916" t="s">
        <v>13276</v>
      </c>
      <c r="Y916" t="s">
        <v>13277</v>
      </c>
      <c r="Z916" t="s">
        <v>13278</v>
      </c>
      <c r="AA916" t="s">
        <v>13278</v>
      </c>
      <c r="AB916" t="s">
        <v>13278</v>
      </c>
      <c r="AC916" t="s">
        <v>13278</v>
      </c>
      <c r="AD916" t="s">
        <v>13278</v>
      </c>
    </row>
    <row r="917" spans="1:30">
      <c r="A917" t="s">
        <v>13279</v>
      </c>
      <c r="B917">
        <v>3</v>
      </c>
      <c r="C917">
        <v>21</v>
      </c>
      <c r="D917">
        <v>2017</v>
      </c>
      <c r="E917" s="1">
        <v>42815</v>
      </c>
      <c r="F917" t="s">
        <v>13280</v>
      </c>
      <c r="G917">
        <v>0</v>
      </c>
      <c r="H917">
        <v>1</v>
      </c>
      <c r="I917">
        <v>1</v>
      </c>
      <c r="J917">
        <v>0</v>
      </c>
      <c r="K917" t="s">
        <v>13281</v>
      </c>
      <c r="L917" t="s">
        <v>13282</v>
      </c>
      <c r="M917" t="s">
        <v>13283</v>
      </c>
      <c r="N917" t="s">
        <v>13284</v>
      </c>
      <c r="O917" t="s">
        <v>13285</v>
      </c>
      <c r="P917" t="s">
        <v>13286</v>
      </c>
      <c r="Q917" t="s">
        <v>13287</v>
      </c>
      <c r="R917" t="s">
        <v>13288</v>
      </c>
      <c r="S917" t="s">
        <v>13289</v>
      </c>
      <c r="T917" s="2">
        <v>0.45833333333333331</v>
      </c>
      <c r="U917">
        <v>1</v>
      </c>
      <c r="V917" t="s">
        <v>13290</v>
      </c>
      <c r="W917" t="s">
        <v>13291</v>
      </c>
      <c r="X917" t="s">
        <v>13292</v>
      </c>
      <c r="Y917" t="s">
        <v>13293</v>
      </c>
      <c r="Z917" t="s">
        <v>13294</v>
      </c>
      <c r="AA917" t="s">
        <v>13294</v>
      </c>
      <c r="AB917" t="s">
        <v>13294</v>
      </c>
      <c r="AC917" t="s">
        <v>13294</v>
      </c>
      <c r="AD917" t="s">
        <v>13294</v>
      </c>
    </row>
    <row r="918" spans="1:30">
      <c r="A918" t="s">
        <v>13295</v>
      </c>
      <c r="B918">
        <v>3</v>
      </c>
      <c r="C918">
        <v>16</v>
      </c>
      <c r="D918">
        <v>2017</v>
      </c>
      <c r="E918" s="1">
        <v>42810</v>
      </c>
      <c r="F918" t="s">
        <v>13296</v>
      </c>
      <c r="G918">
        <v>0</v>
      </c>
      <c r="H918">
        <v>1</v>
      </c>
      <c r="I918">
        <v>1</v>
      </c>
      <c r="J918">
        <v>0</v>
      </c>
      <c r="K918" t="s">
        <v>13297</v>
      </c>
      <c r="L918" t="s">
        <v>13298</v>
      </c>
      <c r="M918" t="s">
        <v>13299</v>
      </c>
      <c r="N918" t="s">
        <v>13300</v>
      </c>
      <c r="O918" t="s">
        <v>13301</v>
      </c>
      <c r="P918" t="s">
        <v>13302</v>
      </c>
      <c r="Q918" t="s">
        <v>13303</v>
      </c>
      <c r="R918" t="s">
        <v>13304</v>
      </c>
      <c r="S918" t="s">
        <v>13305</v>
      </c>
      <c r="T918" s="2">
        <v>0.625</v>
      </c>
      <c r="U918">
        <v>1</v>
      </c>
      <c r="V918" t="s">
        <v>13306</v>
      </c>
      <c r="W918" t="s">
        <v>13307</v>
      </c>
      <c r="X918" t="s">
        <v>13308</v>
      </c>
      <c r="Y918" t="s">
        <v>13309</v>
      </c>
      <c r="Z918" t="s">
        <v>13309</v>
      </c>
      <c r="AA918" t="s">
        <v>13309</v>
      </c>
      <c r="AC918" t="s">
        <v>13309</v>
      </c>
      <c r="AD918" t="s">
        <v>13309</v>
      </c>
    </row>
    <row r="919" spans="1:30">
      <c r="A919" t="s">
        <v>13310</v>
      </c>
      <c r="B919">
        <v>2</v>
      </c>
      <c r="C919">
        <v>18</v>
      </c>
      <c r="D919">
        <v>2017</v>
      </c>
      <c r="E919" s="1">
        <v>42784</v>
      </c>
      <c r="F919" t="s">
        <v>13311</v>
      </c>
      <c r="G919">
        <v>0</v>
      </c>
      <c r="H919">
        <v>0</v>
      </c>
      <c r="I919">
        <v>0</v>
      </c>
      <c r="J919">
        <v>1</v>
      </c>
      <c r="K919" t="s">
        <v>13312</v>
      </c>
      <c r="L919" t="s">
        <v>13313</v>
      </c>
      <c r="M919" t="s">
        <v>13314</v>
      </c>
      <c r="N919" t="s">
        <v>13315</v>
      </c>
      <c r="O919" t="s">
        <v>13316</v>
      </c>
      <c r="P919" t="s">
        <v>13317</v>
      </c>
      <c r="Q919" t="s">
        <v>13318</v>
      </c>
      <c r="R919" t="s">
        <v>13319</v>
      </c>
      <c r="S919" t="s">
        <v>13320</v>
      </c>
      <c r="T919" s="2">
        <v>0.25</v>
      </c>
      <c r="V919" t="s">
        <v>13321</v>
      </c>
      <c r="W919" t="s">
        <v>13322</v>
      </c>
      <c r="X919" t="s">
        <v>13323</v>
      </c>
      <c r="Y919" t="s">
        <v>13324</v>
      </c>
      <c r="Z919" t="s">
        <v>13325</v>
      </c>
      <c r="AA919" t="s">
        <v>13326</v>
      </c>
      <c r="AB919" t="s">
        <v>13327</v>
      </c>
      <c r="AD919" t="s">
        <v>13328</v>
      </c>
    </row>
    <row r="920" spans="1:30">
      <c r="A920" t="s">
        <v>13329</v>
      </c>
      <c r="B920">
        <v>2</v>
      </c>
      <c r="C920">
        <v>6</v>
      </c>
      <c r="D920">
        <v>2017</v>
      </c>
      <c r="E920" s="1">
        <v>42772</v>
      </c>
      <c r="F920" t="s">
        <v>13330</v>
      </c>
      <c r="G920">
        <v>0</v>
      </c>
      <c r="H920">
        <v>0</v>
      </c>
      <c r="I920">
        <v>0</v>
      </c>
      <c r="J920">
        <v>0</v>
      </c>
      <c r="L920" t="s">
        <v>13331</v>
      </c>
      <c r="M920" t="s">
        <v>13332</v>
      </c>
      <c r="N920" t="s">
        <v>13333</v>
      </c>
      <c r="O920" t="s">
        <v>13334</v>
      </c>
      <c r="P920" t="s">
        <v>13335</v>
      </c>
      <c r="Q920" t="s">
        <v>13335</v>
      </c>
      <c r="R920" t="s">
        <v>13336</v>
      </c>
      <c r="S920" t="s">
        <v>13337</v>
      </c>
      <c r="T920" s="2">
        <v>0.5</v>
      </c>
      <c r="U920">
        <v>1</v>
      </c>
      <c r="V920" t="s">
        <v>13338</v>
      </c>
      <c r="W920" t="s">
        <v>13339</v>
      </c>
      <c r="X920" t="s">
        <v>13340</v>
      </c>
      <c r="Z920" t="s">
        <v>13341</v>
      </c>
      <c r="AA920" t="s">
        <v>13341</v>
      </c>
      <c r="AD920" t="s">
        <v>13341</v>
      </c>
    </row>
    <row r="921" spans="1:30">
      <c r="A921" t="s">
        <v>13342</v>
      </c>
      <c r="B921">
        <v>1</v>
      </c>
      <c r="C921">
        <v>27</v>
      </c>
      <c r="D921">
        <v>2017</v>
      </c>
      <c r="E921" s="1">
        <v>42762</v>
      </c>
      <c r="F921" t="s">
        <v>13343</v>
      </c>
      <c r="G921">
        <v>1</v>
      </c>
      <c r="H921">
        <v>0</v>
      </c>
      <c r="I921">
        <v>1</v>
      </c>
      <c r="J921">
        <v>0</v>
      </c>
      <c r="K921" t="s">
        <v>13344</v>
      </c>
      <c r="L921" t="s">
        <v>13345</v>
      </c>
      <c r="M921" t="s">
        <v>13346</v>
      </c>
      <c r="N921" t="s">
        <v>13347</v>
      </c>
      <c r="O921" t="s">
        <v>13348</v>
      </c>
      <c r="P921" t="s">
        <v>13349</v>
      </c>
      <c r="Q921" t="s">
        <v>13350</v>
      </c>
      <c r="R921" t="s">
        <v>13351</v>
      </c>
      <c r="S921" t="s">
        <v>13352</v>
      </c>
      <c r="T921" s="2">
        <v>0.83333333333333337</v>
      </c>
      <c r="U921">
        <v>1</v>
      </c>
      <c r="V921" t="s">
        <v>13353</v>
      </c>
      <c r="W921" t="s">
        <v>13354</v>
      </c>
      <c r="X921" t="s">
        <v>13355</v>
      </c>
      <c r="Y921" t="s">
        <v>13356</v>
      </c>
      <c r="Z921" t="s">
        <v>13356</v>
      </c>
      <c r="AA921" t="s">
        <v>13356</v>
      </c>
      <c r="AB921" t="s">
        <v>13356</v>
      </c>
      <c r="AC921" t="s">
        <v>13356</v>
      </c>
      <c r="AD921" t="s">
        <v>13356</v>
      </c>
    </row>
    <row r="922" spans="1:30">
      <c r="A922" t="s">
        <v>13357</v>
      </c>
      <c r="B922">
        <v>1</v>
      </c>
      <c r="C922">
        <v>27</v>
      </c>
      <c r="D922">
        <v>2017</v>
      </c>
      <c r="E922" s="1">
        <v>42762</v>
      </c>
      <c r="F922" t="s">
        <v>13358</v>
      </c>
      <c r="G922">
        <v>0</v>
      </c>
      <c r="H922">
        <v>3</v>
      </c>
      <c r="I922">
        <v>3</v>
      </c>
      <c r="J922">
        <v>0</v>
      </c>
      <c r="K922" t="s">
        <v>13359</v>
      </c>
      <c r="L922" t="s">
        <v>13360</v>
      </c>
      <c r="M922" t="s">
        <v>13361</v>
      </c>
      <c r="N922" t="s">
        <v>13362</v>
      </c>
      <c r="O922" t="s">
        <v>13363</v>
      </c>
      <c r="P922" t="s">
        <v>13364</v>
      </c>
      <c r="Q922" t="s">
        <v>13365</v>
      </c>
      <c r="R922" t="s">
        <v>13366</v>
      </c>
      <c r="S922" t="s">
        <v>13367</v>
      </c>
      <c r="T922" s="2">
        <v>0.875</v>
      </c>
      <c r="U922">
        <v>1</v>
      </c>
      <c r="V922" t="s">
        <v>13368</v>
      </c>
      <c r="W922" t="s">
        <v>13369</v>
      </c>
      <c r="X922" t="s">
        <v>13370</v>
      </c>
      <c r="Y922" t="s">
        <v>13371</v>
      </c>
      <c r="Z922" t="s">
        <v>13372</v>
      </c>
      <c r="AA922" t="s">
        <v>13372</v>
      </c>
      <c r="AB922" t="s">
        <v>13372</v>
      </c>
      <c r="AC922" t="s">
        <v>13372</v>
      </c>
      <c r="AD922" t="s">
        <v>13372</v>
      </c>
    </row>
    <row r="923" spans="1:30">
      <c r="A923" t="s">
        <v>13373</v>
      </c>
      <c r="B923">
        <v>1</v>
      </c>
      <c r="C923">
        <v>20</v>
      </c>
      <c r="D923">
        <v>2017</v>
      </c>
      <c r="E923" s="1">
        <v>42755</v>
      </c>
      <c r="F923" t="s">
        <v>13374</v>
      </c>
      <c r="G923">
        <v>0</v>
      </c>
      <c r="H923">
        <v>1</v>
      </c>
      <c r="I923">
        <v>1</v>
      </c>
      <c r="J923">
        <v>0</v>
      </c>
      <c r="K923" t="s">
        <v>13375</v>
      </c>
      <c r="L923" t="s">
        <v>13376</v>
      </c>
      <c r="M923" t="s">
        <v>13377</v>
      </c>
      <c r="N923" t="s">
        <v>13378</v>
      </c>
      <c r="O923" t="s">
        <v>13379</v>
      </c>
      <c r="P923" t="s">
        <v>13380</v>
      </c>
      <c r="Q923" t="s">
        <v>13381</v>
      </c>
      <c r="R923" t="s">
        <v>13382</v>
      </c>
      <c r="S923" t="s">
        <v>13383</v>
      </c>
      <c r="T923" s="2">
        <v>0.31666666666666671</v>
      </c>
      <c r="V923" t="s">
        <v>13384</v>
      </c>
      <c r="W923" t="s">
        <v>13385</v>
      </c>
      <c r="X923" t="s">
        <v>13386</v>
      </c>
      <c r="Y923" t="s">
        <v>13387</v>
      </c>
      <c r="Z923" t="s">
        <v>13387</v>
      </c>
      <c r="AA923" t="s">
        <v>13387</v>
      </c>
      <c r="AB923" t="s">
        <v>13387</v>
      </c>
      <c r="AC923" t="s">
        <v>13387</v>
      </c>
      <c r="AD923" t="s">
        <v>13388</v>
      </c>
    </row>
    <row r="924" spans="1:30">
      <c r="A924" t="s">
        <v>13389</v>
      </c>
      <c r="B924">
        <v>1</v>
      </c>
      <c r="C924">
        <v>17</v>
      </c>
      <c r="D924">
        <v>2017</v>
      </c>
      <c r="E924" s="1">
        <v>42752</v>
      </c>
      <c r="F924" t="s">
        <v>13390</v>
      </c>
      <c r="G924">
        <v>0</v>
      </c>
      <c r="H924">
        <v>0</v>
      </c>
      <c r="I924">
        <v>0</v>
      </c>
      <c r="J924">
        <v>0</v>
      </c>
      <c r="L924" t="s">
        <v>13391</v>
      </c>
      <c r="M924" t="s">
        <v>13392</v>
      </c>
      <c r="N924" t="s">
        <v>13393</v>
      </c>
      <c r="O924" t="s">
        <v>13394</v>
      </c>
      <c r="P924" t="s">
        <v>13395</v>
      </c>
      <c r="Q924" t="s">
        <v>13396</v>
      </c>
      <c r="R924" t="s">
        <v>13397</v>
      </c>
      <c r="S924" t="s">
        <v>13398</v>
      </c>
      <c r="U924">
        <v>1</v>
      </c>
      <c r="V924" t="s">
        <v>13399</v>
      </c>
      <c r="W924" t="s">
        <v>13400</v>
      </c>
      <c r="X924" t="s">
        <v>13401</v>
      </c>
      <c r="Y924" t="s">
        <v>13402</v>
      </c>
      <c r="Z924" t="s">
        <v>13402</v>
      </c>
      <c r="AA924" t="s">
        <v>13402</v>
      </c>
      <c r="AB924" t="s">
        <v>13402</v>
      </c>
      <c r="AC924" t="s">
        <v>13402</v>
      </c>
      <c r="AD924" t="s">
        <v>13402</v>
      </c>
    </row>
    <row r="925" spans="1:30">
      <c r="A925" t="s">
        <v>13403</v>
      </c>
      <c r="B925">
        <v>1</v>
      </c>
      <c r="C925">
        <v>10</v>
      </c>
      <c r="D925">
        <v>2017</v>
      </c>
      <c r="E925" s="1">
        <v>42745</v>
      </c>
      <c r="F925" t="s">
        <v>13404</v>
      </c>
      <c r="G925">
        <v>0</v>
      </c>
      <c r="H925">
        <v>0</v>
      </c>
      <c r="I925">
        <v>0</v>
      </c>
      <c r="J925">
        <v>0</v>
      </c>
      <c r="L925" t="s">
        <v>13405</v>
      </c>
      <c r="M925" t="s">
        <v>13406</v>
      </c>
      <c r="N925" t="s">
        <v>13407</v>
      </c>
      <c r="O925" t="s">
        <v>13408</v>
      </c>
      <c r="P925" t="s">
        <v>13409</v>
      </c>
      <c r="Q925" t="s">
        <v>13409</v>
      </c>
      <c r="R925" t="s">
        <v>13410</v>
      </c>
      <c r="S925" t="s">
        <v>13411</v>
      </c>
      <c r="T925" s="2">
        <v>0.54166666666666663</v>
      </c>
      <c r="U925">
        <v>1</v>
      </c>
      <c r="V925" t="s">
        <v>13412</v>
      </c>
      <c r="W925" t="s">
        <v>13413</v>
      </c>
      <c r="X925" t="s">
        <v>13414</v>
      </c>
      <c r="Y925" t="s">
        <v>13415</v>
      </c>
      <c r="Z925" t="s">
        <v>13415</v>
      </c>
      <c r="AA925" t="s">
        <v>13415</v>
      </c>
      <c r="AB925" t="s">
        <v>13415</v>
      </c>
      <c r="AC925" t="s">
        <v>13415</v>
      </c>
      <c r="AD925" t="s">
        <v>13415</v>
      </c>
    </row>
    <row r="926" spans="1:30">
      <c r="A926" t="s">
        <v>13416</v>
      </c>
      <c r="B926">
        <v>1</v>
      </c>
      <c r="C926">
        <v>1</v>
      </c>
      <c r="D926">
        <v>2017</v>
      </c>
      <c r="E926" s="1">
        <v>42736</v>
      </c>
      <c r="F926" t="s">
        <v>13417</v>
      </c>
      <c r="G926">
        <v>0</v>
      </c>
      <c r="H926">
        <v>1</v>
      </c>
      <c r="I926">
        <v>1</v>
      </c>
      <c r="J926">
        <v>0</v>
      </c>
      <c r="L926" t="s">
        <v>13418</v>
      </c>
      <c r="M926" t="s">
        <v>13419</v>
      </c>
      <c r="N926" t="s">
        <v>13420</v>
      </c>
      <c r="O926" t="s">
        <v>13421</v>
      </c>
      <c r="P926" t="s">
        <v>13422</v>
      </c>
      <c r="Q926" t="s">
        <v>13423</v>
      </c>
      <c r="R926" t="s">
        <v>13424</v>
      </c>
      <c r="S926" t="s">
        <v>13425</v>
      </c>
      <c r="T926" s="2">
        <v>0.66666666666666663</v>
      </c>
      <c r="U926">
        <v>1</v>
      </c>
      <c r="V926" t="s">
        <v>13426</v>
      </c>
      <c r="W926" t="s">
        <v>13427</v>
      </c>
      <c r="Y926" t="s">
        <v>13428</v>
      </c>
      <c r="Z926" t="s">
        <v>13429</v>
      </c>
      <c r="AA926" t="s">
        <v>13429</v>
      </c>
      <c r="AB926" t="s">
        <v>13429</v>
      </c>
      <c r="AC926" t="s">
        <v>13429</v>
      </c>
      <c r="AD926" t="s">
        <v>13429</v>
      </c>
    </row>
    <row r="927" spans="1:30">
      <c r="A927" t="s">
        <v>13430</v>
      </c>
      <c r="B927">
        <v>12</v>
      </c>
      <c r="C927">
        <v>16</v>
      </c>
      <c r="D927">
        <v>2016</v>
      </c>
      <c r="E927" s="1">
        <v>42720</v>
      </c>
      <c r="F927" t="s">
        <v>13431</v>
      </c>
      <c r="G927">
        <v>0</v>
      </c>
      <c r="H927">
        <v>0</v>
      </c>
      <c r="I927">
        <v>0</v>
      </c>
      <c r="J927">
        <v>0</v>
      </c>
      <c r="K927" t="s">
        <v>13432</v>
      </c>
      <c r="L927" t="s">
        <v>13433</v>
      </c>
      <c r="M927" t="s">
        <v>13434</v>
      </c>
      <c r="N927" t="s">
        <v>13435</v>
      </c>
      <c r="O927" t="s">
        <v>13436</v>
      </c>
      <c r="P927" t="s">
        <v>13437</v>
      </c>
      <c r="Q927" t="s">
        <v>13437</v>
      </c>
      <c r="R927" t="s">
        <v>13438</v>
      </c>
      <c r="S927" t="s">
        <v>13439</v>
      </c>
      <c r="T927" s="2">
        <v>0.61805555555555558</v>
      </c>
      <c r="U927">
        <v>1</v>
      </c>
      <c r="V927" t="s">
        <v>13440</v>
      </c>
      <c r="W927" t="s">
        <v>13441</v>
      </c>
      <c r="X927" t="s">
        <v>13442</v>
      </c>
      <c r="Y927" t="s">
        <v>13443</v>
      </c>
      <c r="Z927" t="s">
        <v>13443</v>
      </c>
      <c r="AA927" t="s">
        <v>13443</v>
      </c>
      <c r="AB927" t="s">
        <v>13443</v>
      </c>
      <c r="AC927" t="s">
        <v>13443</v>
      </c>
      <c r="AD927" t="s">
        <v>13443</v>
      </c>
    </row>
    <row r="928" spans="1:30">
      <c r="A928" t="s">
        <v>13444</v>
      </c>
      <c r="B928">
        <v>12</v>
      </c>
      <c r="C928">
        <v>9</v>
      </c>
      <c r="D928">
        <v>2016</v>
      </c>
      <c r="E928" s="1">
        <v>42713</v>
      </c>
      <c r="F928" t="s">
        <v>13445</v>
      </c>
      <c r="G928">
        <v>0</v>
      </c>
      <c r="H928">
        <v>1</v>
      </c>
      <c r="I928">
        <v>1</v>
      </c>
      <c r="J928">
        <v>0</v>
      </c>
      <c r="L928" t="s">
        <v>13446</v>
      </c>
      <c r="M928" t="s">
        <v>13447</v>
      </c>
      <c r="N928" t="s">
        <v>13448</v>
      </c>
      <c r="O928" t="s">
        <v>13449</v>
      </c>
      <c r="P928" t="s">
        <v>13450</v>
      </c>
      <c r="Q928" t="s">
        <v>13450</v>
      </c>
      <c r="R928" t="s">
        <v>13451</v>
      </c>
      <c r="S928" t="s">
        <v>13452</v>
      </c>
      <c r="T928" s="2">
        <v>0.47569444444444442</v>
      </c>
      <c r="U928">
        <v>1</v>
      </c>
      <c r="V928" t="s">
        <v>13453</v>
      </c>
      <c r="W928" t="s">
        <v>13454</v>
      </c>
      <c r="X928" t="s">
        <v>13455</v>
      </c>
      <c r="Y928" t="s">
        <v>13456</v>
      </c>
      <c r="Z928" t="s">
        <v>13456</v>
      </c>
      <c r="AA928" t="s">
        <v>13456</v>
      </c>
      <c r="AD928" t="s">
        <v>13456</v>
      </c>
    </row>
    <row r="929" spans="1:30">
      <c r="A929" t="s">
        <v>13457</v>
      </c>
      <c r="B929">
        <v>12</v>
      </c>
      <c r="C929">
        <v>9</v>
      </c>
      <c r="D929">
        <v>2016</v>
      </c>
      <c r="E929" s="1">
        <v>42713</v>
      </c>
      <c r="F929" t="s">
        <v>13458</v>
      </c>
      <c r="G929">
        <v>0</v>
      </c>
      <c r="H929">
        <v>1</v>
      </c>
      <c r="I929">
        <v>1</v>
      </c>
      <c r="J929">
        <v>0</v>
      </c>
      <c r="L929" t="s">
        <v>13459</v>
      </c>
      <c r="M929" t="s">
        <v>13460</v>
      </c>
      <c r="N929" t="s">
        <v>13461</v>
      </c>
      <c r="O929" t="s">
        <v>13462</v>
      </c>
      <c r="P929" t="s">
        <v>13463</v>
      </c>
      <c r="Q929" t="s">
        <v>13464</v>
      </c>
      <c r="R929" t="s">
        <v>13465</v>
      </c>
      <c r="S929" t="s">
        <v>13466</v>
      </c>
      <c r="T929" s="2">
        <v>0.80208333333333326</v>
      </c>
      <c r="U929">
        <v>1</v>
      </c>
      <c r="V929" t="s">
        <v>13467</v>
      </c>
      <c r="W929" t="s">
        <v>13468</v>
      </c>
      <c r="X929" t="s">
        <v>13469</v>
      </c>
      <c r="Y929" t="s">
        <v>13470</v>
      </c>
      <c r="Z929" t="s">
        <v>13471</v>
      </c>
      <c r="AA929" t="s">
        <v>13471</v>
      </c>
      <c r="AB929" t="s">
        <v>13471</v>
      </c>
      <c r="AC929" t="s">
        <v>13471</v>
      </c>
      <c r="AD929" t="s">
        <v>13471</v>
      </c>
    </row>
    <row r="930" spans="1:30">
      <c r="A930" t="s">
        <v>13472</v>
      </c>
      <c r="B930">
        <v>12</v>
      </c>
      <c r="C930">
        <v>1</v>
      </c>
      <c r="D930">
        <v>2016</v>
      </c>
      <c r="E930" s="1">
        <v>42705</v>
      </c>
      <c r="F930" t="s">
        <v>13473</v>
      </c>
      <c r="G930">
        <v>0</v>
      </c>
      <c r="H930">
        <v>0</v>
      </c>
      <c r="I930">
        <v>0</v>
      </c>
      <c r="J930">
        <v>0</v>
      </c>
      <c r="K930" t="s">
        <v>13474</v>
      </c>
      <c r="L930" t="s">
        <v>13475</v>
      </c>
      <c r="M930" t="s">
        <v>13476</v>
      </c>
      <c r="N930" t="s">
        <v>13477</v>
      </c>
      <c r="O930" t="s">
        <v>13478</v>
      </c>
      <c r="P930" t="s">
        <v>13479</v>
      </c>
      <c r="Q930" t="s">
        <v>13480</v>
      </c>
      <c r="R930" t="s">
        <v>13481</v>
      </c>
      <c r="S930" t="s">
        <v>13482</v>
      </c>
      <c r="T930" s="2">
        <v>0.34236111111111112</v>
      </c>
      <c r="V930" t="s">
        <v>13483</v>
      </c>
      <c r="W930" t="s">
        <v>13484</v>
      </c>
      <c r="X930" t="s">
        <v>13485</v>
      </c>
      <c r="Y930" t="s">
        <v>13486</v>
      </c>
      <c r="Z930" t="s">
        <v>13486</v>
      </c>
      <c r="AA930" t="s">
        <v>13486</v>
      </c>
      <c r="AB930" t="s">
        <v>13487</v>
      </c>
      <c r="AC930" t="s">
        <v>13488</v>
      </c>
      <c r="AD930" t="s">
        <v>13489</v>
      </c>
    </row>
    <row r="931" spans="1:30">
      <c r="A931" t="s">
        <v>13490</v>
      </c>
      <c r="B931">
        <v>11</v>
      </c>
      <c r="C931">
        <v>17</v>
      </c>
      <c r="D931">
        <v>2016</v>
      </c>
      <c r="E931" s="1">
        <v>42691</v>
      </c>
      <c r="F931" t="s">
        <v>13491</v>
      </c>
      <c r="G931">
        <v>0</v>
      </c>
      <c r="H931">
        <v>0</v>
      </c>
      <c r="I931">
        <v>0</v>
      </c>
      <c r="J931">
        <v>0</v>
      </c>
      <c r="L931" t="s">
        <v>13492</v>
      </c>
      <c r="M931" t="s">
        <v>13493</v>
      </c>
      <c r="N931" t="s">
        <v>13494</v>
      </c>
      <c r="O931" t="s">
        <v>13495</v>
      </c>
      <c r="P931" t="s">
        <v>13496</v>
      </c>
      <c r="Q931" t="s">
        <v>13496</v>
      </c>
      <c r="R931" t="s">
        <v>13497</v>
      </c>
      <c r="S931" t="s">
        <v>13498</v>
      </c>
      <c r="T931" s="2">
        <v>0.3611111111111111</v>
      </c>
      <c r="U931">
        <v>1</v>
      </c>
      <c r="V931" t="s">
        <v>13499</v>
      </c>
      <c r="W931" t="s">
        <v>13500</v>
      </c>
      <c r="X931" t="s">
        <v>13501</v>
      </c>
      <c r="Y931" t="s">
        <v>13502</v>
      </c>
      <c r="Z931" t="s">
        <v>13502</v>
      </c>
      <c r="AA931" t="s">
        <v>13502</v>
      </c>
      <c r="AB931" t="s">
        <v>13502</v>
      </c>
      <c r="AC931" t="s">
        <v>13502</v>
      </c>
      <c r="AD931" t="s">
        <v>13502</v>
      </c>
    </row>
    <row r="932" spans="1:30">
      <c r="A932" t="s">
        <v>13503</v>
      </c>
      <c r="B932">
        <v>11</v>
      </c>
      <c r="C932">
        <v>11</v>
      </c>
      <c r="D932">
        <v>2016</v>
      </c>
      <c r="E932" s="1">
        <v>42685</v>
      </c>
      <c r="F932" t="s">
        <v>13504</v>
      </c>
      <c r="G932">
        <v>0</v>
      </c>
      <c r="H932">
        <v>1</v>
      </c>
      <c r="I932">
        <v>1</v>
      </c>
      <c r="J932">
        <v>0</v>
      </c>
      <c r="K932" t="s">
        <v>13505</v>
      </c>
      <c r="L932" t="s">
        <v>13506</v>
      </c>
      <c r="M932" t="s">
        <v>13507</v>
      </c>
      <c r="N932" t="s">
        <v>13508</v>
      </c>
      <c r="O932" t="s">
        <v>13509</v>
      </c>
      <c r="P932" t="s">
        <v>13510</v>
      </c>
      <c r="Q932" t="s">
        <v>13511</v>
      </c>
      <c r="R932" t="s">
        <v>13512</v>
      </c>
      <c r="S932" t="s">
        <v>13513</v>
      </c>
      <c r="T932" s="2">
        <v>0.52083333333333337</v>
      </c>
      <c r="U932">
        <v>1</v>
      </c>
      <c r="V932" t="s">
        <v>13514</v>
      </c>
      <c r="W932" t="s">
        <v>13515</v>
      </c>
      <c r="X932" t="s">
        <v>13516</v>
      </c>
      <c r="Z932" t="s">
        <v>13517</v>
      </c>
      <c r="AA932" t="s">
        <v>13517</v>
      </c>
      <c r="AB932" t="s">
        <v>13517</v>
      </c>
      <c r="AC932" t="s">
        <v>13517</v>
      </c>
      <c r="AD932" t="s">
        <v>13517</v>
      </c>
    </row>
    <row r="933" spans="1:30">
      <c r="A933" t="s">
        <v>13518</v>
      </c>
      <c r="B933">
        <v>11</v>
      </c>
      <c r="C933">
        <v>3</v>
      </c>
      <c r="D933">
        <v>2016</v>
      </c>
      <c r="E933" s="1">
        <v>42677</v>
      </c>
      <c r="F933" t="s">
        <v>13519</v>
      </c>
      <c r="G933">
        <v>0</v>
      </c>
      <c r="H933">
        <v>0</v>
      </c>
      <c r="I933">
        <v>0</v>
      </c>
      <c r="J933">
        <v>1</v>
      </c>
      <c r="L933" t="s">
        <v>13520</v>
      </c>
      <c r="M933" t="s">
        <v>13521</v>
      </c>
      <c r="N933" t="s">
        <v>13522</v>
      </c>
      <c r="O933" t="s">
        <v>13523</v>
      </c>
      <c r="P933" t="s">
        <v>13524</v>
      </c>
      <c r="Q933" t="s">
        <v>13524</v>
      </c>
      <c r="R933" t="s">
        <v>13525</v>
      </c>
      <c r="S933" t="s">
        <v>13526</v>
      </c>
      <c r="U933">
        <v>1</v>
      </c>
      <c r="V933" t="s">
        <v>13527</v>
      </c>
      <c r="W933" t="s">
        <v>13528</v>
      </c>
      <c r="X933" t="s">
        <v>13529</v>
      </c>
      <c r="Y933" t="s">
        <v>13530</v>
      </c>
      <c r="Z933" t="s">
        <v>13530</v>
      </c>
      <c r="AA933" t="s">
        <v>13530</v>
      </c>
      <c r="AB933" t="s">
        <v>13530</v>
      </c>
      <c r="AC933" t="s">
        <v>13530</v>
      </c>
      <c r="AD933" t="s">
        <v>13530</v>
      </c>
    </row>
    <row r="934" spans="1:30">
      <c r="A934" t="s">
        <v>13531</v>
      </c>
      <c r="B934">
        <v>11</v>
      </c>
      <c r="C934">
        <v>2</v>
      </c>
      <c r="D934">
        <v>2016</v>
      </c>
      <c r="E934" s="1">
        <v>42676</v>
      </c>
      <c r="F934" t="s">
        <v>13532</v>
      </c>
      <c r="G934">
        <v>0</v>
      </c>
      <c r="H934">
        <v>0</v>
      </c>
      <c r="I934">
        <v>0</v>
      </c>
      <c r="J934">
        <v>1</v>
      </c>
      <c r="L934" t="s">
        <v>13533</v>
      </c>
      <c r="M934" t="s">
        <v>13534</v>
      </c>
      <c r="N934" t="s">
        <v>13535</v>
      </c>
      <c r="O934" t="s">
        <v>13536</v>
      </c>
      <c r="P934" t="s">
        <v>13537</v>
      </c>
      <c r="Q934" t="s">
        <v>13538</v>
      </c>
      <c r="R934" t="s">
        <v>13539</v>
      </c>
      <c r="S934" t="s">
        <v>13540</v>
      </c>
      <c r="T934" s="2">
        <v>0.625</v>
      </c>
      <c r="U934">
        <v>1</v>
      </c>
      <c r="V934" t="s">
        <v>13541</v>
      </c>
      <c r="W934" t="s">
        <v>13542</v>
      </c>
      <c r="X934" t="s">
        <v>13543</v>
      </c>
      <c r="Y934" t="s">
        <v>13544</v>
      </c>
      <c r="Z934" t="s">
        <v>13544</v>
      </c>
      <c r="AA934" t="s">
        <v>13544</v>
      </c>
      <c r="AD934" t="s">
        <v>13544</v>
      </c>
    </row>
    <row r="935" spans="1:30">
      <c r="A935" t="s">
        <v>13545</v>
      </c>
      <c r="B935">
        <v>10</v>
      </c>
      <c r="C935">
        <v>25</v>
      </c>
      <c r="D935">
        <v>2016</v>
      </c>
      <c r="E935" s="1">
        <v>42668</v>
      </c>
      <c r="F935" t="s">
        <v>13546</v>
      </c>
      <c r="G935">
        <v>0</v>
      </c>
      <c r="H935">
        <v>1</v>
      </c>
      <c r="I935">
        <v>1</v>
      </c>
      <c r="J935">
        <v>0</v>
      </c>
      <c r="K935" t="s">
        <v>13547</v>
      </c>
      <c r="L935" t="s">
        <v>13548</v>
      </c>
      <c r="M935" t="s">
        <v>13549</v>
      </c>
      <c r="N935" t="s">
        <v>13550</v>
      </c>
      <c r="O935" t="s">
        <v>13551</v>
      </c>
      <c r="P935" t="s">
        <v>13552</v>
      </c>
      <c r="Q935" t="s">
        <v>13553</v>
      </c>
      <c r="R935" t="s">
        <v>13554</v>
      </c>
      <c r="S935" t="s">
        <v>13555</v>
      </c>
      <c r="T935" s="2">
        <v>0.625</v>
      </c>
      <c r="U935">
        <v>1</v>
      </c>
      <c r="V935" t="s">
        <v>13556</v>
      </c>
      <c r="W935" t="s">
        <v>13557</v>
      </c>
      <c r="X935" t="s">
        <v>13558</v>
      </c>
      <c r="Y935" t="s">
        <v>13559</v>
      </c>
      <c r="Z935" t="s">
        <v>13559</v>
      </c>
      <c r="AA935" t="s">
        <v>13559</v>
      </c>
      <c r="AB935" t="s">
        <v>13559</v>
      </c>
      <c r="AC935" t="s">
        <v>13559</v>
      </c>
      <c r="AD935" t="s">
        <v>13559</v>
      </c>
    </row>
    <row r="936" spans="1:30">
      <c r="A936" t="s">
        <v>13560</v>
      </c>
      <c r="B936">
        <v>10</v>
      </c>
      <c r="C936">
        <v>18</v>
      </c>
      <c r="D936">
        <v>2016</v>
      </c>
      <c r="E936" s="1">
        <v>42661</v>
      </c>
      <c r="F936" t="s">
        <v>13561</v>
      </c>
      <c r="G936">
        <v>0</v>
      </c>
      <c r="H936">
        <v>4</v>
      </c>
      <c r="I936">
        <v>4</v>
      </c>
      <c r="J936">
        <v>0</v>
      </c>
      <c r="K936" t="s">
        <v>13562</v>
      </c>
      <c r="L936" t="s">
        <v>13563</v>
      </c>
      <c r="M936" t="s">
        <v>13564</v>
      </c>
      <c r="N936" t="s">
        <v>13565</v>
      </c>
      <c r="O936" t="s">
        <v>13566</v>
      </c>
      <c r="P936" t="s">
        <v>13567</v>
      </c>
      <c r="Q936" t="s">
        <v>13568</v>
      </c>
      <c r="R936" t="s">
        <v>13569</v>
      </c>
      <c r="S936" t="s">
        <v>13570</v>
      </c>
      <c r="T936" s="2">
        <v>0.63888888888888884</v>
      </c>
      <c r="U936">
        <v>1</v>
      </c>
      <c r="V936" t="s">
        <v>13571</v>
      </c>
      <c r="W936" t="s">
        <v>13572</v>
      </c>
      <c r="X936" t="s">
        <v>13573</v>
      </c>
      <c r="Y936" t="s">
        <v>13574</v>
      </c>
      <c r="Z936" t="s">
        <v>13575</v>
      </c>
      <c r="AA936" t="s">
        <v>13575</v>
      </c>
      <c r="AB936" t="s">
        <v>13575</v>
      </c>
      <c r="AC936" t="s">
        <v>13575</v>
      </c>
      <c r="AD936" t="s">
        <v>13575</v>
      </c>
    </row>
    <row r="937" spans="1:30">
      <c r="A937" t="s">
        <v>13576</v>
      </c>
      <c r="B937">
        <v>10</v>
      </c>
      <c r="C937">
        <v>15</v>
      </c>
      <c r="D937">
        <v>2016</v>
      </c>
      <c r="E937" s="1">
        <v>42658</v>
      </c>
      <c r="F937" t="s">
        <v>13577</v>
      </c>
      <c r="G937">
        <v>0</v>
      </c>
      <c r="H937">
        <v>1</v>
      </c>
      <c r="I937">
        <v>1</v>
      </c>
      <c r="J937">
        <v>0</v>
      </c>
      <c r="K937" t="s">
        <v>13578</v>
      </c>
      <c r="L937" t="s">
        <v>13579</v>
      </c>
      <c r="M937" t="s">
        <v>13580</v>
      </c>
      <c r="N937" t="s">
        <v>13581</v>
      </c>
      <c r="O937" t="s">
        <v>13582</v>
      </c>
      <c r="P937" t="s">
        <v>13583</v>
      </c>
      <c r="Q937" t="s">
        <v>13584</v>
      </c>
      <c r="R937" t="s">
        <v>13585</v>
      </c>
      <c r="S937" t="s">
        <v>13586</v>
      </c>
      <c r="U937">
        <v>1</v>
      </c>
      <c r="V937" t="s">
        <v>13587</v>
      </c>
      <c r="W937" t="s">
        <v>13588</v>
      </c>
      <c r="Z937" t="s">
        <v>13589</v>
      </c>
      <c r="AA937" t="s">
        <v>13589</v>
      </c>
      <c r="AB937" t="s">
        <v>13589</v>
      </c>
      <c r="AC937" t="s">
        <v>13589</v>
      </c>
      <c r="AD937" t="s">
        <v>13589</v>
      </c>
    </row>
    <row r="938" spans="1:30">
      <c r="A938" t="s">
        <v>13590</v>
      </c>
      <c r="B938">
        <v>10</v>
      </c>
      <c r="C938">
        <v>13</v>
      </c>
      <c r="D938">
        <v>2016</v>
      </c>
      <c r="E938" s="1">
        <v>42656</v>
      </c>
      <c r="F938" t="s">
        <v>13591</v>
      </c>
      <c r="G938">
        <v>0</v>
      </c>
      <c r="H938">
        <v>2</v>
      </c>
      <c r="I938">
        <v>2</v>
      </c>
      <c r="J938">
        <v>0</v>
      </c>
      <c r="K938" t="s">
        <v>13592</v>
      </c>
      <c r="L938" t="s">
        <v>13593</v>
      </c>
      <c r="M938" t="s">
        <v>13594</v>
      </c>
      <c r="N938" t="s">
        <v>13595</v>
      </c>
      <c r="O938" t="s">
        <v>13596</v>
      </c>
      <c r="P938" t="s">
        <v>13597</v>
      </c>
      <c r="Q938" t="s">
        <v>13598</v>
      </c>
      <c r="R938" t="s">
        <v>13599</v>
      </c>
      <c r="S938" t="s">
        <v>13600</v>
      </c>
      <c r="T938" s="2">
        <v>0.61111111111111116</v>
      </c>
      <c r="U938">
        <v>1</v>
      </c>
      <c r="V938" t="s">
        <v>13601</v>
      </c>
      <c r="W938" t="s">
        <v>13602</v>
      </c>
      <c r="X938" t="s">
        <v>13603</v>
      </c>
      <c r="Z938" t="s">
        <v>13604</v>
      </c>
      <c r="AA938" t="s">
        <v>13604</v>
      </c>
      <c r="AB938" t="s">
        <v>13604</v>
      </c>
      <c r="AC938" t="s">
        <v>13604</v>
      </c>
      <c r="AD938" t="s">
        <v>13604</v>
      </c>
    </row>
    <row r="939" spans="1:30">
      <c r="A939" t="s">
        <v>13605</v>
      </c>
      <c r="B939">
        <v>10</v>
      </c>
      <c r="C939">
        <v>11</v>
      </c>
      <c r="D939">
        <v>2016</v>
      </c>
      <c r="E939" s="1">
        <v>42654</v>
      </c>
      <c r="F939" t="s">
        <v>13606</v>
      </c>
      <c r="G939">
        <v>0</v>
      </c>
      <c r="H939">
        <v>1</v>
      </c>
      <c r="I939">
        <v>1</v>
      </c>
      <c r="J939">
        <v>0</v>
      </c>
      <c r="K939" t="s">
        <v>13607</v>
      </c>
      <c r="L939" t="s">
        <v>13608</v>
      </c>
      <c r="M939" t="s">
        <v>13609</v>
      </c>
      <c r="N939" t="s">
        <v>13610</v>
      </c>
      <c r="O939" t="s">
        <v>13611</v>
      </c>
      <c r="P939" t="s">
        <v>13612</v>
      </c>
      <c r="Q939" t="s">
        <v>13612</v>
      </c>
      <c r="R939" t="s">
        <v>13613</v>
      </c>
      <c r="S939" t="s">
        <v>13614</v>
      </c>
      <c r="T939" s="2">
        <v>0.65625</v>
      </c>
      <c r="U939">
        <v>1</v>
      </c>
      <c r="V939" t="s">
        <v>13615</v>
      </c>
      <c r="W939" t="s">
        <v>13616</v>
      </c>
      <c r="X939" t="s">
        <v>13617</v>
      </c>
      <c r="Y939" t="s">
        <v>13618</v>
      </c>
      <c r="Z939" t="s">
        <v>13618</v>
      </c>
      <c r="AA939" t="s">
        <v>13618</v>
      </c>
      <c r="AB939" t="s">
        <v>13618</v>
      </c>
      <c r="AC939" t="s">
        <v>13618</v>
      </c>
      <c r="AD939" t="s">
        <v>13618</v>
      </c>
    </row>
    <row r="940" spans="1:30">
      <c r="A940" t="s">
        <v>13619</v>
      </c>
      <c r="B940">
        <v>10</v>
      </c>
      <c r="C940">
        <v>6</v>
      </c>
      <c r="D940">
        <v>2016</v>
      </c>
      <c r="E940" s="1">
        <v>42649</v>
      </c>
      <c r="F940" t="s">
        <v>13620</v>
      </c>
      <c r="G940">
        <v>0</v>
      </c>
      <c r="H940">
        <v>1</v>
      </c>
      <c r="I940">
        <v>1</v>
      </c>
      <c r="J940">
        <v>0</v>
      </c>
      <c r="L940" t="s">
        <v>13621</v>
      </c>
      <c r="M940" t="s">
        <v>13622</v>
      </c>
      <c r="N940" t="s">
        <v>13623</v>
      </c>
      <c r="O940" t="s">
        <v>13624</v>
      </c>
      <c r="P940" t="s">
        <v>13625</v>
      </c>
      <c r="Q940" t="s">
        <v>13626</v>
      </c>
      <c r="R940" t="s">
        <v>13627</v>
      </c>
      <c r="S940" t="s">
        <v>13628</v>
      </c>
      <c r="T940" s="2">
        <v>0.8125</v>
      </c>
      <c r="U940">
        <v>3</v>
      </c>
      <c r="V940" t="s">
        <v>13629</v>
      </c>
      <c r="W940" t="s">
        <v>13630</v>
      </c>
      <c r="Z940" t="s">
        <v>13631</v>
      </c>
      <c r="AA940" t="s">
        <v>13631</v>
      </c>
      <c r="AD940" t="s">
        <v>13631</v>
      </c>
    </row>
    <row r="941" spans="1:30">
      <c r="A941" t="s">
        <v>13632</v>
      </c>
      <c r="B941">
        <v>9</v>
      </c>
      <c r="C941">
        <v>30</v>
      </c>
      <c r="D941">
        <v>2016</v>
      </c>
      <c r="E941" s="1">
        <v>42643</v>
      </c>
      <c r="F941" t="s">
        <v>13633</v>
      </c>
      <c r="G941">
        <v>0</v>
      </c>
      <c r="H941">
        <v>1</v>
      </c>
      <c r="I941">
        <v>1</v>
      </c>
      <c r="J941">
        <v>0</v>
      </c>
      <c r="K941" t="s">
        <v>13634</v>
      </c>
      <c r="L941" t="s">
        <v>13635</v>
      </c>
      <c r="M941" t="s">
        <v>13636</v>
      </c>
      <c r="N941" t="s">
        <v>13637</v>
      </c>
      <c r="O941" t="s">
        <v>13638</v>
      </c>
      <c r="P941" t="s">
        <v>13639</v>
      </c>
      <c r="Q941" t="s">
        <v>13639</v>
      </c>
      <c r="R941" t="s">
        <v>13640</v>
      </c>
      <c r="S941" t="s">
        <v>13641</v>
      </c>
      <c r="T941" s="2">
        <v>0.72916666666666674</v>
      </c>
      <c r="U941">
        <v>1</v>
      </c>
      <c r="V941" t="s">
        <v>13642</v>
      </c>
      <c r="W941" t="s">
        <v>13643</v>
      </c>
      <c r="Z941" t="s">
        <v>13644</v>
      </c>
      <c r="AA941" t="s">
        <v>13644</v>
      </c>
      <c r="AC941" t="s">
        <v>13644</v>
      </c>
      <c r="AD941" t="s">
        <v>13644</v>
      </c>
    </row>
    <row r="942" spans="1:30">
      <c r="A942" t="s">
        <v>13645</v>
      </c>
      <c r="B942">
        <v>9</v>
      </c>
      <c r="C942">
        <v>28</v>
      </c>
      <c r="D942">
        <v>2016</v>
      </c>
      <c r="E942" s="1">
        <v>42641</v>
      </c>
      <c r="F942" t="s">
        <v>13646</v>
      </c>
      <c r="G942">
        <v>1</v>
      </c>
      <c r="H942">
        <v>3</v>
      </c>
      <c r="I942">
        <v>4</v>
      </c>
      <c r="J942">
        <v>0</v>
      </c>
      <c r="K942" t="s">
        <v>13647</v>
      </c>
      <c r="L942" t="s">
        <v>13648</v>
      </c>
      <c r="M942" t="s">
        <v>13649</v>
      </c>
      <c r="N942" t="s">
        <v>13650</v>
      </c>
      <c r="O942" t="s">
        <v>13651</v>
      </c>
      <c r="P942" t="s">
        <v>13652</v>
      </c>
      <c r="Q942" t="s">
        <v>13653</v>
      </c>
      <c r="R942" t="s">
        <v>13654</v>
      </c>
      <c r="S942" t="s">
        <v>13655</v>
      </c>
      <c r="T942" s="2">
        <v>0.57291666666666663</v>
      </c>
      <c r="V942" t="s">
        <v>13656</v>
      </c>
      <c r="W942" t="s">
        <v>13657</v>
      </c>
      <c r="X942" t="s">
        <v>13658</v>
      </c>
      <c r="Y942" t="s">
        <v>13659</v>
      </c>
      <c r="Z942" t="s">
        <v>13659</v>
      </c>
      <c r="AA942" t="s">
        <v>13659</v>
      </c>
      <c r="AB942" t="s">
        <v>13660</v>
      </c>
      <c r="AC942" t="s">
        <v>13661</v>
      </c>
      <c r="AD942" t="s">
        <v>13662</v>
      </c>
    </row>
    <row r="943" spans="1:30">
      <c r="A943" t="s">
        <v>13663</v>
      </c>
      <c r="B943">
        <v>9</v>
      </c>
      <c r="C943">
        <v>28</v>
      </c>
      <c r="D943">
        <v>2016</v>
      </c>
      <c r="E943" s="1">
        <v>42641</v>
      </c>
      <c r="F943" t="s">
        <v>13664</v>
      </c>
      <c r="G943">
        <v>0</v>
      </c>
      <c r="H943">
        <v>0</v>
      </c>
      <c r="I943">
        <v>0</v>
      </c>
      <c r="J943">
        <v>0</v>
      </c>
      <c r="K943" t="s">
        <v>13665</v>
      </c>
      <c r="L943" t="s">
        <v>13666</v>
      </c>
      <c r="M943" t="s">
        <v>13667</v>
      </c>
      <c r="N943" t="s">
        <v>13668</v>
      </c>
      <c r="O943" t="s">
        <v>13669</v>
      </c>
      <c r="P943" t="s">
        <v>13670</v>
      </c>
      <c r="Q943" t="s">
        <v>13671</v>
      </c>
      <c r="R943" t="s">
        <v>13672</v>
      </c>
      <c r="S943" t="s">
        <v>13673</v>
      </c>
      <c r="T943" s="2">
        <v>0.41666666666666669</v>
      </c>
      <c r="U943">
        <v>90</v>
      </c>
      <c r="V943" t="s">
        <v>13674</v>
      </c>
      <c r="W943" t="s">
        <v>13675</v>
      </c>
      <c r="X943" t="s">
        <v>13676</v>
      </c>
      <c r="Y943" t="s">
        <v>13677</v>
      </c>
      <c r="Z943" t="s">
        <v>13677</v>
      </c>
      <c r="AA943" t="s">
        <v>13677</v>
      </c>
      <c r="AC943" t="s">
        <v>13677</v>
      </c>
      <c r="AD943" t="s">
        <v>13677</v>
      </c>
    </row>
    <row r="944" spans="1:30">
      <c r="A944" t="s">
        <v>13678</v>
      </c>
      <c r="B944">
        <v>9</v>
      </c>
      <c r="C944">
        <v>27</v>
      </c>
      <c r="D944">
        <v>2016</v>
      </c>
      <c r="E944" s="1">
        <v>42640</v>
      </c>
      <c r="F944" t="s">
        <v>13679</v>
      </c>
      <c r="G944">
        <v>0</v>
      </c>
      <c r="H944">
        <v>3</v>
      </c>
      <c r="I944">
        <v>3</v>
      </c>
      <c r="J944">
        <v>0</v>
      </c>
      <c r="L944" t="s">
        <v>13680</v>
      </c>
      <c r="M944" t="s">
        <v>13681</v>
      </c>
      <c r="N944" t="s">
        <v>13682</v>
      </c>
      <c r="O944" t="s">
        <v>13683</v>
      </c>
      <c r="P944" t="s">
        <v>13684</v>
      </c>
      <c r="Q944" t="s">
        <v>13685</v>
      </c>
      <c r="R944" t="s">
        <v>13686</v>
      </c>
      <c r="S944" t="s">
        <v>13687</v>
      </c>
      <c r="T944" s="2">
        <v>0.89583333333333337</v>
      </c>
      <c r="U944">
        <v>1</v>
      </c>
      <c r="V944" t="s">
        <v>13688</v>
      </c>
      <c r="W944" t="s">
        <v>13689</v>
      </c>
      <c r="Z944" t="s">
        <v>13690</v>
      </c>
      <c r="AA944" t="s">
        <v>13690</v>
      </c>
      <c r="AB944" t="s">
        <v>13690</v>
      </c>
      <c r="AC944" t="s">
        <v>13690</v>
      </c>
      <c r="AD944" t="s">
        <v>13690</v>
      </c>
    </row>
    <row r="945" spans="1:30">
      <c r="A945" t="s">
        <v>13691</v>
      </c>
      <c r="B945">
        <v>9</v>
      </c>
      <c r="C945">
        <v>26</v>
      </c>
      <c r="D945">
        <v>2016</v>
      </c>
      <c r="E945" s="1">
        <v>42639</v>
      </c>
      <c r="F945" t="s">
        <v>13692</v>
      </c>
      <c r="G945">
        <v>0</v>
      </c>
      <c r="H945">
        <v>1</v>
      </c>
      <c r="I945">
        <v>1</v>
      </c>
      <c r="J945">
        <v>0</v>
      </c>
      <c r="K945" t="s">
        <v>13693</v>
      </c>
      <c r="L945" t="s">
        <v>13694</v>
      </c>
      <c r="M945" t="s">
        <v>13695</v>
      </c>
      <c r="N945" t="s">
        <v>13696</v>
      </c>
      <c r="O945" t="s">
        <v>13697</v>
      </c>
      <c r="P945" t="s">
        <v>13698</v>
      </c>
      <c r="Q945" t="s">
        <v>13699</v>
      </c>
      <c r="R945" t="s">
        <v>13700</v>
      </c>
      <c r="S945" t="s">
        <v>13701</v>
      </c>
      <c r="T945" s="2">
        <v>0.60416666666666674</v>
      </c>
      <c r="U945">
        <v>1</v>
      </c>
      <c r="V945" t="s">
        <v>13702</v>
      </c>
      <c r="W945" t="s">
        <v>13703</v>
      </c>
      <c r="X945" t="s">
        <v>13704</v>
      </c>
      <c r="Z945" t="s">
        <v>13705</v>
      </c>
      <c r="AA945" t="s">
        <v>13705</v>
      </c>
      <c r="AB945" t="s">
        <v>13705</v>
      </c>
      <c r="AD945" t="s">
        <v>13705</v>
      </c>
    </row>
    <row r="946" spans="1:30">
      <c r="A946" t="s">
        <v>13706</v>
      </c>
      <c r="B946">
        <v>9</v>
      </c>
      <c r="C946">
        <v>9</v>
      </c>
      <c r="D946">
        <v>2016</v>
      </c>
      <c r="E946" s="1">
        <v>42622</v>
      </c>
      <c r="F946" t="s">
        <v>13707</v>
      </c>
      <c r="G946">
        <v>0</v>
      </c>
      <c r="H946">
        <v>0</v>
      </c>
      <c r="I946">
        <v>0</v>
      </c>
      <c r="J946">
        <v>1</v>
      </c>
      <c r="L946" t="s">
        <v>13708</v>
      </c>
      <c r="M946" t="s">
        <v>13709</v>
      </c>
      <c r="N946" t="s">
        <v>13710</v>
      </c>
      <c r="O946" t="s">
        <v>13711</v>
      </c>
      <c r="P946" t="s">
        <v>13712</v>
      </c>
      <c r="Q946" t="s">
        <v>13713</v>
      </c>
      <c r="R946" t="s">
        <v>13714</v>
      </c>
      <c r="S946" t="s">
        <v>13715</v>
      </c>
      <c r="T946" s="2">
        <v>0.32986111111111116</v>
      </c>
      <c r="U946">
        <v>1</v>
      </c>
      <c r="V946" t="s">
        <v>13716</v>
      </c>
      <c r="W946" t="s">
        <v>13717</v>
      </c>
      <c r="X946" t="s">
        <v>13718</v>
      </c>
      <c r="Y946" t="s">
        <v>13719</v>
      </c>
      <c r="Z946" t="s">
        <v>13719</v>
      </c>
      <c r="AA946" t="s">
        <v>13719</v>
      </c>
      <c r="AD946" t="s">
        <v>13719</v>
      </c>
    </row>
    <row r="947" spans="1:30">
      <c r="A947" t="s">
        <v>13720</v>
      </c>
      <c r="B947">
        <v>9</v>
      </c>
      <c r="C947">
        <v>9</v>
      </c>
      <c r="D947">
        <v>2016</v>
      </c>
      <c r="E947" s="1">
        <v>42622</v>
      </c>
      <c r="F947" t="s">
        <v>13721</v>
      </c>
      <c r="G947">
        <v>0</v>
      </c>
      <c r="H947">
        <v>2</v>
      </c>
      <c r="I947">
        <v>2</v>
      </c>
      <c r="J947">
        <v>0</v>
      </c>
      <c r="L947" t="s">
        <v>13722</v>
      </c>
      <c r="M947" t="s">
        <v>13723</v>
      </c>
      <c r="N947" t="s">
        <v>13724</v>
      </c>
      <c r="O947" t="s">
        <v>13725</v>
      </c>
      <c r="P947" t="s">
        <v>13726</v>
      </c>
      <c r="Q947" t="s">
        <v>13727</v>
      </c>
      <c r="R947" t="s">
        <v>13728</v>
      </c>
      <c r="S947" t="s">
        <v>13729</v>
      </c>
      <c r="T947" s="2">
        <v>0.89583333333333337</v>
      </c>
      <c r="U947">
        <v>1</v>
      </c>
      <c r="V947" t="s">
        <v>13730</v>
      </c>
      <c r="W947" t="s">
        <v>13731</v>
      </c>
      <c r="X947" t="s">
        <v>13732</v>
      </c>
      <c r="Z947" t="s">
        <v>13733</v>
      </c>
      <c r="AA947" t="s">
        <v>13733</v>
      </c>
      <c r="AB947" t="s">
        <v>13733</v>
      </c>
      <c r="AC947" t="s">
        <v>13733</v>
      </c>
      <c r="AD947" t="s">
        <v>13733</v>
      </c>
    </row>
    <row r="948" spans="1:30">
      <c r="A948" t="s">
        <v>13734</v>
      </c>
      <c r="B948">
        <v>9</v>
      </c>
      <c r="C948">
        <v>8</v>
      </c>
      <c r="D948">
        <v>2016</v>
      </c>
      <c r="E948" s="1">
        <v>42621</v>
      </c>
      <c r="F948" t="s">
        <v>13735</v>
      </c>
      <c r="G948">
        <v>0</v>
      </c>
      <c r="H948">
        <v>2</v>
      </c>
      <c r="I948">
        <v>2</v>
      </c>
      <c r="J948">
        <v>1</v>
      </c>
      <c r="K948" t="s">
        <v>13736</v>
      </c>
      <c r="L948" t="s">
        <v>13737</v>
      </c>
      <c r="M948" t="s">
        <v>13738</v>
      </c>
      <c r="N948" t="s">
        <v>13739</v>
      </c>
      <c r="O948" t="s">
        <v>13740</v>
      </c>
      <c r="P948" t="s">
        <v>13741</v>
      </c>
      <c r="Q948" t="s">
        <v>13742</v>
      </c>
      <c r="R948" t="s">
        <v>13743</v>
      </c>
      <c r="S948" t="s">
        <v>13744</v>
      </c>
      <c r="T948" s="2">
        <v>0.375</v>
      </c>
      <c r="U948">
        <v>1</v>
      </c>
      <c r="V948" t="s">
        <v>13745</v>
      </c>
      <c r="W948" t="s">
        <v>13746</v>
      </c>
      <c r="X948" t="s">
        <v>13747</v>
      </c>
      <c r="Y948" t="s">
        <v>13748</v>
      </c>
      <c r="Z948" t="s">
        <v>13748</v>
      </c>
      <c r="AA948" t="s">
        <v>13748</v>
      </c>
      <c r="AB948" t="s">
        <v>13748</v>
      </c>
      <c r="AC948" t="s">
        <v>13749</v>
      </c>
      <c r="AD948" t="s">
        <v>13750</v>
      </c>
    </row>
    <row r="949" spans="1:30">
      <c r="A949" t="s">
        <v>13751</v>
      </c>
      <c r="B949">
        <v>9</v>
      </c>
      <c r="C949">
        <v>7</v>
      </c>
      <c r="D949">
        <v>2016</v>
      </c>
      <c r="E949" s="1">
        <v>42620</v>
      </c>
      <c r="F949" t="s">
        <v>13752</v>
      </c>
      <c r="G949">
        <v>0</v>
      </c>
      <c r="H949">
        <v>0</v>
      </c>
      <c r="I949">
        <v>0</v>
      </c>
      <c r="J949">
        <v>0</v>
      </c>
      <c r="L949" t="s">
        <v>13753</v>
      </c>
      <c r="M949" t="s">
        <v>13754</v>
      </c>
      <c r="N949" t="s">
        <v>13755</v>
      </c>
      <c r="O949" t="s">
        <v>13756</v>
      </c>
      <c r="P949" t="s">
        <v>13757</v>
      </c>
      <c r="Q949" t="s">
        <v>13758</v>
      </c>
      <c r="R949" t="s">
        <v>13759</v>
      </c>
      <c r="S949" t="s">
        <v>13760</v>
      </c>
      <c r="T949" s="2">
        <v>0.29166666666666669</v>
      </c>
      <c r="V949" t="s">
        <v>13761</v>
      </c>
      <c r="W949" t="s">
        <v>13762</v>
      </c>
      <c r="X949" t="s">
        <v>13763</v>
      </c>
      <c r="Z949" t="s">
        <v>13764</v>
      </c>
      <c r="AA949" t="s">
        <v>13764</v>
      </c>
      <c r="AD949" t="s">
        <v>13764</v>
      </c>
    </row>
    <row r="950" spans="1:30">
      <c r="A950" t="s">
        <v>13765</v>
      </c>
      <c r="B950">
        <v>9</v>
      </c>
      <c r="C950">
        <v>2</v>
      </c>
      <c r="D950">
        <v>2016</v>
      </c>
      <c r="E950" s="1">
        <v>42615</v>
      </c>
      <c r="F950" t="s">
        <v>13766</v>
      </c>
      <c r="G950">
        <v>0</v>
      </c>
      <c r="H950">
        <v>1</v>
      </c>
      <c r="I950">
        <v>1</v>
      </c>
      <c r="J950">
        <v>0</v>
      </c>
      <c r="K950" t="s">
        <v>13767</v>
      </c>
      <c r="L950" t="s">
        <v>13768</v>
      </c>
      <c r="M950" t="s">
        <v>13769</v>
      </c>
      <c r="N950" t="s">
        <v>13770</v>
      </c>
      <c r="O950" t="s">
        <v>13771</v>
      </c>
      <c r="P950" t="s">
        <v>13772</v>
      </c>
      <c r="Q950" t="s">
        <v>13773</v>
      </c>
      <c r="R950" t="s">
        <v>13774</v>
      </c>
      <c r="S950" t="s">
        <v>13775</v>
      </c>
      <c r="T950" s="2">
        <v>0.88541666666666663</v>
      </c>
      <c r="U950">
        <v>1</v>
      </c>
      <c r="V950" t="s">
        <v>13776</v>
      </c>
      <c r="W950" t="s">
        <v>13777</v>
      </c>
      <c r="X950" t="s">
        <v>13778</v>
      </c>
      <c r="Z950" t="s">
        <v>13779</v>
      </c>
      <c r="AA950" t="s">
        <v>13779</v>
      </c>
      <c r="AB950" t="s">
        <v>13779</v>
      </c>
      <c r="AC950" t="s">
        <v>13779</v>
      </c>
      <c r="AD950" t="s">
        <v>13779</v>
      </c>
    </row>
    <row r="951" spans="1:30">
      <c r="A951" t="s">
        <v>13780</v>
      </c>
      <c r="B951">
        <v>8</v>
      </c>
      <c r="C951">
        <v>19</v>
      </c>
      <c r="D951">
        <v>2016</v>
      </c>
      <c r="E951" s="1">
        <v>42601</v>
      </c>
      <c r="F951" t="s">
        <v>13781</v>
      </c>
      <c r="G951">
        <v>0</v>
      </c>
      <c r="H951">
        <v>0</v>
      </c>
      <c r="I951">
        <v>0</v>
      </c>
      <c r="J951">
        <v>0</v>
      </c>
      <c r="L951" t="s">
        <v>13782</v>
      </c>
      <c r="M951" t="s">
        <v>13783</v>
      </c>
      <c r="N951" t="s">
        <v>13784</v>
      </c>
      <c r="O951" t="s">
        <v>13785</v>
      </c>
      <c r="P951" t="s">
        <v>13786</v>
      </c>
      <c r="Q951" t="s">
        <v>13787</v>
      </c>
      <c r="R951" t="s">
        <v>13788</v>
      </c>
      <c r="S951" t="s">
        <v>13789</v>
      </c>
      <c r="T951" s="2">
        <v>0.90277777777777779</v>
      </c>
      <c r="U951">
        <v>1</v>
      </c>
      <c r="V951" t="s">
        <v>13790</v>
      </c>
      <c r="W951" t="s">
        <v>13791</v>
      </c>
      <c r="Y951" t="s">
        <v>13792</v>
      </c>
      <c r="Z951" t="s">
        <v>13792</v>
      </c>
      <c r="AA951" t="s">
        <v>13792</v>
      </c>
      <c r="AB951" t="s">
        <v>13792</v>
      </c>
      <c r="AC951" t="s">
        <v>13792</v>
      </c>
      <c r="AD951" t="s">
        <v>13792</v>
      </c>
    </row>
    <row r="952" spans="1:30">
      <c r="A952" t="s">
        <v>13793</v>
      </c>
      <c r="B952">
        <v>8</v>
      </c>
      <c r="C952">
        <v>17</v>
      </c>
      <c r="D952">
        <v>2016</v>
      </c>
      <c r="E952" s="1">
        <v>42599</v>
      </c>
      <c r="F952" t="s">
        <v>13794</v>
      </c>
      <c r="G952">
        <v>0</v>
      </c>
      <c r="H952">
        <v>2</v>
      </c>
      <c r="I952">
        <v>2</v>
      </c>
      <c r="J952">
        <v>0</v>
      </c>
      <c r="K952" t="s">
        <v>13795</v>
      </c>
      <c r="L952" t="s">
        <v>13796</v>
      </c>
      <c r="M952" t="s">
        <v>13797</v>
      </c>
      <c r="N952" t="s">
        <v>13798</v>
      </c>
      <c r="O952" t="s">
        <v>13799</v>
      </c>
      <c r="P952" t="s">
        <v>13800</v>
      </c>
      <c r="Q952" t="s">
        <v>13801</v>
      </c>
      <c r="R952" t="s">
        <v>13802</v>
      </c>
      <c r="S952" t="s">
        <v>13803</v>
      </c>
      <c r="T952" s="2">
        <v>0.84027777777777779</v>
      </c>
      <c r="U952">
        <v>1</v>
      </c>
      <c r="V952" t="s">
        <v>13804</v>
      </c>
      <c r="W952" t="s">
        <v>13805</v>
      </c>
      <c r="Z952" t="s">
        <v>13806</v>
      </c>
      <c r="AA952" t="s">
        <v>13806</v>
      </c>
      <c r="AC952" t="s">
        <v>13806</v>
      </c>
      <c r="AD952" t="s">
        <v>13806</v>
      </c>
    </row>
    <row r="953" spans="1:30">
      <c r="A953" t="s">
        <v>13807</v>
      </c>
      <c r="B953">
        <v>7</v>
      </c>
      <c r="C953">
        <v>25</v>
      </c>
      <c r="D953">
        <v>2016</v>
      </c>
      <c r="E953" s="1">
        <v>42576</v>
      </c>
      <c r="F953" t="s">
        <v>13808</v>
      </c>
      <c r="G953">
        <v>0</v>
      </c>
      <c r="H953">
        <v>1</v>
      </c>
      <c r="I953">
        <v>1</v>
      </c>
      <c r="J953">
        <v>1</v>
      </c>
      <c r="L953" t="s">
        <v>13809</v>
      </c>
      <c r="M953" t="s">
        <v>13810</v>
      </c>
      <c r="N953" t="s">
        <v>13811</v>
      </c>
      <c r="O953" t="s">
        <v>13812</v>
      </c>
      <c r="P953" t="s">
        <v>13813</v>
      </c>
      <c r="Q953" t="s">
        <v>13814</v>
      </c>
      <c r="R953" t="s">
        <v>13815</v>
      </c>
      <c r="S953" t="s">
        <v>13816</v>
      </c>
      <c r="T953" s="2">
        <v>7.2916666666666657E-2</v>
      </c>
      <c r="U953">
        <v>2</v>
      </c>
      <c r="V953" t="s">
        <v>13817</v>
      </c>
      <c r="W953" t="s">
        <v>13818</v>
      </c>
      <c r="X953" t="s">
        <v>13819</v>
      </c>
      <c r="Y953" t="s">
        <v>13820</v>
      </c>
      <c r="Z953" t="s">
        <v>13820</v>
      </c>
      <c r="AA953" t="s">
        <v>13820</v>
      </c>
      <c r="AB953" t="s">
        <v>13820</v>
      </c>
      <c r="AC953" t="s">
        <v>13820</v>
      </c>
      <c r="AD953" t="s">
        <v>13820</v>
      </c>
    </row>
    <row r="954" spans="1:30">
      <c r="A954" t="s">
        <v>13821</v>
      </c>
      <c r="B954">
        <v>6</v>
      </c>
      <c r="C954">
        <v>30</v>
      </c>
      <c r="D954">
        <v>2016</v>
      </c>
      <c r="E954" s="1">
        <v>42551</v>
      </c>
      <c r="F954" t="s">
        <v>13822</v>
      </c>
      <c r="G954">
        <v>0</v>
      </c>
      <c r="H954">
        <v>1</v>
      </c>
      <c r="I954">
        <v>1</v>
      </c>
      <c r="J954">
        <v>0</v>
      </c>
      <c r="K954" t="s">
        <v>13823</v>
      </c>
      <c r="L954" t="s">
        <v>13824</v>
      </c>
      <c r="M954" t="s">
        <v>13825</v>
      </c>
      <c r="N954" t="s">
        <v>13826</v>
      </c>
      <c r="O954" t="s">
        <v>13827</v>
      </c>
      <c r="P954" t="s">
        <v>13828</v>
      </c>
      <c r="Q954" t="s">
        <v>13828</v>
      </c>
      <c r="R954" t="s">
        <v>13829</v>
      </c>
      <c r="S954" t="s">
        <v>13830</v>
      </c>
      <c r="T954" s="2">
        <v>0.81597222222222221</v>
      </c>
      <c r="U954">
        <v>1</v>
      </c>
      <c r="V954" t="s">
        <v>13831</v>
      </c>
      <c r="W954" t="s">
        <v>13832</v>
      </c>
      <c r="Z954" t="s">
        <v>13833</v>
      </c>
      <c r="AA954" t="s">
        <v>13833</v>
      </c>
      <c r="AC954" t="s">
        <v>13833</v>
      </c>
      <c r="AD954" t="s">
        <v>13833</v>
      </c>
    </row>
    <row r="955" spans="1:30">
      <c r="A955" t="s">
        <v>13834</v>
      </c>
      <c r="B955">
        <v>6</v>
      </c>
      <c r="C955">
        <v>16</v>
      </c>
      <c r="D955">
        <v>2016</v>
      </c>
      <c r="E955" s="1">
        <v>42537</v>
      </c>
      <c r="F955" t="s">
        <v>13835</v>
      </c>
      <c r="G955">
        <v>1</v>
      </c>
      <c r="H955">
        <v>0</v>
      </c>
      <c r="I955">
        <v>1</v>
      </c>
      <c r="J955">
        <v>0</v>
      </c>
      <c r="K955" t="s">
        <v>13836</v>
      </c>
      <c r="L955" t="s">
        <v>13837</v>
      </c>
      <c r="M955" t="s">
        <v>13838</v>
      </c>
      <c r="N955" t="s">
        <v>13839</v>
      </c>
      <c r="O955" t="s">
        <v>13840</v>
      </c>
      <c r="P955" t="s">
        <v>13841</v>
      </c>
      <c r="Q955" t="s">
        <v>13842</v>
      </c>
      <c r="R955" t="s">
        <v>13843</v>
      </c>
      <c r="S955" t="s">
        <v>13844</v>
      </c>
      <c r="T955" s="2">
        <v>0.52083333333333337</v>
      </c>
      <c r="U955">
        <v>1</v>
      </c>
      <c r="V955" t="s">
        <v>13845</v>
      </c>
      <c r="W955" t="s">
        <v>13846</v>
      </c>
      <c r="X955" t="s">
        <v>13847</v>
      </c>
      <c r="Z955" t="s">
        <v>13848</v>
      </c>
      <c r="AA955" t="s">
        <v>13848</v>
      </c>
      <c r="AC955" t="s">
        <v>13848</v>
      </c>
      <c r="AD955" t="s">
        <v>13848</v>
      </c>
    </row>
    <row r="956" spans="1:30">
      <c r="A956" t="s">
        <v>13849</v>
      </c>
      <c r="B956">
        <v>6</v>
      </c>
      <c r="C956">
        <v>8</v>
      </c>
      <c r="D956">
        <v>2016</v>
      </c>
      <c r="E956" s="1">
        <v>42529</v>
      </c>
      <c r="F956" t="s">
        <v>13850</v>
      </c>
      <c r="G956">
        <v>1</v>
      </c>
      <c r="H956">
        <v>3</v>
      </c>
      <c r="I956">
        <v>4</v>
      </c>
      <c r="J956">
        <v>0</v>
      </c>
      <c r="K956" t="s">
        <v>13851</v>
      </c>
      <c r="L956" t="s">
        <v>13852</v>
      </c>
      <c r="M956" t="s">
        <v>13853</v>
      </c>
      <c r="N956" t="s">
        <v>13854</v>
      </c>
      <c r="O956" t="s">
        <v>13855</v>
      </c>
      <c r="P956" t="s">
        <v>13856</v>
      </c>
      <c r="Q956" t="s">
        <v>13857</v>
      </c>
      <c r="R956" t="s">
        <v>13858</v>
      </c>
      <c r="S956" t="s">
        <v>13859</v>
      </c>
      <c r="T956" s="2">
        <v>0.54166666666666663</v>
      </c>
      <c r="U956">
        <v>1</v>
      </c>
      <c r="V956" t="s">
        <v>13860</v>
      </c>
      <c r="W956" t="s">
        <v>13861</v>
      </c>
      <c r="X956" t="s">
        <v>13862</v>
      </c>
      <c r="Z956" t="s">
        <v>13863</v>
      </c>
      <c r="AA956" t="s">
        <v>13863</v>
      </c>
      <c r="AB956" t="s">
        <v>13863</v>
      </c>
      <c r="AC956" t="s">
        <v>13863</v>
      </c>
      <c r="AD956" t="s">
        <v>13863</v>
      </c>
    </row>
    <row r="957" spans="1:30">
      <c r="A957" t="s">
        <v>13864</v>
      </c>
      <c r="B957">
        <v>5</v>
      </c>
      <c r="C957">
        <v>15</v>
      </c>
      <c r="D957">
        <v>2016</v>
      </c>
      <c r="E957" s="1">
        <v>42505</v>
      </c>
      <c r="F957" t="s">
        <v>13865</v>
      </c>
      <c r="G957">
        <v>0</v>
      </c>
      <c r="H957">
        <v>1</v>
      </c>
      <c r="I957">
        <v>1</v>
      </c>
      <c r="J957">
        <v>0</v>
      </c>
      <c r="K957" t="s">
        <v>13866</v>
      </c>
      <c r="L957" t="s">
        <v>13867</v>
      </c>
      <c r="M957" t="s">
        <v>13868</v>
      </c>
      <c r="N957" t="s">
        <v>13869</v>
      </c>
      <c r="O957" t="s">
        <v>13870</v>
      </c>
      <c r="P957" t="s">
        <v>13871</v>
      </c>
      <c r="Q957" t="s">
        <v>13872</v>
      </c>
      <c r="R957" t="s">
        <v>13873</v>
      </c>
      <c r="S957" t="s">
        <v>13874</v>
      </c>
      <c r="T957" s="2">
        <v>0.57986111111111105</v>
      </c>
      <c r="U957">
        <v>1</v>
      </c>
      <c r="V957" t="s">
        <v>13875</v>
      </c>
      <c r="W957" t="s">
        <v>13876</v>
      </c>
      <c r="X957" t="s">
        <v>13877</v>
      </c>
      <c r="Y957" t="s">
        <v>13878</v>
      </c>
      <c r="Z957" t="s">
        <v>13878</v>
      </c>
      <c r="AA957" t="s">
        <v>13878</v>
      </c>
      <c r="AB957" t="s">
        <v>13878</v>
      </c>
      <c r="AC957" t="s">
        <v>13878</v>
      </c>
      <c r="AD957" t="s">
        <v>13878</v>
      </c>
    </row>
    <row r="958" spans="1:30">
      <c r="A958" t="s">
        <v>13879</v>
      </c>
      <c r="B958">
        <v>5</v>
      </c>
      <c r="C958">
        <v>13</v>
      </c>
      <c r="D958">
        <v>2016</v>
      </c>
      <c r="E958" s="1">
        <v>42503</v>
      </c>
      <c r="F958" t="s">
        <v>13880</v>
      </c>
      <c r="G958">
        <v>0</v>
      </c>
      <c r="H958">
        <v>0</v>
      </c>
      <c r="I958">
        <v>0</v>
      </c>
      <c r="J958">
        <v>0</v>
      </c>
      <c r="K958" t="s">
        <v>13881</v>
      </c>
      <c r="L958" t="s">
        <v>13882</v>
      </c>
      <c r="M958" t="s">
        <v>13883</v>
      </c>
      <c r="N958" t="s">
        <v>13884</v>
      </c>
      <c r="O958" t="s">
        <v>13885</v>
      </c>
      <c r="P958" t="s">
        <v>13886</v>
      </c>
      <c r="Q958" t="s">
        <v>13887</v>
      </c>
      <c r="R958" t="s">
        <v>13888</v>
      </c>
      <c r="S958" t="s">
        <v>13889</v>
      </c>
      <c r="T958" s="2">
        <v>0.35416666666666663</v>
      </c>
      <c r="U958">
        <v>1</v>
      </c>
      <c r="V958" t="s">
        <v>13890</v>
      </c>
      <c r="W958" t="s">
        <v>13891</v>
      </c>
      <c r="X958" t="s">
        <v>13892</v>
      </c>
      <c r="Y958" t="s">
        <v>13893</v>
      </c>
      <c r="Z958" t="s">
        <v>13893</v>
      </c>
      <c r="AA958" t="s">
        <v>13893</v>
      </c>
      <c r="AB958" t="s">
        <v>13893</v>
      </c>
      <c r="AC958" t="s">
        <v>13893</v>
      </c>
      <c r="AD958" t="s">
        <v>13893</v>
      </c>
    </row>
    <row r="959" spans="1:30">
      <c r="A959" t="s">
        <v>13894</v>
      </c>
      <c r="B959">
        <v>5</v>
      </c>
      <c r="C959">
        <v>6</v>
      </c>
      <c r="D959">
        <v>2016</v>
      </c>
      <c r="E959" s="1">
        <v>42496</v>
      </c>
      <c r="F959" t="s">
        <v>13895</v>
      </c>
      <c r="G959">
        <v>0</v>
      </c>
      <c r="H959">
        <v>0</v>
      </c>
      <c r="I959">
        <v>0</v>
      </c>
      <c r="J959">
        <v>0</v>
      </c>
      <c r="L959" t="s">
        <v>13896</v>
      </c>
      <c r="M959" t="s">
        <v>13897</v>
      </c>
      <c r="N959" t="s">
        <v>13898</v>
      </c>
      <c r="O959" t="s">
        <v>13899</v>
      </c>
      <c r="P959" t="s">
        <v>13900</v>
      </c>
      <c r="Q959" t="s">
        <v>13901</v>
      </c>
      <c r="R959" t="s">
        <v>13902</v>
      </c>
      <c r="S959" t="s">
        <v>13903</v>
      </c>
      <c r="T959" s="2">
        <v>0.53125</v>
      </c>
      <c r="U959">
        <v>1</v>
      </c>
      <c r="V959" t="s">
        <v>13904</v>
      </c>
      <c r="W959" t="s">
        <v>13905</v>
      </c>
      <c r="X959" t="s">
        <v>13906</v>
      </c>
      <c r="Y959" t="s">
        <v>13907</v>
      </c>
      <c r="Z959" t="s">
        <v>13908</v>
      </c>
      <c r="AA959" t="s">
        <v>13908</v>
      </c>
      <c r="AB959" t="s">
        <v>13909</v>
      </c>
      <c r="AC959" t="s">
        <v>13909</v>
      </c>
      <c r="AD959" t="s">
        <v>13910</v>
      </c>
    </row>
    <row r="960" spans="1:30">
      <c r="A960" t="s">
        <v>13911</v>
      </c>
      <c r="B960">
        <v>5</v>
      </c>
      <c r="C960">
        <v>6</v>
      </c>
      <c r="D960">
        <v>2016</v>
      </c>
      <c r="E960" s="1">
        <v>42496</v>
      </c>
      <c r="F960" t="s">
        <v>13912</v>
      </c>
      <c r="G960">
        <v>0</v>
      </c>
      <c r="H960">
        <v>0</v>
      </c>
      <c r="I960">
        <v>0</v>
      </c>
      <c r="J960">
        <v>0</v>
      </c>
      <c r="L960" t="s">
        <v>13913</v>
      </c>
      <c r="M960" t="s">
        <v>13914</v>
      </c>
      <c r="N960" t="s">
        <v>13915</v>
      </c>
      <c r="O960" t="s">
        <v>13916</v>
      </c>
      <c r="P960" t="s">
        <v>13917</v>
      </c>
      <c r="Q960" t="s">
        <v>13918</v>
      </c>
      <c r="R960" t="s">
        <v>13919</v>
      </c>
      <c r="U960">
        <v>1</v>
      </c>
      <c r="V960" t="s">
        <v>13920</v>
      </c>
      <c r="W960" t="s">
        <v>13921</v>
      </c>
      <c r="X960" t="s">
        <v>13922</v>
      </c>
      <c r="Y960" t="s">
        <v>13923</v>
      </c>
      <c r="Z960" t="s">
        <v>13923</v>
      </c>
      <c r="AA960" t="s">
        <v>13923</v>
      </c>
      <c r="AB960" t="s">
        <v>13923</v>
      </c>
      <c r="AC960" t="s">
        <v>13923</v>
      </c>
      <c r="AD960" t="s">
        <v>13923</v>
      </c>
    </row>
    <row r="961" spans="1:30">
      <c r="A961" t="s">
        <v>13924</v>
      </c>
      <c r="B961">
        <v>5</v>
      </c>
      <c r="C961">
        <v>5</v>
      </c>
      <c r="D961">
        <v>2016</v>
      </c>
      <c r="E961" s="1">
        <v>42495</v>
      </c>
      <c r="F961" t="s">
        <v>13925</v>
      </c>
      <c r="G961">
        <v>1</v>
      </c>
      <c r="H961">
        <v>1</v>
      </c>
      <c r="I961">
        <v>2</v>
      </c>
      <c r="J961">
        <v>0</v>
      </c>
      <c r="K961" t="s">
        <v>13926</v>
      </c>
      <c r="L961" t="s">
        <v>13927</v>
      </c>
      <c r="M961" t="s">
        <v>13928</v>
      </c>
      <c r="N961" t="s">
        <v>13929</v>
      </c>
      <c r="O961" t="s">
        <v>13930</v>
      </c>
      <c r="P961" t="s">
        <v>13931</v>
      </c>
      <c r="Q961" t="s">
        <v>13932</v>
      </c>
      <c r="R961" t="s">
        <v>13933</v>
      </c>
      <c r="S961" t="s">
        <v>13934</v>
      </c>
      <c r="T961" s="2">
        <v>0.69444444444444442</v>
      </c>
      <c r="U961">
        <v>1</v>
      </c>
      <c r="V961" t="s">
        <v>13935</v>
      </c>
      <c r="W961" t="s">
        <v>13936</v>
      </c>
      <c r="X961" t="s">
        <v>13937</v>
      </c>
      <c r="Z961" t="s">
        <v>13938</v>
      </c>
      <c r="AA961" t="s">
        <v>13938</v>
      </c>
      <c r="AC961" t="s">
        <v>13939</v>
      </c>
      <c r="AD961" t="s">
        <v>13940</v>
      </c>
    </row>
    <row r="962" spans="1:30">
      <c r="A962" t="s">
        <v>13941</v>
      </c>
      <c r="B962">
        <v>5</v>
      </c>
      <c r="C962">
        <v>4</v>
      </c>
      <c r="D962">
        <v>2016</v>
      </c>
      <c r="E962" s="1">
        <v>42494</v>
      </c>
      <c r="F962" t="s">
        <v>13942</v>
      </c>
      <c r="G962">
        <v>0</v>
      </c>
      <c r="H962">
        <v>1</v>
      </c>
      <c r="I962">
        <v>1</v>
      </c>
      <c r="J962">
        <v>1</v>
      </c>
      <c r="K962" t="s">
        <v>13943</v>
      </c>
      <c r="L962" t="s">
        <v>13944</v>
      </c>
      <c r="M962" t="s">
        <v>13945</v>
      </c>
      <c r="N962" t="s">
        <v>13946</v>
      </c>
      <c r="O962" t="s">
        <v>13947</v>
      </c>
      <c r="P962" t="s">
        <v>13948</v>
      </c>
      <c r="Q962" t="s">
        <v>13949</v>
      </c>
      <c r="R962" t="s">
        <v>13950</v>
      </c>
      <c r="S962" t="s">
        <v>13951</v>
      </c>
      <c r="T962" s="2">
        <v>0.625</v>
      </c>
      <c r="U962">
        <v>1</v>
      </c>
      <c r="V962" t="s">
        <v>13952</v>
      </c>
      <c r="W962" t="s">
        <v>13953</v>
      </c>
      <c r="X962" t="s">
        <v>13954</v>
      </c>
      <c r="Y962" t="s">
        <v>13955</v>
      </c>
      <c r="Z962" t="s">
        <v>13955</v>
      </c>
      <c r="AA962" t="s">
        <v>13955</v>
      </c>
      <c r="AC962" t="s">
        <v>13955</v>
      </c>
      <c r="AD962" t="s">
        <v>13955</v>
      </c>
    </row>
    <row r="963" spans="1:30">
      <c r="A963" t="s">
        <v>13956</v>
      </c>
      <c r="B963">
        <v>5</v>
      </c>
      <c r="C963">
        <v>2</v>
      </c>
      <c r="D963">
        <v>2016</v>
      </c>
      <c r="E963" s="1">
        <v>42492</v>
      </c>
      <c r="F963" t="s">
        <v>13957</v>
      </c>
      <c r="G963">
        <v>0</v>
      </c>
      <c r="H963">
        <v>0</v>
      </c>
      <c r="I963">
        <v>0</v>
      </c>
      <c r="J963">
        <v>0</v>
      </c>
      <c r="L963" t="s">
        <v>13958</v>
      </c>
      <c r="M963" t="s">
        <v>13959</v>
      </c>
      <c r="N963" t="s">
        <v>13960</v>
      </c>
      <c r="O963" t="s">
        <v>13961</v>
      </c>
      <c r="P963" t="s">
        <v>13962</v>
      </c>
      <c r="Q963" t="s">
        <v>13963</v>
      </c>
      <c r="R963" t="s">
        <v>13964</v>
      </c>
      <c r="S963" t="s">
        <v>13965</v>
      </c>
      <c r="T963" s="2">
        <v>0.33333333333333331</v>
      </c>
      <c r="U963">
        <v>1</v>
      </c>
      <c r="V963" t="s">
        <v>13966</v>
      </c>
      <c r="W963" t="s">
        <v>13967</v>
      </c>
      <c r="X963" t="s">
        <v>13968</v>
      </c>
      <c r="Y963" t="s">
        <v>13969</v>
      </c>
      <c r="Z963" t="s">
        <v>13969</v>
      </c>
      <c r="AA963" t="s">
        <v>13969</v>
      </c>
      <c r="AB963" t="s">
        <v>13970</v>
      </c>
      <c r="AC963" t="s">
        <v>13971</v>
      </c>
      <c r="AD963" t="s">
        <v>13971</v>
      </c>
    </row>
    <row r="964" spans="1:30">
      <c r="A964" t="s">
        <v>13972</v>
      </c>
      <c r="B964">
        <v>4</v>
      </c>
      <c r="C964">
        <v>23</v>
      </c>
      <c r="D964">
        <v>2016</v>
      </c>
      <c r="E964" s="1">
        <v>42483</v>
      </c>
      <c r="F964" t="s">
        <v>13973</v>
      </c>
      <c r="G964">
        <v>0</v>
      </c>
      <c r="H964">
        <v>2</v>
      </c>
      <c r="I964">
        <v>2</v>
      </c>
      <c r="J964">
        <v>1</v>
      </c>
      <c r="K964" t="s">
        <v>13974</v>
      </c>
      <c r="L964" t="s">
        <v>13975</v>
      </c>
      <c r="M964" t="s">
        <v>13976</v>
      </c>
      <c r="N964" t="s">
        <v>13977</v>
      </c>
      <c r="O964" t="s">
        <v>13978</v>
      </c>
      <c r="P964" t="s">
        <v>13979</v>
      </c>
      <c r="Q964" t="s">
        <v>13980</v>
      </c>
      <c r="R964" t="s">
        <v>13981</v>
      </c>
      <c r="S964" t="s">
        <v>13982</v>
      </c>
      <c r="T964" s="2">
        <v>0.95833333333333337</v>
      </c>
      <c r="U964">
        <v>1</v>
      </c>
      <c r="V964" t="s">
        <v>13983</v>
      </c>
      <c r="W964" t="s">
        <v>13984</v>
      </c>
      <c r="X964" t="s">
        <v>13985</v>
      </c>
      <c r="Y964" t="s">
        <v>13986</v>
      </c>
      <c r="Z964" t="s">
        <v>13986</v>
      </c>
      <c r="AA964" t="s">
        <v>13986</v>
      </c>
      <c r="AB964" t="s">
        <v>13987</v>
      </c>
      <c r="AC964" t="s">
        <v>13987</v>
      </c>
      <c r="AD964" t="s">
        <v>13987</v>
      </c>
    </row>
    <row r="965" spans="1:30">
      <c r="A965" t="s">
        <v>13988</v>
      </c>
      <c r="B965">
        <v>3</v>
      </c>
      <c r="C965">
        <v>15</v>
      </c>
      <c r="D965">
        <v>2016</v>
      </c>
      <c r="E965" s="1">
        <v>42444</v>
      </c>
      <c r="F965" t="s">
        <v>13989</v>
      </c>
      <c r="G965">
        <v>0</v>
      </c>
      <c r="H965">
        <v>1</v>
      </c>
      <c r="I965">
        <v>1</v>
      </c>
      <c r="J965">
        <v>0</v>
      </c>
      <c r="K965" t="s">
        <v>13990</v>
      </c>
      <c r="L965" t="s">
        <v>13991</v>
      </c>
      <c r="M965" t="s">
        <v>13992</v>
      </c>
      <c r="N965" t="s">
        <v>13993</v>
      </c>
      <c r="O965" t="s">
        <v>13994</v>
      </c>
      <c r="P965" t="s">
        <v>13995</v>
      </c>
      <c r="Q965" t="s">
        <v>13996</v>
      </c>
      <c r="R965" t="s">
        <v>13997</v>
      </c>
      <c r="S965" t="s">
        <v>13998</v>
      </c>
      <c r="T965" s="2">
        <v>0.60416666666666674</v>
      </c>
      <c r="U965">
        <v>1</v>
      </c>
      <c r="V965" t="s">
        <v>13999</v>
      </c>
      <c r="W965" t="s">
        <v>14000</v>
      </c>
      <c r="X965" t="s">
        <v>14001</v>
      </c>
      <c r="Y965" t="s">
        <v>14002</v>
      </c>
      <c r="Z965" t="s">
        <v>14002</v>
      </c>
      <c r="AA965" t="s">
        <v>14002</v>
      </c>
      <c r="AB965" t="s">
        <v>14002</v>
      </c>
      <c r="AC965" t="s">
        <v>14002</v>
      </c>
      <c r="AD965" t="s">
        <v>14002</v>
      </c>
    </row>
    <row r="966" spans="1:30">
      <c r="A966" t="s">
        <v>14003</v>
      </c>
      <c r="B966">
        <v>2</v>
      </c>
      <c r="C966">
        <v>29</v>
      </c>
      <c r="D966">
        <v>2016</v>
      </c>
      <c r="E966" s="1">
        <v>42429</v>
      </c>
      <c r="F966" t="s">
        <v>14004</v>
      </c>
      <c r="G966">
        <v>0</v>
      </c>
      <c r="H966">
        <v>4</v>
      </c>
      <c r="I966">
        <v>4</v>
      </c>
      <c r="J966">
        <v>0</v>
      </c>
      <c r="K966" t="s">
        <v>14005</v>
      </c>
      <c r="L966" t="s">
        <v>14006</v>
      </c>
      <c r="M966" t="s">
        <v>14007</v>
      </c>
      <c r="N966" t="s">
        <v>14008</v>
      </c>
      <c r="O966" t="s">
        <v>14009</v>
      </c>
      <c r="P966" t="s">
        <v>14010</v>
      </c>
      <c r="Q966" t="s">
        <v>14011</v>
      </c>
      <c r="R966" t="s">
        <v>14012</v>
      </c>
      <c r="S966" t="s">
        <v>14013</v>
      </c>
      <c r="T966" s="2">
        <v>0.46875</v>
      </c>
      <c r="V966" t="s">
        <v>14014</v>
      </c>
      <c r="W966" t="s">
        <v>14015</v>
      </c>
      <c r="X966" t="s">
        <v>14016</v>
      </c>
      <c r="Z966" t="s">
        <v>14017</v>
      </c>
      <c r="AA966" t="s">
        <v>14017</v>
      </c>
      <c r="AB966" t="s">
        <v>14017</v>
      </c>
      <c r="AC966" t="s">
        <v>14017</v>
      </c>
      <c r="AD966" t="s">
        <v>14018</v>
      </c>
    </row>
    <row r="967" spans="1:30">
      <c r="A967" t="s">
        <v>14019</v>
      </c>
      <c r="B967">
        <v>2</v>
      </c>
      <c r="C967">
        <v>26</v>
      </c>
      <c r="D967">
        <v>2016</v>
      </c>
      <c r="E967" s="1">
        <v>42426</v>
      </c>
      <c r="F967" t="s">
        <v>14020</v>
      </c>
      <c r="G967">
        <v>0</v>
      </c>
      <c r="H967">
        <v>2</v>
      </c>
      <c r="I967">
        <v>2</v>
      </c>
      <c r="J967">
        <v>0</v>
      </c>
      <c r="L967" t="s">
        <v>14021</v>
      </c>
      <c r="M967" t="s">
        <v>14022</v>
      </c>
      <c r="N967" t="s">
        <v>14023</v>
      </c>
      <c r="O967" t="s">
        <v>14024</v>
      </c>
      <c r="P967" t="s">
        <v>14025</v>
      </c>
      <c r="Q967" t="s">
        <v>14026</v>
      </c>
      <c r="R967" t="s">
        <v>14027</v>
      </c>
      <c r="S967" t="s">
        <v>14028</v>
      </c>
      <c r="T967" s="2">
        <v>0.74722222222222223</v>
      </c>
      <c r="U967">
        <v>4</v>
      </c>
      <c r="V967" t="s">
        <v>14029</v>
      </c>
      <c r="W967" t="s">
        <v>14030</v>
      </c>
      <c r="X967" t="s">
        <v>14031</v>
      </c>
      <c r="Y967" t="s">
        <v>14032</v>
      </c>
      <c r="Z967" t="s">
        <v>14032</v>
      </c>
      <c r="AA967" t="s">
        <v>14032</v>
      </c>
      <c r="AB967" t="s">
        <v>14032</v>
      </c>
      <c r="AC967" t="s">
        <v>14033</v>
      </c>
      <c r="AD967" t="s">
        <v>14034</v>
      </c>
    </row>
    <row r="968" spans="1:30">
      <c r="A968" t="s">
        <v>14035</v>
      </c>
      <c r="B968">
        <v>2</v>
      </c>
      <c r="C968">
        <v>17</v>
      </c>
      <c r="D968">
        <v>2016</v>
      </c>
      <c r="E968" s="1">
        <v>42417</v>
      </c>
      <c r="F968" t="s">
        <v>14036</v>
      </c>
      <c r="G968">
        <v>0</v>
      </c>
      <c r="H968">
        <v>1</v>
      </c>
      <c r="I968">
        <v>1</v>
      </c>
      <c r="J968">
        <v>0</v>
      </c>
      <c r="K968" t="s">
        <v>14037</v>
      </c>
      <c r="L968" t="s">
        <v>14038</v>
      </c>
      <c r="M968" t="s">
        <v>14039</v>
      </c>
      <c r="N968" t="s">
        <v>14040</v>
      </c>
      <c r="O968" t="s">
        <v>14041</v>
      </c>
      <c r="P968" t="s">
        <v>14042</v>
      </c>
      <c r="Q968" t="s">
        <v>14042</v>
      </c>
      <c r="R968" t="s">
        <v>14043</v>
      </c>
      <c r="S968" t="s">
        <v>14044</v>
      </c>
      <c r="T968" s="2">
        <v>0.45833333333333331</v>
      </c>
      <c r="U968">
        <v>1</v>
      </c>
      <c r="V968" t="s">
        <v>14045</v>
      </c>
      <c r="W968" t="s">
        <v>14046</v>
      </c>
      <c r="X968" t="s">
        <v>14047</v>
      </c>
      <c r="Z968" t="s">
        <v>14048</v>
      </c>
      <c r="AA968" t="s">
        <v>14048</v>
      </c>
      <c r="AC968" t="s">
        <v>14048</v>
      </c>
      <c r="AD968" t="s">
        <v>14048</v>
      </c>
    </row>
    <row r="969" spans="1:30">
      <c r="A969" t="s">
        <v>14049</v>
      </c>
      <c r="B969">
        <v>2</v>
      </c>
      <c r="C969">
        <v>17</v>
      </c>
      <c r="D969">
        <v>2016</v>
      </c>
      <c r="E969" s="1">
        <v>42417</v>
      </c>
      <c r="F969" t="s">
        <v>14050</v>
      </c>
      <c r="G969">
        <v>0</v>
      </c>
      <c r="H969">
        <v>0</v>
      </c>
      <c r="I969">
        <v>0</v>
      </c>
      <c r="J969">
        <v>0</v>
      </c>
      <c r="L969" t="s">
        <v>14051</v>
      </c>
      <c r="M969" t="s">
        <v>14052</v>
      </c>
      <c r="N969" t="s">
        <v>14053</v>
      </c>
      <c r="O969" t="s">
        <v>14054</v>
      </c>
      <c r="P969" t="s">
        <v>14055</v>
      </c>
      <c r="Q969" t="s">
        <v>14056</v>
      </c>
      <c r="R969" t="s">
        <v>14057</v>
      </c>
      <c r="S969" t="s">
        <v>14058</v>
      </c>
      <c r="T969" s="2">
        <v>0.33333333333333331</v>
      </c>
      <c r="U969">
        <v>1</v>
      </c>
      <c r="V969" t="s">
        <v>14059</v>
      </c>
      <c r="W969" t="s">
        <v>14060</v>
      </c>
      <c r="X969" t="s">
        <v>14061</v>
      </c>
      <c r="Y969" t="s">
        <v>14062</v>
      </c>
      <c r="Z969" t="s">
        <v>14062</v>
      </c>
      <c r="AA969" t="s">
        <v>14063</v>
      </c>
      <c r="AB969" t="s">
        <v>14063</v>
      </c>
      <c r="AC969" t="s">
        <v>14063</v>
      </c>
      <c r="AD969" t="s">
        <v>14064</v>
      </c>
    </row>
    <row r="970" spans="1:30">
      <c r="A970" t="s">
        <v>14065</v>
      </c>
      <c r="B970">
        <v>2</v>
      </c>
      <c r="C970">
        <v>12</v>
      </c>
      <c r="D970">
        <v>2016</v>
      </c>
      <c r="E970" s="1">
        <v>42412</v>
      </c>
      <c r="F970" t="s">
        <v>14066</v>
      </c>
      <c r="G970">
        <v>1</v>
      </c>
      <c r="H970">
        <v>0</v>
      </c>
      <c r="I970">
        <v>1</v>
      </c>
      <c r="J970">
        <v>1</v>
      </c>
      <c r="K970" t="s">
        <v>14067</v>
      </c>
      <c r="L970" t="s">
        <v>14068</v>
      </c>
      <c r="M970" t="s">
        <v>14069</v>
      </c>
      <c r="N970" t="s">
        <v>14070</v>
      </c>
      <c r="O970" t="s">
        <v>14071</v>
      </c>
      <c r="P970" t="s">
        <v>14072</v>
      </c>
      <c r="Q970" t="s">
        <v>14073</v>
      </c>
      <c r="R970" t="s">
        <v>14074</v>
      </c>
      <c r="S970" t="s">
        <v>14075</v>
      </c>
      <c r="T970" s="2">
        <v>0.32847222222222222</v>
      </c>
      <c r="U970">
        <v>1</v>
      </c>
      <c r="V970" t="s">
        <v>14076</v>
      </c>
      <c r="W970" t="s">
        <v>14077</v>
      </c>
      <c r="X970" t="s">
        <v>14078</v>
      </c>
      <c r="Y970" t="s">
        <v>14079</v>
      </c>
      <c r="Z970" t="s">
        <v>14079</v>
      </c>
      <c r="AA970" t="s">
        <v>14079</v>
      </c>
      <c r="AB970" t="s">
        <v>14079</v>
      </c>
      <c r="AC970" t="s">
        <v>14080</v>
      </c>
      <c r="AD970" t="s">
        <v>14081</v>
      </c>
    </row>
    <row r="971" spans="1:30">
      <c r="A971" t="s">
        <v>14082</v>
      </c>
      <c r="B971">
        <v>2</v>
      </c>
      <c r="C971">
        <v>9</v>
      </c>
      <c r="D971">
        <v>2016</v>
      </c>
      <c r="E971" s="1">
        <v>42409</v>
      </c>
      <c r="F971" t="s">
        <v>14083</v>
      </c>
      <c r="G971">
        <v>0</v>
      </c>
      <c r="H971">
        <v>3</v>
      </c>
      <c r="I971">
        <v>3</v>
      </c>
      <c r="J971">
        <v>0</v>
      </c>
      <c r="K971" t="s">
        <v>14084</v>
      </c>
      <c r="L971" t="s">
        <v>14085</v>
      </c>
      <c r="M971" t="s">
        <v>14086</v>
      </c>
      <c r="N971" t="s">
        <v>14087</v>
      </c>
      <c r="O971" t="s">
        <v>14088</v>
      </c>
      <c r="P971" t="s">
        <v>14089</v>
      </c>
      <c r="Q971" t="s">
        <v>14090</v>
      </c>
      <c r="R971" t="s">
        <v>14091</v>
      </c>
      <c r="S971" t="s">
        <v>14092</v>
      </c>
      <c r="U971">
        <v>1</v>
      </c>
      <c r="V971" t="s">
        <v>14093</v>
      </c>
      <c r="W971" t="s">
        <v>14094</v>
      </c>
      <c r="X971" t="s">
        <v>14095</v>
      </c>
      <c r="Y971" t="s">
        <v>14096</v>
      </c>
      <c r="Z971" t="s">
        <v>14096</v>
      </c>
      <c r="AA971" t="s">
        <v>14096</v>
      </c>
      <c r="AB971" t="s">
        <v>14096</v>
      </c>
      <c r="AC971" t="s">
        <v>14096</v>
      </c>
      <c r="AD971" t="s">
        <v>14096</v>
      </c>
    </row>
    <row r="972" spans="1:30">
      <c r="A972" t="s">
        <v>14097</v>
      </c>
      <c r="B972">
        <v>1</v>
      </c>
      <c r="C972">
        <v>29</v>
      </c>
      <c r="D972">
        <v>2016</v>
      </c>
      <c r="E972" s="1">
        <v>42398</v>
      </c>
      <c r="F972" t="s">
        <v>14098</v>
      </c>
      <c r="G972">
        <v>0</v>
      </c>
      <c r="H972">
        <v>0</v>
      </c>
      <c r="I972">
        <v>0</v>
      </c>
      <c r="J972">
        <v>0</v>
      </c>
      <c r="K972" t="s">
        <v>14099</v>
      </c>
      <c r="L972" t="s">
        <v>14100</v>
      </c>
      <c r="M972" t="s">
        <v>14101</v>
      </c>
      <c r="N972" t="s">
        <v>14102</v>
      </c>
      <c r="O972" t="s">
        <v>14103</v>
      </c>
      <c r="P972" t="s">
        <v>14104</v>
      </c>
      <c r="Q972" t="s">
        <v>14105</v>
      </c>
      <c r="R972" t="s">
        <v>14106</v>
      </c>
      <c r="S972" t="s">
        <v>14107</v>
      </c>
      <c r="T972" s="2">
        <v>0.5</v>
      </c>
      <c r="U972">
        <v>1</v>
      </c>
      <c r="V972" t="s">
        <v>14108</v>
      </c>
      <c r="W972" t="s">
        <v>14109</v>
      </c>
      <c r="X972" t="s">
        <v>14110</v>
      </c>
      <c r="Y972" t="s">
        <v>14111</v>
      </c>
      <c r="Z972" t="s">
        <v>14111</v>
      </c>
      <c r="AA972" t="s">
        <v>14111</v>
      </c>
      <c r="AB972" t="s">
        <v>14111</v>
      </c>
      <c r="AC972" t="s">
        <v>14111</v>
      </c>
      <c r="AD972" t="s">
        <v>14111</v>
      </c>
    </row>
    <row r="973" spans="1:30">
      <c r="A973" t="s">
        <v>14112</v>
      </c>
      <c r="B973">
        <v>1</v>
      </c>
      <c r="C973">
        <v>22</v>
      </c>
      <c r="D973">
        <v>2016</v>
      </c>
      <c r="E973" s="1">
        <v>42391</v>
      </c>
      <c r="F973" t="s">
        <v>14113</v>
      </c>
      <c r="G973">
        <v>0</v>
      </c>
      <c r="H973">
        <v>1</v>
      </c>
      <c r="I973">
        <v>1</v>
      </c>
      <c r="J973">
        <v>0</v>
      </c>
      <c r="K973" t="s">
        <v>14114</v>
      </c>
      <c r="L973" t="s">
        <v>14115</v>
      </c>
      <c r="M973" t="s">
        <v>14116</v>
      </c>
      <c r="N973" t="s">
        <v>14117</v>
      </c>
      <c r="O973" t="s">
        <v>14118</v>
      </c>
      <c r="P973" t="s">
        <v>14119</v>
      </c>
      <c r="Q973" t="s">
        <v>14120</v>
      </c>
      <c r="R973" t="s">
        <v>14121</v>
      </c>
      <c r="S973" t="s">
        <v>14122</v>
      </c>
      <c r="T973" s="2">
        <v>0.89583333333333337</v>
      </c>
      <c r="U973">
        <v>1</v>
      </c>
      <c r="V973" t="s">
        <v>14123</v>
      </c>
      <c r="W973" t="s">
        <v>14124</v>
      </c>
      <c r="X973" t="s">
        <v>14125</v>
      </c>
      <c r="Z973" t="s">
        <v>14126</v>
      </c>
      <c r="AA973" t="s">
        <v>14126</v>
      </c>
      <c r="AB973" t="s">
        <v>14126</v>
      </c>
      <c r="AC973" t="s">
        <v>14126</v>
      </c>
      <c r="AD973" t="s">
        <v>14126</v>
      </c>
    </row>
    <row r="974" spans="1:30">
      <c r="A974" t="s">
        <v>14127</v>
      </c>
      <c r="B974">
        <v>1</v>
      </c>
      <c r="C974">
        <v>20</v>
      </c>
      <c r="D974">
        <v>2016</v>
      </c>
      <c r="E974" s="1">
        <v>42389</v>
      </c>
      <c r="F974" t="s">
        <v>14128</v>
      </c>
      <c r="G974">
        <v>0</v>
      </c>
      <c r="H974">
        <v>0</v>
      </c>
      <c r="I974">
        <v>0</v>
      </c>
      <c r="J974">
        <v>0</v>
      </c>
      <c r="L974" t="s">
        <v>14129</v>
      </c>
      <c r="M974" t="s">
        <v>14130</v>
      </c>
      <c r="N974" t="s">
        <v>14131</v>
      </c>
      <c r="O974" t="s">
        <v>14132</v>
      </c>
      <c r="P974" t="s">
        <v>14133</v>
      </c>
      <c r="Q974" t="s">
        <v>14134</v>
      </c>
      <c r="R974" t="s">
        <v>14135</v>
      </c>
      <c r="S974" t="s">
        <v>14136</v>
      </c>
      <c r="U974">
        <v>1</v>
      </c>
      <c r="V974" t="s">
        <v>14137</v>
      </c>
      <c r="W974" t="s">
        <v>14138</v>
      </c>
      <c r="X974" t="s">
        <v>14139</v>
      </c>
      <c r="Y974" t="s">
        <v>14140</v>
      </c>
      <c r="Z974" t="s">
        <v>14140</v>
      </c>
      <c r="AA974" t="s">
        <v>14140</v>
      </c>
      <c r="AB974" t="s">
        <v>14141</v>
      </c>
      <c r="AC974" t="s">
        <v>14141</v>
      </c>
      <c r="AD974" t="s">
        <v>14142</v>
      </c>
    </row>
    <row r="975" spans="1:30">
      <c r="A975" t="s">
        <v>14143</v>
      </c>
      <c r="B975">
        <v>1</v>
      </c>
      <c r="C975">
        <v>13</v>
      </c>
      <c r="D975">
        <v>2016</v>
      </c>
      <c r="E975" s="1">
        <v>42382</v>
      </c>
      <c r="F975" t="s">
        <v>14144</v>
      </c>
      <c r="G975">
        <v>0</v>
      </c>
      <c r="H975">
        <v>1</v>
      </c>
      <c r="I975">
        <v>1</v>
      </c>
      <c r="J975">
        <v>0</v>
      </c>
      <c r="K975" t="s">
        <v>14145</v>
      </c>
      <c r="L975" t="s">
        <v>14146</v>
      </c>
      <c r="M975" t="s">
        <v>14147</v>
      </c>
      <c r="N975" t="s">
        <v>14148</v>
      </c>
      <c r="O975" t="s">
        <v>14149</v>
      </c>
      <c r="P975" t="s">
        <v>14150</v>
      </c>
      <c r="Q975" t="s">
        <v>14151</v>
      </c>
      <c r="R975" t="s">
        <v>14152</v>
      </c>
      <c r="S975" t="s">
        <v>14153</v>
      </c>
      <c r="T975" s="2">
        <v>0.625</v>
      </c>
      <c r="U975">
        <v>1</v>
      </c>
      <c r="V975" t="s">
        <v>14154</v>
      </c>
      <c r="W975" t="s">
        <v>14155</v>
      </c>
      <c r="X975" t="s">
        <v>14156</v>
      </c>
      <c r="Y975" t="s">
        <v>14157</v>
      </c>
      <c r="Z975" t="s">
        <v>14157</v>
      </c>
      <c r="AA975" t="s">
        <v>14157</v>
      </c>
      <c r="AB975" t="s">
        <v>14157</v>
      </c>
      <c r="AC975" t="s">
        <v>14157</v>
      </c>
      <c r="AD975" t="s">
        <v>14157</v>
      </c>
    </row>
    <row r="976" spans="1:30">
      <c r="A976" t="s">
        <v>14158</v>
      </c>
      <c r="B976">
        <v>1</v>
      </c>
      <c r="C976">
        <v>12</v>
      </c>
      <c r="D976">
        <v>2016</v>
      </c>
      <c r="E976" s="1">
        <v>42381</v>
      </c>
      <c r="F976" t="s">
        <v>14159</v>
      </c>
      <c r="G976">
        <v>0</v>
      </c>
      <c r="H976">
        <v>0</v>
      </c>
      <c r="I976">
        <v>0</v>
      </c>
      <c r="J976">
        <v>0</v>
      </c>
      <c r="K976" t="s">
        <v>14160</v>
      </c>
      <c r="L976" t="s">
        <v>14161</v>
      </c>
      <c r="M976" t="s">
        <v>14162</v>
      </c>
      <c r="N976" t="s">
        <v>14163</v>
      </c>
      <c r="O976" t="s">
        <v>14164</v>
      </c>
      <c r="P976" t="s">
        <v>14165</v>
      </c>
      <c r="Q976" t="s">
        <v>14166</v>
      </c>
      <c r="R976" t="s">
        <v>14167</v>
      </c>
      <c r="S976" t="s">
        <v>14168</v>
      </c>
      <c r="T976" s="2">
        <v>0.51041666666666663</v>
      </c>
      <c r="U976">
        <v>1</v>
      </c>
      <c r="V976" t="s">
        <v>14169</v>
      </c>
      <c r="W976" t="s">
        <v>14170</v>
      </c>
      <c r="X976" t="s">
        <v>14171</v>
      </c>
      <c r="Z976" t="s">
        <v>14172</v>
      </c>
      <c r="AA976" t="s">
        <v>14172</v>
      </c>
      <c r="AB976" t="s">
        <v>14172</v>
      </c>
      <c r="AC976" t="s">
        <v>14172</v>
      </c>
      <c r="AD976" t="s">
        <v>14172</v>
      </c>
    </row>
    <row r="977" spans="1:30">
      <c r="A977" t="s">
        <v>14173</v>
      </c>
      <c r="B977">
        <v>12</v>
      </c>
      <c r="C977">
        <v>4</v>
      </c>
      <c r="D977">
        <v>2015</v>
      </c>
      <c r="E977" s="1">
        <v>42342</v>
      </c>
      <c r="F977" t="s">
        <v>14174</v>
      </c>
      <c r="G977">
        <v>0</v>
      </c>
      <c r="H977">
        <v>1</v>
      </c>
      <c r="I977">
        <v>1</v>
      </c>
      <c r="J977">
        <v>0</v>
      </c>
      <c r="L977" t="s">
        <v>14175</v>
      </c>
      <c r="M977" t="s">
        <v>14176</v>
      </c>
      <c r="N977" t="s">
        <v>14177</v>
      </c>
      <c r="O977" t="s">
        <v>14178</v>
      </c>
      <c r="P977" t="s">
        <v>14179</v>
      </c>
      <c r="Q977" t="s">
        <v>14180</v>
      </c>
      <c r="R977" t="s">
        <v>14181</v>
      </c>
      <c r="S977" t="s">
        <v>14182</v>
      </c>
      <c r="T977" s="2">
        <v>0.77083333333333337</v>
      </c>
      <c r="U977">
        <v>1</v>
      </c>
      <c r="V977" t="s">
        <v>14183</v>
      </c>
      <c r="W977" t="s">
        <v>14184</v>
      </c>
      <c r="Y977" t="s">
        <v>14185</v>
      </c>
      <c r="Z977" t="s">
        <v>14185</v>
      </c>
      <c r="AA977" t="s">
        <v>14185</v>
      </c>
      <c r="AB977" t="s">
        <v>14185</v>
      </c>
      <c r="AC977" t="s">
        <v>14185</v>
      </c>
      <c r="AD977" t="s">
        <v>14185</v>
      </c>
    </row>
    <row r="978" spans="1:30">
      <c r="A978" t="s">
        <v>14186</v>
      </c>
      <c r="B978">
        <v>11</v>
      </c>
      <c r="C978">
        <v>20</v>
      </c>
      <c r="D978">
        <v>2015</v>
      </c>
      <c r="E978" s="1">
        <v>42328</v>
      </c>
      <c r="F978" t="s">
        <v>14187</v>
      </c>
      <c r="G978">
        <v>0</v>
      </c>
      <c r="H978">
        <v>0</v>
      </c>
      <c r="I978">
        <v>0</v>
      </c>
      <c r="J978">
        <v>0</v>
      </c>
      <c r="L978" t="s">
        <v>14188</v>
      </c>
      <c r="M978" t="s">
        <v>14189</v>
      </c>
      <c r="N978" t="s">
        <v>14190</v>
      </c>
      <c r="O978" t="s">
        <v>14191</v>
      </c>
      <c r="P978" t="s">
        <v>14192</v>
      </c>
      <c r="Q978" t="s">
        <v>14193</v>
      </c>
      <c r="R978" t="s">
        <v>14194</v>
      </c>
      <c r="S978" t="s">
        <v>14195</v>
      </c>
      <c r="T978" s="2">
        <v>0.88541666666666663</v>
      </c>
      <c r="U978">
        <v>1</v>
      </c>
      <c r="V978" t="s">
        <v>14196</v>
      </c>
      <c r="W978" t="s">
        <v>14197</v>
      </c>
      <c r="Y978" t="s">
        <v>14198</v>
      </c>
      <c r="Z978" t="s">
        <v>14199</v>
      </c>
      <c r="AA978" t="s">
        <v>14199</v>
      </c>
      <c r="AB978" t="s">
        <v>14199</v>
      </c>
      <c r="AC978" t="s">
        <v>14199</v>
      </c>
      <c r="AD978" t="s">
        <v>14199</v>
      </c>
    </row>
    <row r="979" spans="1:30">
      <c r="A979" t="s">
        <v>14200</v>
      </c>
      <c r="B979">
        <v>11</v>
      </c>
      <c r="C979">
        <v>11</v>
      </c>
      <c r="D979">
        <v>2015</v>
      </c>
      <c r="E979" s="1">
        <v>42319</v>
      </c>
      <c r="F979" t="s">
        <v>14201</v>
      </c>
      <c r="G979">
        <v>0</v>
      </c>
      <c r="H979">
        <v>1</v>
      </c>
      <c r="I979">
        <v>1</v>
      </c>
      <c r="J979">
        <v>0</v>
      </c>
      <c r="L979" t="s">
        <v>14202</v>
      </c>
      <c r="M979" t="s">
        <v>14203</v>
      </c>
      <c r="N979" t="s">
        <v>14204</v>
      </c>
      <c r="O979" t="s">
        <v>14205</v>
      </c>
      <c r="P979" t="s">
        <v>14206</v>
      </c>
      <c r="Q979" t="s">
        <v>14207</v>
      </c>
      <c r="R979" t="s">
        <v>14208</v>
      </c>
      <c r="S979" t="s">
        <v>14209</v>
      </c>
      <c r="T979" s="2">
        <v>0.64583333333333337</v>
      </c>
      <c r="U979">
        <v>1</v>
      </c>
      <c r="V979" t="s">
        <v>14210</v>
      </c>
      <c r="W979" t="s">
        <v>14211</v>
      </c>
      <c r="X979" t="s">
        <v>14212</v>
      </c>
      <c r="Y979" t="s">
        <v>14213</v>
      </c>
      <c r="Z979" t="s">
        <v>14214</v>
      </c>
      <c r="AA979" t="s">
        <v>14214</v>
      </c>
      <c r="AB979" t="s">
        <v>14214</v>
      </c>
      <c r="AC979" t="s">
        <v>14214</v>
      </c>
      <c r="AD979" t="s">
        <v>14214</v>
      </c>
    </row>
    <row r="980" spans="1:30">
      <c r="A980" t="s">
        <v>14215</v>
      </c>
      <c r="B980">
        <v>11</v>
      </c>
      <c r="C980">
        <v>5</v>
      </c>
      <c r="D980">
        <v>2015</v>
      </c>
      <c r="E980" s="1">
        <v>42313</v>
      </c>
      <c r="F980" t="s">
        <v>14216</v>
      </c>
      <c r="G980">
        <v>0</v>
      </c>
      <c r="H980">
        <v>0</v>
      </c>
      <c r="I980">
        <v>0</v>
      </c>
      <c r="J980">
        <v>0</v>
      </c>
      <c r="K980" t="s">
        <v>14217</v>
      </c>
      <c r="L980" t="s">
        <v>14218</v>
      </c>
      <c r="M980" t="s">
        <v>14219</v>
      </c>
      <c r="N980" t="s">
        <v>14220</v>
      </c>
      <c r="O980" t="s">
        <v>14221</v>
      </c>
      <c r="P980" t="s">
        <v>14222</v>
      </c>
      <c r="Q980" t="s">
        <v>14223</v>
      </c>
      <c r="R980" t="s">
        <v>14224</v>
      </c>
      <c r="V980" t="s">
        <v>14225</v>
      </c>
      <c r="W980" t="s">
        <v>14226</v>
      </c>
      <c r="X980" t="s">
        <v>14227</v>
      </c>
      <c r="Y980" t="s">
        <v>14228</v>
      </c>
      <c r="Z980" t="s">
        <v>14228</v>
      </c>
      <c r="AA980" t="s">
        <v>14228</v>
      </c>
      <c r="AB980" t="s">
        <v>14228</v>
      </c>
      <c r="AC980" t="s">
        <v>14228</v>
      </c>
      <c r="AD980" t="s">
        <v>14228</v>
      </c>
    </row>
    <row r="981" spans="1:30">
      <c r="A981" t="s">
        <v>14229</v>
      </c>
      <c r="B981">
        <v>10</v>
      </c>
      <c r="C981">
        <v>24</v>
      </c>
      <c r="D981">
        <v>2015</v>
      </c>
      <c r="E981" s="1">
        <v>42301</v>
      </c>
      <c r="F981" t="s">
        <v>14230</v>
      </c>
      <c r="G981">
        <v>1</v>
      </c>
      <c r="H981">
        <v>0</v>
      </c>
      <c r="I981">
        <v>1</v>
      </c>
      <c r="J981">
        <v>0</v>
      </c>
      <c r="L981" t="s">
        <v>14231</v>
      </c>
      <c r="M981" t="s">
        <v>14232</v>
      </c>
      <c r="N981" t="s">
        <v>14233</v>
      </c>
      <c r="O981" t="s">
        <v>14234</v>
      </c>
      <c r="P981" t="s">
        <v>14235</v>
      </c>
      <c r="Q981" t="s">
        <v>14236</v>
      </c>
      <c r="R981" t="s">
        <v>14237</v>
      </c>
      <c r="S981" t="s">
        <v>14238</v>
      </c>
      <c r="T981" s="2">
        <v>0.125</v>
      </c>
      <c r="U981">
        <v>1</v>
      </c>
      <c r="V981" t="s">
        <v>14239</v>
      </c>
      <c r="W981" t="s">
        <v>14240</v>
      </c>
      <c r="X981" t="s">
        <v>14241</v>
      </c>
      <c r="Z981" t="s">
        <v>14242</v>
      </c>
      <c r="AA981" t="s">
        <v>14242</v>
      </c>
      <c r="AB981" t="s">
        <v>14242</v>
      </c>
      <c r="AC981" t="s">
        <v>14242</v>
      </c>
      <c r="AD981" t="s">
        <v>14242</v>
      </c>
    </row>
    <row r="982" spans="1:30">
      <c r="A982" t="s">
        <v>14243</v>
      </c>
      <c r="B982">
        <v>10</v>
      </c>
      <c r="C982">
        <v>15</v>
      </c>
      <c r="D982">
        <v>2015</v>
      </c>
      <c r="E982" s="1">
        <v>42292</v>
      </c>
      <c r="F982" t="s">
        <v>14244</v>
      </c>
      <c r="G982">
        <v>0</v>
      </c>
      <c r="H982">
        <v>0</v>
      </c>
      <c r="I982">
        <v>0</v>
      </c>
      <c r="J982">
        <v>0</v>
      </c>
      <c r="K982" t="s">
        <v>14245</v>
      </c>
      <c r="L982" t="s">
        <v>14246</v>
      </c>
      <c r="M982" t="s">
        <v>14247</v>
      </c>
      <c r="N982" t="s">
        <v>14248</v>
      </c>
      <c r="O982" t="s">
        <v>14249</v>
      </c>
      <c r="P982" t="s">
        <v>14250</v>
      </c>
      <c r="Q982" t="s">
        <v>14251</v>
      </c>
      <c r="R982" t="s">
        <v>14252</v>
      </c>
      <c r="S982" t="s">
        <v>14253</v>
      </c>
      <c r="T982" s="2">
        <v>0.375</v>
      </c>
      <c r="U982">
        <v>1</v>
      </c>
      <c r="V982" t="s">
        <v>14254</v>
      </c>
      <c r="W982" t="s">
        <v>14255</v>
      </c>
      <c r="X982" t="s">
        <v>14256</v>
      </c>
      <c r="Y982" t="s">
        <v>14257</v>
      </c>
      <c r="Z982" t="s">
        <v>14257</v>
      </c>
      <c r="AA982" t="s">
        <v>14257</v>
      </c>
      <c r="AB982" t="s">
        <v>14257</v>
      </c>
      <c r="AC982" t="s">
        <v>14257</v>
      </c>
      <c r="AD982" t="s">
        <v>14257</v>
      </c>
    </row>
    <row r="983" spans="1:30">
      <c r="A983" t="s">
        <v>14258</v>
      </c>
      <c r="B983">
        <v>9</v>
      </c>
      <c r="C983">
        <v>30</v>
      </c>
      <c r="D983">
        <v>2015</v>
      </c>
      <c r="E983" s="1">
        <v>42277</v>
      </c>
      <c r="F983" t="s">
        <v>14259</v>
      </c>
      <c r="G983">
        <v>0</v>
      </c>
      <c r="H983">
        <v>1</v>
      </c>
      <c r="I983">
        <v>1</v>
      </c>
      <c r="J983">
        <v>0</v>
      </c>
      <c r="K983" t="s">
        <v>14260</v>
      </c>
      <c r="L983" t="s">
        <v>14261</v>
      </c>
      <c r="M983" t="s">
        <v>14262</v>
      </c>
      <c r="N983" t="s">
        <v>14263</v>
      </c>
      <c r="O983" t="s">
        <v>14264</v>
      </c>
      <c r="P983" t="s">
        <v>14265</v>
      </c>
      <c r="Q983" t="s">
        <v>14266</v>
      </c>
      <c r="R983" t="s">
        <v>14267</v>
      </c>
      <c r="S983" t="s">
        <v>14268</v>
      </c>
      <c r="T983" s="2">
        <v>0.41666666666666669</v>
      </c>
      <c r="U983">
        <v>1</v>
      </c>
      <c r="V983" t="s">
        <v>14269</v>
      </c>
      <c r="W983" t="s">
        <v>14270</v>
      </c>
      <c r="X983" t="s">
        <v>14271</v>
      </c>
      <c r="Y983" t="s">
        <v>14272</v>
      </c>
      <c r="Z983" t="s">
        <v>14272</v>
      </c>
      <c r="AA983" t="s">
        <v>14272</v>
      </c>
      <c r="AB983" t="s">
        <v>14272</v>
      </c>
      <c r="AC983" t="s">
        <v>14272</v>
      </c>
      <c r="AD983" t="s">
        <v>14273</v>
      </c>
    </row>
    <row r="984" spans="1:30">
      <c r="A984" t="s">
        <v>14274</v>
      </c>
      <c r="B984">
        <v>9</v>
      </c>
      <c r="C984">
        <v>22</v>
      </c>
      <c r="D984">
        <v>2015</v>
      </c>
      <c r="E984" s="1">
        <v>42269</v>
      </c>
      <c r="F984" t="s">
        <v>14275</v>
      </c>
      <c r="G984">
        <v>0</v>
      </c>
      <c r="H984">
        <v>1</v>
      </c>
      <c r="I984">
        <v>1</v>
      </c>
      <c r="J984">
        <v>0</v>
      </c>
      <c r="L984" t="s">
        <v>14276</v>
      </c>
      <c r="M984" t="s">
        <v>14277</v>
      </c>
      <c r="N984" t="s">
        <v>14278</v>
      </c>
      <c r="O984" t="s">
        <v>14279</v>
      </c>
      <c r="P984" t="s">
        <v>14280</v>
      </c>
      <c r="Q984" t="s">
        <v>14281</v>
      </c>
      <c r="R984" t="s">
        <v>14282</v>
      </c>
      <c r="S984" t="s">
        <v>14283</v>
      </c>
      <c r="T984" s="2">
        <v>0.625</v>
      </c>
      <c r="U984">
        <v>1</v>
      </c>
      <c r="V984" t="s">
        <v>14284</v>
      </c>
      <c r="W984" t="s">
        <v>14285</v>
      </c>
      <c r="X984" t="s">
        <v>14286</v>
      </c>
      <c r="Y984" t="s">
        <v>14287</v>
      </c>
      <c r="Z984" t="s">
        <v>14287</v>
      </c>
      <c r="AA984" t="s">
        <v>14287</v>
      </c>
      <c r="AB984" t="s">
        <v>14287</v>
      </c>
      <c r="AC984" t="s">
        <v>14288</v>
      </c>
      <c r="AD984" t="s">
        <v>14289</v>
      </c>
    </row>
    <row r="985" spans="1:30">
      <c r="A985" t="s">
        <v>14290</v>
      </c>
      <c r="B985">
        <v>9</v>
      </c>
      <c r="C985">
        <v>11</v>
      </c>
      <c r="D985">
        <v>2015</v>
      </c>
      <c r="E985" s="1">
        <v>42258</v>
      </c>
      <c r="F985" t="s">
        <v>14291</v>
      </c>
      <c r="G985">
        <v>0</v>
      </c>
      <c r="H985">
        <v>1</v>
      </c>
      <c r="I985">
        <v>1</v>
      </c>
      <c r="J985">
        <v>0</v>
      </c>
      <c r="L985" t="s">
        <v>14292</v>
      </c>
      <c r="M985" t="s">
        <v>14293</v>
      </c>
      <c r="N985" t="s">
        <v>14294</v>
      </c>
      <c r="O985" t="s">
        <v>14295</v>
      </c>
      <c r="P985" t="s">
        <v>14296</v>
      </c>
      <c r="Q985" t="s">
        <v>14297</v>
      </c>
      <c r="R985" t="s">
        <v>14298</v>
      </c>
      <c r="S985" t="s">
        <v>14299</v>
      </c>
      <c r="T985" s="2">
        <v>0.91319444444444442</v>
      </c>
      <c r="U985">
        <v>1</v>
      </c>
      <c r="V985" t="s">
        <v>14300</v>
      </c>
      <c r="W985" t="s">
        <v>14301</v>
      </c>
      <c r="X985" t="s">
        <v>14302</v>
      </c>
      <c r="Z985" t="s">
        <v>14303</v>
      </c>
      <c r="AA985" t="s">
        <v>14303</v>
      </c>
      <c r="AB985" t="s">
        <v>14303</v>
      </c>
      <c r="AC985" t="s">
        <v>14303</v>
      </c>
      <c r="AD985" t="s">
        <v>14303</v>
      </c>
    </row>
    <row r="986" spans="1:30">
      <c r="A986" t="s">
        <v>14304</v>
      </c>
      <c r="B986">
        <v>9</v>
      </c>
      <c r="C986">
        <v>3</v>
      </c>
      <c r="D986">
        <v>2015</v>
      </c>
      <c r="E986" s="1">
        <v>42250</v>
      </c>
      <c r="F986" t="s">
        <v>14305</v>
      </c>
      <c r="G986">
        <v>0</v>
      </c>
      <c r="H986">
        <v>0</v>
      </c>
      <c r="I986">
        <v>0</v>
      </c>
      <c r="J986">
        <v>0</v>
      </c>
      <c r="L986" t="s">
        <v>14306</v>
      </c>
      <c r="M986" t="s">
        <v>14307</v>
      </c>
      <c r="N986" t="s">
        <v>14308</v>
      </c>
      <c r="O986" t="s">
        <v>14309</v>
      </c>
      <c r="P986" t="s">
        <v>14310</v>
      </c>
      <c r="Q986" t="s">
        <v>14311</v>
      </c>
      <c r="R986" t="s">
        <v>14312</v>
      </c>
      <c r="S986" t="s">
        <v>14313</v>
      </c>
      <c r="T986" s="2">
        <v>0.85416666666666674</v>
      </c>
      <c r="U986">
        <v>1</v>
      </c>
      <c r="V986" t="s">
        <v>14314</v>
      </c>
      <c r="W986" t="s">
        <v>14315</v>
      </c>
      <c r="Y986" t="s">
        <v>14316</v>
      </c>
      <c r="Z986" t="s">
        <v>14316</v>
      </c>
      <c r="AA986" t="s">
        <v>14316</v>
      </c>
      <c r="AB986" t="s">
        <v>14316</v>
      </c>
      <c r="AC986" t="s">
        <v>14316</v>
      </c>
      <c r="AD986" t="s">
        <v>14316</v>
      </c>
    </row>
    <row r="987" spans="1:30">
      <c r="A987" t="s">
        <v>14317</v>
      </c>
      <c r="B987">
        <v>8</v>
      </c>
      <c r="C987">
        <v>25</v>
      </c>
      <c r="D987">
        <v>2015</v>
      </c>
      <c r="E987" s="1">
        <v>42241</v>
      </c>
      <c r="F987" t="s">
        <v>14318</v>
      </c>
      <c r="G987">
        <v>0</v>
      </c>
      <c r="H987">
        <v>1</v>
      </c>
      <c r="I987">
        <v>1</v>
      </c>
      <c r="J987">
        <v>0</v>
      </c>
      <c r="K987" t="s">
        <v>14319</v>
      </c>
      <c r="L987" t="s">
        <v>14320</v>
      </c>
      <c r="M987" t="s">
        <v>14321</v>
      </c>
      <c r="N987" t="s">
        <v>14322</v>
      </c>
      <c r="O987" t="s">
        <v>14323</v>
      </c>
      <c r="P987" t="s">
        <v>14324</v>
      </c>
      <c r="Q987" t="s">
        <v>14325</v>
      </c>
      <c r="R987" t="s">
        <v>14326</v>
      </c>
      <c r="S987" t="s">
        <v>14327</v>
      </c>
      <c r="T987" s="2">
        <v>0.44791666666666669</v>
      </c>
      <c r="U987">
        <v>1</v>
      </c>
      <c r="V987" t="s">
        <v>14328</v>
      </c>
      <c r="W987" t="s">
        <v>14329</v>
      </c>
      <c r="X987" t="s">
        <v>14330</v>
      </c>
      <c r="Y987" t="s">
        <v>14331</v>
      </c>
      <c r="Z987" t="s">
        <v>14331</v>
      </c>
      <c r="AA987" t="s">
        <v>14331</v>
      </c>
      <c r="AB987" t="s">
        <v>14331</v>
      </c>
      <c r="AC987" t="s">
        <v>14331</v>
      </c>
      <c r="AD987" t="s">
        <v>14331</v>
      </c>
    </row>
    <row r="988" spans="1:30">
      <c r="A988" t="s">
        <v>14332</v>
      </c>
      <c r="B988">
        <v>8</v>
      </c>
      <c r="C988">
        <v>23</v>
      </c>
      <c r="D988">
        <v>2015</v>
      </c>
      <c r="E988" s="1">
        <v>42239</v>
      </c>
      <c r="F988" t="s">
        <v>14333</v>
      </c>
      <c r="G988">
        <v>0</v>
      </c>
      <c r="H988">
        <v>0</v>
      </c>
      <c r="I988">
        <v>0</v>
      </c>
      <c r="J988">
        <v>0</v>
      </c>
      <c r="L988" t="s">
        <v>14334</v>
      </c>
      <c r="M988" t="s">
        <v>14335</v>
      </c>
      <c r="N988" t="s">
        <v>14336</v>
      </c>
      <c r="O988" t="s">
        <v>14337</v>
      </c>
      <c r="P988" t="s">
        <v>14338</v>
      </c>
      <c r="Q988" t="s">
        <v>14339</v>
      </c>
      <c r="R988" t="s">
        <v>14340</v>
      </c>
      <c r="S988" t="s">
        <v>14341</v>
      </c>
      <c r="T988" s="2">
        <v>0.33333333333333331</v>
      </c>
      <c r="V988" t="s">
        <v>14342</v>
      </c>
      <c r="W988" t="s">
        <v>14343</v>
      </c>
      <c r="X988" t="s">
        <v>14344</v>
      </c>
      <c r="Y988" t="s">
        <v>14345</v>
      </c>
      <c r="Z988" t="s">
        <v>14345</v>
      </c>
      <c r="AA988" t="s">
        <v>14345</v>
      </c>
      <c r="AB988" t="s">
        <v>14345</v>
      </c>
      <c r="AC988" t="s">
        <v>14345</v>
      </c>
      <c r="AD988" t="s">
        <v>14346</v>
      </c>
    </row>
    <row r="989" spans="1:30">
      <c r="A989" t="s">
        <v>14347</v>
      </c>
      <c r="B989">
        <v>8</v>
      </c>
      <c r="C989">
        <v>8</v>
      </c>
      <c r="D989">
        <v>2015</v>
      </c>
      <c r="E989" s="1">
        <v>42224</v>
      </c>
      <c r="F989" t="s">
        <v>14348</v>
      </c>
      <c r="G989">
        <v>0</v>
      </c>
      <c r="H989">
        <v>0</v>
      </c>
      <c r="I989">
        <v>0</v>
      </c>
      <c r="J989">
        <v>0</v>
      </c>
      <c r="L989" t="s">
        <v>14349</v>
      </c>
      <c r="M989" t="s">
        <v>14350</v>
      </c>
      <c r="N989" t="s">
        <v>14351</v>
      </c>
      <c r="O989" t="s">
        <v>14352</v>
      </c>
      <c r="P989" t="s">
        <v>14353</v>
      </c>
      <c r="Q989" t="s">
        <v>14354</v>
      </c>
      <c r="R989" t="s">
        <v>14355</v>
      </c>
      <c r="S989" t="s">
        <v>14356</v>
      </c>
      <c r="T989" s="2">
        <v>0.30208333333333337</v>
      </c>
      <c r="U989">
        <v>2</v>
      </c>
      <c r="V989" t="s">
        <v>14357</v>
      </c>
      <c r="W989" t="s">
        <v>14358</v>
      </c>
      <c r="X989" t="s">
        <v>14359</v>
      </c>
      <c r="Y989" t="s">
        <v>14360</v>
      </c>
      <c r="Z989" t="s">
        <v>14360</v>
      </c>
      <c r="AA989" t="s">
        <v>14360</v>
      </c>
      <c r="AB989" t="s">
        <v>14360</v>
      </c>
      <c r="AC989" t="s">
        <v>14360</v>
      </c>
      <c r="AD989" t="s">
        <v>14360</v>
      </c>
    </row>
    <row r="990" spans="1:30">
      <c r="A990" t="s">
        <v>14361</v>
      </c>
      <c r="B990">
        <v>7</v>
      </c>
      <c r="C990">
        <v>24</v>
      </c>
      <c r="D990">
        <v>2015</v>
      </c>
      <c r="E990" s="1">
        <v>42209</v>
      </c>
      <c r="F990" t="s">
        <v>14362</v>
      </c>
      <c r="G990">
        <v>1</v>
      </c>
      <c r="H990">
        <v>0</v>
      </c>
      <c r="I990">
        <v>1</v>
      </c>
      <c r="J990">
        <v>0</v>
      </c>
      <c r="L990" t="s">
        <v>14363</v>
      </c>
      <c r="M990" t="s">
        <v>14364</v>
      </c>
      <c r="N990" t="s">
        <v>14365</v>
      </c>
      <c r="O990" t="s">
        <v>14366</v>
      </c>
      <c r="P990" t="s">
        <v>14367</v>
      </c>
      <c r="Q990" t="s">
        <v>14368</v>
      </c>
      <c r="R990" t="s">
        <v>14369</v>
      </c>
      <c r="S990" t="s">
        <v>14370</v>
      </c>
      <c r="T990" s="2">
        <v>0.54166666666666663</v>
      </c>
      <c r="U990">
        <v>1</v>
      </c>
      <c r="V990" t="s">
        <v>14371</v>
      </c>
      <c r="W990" t="s">
        <v>14372</v>
      </c>
      <c r="X990" t="s">
        <v>14373</v>
      </c>
      <c r="Y990" t="s">
        <v>14374</v>
      </c>
      <c r="Z990" t="s">
        <v>14375</v>
      </c>
      <c r="AA990" t="s">
        <v>14375</v>
      </c>
      <c r="AB990" t="s">
        <v>14375</v>
      </c>
      <c r="AC990" t="s">
        <v>14375</v>
      </c>
      <c r="AD990" t="s">
        <v>14375</v>
      </c>
    </row>
    <row r="991" spans="1:30">
      <c r="A991" t="s">
        <v>14376</v>
      </c>
      <c r="B991">
        <v>7</v>
      </c>
      <c r="C991">
        <v>5</v>
      </c>
      <c r="D991">
        <v>2015</v>
      </c>
      <c r="E991" s="1">
        <v>42190</v>
      </c>
      <c r="F991" t="s">
        <v>14377</v>
      </c>
      <c r="G991">
        <v>0</v>
      </c>
      <c r="H991">
        <v>1</v>
      </c>
      <c r="I991">
        <v>1</v>
      </c>
      <c r="J991">
        <v>0</v>
      </c>
      <c r="L991" t="s">
        <v>14378</v>
      </c>
      <c r="M991" t="s">
        <v>14379</v>
      </c>
      <c r="N991" t="s">
        <v>14380</v>
      </c>
      <c r="O991" t="s">
        <v>14381</v>
      </c>
      <c r="P991" t="s">
        <v>14382</v>
      </c>
      <c r="Q991" t="s">
        <v>14383</v>
      </c>
      <c r="R991" t="s">
        <v>14384</v>
      </c>
      <c r="S991" t="s">
        <v>14385</v>
      </c>
      <c r="T991" s="2">
        <v>0.75</v>
      </c>
      <c r="U991">
        <v>1</v>
      </c>
      <c r="V991" t="s">
        <v>14386</v>
      </c>
      <c r="W991" t="s">
        <v>14387</v>
      </c>
      <c r="X991" t="s">
        <v>14388</v>
      </c>
      <c r="Z991" t="s">
        <v>14389</v>
      </c>
      <c r="AA991" t="s">
        <v>14389</v>
      </c>
      <c r="AB991" t="s">
        <v>14389</v>
      </c>
      <c r="AC991" t="s">
        <v>14389</v>
      </c>
      <c r="AD991" t="s">
        <v>14389</v>
      </c>
    </row>
    <row r="992" spans="1:30">
      <c r="A992" t="s">
        <v>14390</v>
      </c>
      <c r="B992">
        <v>6</v>
      </c>
      <c r="C992">
        <v>29</v>
      </c>
      <c r="D992">
        <v>2015</v>
      </c>
      <c r="E992" s="1">
        <v>42184</v>
      </c>
      <c r="F992" t="s">
        <v>14391</v>
      </c>
      <c r="G992">
        <v>0</v>
      </c>
      <c r="H992">
        <v>0</v>
      </c>
      <c r="I992">
        <v>0</v>
      </c>
      <c r="J992">
        <v>1</v>
      </c>
      <c r="L992" t="s">
        <v>14392</v>
      </c>
      <c r="M992" t="s">
        <v>14393</v>
      </c>
      <c r="N992" t="s">
        <v>14394</v>
      </c>
      <c r="O992" t="s">
        <v>14395</v>
      </c>
      <c r="P992" t="s">
        <v>14396</v>
      </c>
      <c r="Q992" t="s">
        <v>14397</v>
      </c>
      <c r="R992" t="s">
        <v>14398</v>
      </c>
      <c r="S992" t="s">
        <v>14399</v>
      </c>
      <c r="T992" s="2">
        <v>0.5625</v>
      </c>
      <c r="U992">
        <v>1</v>
      </c>
      <c r="V992" t="s">
        <v>14400</v>
      </c>
      <c r="W992" t="s">
        <v>14401</v>
      </c>
      <c r="X992" t="s">
        <v>14402</v>
      </c>
      <c r="Y992" t="s">
        <v>14403</v>
      </c>
      <c r="Z992" t="s">
        <v>14403</v>
      </c>
      <c r="AA992" t="s">
        <v>14403</v>
      </c>
      <c r="AB992" t="s">
        <v>14404</v>
      </c>
      <c r="AC992" t="s">
        <v>14404</v>
      </c>
      <c r="AD992" t="s">
        <v>14405</v>
      </c>
    </row>
    <row r="993" spans="1:30">
      <c r="A993" t="s">
        <v>14406</v>
      </c>
      <c r="B993">
        <v>6</v>
      </c>
      <c r="C993">
        <v>27</v>
      </c>
      <c r="D993">
        <v>2015</v>
      </c>
      <c r="E993" s="1">
        <v>42182</v>
      </c>
      <c r="F993" t="s">
        <v>14407</v>
      </c>
      <c r="G993">
        <v>1</v>
      </c>
      <c r="H993">
        <v>3</v>
      </c>
      <c r="I993">
        <v>4</v>
      </c>
      <c r="J993">
        <v>0</v>
      </c>
      <c r="L993" t="s">
        <v>14408</v>
      </c>
      <c r="M993" t="s">
        <v>14409</v>
      </c>
      <c r="N993" t="s">
        <v>14410</v>
      </c>
      <c r="O993" t="s">
        <v>14411</v>
      </c>
      <c r="P993" t="s">
        <v>14412</v>
      </c>
      <c r="Q993" t="s">
        <v>14413</v>
      </c>
      <c r="R993" t="s">
        <v>14414</v>
      </c>
      <c r="S993" t="s">
        <v>14415</v>
      </c>
      <c r="T993" s="2">
        <v>0.77083333333333337</v>
      </c>
      <c r="U993">
        <v>1</v>
      </c>
      <c r="V993" t="s">
        <v>14416</v>
      </c>
      <c r="W993" t="s">
        <v>14417</v>
      </c>
      <c r="Y993" t="s">
        <v>14418</v>
      </c>
      <c r="Z993" t="s">
        <v>14419</v>
      </c>
      <c r="AA993" t="s">
        <v>14419</v>
      </c>
      <c r="AB993" t="s">
        <v>14419</v>
      </c>
      <c r="AC993" t="s">
        <v>14419</v>
      </c>
      <c r="AD993" t="s">
        <v>14419</v>
      </c>
    </row>
    <row r="994" spans="1:30">
      <c r="A994" t="s">
        <v>14420</v>
      </c>
      <c r="B994">
        <v>6</v>
      </c>
      <c r="C994">
        <v>23</v>
      </c>
      <c r="D994">
        <v>2015</v>
      </c>
      <c r="E994" s="1">
        <v>42178</v>
      </c>
      <c r="F994" t="s">
        <v>14421</v>
      </c>
      <c r="G994">
        <v>0</v>
      </c>
      <c r="H994">
        <v>0</v>
      </c>
      <c r="I994">
        <v>0</v>
      </c>
      <c r="J994">
        <v>0</v>
      </c>
      <c r="L994" t="s">
        <v>14422</v>
      </c>
      <c r="M994" t="s">
        <v>14423</v>
      </c>
      <c r="N994" t="s">
        <v>14424</v>
      </c>
      <c r="O994" t="s">
        <v>14425</v>
      </c>
      <c r="P994" t="s">
        <v>14426</v>
      </c>
      <c r="Q994" t="s">
        <v>14427</v>
      </c>
      <c r="R994" t="s">
        <v>14428</v>
      </c>
      <c r="S994" t="s">
        <v>14429</v>
      </c>
      <c r="T994" s="2">
        <v>0.8125</v>
      </c>
      <c r="U994">
        <v>1</v>
      </c>
      <c r="V994" t="s">
        <v>14430</v>
      </c>
      <c r="W994" t="s">
        <v>14431</v>
      </c>
      <c r="X994" t="s">
        <v>14432</v>
      </c>
      <c r="Y994" t="s">
        <v>14433</v>
      </c>
      <c r="Z994" t="s">
        <v>14434</v>
      </c>
      <c r="AA994" t="s">
        <v>14434</v>
      </c>
      <c r="AB994" t="s">
        <v>14434</v>
      </c>
      <c r="AC994" t="s">
        <v>14434</v>
      </c>
      <c r="AD994" t="s">
        <v>14434</v>
      </c>
    </row>
    <row r="995" spans="1:30">
      <c r="A995" t="s">
        <v>14435</v>
      </c>
      <c r="B995">
        <v>6</v>
      </c>
      <c r="C995">
        <v>4</v>
      </c>
      <c r="D995">
        <v>2015</v>
      </c>
      <c r="E995" s="1">
        <v>42159</v>
      </c>
      <c r="F995" t="s">
        <v>14436</v>
      </c>
      <c r="G995">
        <v>0</v>
      </c>
      <c r="H995">
        <v>0</v>
      </c>
      <c r="I995">
        <v>0</v>
      </c>
      <c r="J995">
        <v>0</v>
      </c>
      <c r="K995" t="s">
        <v>14437</v>
      </c>
      <c r="L995" t="s">
        <v>14438</v>
      </c>
      <c r="M995" t="s">
        <v>14439</v>
      </c>
      <c r="N995" t="s">
        <v>14440</v>
      </c>
      <c r="O995" t="s">
        <v>14441</v>
      </c>
      <c r="P995" t="s">
        <v>14442</v>
      </c>
      <c r="Q995" t="s">
        <v>14443</v>
      </c>
      <c r="R995" t="s">
        <v>14444</v>
      </c>
      <c r="S995" t="s">
        <v>14445</v>
      </c>
      <c r="T995" s="2">
        <v>0.22708333333333333</v>
      </c>
      <c r="U995">
        <v>1</v>
      </c>
      <c r="V995" t="s">
        <v>14446</v>
      </c>
      <c r="W995" t="s">
        <v>14447</v>
      </c>
      <c r="X995" t="s">
        <v>14448</v>
      </c>
      <c r="Y995" t="s">
        <v>14449</v>
      </c>
      <c r="Z995" t="s">
        <v>14450</v>
      </c>
      <c r="AA995" t="s">
        <v>14450</v>
      </c>
      <c r="AB995" t="s">
        <v>14450</v>
      </c>
      <c r="AC995" t="s">
        <v>14450</v>
      </c>
      <c r="AD995" t="s">
        <v>14451</v>
      </c>
    </row>
    <row r="996" spans="1:30">
      <c r="A996" t="s">
        <v>14452</v>
      </c>
      <c r="B996">
        <v>5</v>
      </c>
      <c r="C996">
        <v>27</v>
      </c>
      <c r="D996">
        <v>2015</v>
      </c>
      <c r="E996" s="1">
        <v>42151</v>
      </c>
      <c r="F996" t="s">
        <v>14453</v>
      </c>
      <c r="G996">
        <v>0</v>
      </c>
      <c r="H996">
        <v>1</v>
      </c>
      <c r="I996">
        <v>1</v>
      </c>
      <c r="J996">
        <v>0</v>
      </c>
      <c r="L996" t="s">
        <v>14454</v>
      </c>
      <c r="M996" t="s">
        <v>14455</v>
      </c>
      <c r="N996" t="s">
        <v>14456</v>
      </c>
      <c r="O996" t="s">
        <v>14457</v>
      </c>
      <c r="P996" t="s">
        <v>14458</v>
      </c>
      <c r="Q996" t="s">
        <v>14459</v>
      </c>
      <c r="R996" t="s">
        <v>14460</v>
      </c>
      <c r="S996" t="s">
        <v>14461</v>
      </c>
      <c r="T996" s="2">
        <v>0.84375</v>
      </c>
      <c r="U996">
        <v>1</v>
      </c>
      <c r="V996" t="s">
        <v>14462</v>
      </c>
      <c r="W996" t="s">
        <v>14463</v>
      </c>
      <c r="X996" t="s">
        <v>14464</v>
      </c>
      <c r="Y996" t="s">
        <v>14465</v>
      </c>
      <c r="Z996" t="s">
        <v>14465</v>
      </c>
      <c r="AA996" t="s">
        <v>14465</v>
      </c>
      <c r="AB996" t="s">
        <v>14465</v>
      </c>
      <c r="AD996" t="s">
        <v>14465</v>
      </c>
    </row>
    <row r="997" spans="1:30">
      <c r="A997" t="s">
        <v>14466</v>
      </c>
      <c r="B997">
        <v>5</v>
      </c>
      <c r="C997">
        <v>24</v>
      </c>
      <c r="D997">
        <v>2015</v>
      </c>
      <c r="E997" s="1">
        <v>42148</v>
      </c>
      <c r="F997" t="s">
        <v>14467</v>
      </c>
      <c r="G997">
        <v>0</v>
      </c>
      <c r="H997">
        <v>7</v>
      </c>
      <c r="I997">
        <v>7</v>
      </c>
      <c r="J997">
        <v>0</v>
      </c>
      <c r="L997" t="s">
        <v>14468</v>
      </c>
      <c r="M997" t="s">
        <v>14469</v>
      </c>
      <c r="N997" t="s">
        <v>14470</v>
      </c>
      <c r="O997" t="s">
        <v>14471</v>
      </c>
      <c r="P997" t="s">
        <v>14472</v>
      </c>
      <c r="Q997" t="s">
        <v>14473</v>
      </c>
      <c r="R997" t="s">
        <v>14474</v>
      </c>
      <c r="S997" t="s">
        <v>14475</v>
      </c>
      <c r="T997" s="2">
        <v>8.3333333333333329E-2</v>
      </c>
      <c r="U997">
        <v>1</v>
      </c>
      <c r="V997" t="s">
        <v>14476</v>
      </c>
      <c r="W997" t="s">
        <v>14477</v>
      </c>
      <c r="Z997" t="s">
        <v>14478</v>
      </c>
      <c r="AA997" t="s">
        <v>14478</v>
      </c>
      <c r="AD997" t="s">
        <v>14478</v>
      </c>
    </row>
    <row r="998" spans="1:30">
      <c r="A998" t="s">
        <v>14479</v>
      </c>
      <c r="B998">
        <v>5</v>
      </c>
      <c r="C998">
        <v>21</v>
      </c>
      <c r="D998">
        <v>2015</v>
      </c>
      <c r="E998" s="1">
        <v>42145</v>
      </c>
      <c r="F998" t="s">
        <v>14480</v>
      </c>
      <c r="G998">
        <v>0</v>
      </c>
      <c r="H998">
        <v>2</v>
      </c>
      <c r="I998">
        <v>2</v>
      </c>
      <c r="J998">
        <v>0</v>
      </c>
      <c r="K998" t="s">
        <v>14481</v>
      </c>
      <c r="L998" t="s">
        <v>14482</v>
      </c>
      <c r="M998" t="s">
        <v>14483</v>
      </c>
      <c r="N998" t="s">
        <v>14484</v>
      </c>
      <c r="O998" t="s">
        <v>14485</v>
      </c>
      <c r="P998" t="s">
        <v>14486</v>
      </c>
      <c r="Q998" t="s">
        <v>14486</v>
      </c>
      <c r="R998" t="s">
        <v>14487</v>
      </c>
      <c r="S998" t="s">
        <v>14488</v>
      </c>
      <c r="U998">
        <v>1</v>
      </c>
      <c r="V998" t="s">
        <v>14489</v>
      </c>
      <c r="W998" t="s">
        <v>14490</v>
      </c>
      <c r="X998" t="s">
        <v>14491</v>
      </c>
      <c r="Y998" t="s">
        <v>14492</v>
      </c>
      <c r="Z998" t="s">
        <v>14492</v>
      </c>
      <c r="AA998" t="s">
        <v>14492</v>
      </c>
      <c r="AB998" t="s">
        <v>14492</v>
      </c>
      <c r="AC998" t="s">
        <v>14492</v>
      </c>
      <c r="AD998" t="s">
        <v>14492</v>
      </c>
    </row>
    <row r="999" spans="1:30">
      <c r="A999" t="s">
        <v>14493</v>
      </c>
      <c r="B999">
        <v>5</v>
      </c>
      <c r="C999">
        <v>20</v>
      </c>
      <c r="D999">
        <v>2015</v>
      </c>
      <c r="E999" s="1">
        <v>42144</v>
      </c>
      <c r="F999" t="s">
        <v>14494</v>
      </c>
      <c r="G999">
        <v>0</v>
      </c>
      <c r="H999">
        <v>0</v>
      </c>
      <c r="I999">
        <v>0</v>
      </c>
      <c r="J999">
        <v>1</v>
      </c>
      <c r="L999" t="s">
        <v>14495</v>
      </c>
      <c r="M999" t="s">
        <v>14496</v>
      </c>
      <c r="N999" t="s">
        <v>14497</v>
      </c>
      <c r="O999" t="s">
        <v>14498</v>
      </c>
      <c r="P999" t="s">
        <v>14499</v>
      </c>
      <c r="Q999" t="s">
        <v>14500</v>
      </c>
      <c r="R999" t="s">
        <v>14501</v>
      </c>
      <c r="S999" t="s">
        <v>14502</v>
      </c>
      <c r="T999" s="2">
        <v>0.39583333333333331</v>
      </c>
      <c r="U999">
        <v>1</v>
      </c>
      <c r="V999" t="s">
        <v>14503</v>
      </c>
      <c r="W999" t="s">
        <v>14504</v>
      </c>
      <c r="X999" t="s">
        <v>14505</v>
      </c>
      <c r="Y999" t="s">
        <v>14506</v>
      </c>
      <c r="Z999" t="s">
        <v>14506</v>
      </c>
      <c r="AA999" t="s">
        <v>14506</v>
      </c>
      <c r="AD999" t="s">
        <v>14506</v>
      </c>
    </row>
    <row r="1000" spans="1:30">
      <c r="A1000" t="s">
        <v>14507</v>
      </c>
      <c r="B1000">
        <v>5</v>
      </c>
      <c r="C1000">
        <v>12</v>
      </c>
      <c r="D1000">
        <v>2015</v>
      </c>
      <c r="E1000" s="1">
        <v>42136</v>
      </c>
      <c r="F1000" t="s">
        <v>14508</v>
      </c>
      <c r="G1000">
        <v>0</v>
      </c>
      <c r="H1000">
        <v>2</v>
      </c>
      <c r="I1000">
        <v>2</v>
      </c>
      <c r="J1000">
        <v>0</v>
      </c>
      <c r="K1000" t="s">
        <v>14509</v>
      </c>
      <c r="L1000" t="s">
        <v>14510</v>
      </c>
      <c r="M1000" t="s">
        <v>14511</v>
      </c>
      <c r="N1000" t="s">
        <v>14512</v>
      </c>
      <c r="P1000" t="s">
        <v>14513</v>
      </c>
      <c r="Q1000" t="s">
        <v>14513</v>
      </c>
      <c r="R1000" t="s">
        <v>14514</v>
      </c>
      <c r="S1000" t="s">
        <v>14515</v>
      </c>
      <c r="T1000" s="2">
        <v>0.6875</v>
      </c>
      <c r="U1000">
        <v>1</v>
      </c>
      <c r="V1000" t="s">
        <v>14516</v>
      </c>
      <c r="W1000" t="s">
        <v>14517</v>
      </c>
      <c r="X1000" t="s">
        <v>14518</v>
      </c>
      <c r="Y1000" t="s">
        <v>14519</v>
      </c>
      <c r="Z1000" t="s">
        <v>14520</v>
      </c>
      <c r="AA1000" t="s">
        <v>14520</v>
      </c>
      <c r="AB1000" t="s">
        <v>14520</v>
      </c>
      <c r="AC1000" t="s">
        <v>14520</v>
      </c>
      <c r="AD1000" t="s">
        <v>14520</v>
      </c>
    </row>
    <row r="1001" spans="1:30">
      <c r="A1001" t="s">
        <v>14521</v>
      </c>
      <c r="B1001">
        <v>5</v>
      </c>
      <c r="C1001">
        <v>12</v>
      </c>
      <c r="D1001">
        <v>2015</v>
      </c>
      <c r="E1001" s="1">
        <v>42136</v>
      </c>
      <c r="F1001" t="s">
        <v>14522</v>
      </c>
      <c r="G1001">
        <v>0</v>
      </c>
      <c r="H1001">
        <v>0</v>
      </c>
      <c r="I1001">
        <v>0</v>
      </c>
      <c r="J1001">
        <v>1</v>
      </c>
      <c r="L1001" t="s">
        <v>14523</v>
      </c>
      <c r="M1001" t="s">
        <v>14524</v>
      </c>
      <c r="N1001" t="s">
        <v>14525</v>
      </c>
      <c r="O1001" t="s">
        <v>14526</v>
      </c>
      <c r="P1001" t="s">
        <v>14527</v>
      </c>
      <c r="Q1001" t="s">
        <v>14528</v>
      </c>
      <c r="R1001" t="s">
        <v>14529</v>
      </c>
      <c r="S1001" t="s">
        <v>14530</v>
      </c>
      <c r="T1001" s="2">
        <v>0.375</v>
      </c>
      <c r="U1001">
        <v>1</v>
      </c>
      <c r="V1001" t="s">
        <v>14531</v>
      </c>
      <c r="W1001" t="s">
        <v>14532</v>
      </c>
      <c r="X1001" t="s">
        <v>14533</v>
      </c>
      <c r="Y1001" t="s">
        <v>14534</v>
      </c>
      <c r="Z1001" t="s">
        <v>14534</v>
      </c>
      <c r="AA1001" t="s">
        <v>14534</v>
      </c>
      <c r="AD1001" t="s">
        <v>14534</v>
      </c>
    </row>
    <row r="1002" spans="1:30">
      <c r="A1002" t="s">
        <v>14535</v>
      </c>
      <c r="B1002">
        <v>5</v>
      </c>
      <c r="C1002">
        <v>5</v>
      </c>
      <c r="D1002">
        <v>2015</v>
      </c>
      <c r="E1002" s="1">
        <v>42129</v>
      </c>
      <c r="F1002" t="s">
        <v>14536</v>
      </c>
      <c r="G1002">
        <v>0</v>
      </c>
      <c r="H1002">
        <v>0</v>
      </c>
      <c r="I1002">
        <v>0</v>
      </c>
      <c r="J1002">
        <v>0</v>
      </c>
      <c r="L1002" t="s">
        <v>14537</v>
      </c>
      <c r="M1002" t="s">
        <v>14538</v>
      </c>
      <c r="N1002" t="s">
        <v>14539</v>
      </c>
      <c r="O1002" t="s">
        <v>14540</v>
      </c>
      <c r="P1002" t="s">
        <v>14541</v>
      </c>
      <c r="Q1002" t="s">
        <v>14542</v>
      </c>
      <c r="R1002" t="s">
        <v>14543</v>
      </c>
      <c r="S1002" t="s">
        <v>14544</v>
      </c>
      <c r="T1002" s="2">
        <v>0.54166666666666663</v>
      </c>
      <c r="U1002">
        <v>1</v>
      </c>
      <c r="V1002" t="s">
        <v>14545</v>
      </c>
      <c r="W1002" t="s">
        <v>14546</v>
      </c>
      <c r="X1002" t="s">
        <v>14547</v>
      </c>
      <c r="Y1002" t="s">
        <v>14548</v>
      </c>
      <c r="Z1002" t="s">
        <v>14548</v>
      </c>
      <c r="AA1002" t="s">
        <v>14548</v>
      </c>
      <c r="AD1002" t="s">
        <v>14548</v>
      </c>
    </row>
    <row r="1003" spans="1:30">
      <c r="A1003" t="s">
        <v>14549</v>
      </c>
      <c r="B1003">
        <v>5</v>
      </c>
      <c r="C1003">
        <v>4</v>
      </c>
      <c r="D1003">
        <v>2015</v>
      </c>
      <c r="E1003" s="1">
        <v>42128</v>
      </c>
      <c r="F1003" t="s">
        <v>14550</v>
      </c>
      <c r="G1003">
        <v>1</v>
      </c>
      <c r="H1003">
        <v>1</v>
      </c>
      <c r="I1003">
        <v>2</v>
      </c>
      <c r="J1003">
        <v>0</v>
      </c>
      <c r="L1003" t="s">
        <v>14551</v>
      </c>
      <c r="M1003" t="s">
        <v>14552</v>
      </c>
      <c r="N1003" t="s">
        <v>14553</v>
      </c>
      <c r="O1003" t="s">
        <v>14554</v>
      </c>
      <c r="P1003" t="s">
        <v>14555</v>
      </c>
      <c r="Q1003" t="s">
        <v>14556</v>
      </c>
      <c r="R1003" t="s">
        <v>14557</v>
      </c>
      <c r="S1003" t="s">
        <v>14558</v>
      </c>
      <c r="T1003" s="2">
        <v>0.95833333333333337</v>
      </c>
      <c r="V1003" t="s">
        <v>14559</v>
      </c>
      <c r="W1003" t="s">
        <v>14560</v>
      </c>
      <c r="Z1003" t="s">
        <v>14561</v>
      </c>
      <c r="AA1003" t="s">
        <v>14561</v>
      </c>
      <c r="AD1003" t="s">
        <v>14561</v>
      </c>
    </row>
    <row r="1004" spans="1:30">
      <c r="A1004" t="s">
        <v>14562</v>
      </c>
      <c r="B1004">
        <v>4</v>
      </c>
      <c r="C1004">
        <v>28</v>
      </c>
      <c r="D1004">
        <v>2015</v>
      </c>
      <c r="E1004" s="1">
        <v>42122</v>
      </c>
      <c r="F1004" t="s">
        <v>14563</v>
      </c>
      <c r="G1004">
        <v>0</v>
      </c>
      <c r="H1004">
        <v>1</v>
      </c>
      <c r="I1004">
        <v>1</v>
      </c>
      <c r="J1004">
        <v>0</v>
      </c>
      <c r="L1004" t="s">
        <v>14564</v>
      </c>
      <c r="M1004" t="s">
        <v>14565</v>
      </c>
      <c r="N1004" t="s">
        <v>14566</v>
      </c>
      <c r="O1004" t="s">
        <v>14567</v>
      </c>
      <c r="P1004" t="s">
        <v>14568</v>
      </c>
      <c r="Q1004" t="s">
        <v>14569</v>
      </c>
      <c r="R1004" t="s">
        <v>14570</v>
      </c>
      <c r="S1004" t="s">
        <v>14571</v>
      </c>
      <c r="T1004" s="2">
        <v>0.76597222222222228</v>
      </c>
      <c r="U1004">
        <v>1</v>
      </c>
      <c r="V1004" t="s">
        <v>14572</v>
      </c>
      <c r="W1004" t="s">
        <v>14573</v>
      </c>
      <c r="X1004" t="s">
        <v>14574</v>
      </c>
      <c r="Y1004" t="s">
        <v>14575</v>
      </c>
      <c r="Z1004" t="s">
        <v>14576</v>
      </c>
      <c r="AA1004" t="s">
        <v>14576</v>
      </c>
      <c r="AB1004" t="s">
        <v>14576</v>
      </c>
      <c r="AC1004" t="s">
        <v>14576</v>
      </c>
      <c r="AD1004" t="s">
        <v>14576</v>
      </c>
    </row>
    <row r="1005" spans="1:30">
      <c r="A1005" t="s">
        <v>14577</v>
      </c>
      <c r="B1005">
        <v>4</v>
      </c>
      <c r="C1005">
        <v>27</v>
      </c>
      <c r="D1005">
        <v>2015</v>
      </c>
      <c r="E1005" s="1">
        <v>42121</v>
      </c>
      <c r="F1005" t="s">
        <v>14578</v>
      </c>
      <c r="G1005">
        <v>0</v>
      </c>
      <c r="H1005">
        <v>0</v>
      </c>
      <c r="I1005">
        <v>0</v>
      </c>
      <c r="J1005">
        <v>0</v>
      </c>
      <c r="K1005" t="s">
        <v>14579</v>
      </c>
      <c r="L1005" t="s">
        <v>14580</v>
      </c>
      <c r="M1005" t="s">
        <v>14581</v>
      </c>
      <c r="N1005" t="s">
        <v>14582</v>
      </c>
      <c r="O1005" t="s">
        <v>14583</v>
      </c>
      <c r="P1005" t="s">
        <v>14584</v>
      </c>
      <c r="Q1005" t="s">
        <v>14585</v>
      </c>
      <c r="R1005" t="s">
        <v>14586</v>
      </c>
      <c r="S1005" t="s">
        <v>14587</v>
      </c>
      <c r="T1005" s="2">
        <v>0.30833333333333335</v>
      </c>
      <c r="U1005">
        <v>1</v>
      </c>
      <c r="V1005" t="s">
        <v>14588</v>
      </c>
      <c r="W1005" t="s">
        <v>14589</v>
      </c>
      <c r="X1005" t="s">
        <v>14590</v>
      </c>
      <c r="Y1005" t="s">
        <v>14591</v>
      </c>
      <c r="Z1005" t="s">
        <v>14591</v>
      </c>
      <c r="AA1005" t="s">
        <v>14591</v>
      </c>
      <c r="AB1005" t="s">
        <v>14592</v>
      </c>
      <c r="AC1005" t="s">
        <v>14593</v>
      </c>
      <c r="AD1005" t="s">
        <v>14594</v>
      </c>
    </row>
    <row r="1006" spans="1:30">
      <c r="A1006" t="s">
        <v>14595</v>
      </c>
      <c r="B1006">
        <v>4</v>
      </c>
      <c r="C1006">
        <v>22</v>
      </c>
      <c r="D1006">
        <v>2015</v>
      </c>
      <c r="E1006" s="1">
        <v>42116</v>
      </c>
      <c r="F1006" t="s">
        <v>14596</v>
      </c>
      <c r="G1006">
        <v>0</v>
      </c>
      <c r="H1006">
        <v>0</v>
      </c>
      <c r="I1006">
        <v>0</v>
      </c>
      <c r="J1006">
        <v>0</v>
      </c>
      <c r="L1006" t="s">
        <v>14597</v>
      </c>
      <c r="M1006" t="s">
        <v>14598</v>
      </c>
      <c r="N1006" t="s">
        <v>14599</v>
      </c>
      <c r="O1006" t="s">
        <v>14600</v>
      </c>
      <c r="P1006" t="s">
        <v>14601</v>
      </c>
      <c r="Q1006" t="s">
        <v>14602</v>
      </c>
      <c r="R1006" t="s">
        <v>14603</v>
      </c>
      <c r="S1006" t="s">
        <v>14604</v>
      </c>
      <c r="T1006" s="2">
        <v>0.63888888888888884</v>
      </c>
      <c r="U1006">
        <v>1</v>
      </c>
      <c r="V1006" t="s">
        <v>14605</v>
      </c>
      <c r="W1006" t="s">
        <v>14606</v>
      </c>
      <c r="X1006" t="s">
        <v>14607</v>
      </c>
      <c r="Y1006" t="s">
        <v>14608</v>
      </c>
      <c r="Z1006" t="s">
        <v>14608</v>
      </c>
      <c r="AA1006" t="s">
        <v>14608</v>
      </c>
      <c r="AB1006" t="s">
        <v>14608</v>
      </c>
      <c r="AC1006" t="s">
        <v>14608</v>
      </c>
      <c r="AD1006" t="s">
        <v>14608</v>
      </c>
    </row>
    <row r="1007" spans="1:30">
      <c r="A1007" t="s">
        <v>14609</v>
      </c>
      <c r="B1007">
        <v>4</v>
      </c>
      <c r="C1007">
        <v>17</v>
      </c>
      <c r="D1007">
        <v>2015</v>
      </c>
      <c r="E1007" s="1">
        <v>42111</v>
      </c>
      <c r="F1007" t="s">
        <v>14610</v>
      </c>
      <c r="G1007">
        <v>0</v>
      </c>
      <c r="H1007">
        <v>0</v>
      </c>
      <c r="I1007">
        <v>0</v>
      </c>
      <c r="J1007">
        <v>1</v>
      </c>
      <c r="L1007" t="s">
        <v>14611</v>
      </c>
      <c r="M1007" t="s">
        <v>14612</v>
      </c>
      <c r="N1007" t="s">
        <v>14613</v>
      </c>
      <c r="O1007" t="s">
        <v>14614</v>
      </c>
      <c r="P1007" t="s">
        <v>14615</v>
      </c>
      <c r="Q1007" t="s">
        <v>14616</v>
      </c>
      <c r="R1007" t="s">
        <v>14617</v>
      </c>
      <c r="S1007" t="s">
        <v>14618</v>
      </c>
      <c r="T1007" s="2">
        <v>0.39583333333333331</v>
      </c>
      <c r="U1007">
        <v>1</v>
      </c>
      <c r="V1007" t="s">
        <v>14619</v>
      </c>
      <c r="W1007" t="s">
        <v>14620</v>
      </c>
      <c r="X1007" t="s">
        <v>14621</v>
      </c>
      <c r="Y1007" t="s">
        <v>14622</v>
      </c>
      <c r="Z1007" t="s">
        <v>14622</v>
      </c>
      <c r="AA1007" t="s">
        <v>14622</v>
      </c>
      <c r="AD1007" t="s">
        <v>14622</v>
      </c>
    </row>
    <row r="1008" spans="1:30">
      <c r="A1008" t="s">
        <v>14623</v>
      </c>
      <c r="B1008">
        <v>3</v>
      </c>
      <c r="C1008">
        <v>30</v>
      </c>
      <c r="D1008">
        <v>2015</v>
      </c>
      <c r="E1008" s="1">
        <v>42093</v>
      </c>
      <c r="F1008" t="s">
        <v>14624</v>
      </c>
      <c r="G1008">
        <v>0</v>
      </c>
      <c r="H1008">
        <v>1</v>
      </c>
      <c r="I1008">
        <v>1</v>
      </c>
      <c r="J1008">
        <v>0</v>
      </c>
      <c r="L1008" t="s">
        <v>14625</v>
      </c>
      <c r="M1008" t="s">
        <v>14626</v>
      </c>
      <c r="N1008" t="s">
        <v>14627</v>
      </c>
      <c r="O1008" t="s">
        <v>14628</v>
      </c>
      <c r="P1008" t="s">
        <v>14629</v>
      </c>
      <c r="Q1008" t="s">
        <v>14629</v>
      </c>
      <c r="R1008" t="s">
        <v>14630</v>
      </c>
      <c r="S1008" t="s">
        <v>14631</v>
      </c>
      <c r="T1008" s="2">
        <v>0.72916666666666674</v>
      </c>
      <c r="U1008">
        <v>1</v>
      </c>
      <c r="V1008" t="s">
        <v>14632</v>
      </c>
      <c r="W1008" t="s">
        <v>14633</v>
      </c>
      <c r="Z1008" t="s">
        <v>14634</v>
      </c>
      <c r="AA1008" t="s">
        <v>14634</v>
      </c>
      <c r="AB1008" t="s">
        <v>14634</v>
      </c>
      <c r="AC1008" t="s">
        <v>14634</v>
      </c>
      <c r="AD1008" t="s">
        <v>14634</v>
      </c>
    </row>
    <row r="1009" spans="1:30">
      <c r="A1009" t="s">
        <v>14635</v>
      </c>
      <c r="B1009">
        <v>2</v>
      </c>
      <c r="C1009">
        <v>15</v>
      </c>
      <c r="D1009">
        <v>2015</v>
      </c>
      <c r="E1009" s="1">
        <v>42050</v>
      </c>
      <c r="F1009" t="s">
        <v>14636</v>
      </c>
      <c r="G1009">
        <v>1</v>
      </c>
      <c r="H1009">
        <v>0</v>
      </c>
      <c r="I1009">
        <v>1</v>
      </c>
      <c r="J1009">
        <v>0</v>
      </c>
      <c r="K1009" t="s">
        <v>14637</v>
      </c>
      <c r="L1009" t="s">
        <v>14638</v>
      </c>
      <c r="M1009" t="s">
        <v>14639</v>
      </c>
      <c r="N1009" t="s">
        <v>14640</v>
      </c>
      <c r="O1009" t="s">
        <v>14641</v>
      </c>
      <c r="P1009" t="s">
        <v>14642</v>
      </c>
      <c r="Q1009" t="s">
        <v>14643</v>
      </c>
      <c r="R1009" t="s">
        <v>14644</v>
      </c>
      <c r="S1009" t="s">
        <v>14645</v>
      </c>
      <c r="T1009" s="2">
        <v>0.82986111111111105</v>
      </c>
      <c r="U1009">
        <v>1</v>
      </c>
      <c r="V1009" t="s">
        <v>14646</v>
      </c>
      <c r="W1009" t="s">
        <v>14647</v>
      </c>
      <c r="X1009" t="s">
        <v>14648</v>
      </c>
      <c r="Y1009" t="s">
        <v>14649</v>
      </c>
      <c r="Z1009" t="s">
        <v>14650</v>
      </c>
      <c r="AA1009" t="s">
        <v>14650</v>
      </c>
      <c r="AB1009" t="s">
        <v>14650</v>
      </c>
      <c r="AC1009" t="s">
        <v>14650</v>
      </c>
      <c r="AD1009" t="s">
        <v>14650</v>
      </c>
    </row>
    <row r="1010" spans="1:30">
      <c r="A1010" t="s">
        <v>14651</v>
      </c>
      <c r="B1010">
        <v>2</v>
      </c>
      <c r="C1010">
        <v>15</v>
      </c>
      <c r="D1010">
        <v>2015</v>
      </c>
      <c r="E1010" s="1">
        <v>42050</v>
      </c>
      <c r="F1010" t="s">
        <v>14652</v>
      </c>
      <c r="G1010">
        <v>0</v>
      </c>
      <c r="H1010">
        <v>2</v>
      </c>
      <c r="I1010">
        <v>2</v>
      </c>
      <c r="J1010">
        <v>0</v>
      </c>
      <c r="L1010" t="s">
        <v>14653</v>
      </c>
      <c r="M1010" t="s">
        <v>14654</v>
      </c>
      <c r="N1010" t="s">
        <v>14655</v>
      </c>
      <c r="O1010" t="s">
        <v>14656</v>
      </c>
      <c r="P1010" t="s">
        <v>14657</v>
      </c>
      <c r="Q1010" t="s">
        <v>14658</v>
      </c>
      <c r="R1010" t="s">
        <v>14659</v>
      </c>
      <c r="S1010" t="s">
        <v>14660</v>
      </c>
      <c r="T1010" s="2">
        <v>8.3333333333333329E-2</v>
      </c>
      <c r="U1010">
        <v>1</v>
      </c>
      <c r="V1010" t="s">
        <v>14661</v>
      </c>
      <c r="W1010" t="s">
        <v>14662</v>
      </c>
      <c r="X1010" t="s">
        <v>14663</v>
      </c>
      <c r="Z1010" t="s">
        <v>14664</v>
      </c>
      <c r="AA1010" t="s">
        <v>14664</v>
      </c>
      <c r="AB1010" t="s">
        <v>14664</v>
      </c>
      <c r="AC1010" t="s">
        <v>14665</v>
      </c>
      <c r="AD1010" t="s">
        <v>14666</v>
      </c>
    </row>
    <row r="1011" spans="1:30">
      <c r="A1011" t="s">
        <v>14667</v>
      </c>
      <c r="B1011">
        <v>2</v>
      </c>
      <c r="C1011">
        <v>4</v>
      </c>
      <c r="D1011">
        <v>2015</v>
      </c>
      <c r="E1011" s="1">
        <v>42039</v>
      </c>
      <c r="F1011" t="s">
        <v>14668</v>
      </c>
      <c r="G1011">
        <v>0</v>
      </c>
      <c r="H1011">
        <v>2</v>
      </c>
      <c r="I1011">
        <v>2</v>
      </c>
      <c r="J1011">
        <v>0</v>
      </c>
      <c r="K1011" t="s">
        <v>14669</v>
      </c>
      <c r="L1011" t="s">
        <v>14670</v>
      </c>
      <c r="M1011" t="s">
        <v>14671</v>
      </c>
      <c r="N1011" t="s">
        <v>14672</v>
      </c>
      <c r="O1011" t="s">
        <v>14673</v>
      </c>
      <c r="P1011" t="s">
        <v>14674</v>
      </c>
      <c r="Q1011" t="s">
        <v>14675</v>
      </c>
      <c r="R1011" t="s">
        <v>14676</v>
      </c>
      <c r="S1011" t="s">
        <v>14677</v>
      </c>
      <c r="T1011" s="2">
        <v>0.83333333333333337</v>
      </c>
      <c r="U1011">
        <v>1</v>
      </c>
      <c r="V1011" t="s">
        <v>14678</v>
      </c>
      <c r="W1011" t="s">
        <v>14679</v>
      </c>
      <c r="X1011" t="s">
        <v>14680</v>
      </c>
      <c r="Y1011" t="s">
        <v>14681</v>
      </c>
      <c r="Z1011" t="s">
        <v>14682</v>
      </c>
      <c r="AA1011" t="s">
        <v>14682</v>
      </c>
      <c r="AB1011" t="s">
        <v>14682</v>
      </c>
      <c r="AC1011" t="s">
        <v>14682</v>
      </c>
      <c r="AD1011" t="s">
        <v>14682</v>
      </c>
    </row>
    <row r="1012" spans="1:30">
      <c r="A1012" t="s">
        <v>14683</v>
      </c>
      <c r="B1012">
        <v>1</v>
      </c>
      <c r="C1012">
        <v>26</v>
      </c>
      <c r="D1012">
        <v>2015</v>
      </c>
      <c r="E1012" s="1">
        <v>42030</v>
      </c>
      <c r="F1012" t="s">
        <v>14684</v>
      </c>
      <c r="G1012">
        <v>0</v>
      </c>
      <c r="H1012">
        <v>0</v>
      </c>
      <c r="I1012">
        <v>0</v>
      </c>
      <c r="J1012">
        <v>1</v>
      </c>
      <c r="K1012" t="s">
        <v>14685</v>
      </c>
      <c r="L1012" t="s">
        <v>14686</v>
      </c>
      <c r="M1012" t="s">
        <v>14687</v>
      </c>
      <c r="N1012" t="s">
        <v>14688</v>
      </c>
      <c r="O1012" t="s">
        <v>14689</v>
      </c>
      <c r="P1012" t="s">
        <v>14690</v>
      </c>
      <c r="Q1012" t="s">
        <v>14691</v>
      </c>
      <c r="R1012" t="s">
        <v>14692</v>
      </c>
      <c r="S1012" t="s">
        <v>14693</v>
      </c>
      <c r="T1012" s="2">
        <v>0.62986111111111109</v>
      </c>
      <c r="U1012">
        <v>1</v>
      </c>
      <c r="V1012" t="s">
        <v>14694</v>
      </c>
      <c r="W1012" t="s">
        <v>14695</v>
      </c>
      <c r="X1012" t="s">
        <v>14696</v>
      </c>
      <c r="Y1012" t="s">
        <v>14697</v>
      </c>
      <c r="Z1012" t="s">
        <v>14697</v>
      </c>
      <c r="AA1012" t="s">
        <v>14697</v>
      </c>
      <c r="AB1012" t="s">
        <v>14698</v>
      </c>
      <c r="AD1012" t="s">
        <v>14699</v>
      </c>
    </row>
    <row r="1013" spans="1:30">
      <c r="A1013" t="s">
        <v>14700</v>
      </c>
      <c r="B1013">
        <v>1</v>
      </c>
      <c r="C1013">
        <v>22</v>
      </c>
      <c r="D1013">
        <v>2015</v>
      </c>
      <c r="E1013" s="1">
        <v>42026</v>
      </c>
      <c r="F1013" t="s">
        <v>14701</v>
      </c>
      <c r="G1013">
        <v>0</v>
      </c>
      <c r="H1013">
        <v>0</v>
      </c>
      <c r="I1013">
        <v>0</v>
      </c>
      <c r="J1013">
        <v>0</v>
      </c>
      <c r="L1013" t="s">
        <v>14702</v>
      </c>
      <c r="M1013" t="s">
        <v>14703</v>
      </c>
      <c r="N1013" t="s">
        <v>14704</v>
      </c>
      <c r="O1013" t="s">
        <v>14705</v>
      </c>
      <c r="P1013" t="s">
        <v>14706</v>
      </c>
      <c r="Q1013" t="s">
        <v>14707</v>
      </c>
      <c r="R1013" t="s">
        <v>14708</v>
      </c>
      <c r="S1013" t="s">
        <v>14709</v>
      </c>
      <c r="T1013" s="2">
        <v>0.70833333333333337</v>
      </c>
      <c r="U1013">
        <v>2</v>
      </c>
      <c r="V1013" t="s">
        <v>14710</v>
      </c>
      <c r="W1013" t="s">
        <v>14711</v>
      </c>
      <c r="Y1013" t="s">
        <v>14712</v>
      </c>
      <c r="Z1013" t="s">
        <v>14713</v>
      </c>
      <c r="AA1013" t="s">
        <v>14713</v>
      </c>
      <c r="AB1013" t="s">
        <v>14713</v>
      </c>
      <c r="AC1013" t="s">
        <v>14713</v>
      </c>
      <c r="AD1013" t="s">
        <v>14713</v>
      </c>
    </row>
    <row r="1014" spans="1:30">
      <c r="A1014" t="s">
        <v>14714</v>
      </c>
      <c r="B1014">
        <v>1</v>
      </c>
      <c r="C1014">
        <v>20</v>
      </c>
      <c r="D1014">
        <v>2015</v>
      </c>
      <c r="E1014" s="1">
        <v>42024</v>
      </c>
      <c r="F1014" t="s">
        <v>14715</v>
      </c>
      <c r="G1014">
        <v>0</v>
      </c>
      <c r="H1014">
        <v>1</v>
      </c>
      <c r="I1014">
        <v>1</v>
      </c>
      <c r="J1014">
        <v>0</v>
      </c>
      <c r="L1014" t="s">
        <v>14716</v>
      </c>
      <c r="M1014" t="s">
        <v>14717</v>
      </c>
      <c r="N1014" t="s">
        <v>14718</v>
      </c>
      <c r="O1014" t="s">
        <v>14719</v>
      </c>
      <c r="P1014" t="s">
        <v>14720</v>
      </c>
      <c r="Q1014" t="s">
        <v>14721</v>
      </c>
      <c r="R1014" t="s">
        <v>14722</v>
      </c>
      <c r="S1014" t="s">
        <v>14723</v>
      </c>
      <c r="U1014">
        <v>1</v>
      </c>
      <c r="V1014" t="s">
        <v>14724</v>
      </c>
      <c r="W1014" t="s">
        <v>14725</v>
      </c>
      <c r="X1014" t="s">
        <v>14726</v>
      </c>
      <c r="Y1014" t="s">
        <v>14727</v>
      </c>
      <c r="Z1014" t="s">
        <v>14728</v>
      </c>
      <c r="AA1014" t="s">
        <v>14728</v>
      </c>
      <c r="AB1014" t="s">
        <v>14728</v>
      </c>
      <c r="AC1014" t="s">
        <v>14728</v>
      </c>
      <c r="AD1014" t="s">
        <v>14728</v>
      </c>
    </row>
    <row r="1015" spans="1:30">
      <c r="A1015" t="s">
        <v>14729</v>
      </c>
      <c r="B1015">
        <v>1</v>
      </c>
      <c r="C1015">
        <v>16</v>
      </c>
      <c r="D1015">
        <v>2015</v>
      </c>
      <c r="E1015" s="1">
        <v>42020</v>
      </c>
      <c r="F1015" t="s">
        <v>14730</v>
      </c>
      <c r="G1015">
        <v>0</v>
      </c>
      <c r="H1015">
        <v>2</v>
      </c>
      <c r="I1015">
        <v>2</v>
      </c>
      <c r="J1015">
        <v>0</v>
      </c>
      <c r="K1015" t="s">
        <v>14731</v>
      </c>
      <c r="L1015" t="s">
        <v>14732</v>
      </c>
      <c r="M1015" t="s">
        <v>14733</v>
      </c>
      <c r="N1015" t="s">
        <v>14734</v>
      </c>
      <c r="O1015" t="s">
        <v>14735</v>
      </c>
      <c r="P1015" t="s">
        <v>14736</v>
      </c>
      <c r="Q1015" t="s">
        <v>14737</v>
      </c>
      <c r="R1015" t="s">
        <v>14738</v>
      </c>
      <c r="S1015" t="s">
        <v>14739</v>
      </c>
      <c r="U1015">
        <v>1</v>
      </c>
      <c r="V1015" t="s">
        <v>14740</v>
      </c>
      <c r="W1015" t="s">
        <v>14741</v>
      </c>
      <c r="X1015" t="s">
        <v>14742</v>
      </c>
      <c r="Y1015" t="s">
        <v>14743</v>
      </c>
      <c r="Z1015" t="s">
        <v>14743</v>
      </c>
      <c r="AA1015" t="s">
        <v>14743</v>
      </c>
      <c r="AC1015" t="s">
        <v>14743</v>
      </c>
      <c r="AD1015" t="s">
        <v>14743</v>
      </c>
    </row>
    <row r="1016" spans="1:30">
      <c r="A1016" t="s">
        <v>14744</v>
      </c>
      <c r="B1016">
        <v>1</v>
      </c>
      <c r="C1016">
        <v>15</v>
      </c>
      <c r="D1016">
        <v>2015</v>
      </c>
      <c r="E1016" s="1">
        <v>42019</v>
      </c>
      <c r="F1016" t="s">
        <v>14745</v>
      </c>
      <c r="G1016">
        <v>0</v>
      </c>
      <c r="H1016">
        <v>3</v>
      </c>
      <c r="I1016">
        <v>3</v>
      </c>
      <c r="J1016">
        <v>0</v>
      </c>
      <c r="K1016" t="s">
        <v>14746</v>
      </c>
      <c r="L1016" t="s">
        <v>14747</v>
      </c>
      <c r="M1016" t="s">
        <v>14748</v>
      </c>
      <c r="N1016" t="s">
        <v>14749</v>
      </c>
      <c r="O1016" t="s">
        <v>14750</v>
      </c>
      <c r="P1016" t="s">
        <v>14751</v>
      </c>
      <c r="Q1016" t="s">
        <v>14752</v>
      </c>
      <c r="R1016" t="s">
        <v>14753</v>
      </c>
      <c r="S1016" t="s">
        <v>14754</v>
      </c>
      <c r="V1016" t="s">
        <v>14755</v>
      </c>
      <c r="W1016" t="s">
        <v>14756</v>
      </c>
      <c r="X1016" t="s">
        <v>14757</v>
      </c>
      <c r="Y1016" t="s">
        <v>14758</v>
      </c>
      <c r="Z1016" t="s">
        <v>14758</v>
      </c>
      <c r="AA1016" t="s">
        <v>14758</v>
      </c>
      <c r="AB1016" t="s">
        <v>14759</v>
      </c>
      <c r="AC1016" t="s">
        <v>14760</v>
      </c>
      <c r="AD1016" t="s">
        <v>14760</v>
      </c>
    </row>
    <row r="1017" spans="1:30">
      <c r="A1017" t="s">
        <v>14761</v>
      </c>
      <c r="B1017">
        <v>12</v>
      </c>
      <c r="C1017">
        <v>17</v>
      </c>
      <c r="D1017">
        <v>2014</v>
      </c>
      <c r="E1017" s="1">
        <v>41990</v>
      </c>
      <c r="F1017" t="s">
        <v>14762</v>
      </c>
      <c r="G1017">
        <v>0</v>
      </c>
      <c r="H1017">
        <v>0</v>
      </c>
      <c r="I1017">
        <v>0</v>
      </c>
      <c r="J1017">
        <v>1</v>
      </c>
      <c r="K1017" t="s">
        <v>14763</v>
      </c>
      <c r="L1017" t="s">
        <v>14764</v>
      </c>
      <c r="M1017" t="s">
        <v>14765</v>
      </c>
      <c r="N1017" t="s">
        <v>14766</v>
      </c>
      <c r="O1017" t="s">
        <v>14767</v>
      </c>
      <c r="P1017" t="s">
        <v>14768</v>
      </c>
      <c r="Q1017" t="s">
        <v>14769</v>
      </c>
      <c r="R1017" t="s">
        <v>14770</v>
      </c>
      <c r="S1017" t="s">
        <v>14771</v>
      </c>
      <c r="T1017" s="2">
        <v>0.60416666666666674</v>
      </c>
      <c r="U1017">
        <v>1</v>
      </c>
      <c r="V1017" t="s">
        <v>14772</v>
      </c>
      <c r="W1017" t="s">
        <v>14773</v>
      </c>
      <c r="X1017" t="s">
        <v>14774</v>
      </c>
      <c r="Y1017" t="s">
        <v>14775</v>
      </c>
      <c r="Z1017" t="s">
        <v>14775</v>
      </c>
      <c r="AA1017" t="s">
        <v>14775</v>
      </c>
      <c r="AB1017" t="s">
        <v>14775</v>
      </c>
      <c r="AC1017" t="s">
        <v>14775</v>
      </c>
    </row>
    <row r="1018" spans="1:30">
      <c r="A1018" t="s">
        <v>14776</v>
      </c>
      <c r="B1018">
        <v>12</v>
      </c>
      <c r="C1018">
        <v>17</v>
      </c>
      <c r="D1018">
        <v>2014</v>
      </c>
      <c r="E1018" s="1">
        <v>41990</v>
      </c>
      <c r="F1018" t="s">
        <v>14777</v>
      </c>
      <c r="G1018">
        <v>0</v>
      </c>
      <c r="H1018">
        <v>1</v>
      </c>
      <c r="I1018">
        <v>1</v>
      </c>
      <c r="J1018">
        <v>0</v>
      </c>
      <c r="L1018" t="s">
        <v>14778</v>
      </c>
      <c r="M1018" t="s">
        <v>14779</v>
      </c>
      <c r="N1018" t="s">
        <v>14780</v>
      </c>
      <c r="O1018" t="s">
        <v>14781</v>
      </c>
      <c r="P1018" t="s">
        <v>14782</v>
      </c>
      <c r="Q1018" t="s">
        <v>14783</v>
      </c>
      <c r="R1018" t="s">
        <v>14784</v>
      </c>
      <c r="S1018" t="s">
        <v>14785</v>
      </c>
      <c r="T1018" s="2">
        <v>0.83333333333333337</v>
      </c>
      <c r="U1018">
        <v>1</v>
      </c>
      <c r="V1018" t="s">
        <v>14786</v>
      </c>
      <c r="W1018" t="s">
        <v>14787</v>
      </c>
      <c r="X1018" t="s">
        <v>14788</v>
      </c>
      <c r="Z1018" t="s">
        <v>14789</v>
      </c>
      <c r="AA1018" t="s">
        <v>14789</v>
      </c>
      <c r="AB1018" t="s">
        <v>14789</v>
      </c>
      <c r="AC1018" t="s">
        <v>14789</v>
      </c>
      <c r="AD1018" t="s">
        <v>14789</v>
      </c>
    </row>
    <row r="1019" spans="1:30">
      <c r="A1019" t="s">
        <v>14790</v>
      </c>
      <c r="B1019">
        <v>12</v>
      </c>
      <c r="C1019">
        <v>16</v>
      </c>
      <c r="D1019">
        <v>2014</v>
      </c>
      <c r="E1019" s="1">
        <v>41989</v>
      </c>
      <c r="F1019" t="s">
        <v>14791</v>
      </c>
      <c r="G1019">
        <v>1</v>
      </c>
      <c r="H1019">
        <v>0</v>
      </c>
      <c r="I1019">
        <v>1</v>
      </c>
      <c r="J1019">
        <v>0</v>
      </c>
      <c r="L1019" t="s">
        <v>14792</v>
      </c>
      <c r="M1019" t="s">
        <v>14793</v>
      </c>
      <c r="N1019" t="s">
        <v>14794</v>
      </c>
      <c r="O1019" t="s">
        <v>14795</v>
      </c>
      <c r="P1019" t="s">
        <v>14796</v>
      </c>
      <c r="Q1019" t="s">
        <v>14797</v>
      </c>
      <c r="R1019" t="s">
        <v>14798</v>
      </c>
      <c r="S1019" t="s">
        <v>14799</v>
      </c>
      <c r="T1019" s="2">
        <v>0.95833333333333337</v>
      </c>
      <c r="U1019">
        <v>1</v>
      </c>
      <c r="V1019" t="s">
        <v>14800</v>
      </c>
      <c r="W1019" t="s">
        <v>14801</v>
      </c>
      <c r="Z1019" t="s">
        <v>14802</v>
      </c>
      <c r="AA1019" t="s">
        <v>14802</v>
      </c>
    </row>
    <row r="1020" spans="1:30">
      <c r="A1020" t="s">
        <v>14803</v>
      </c>
      <c r="B1020">
        <v>12</v>
      </c>
      <c r="C1020">
        <v>12</v>
      </c>
      <c r="D1020">
        <v>2014</v>
      </c>
      <c r="E1020" s="1">
        <v>41985</v>
      </c>
      <c r="F1020" t="s">
        <v>14804</v>
      </c>
      <c r="G1020">
        <v>0</v>
      </c>
      <c r="H1020">
        <v>4</v>
      </c>
      <c r="I1020">
        <v>4</v>
      </c>
      <c r="J1020">
        <v>0</v>
      </c>
      <c r="K1020" t="s">
        <v>14805</v>
      </c>
      <c r="L1020" t="s">
        <v>14806</v>
      </c>
      <c r="M1020" t="s">
        <v>14807</v>
      </c>
      <c r="N1020" t="s">
        <v>14808</v>
      </c>
      <c r="O1020" t="s">
        <v>14809</v>
      </c>
      <c r="P1020" t="s">
        <v>14810</v>
      </c>
      <c r="Q1020" t="s">
        <v>14811</v>
      </c>
      <c r="R1020" t="s">
        <v>14812</v>
      </c>
      <c r="S1020" t="s">
        <v>14813</v>
      </c>
      <c r="V1020" t="s">
        <v>14814</v>
      </c>
      <c r="W1020" t="s">
        <v>14815</v>
      </c>
      <c r="X1020" t="s">
        <v>14816</v>
      </c>
      <c r="Y1020" t="s">
        <v>14817</v>
      </c>
      <c r="Z1020" t="s">
        <v>14818</v>
      </c>
      <c r="AA1020" t="s">
        <v>14818</v>
      </c>
      <c r="AB1020" t="s">
        <v>14818</v>
      </c>
      <c r="AC1020" t="s">
        <v>14818</v>
      </c>
    </row>
    <row r="1021" spans="1:30">
      <c r="A1021" t="s">
        <v>14819</v>
      </c>
      <c r="B1021">
        <v>11</v>
      </c>
      <c r="C1021">
        <v>20</v>
      </c>
      <c r="D1021">
        <v>2014</v>
      </c>
      <c r="E1021" s="1">
        <v>41963</v>
      </c>
      <c r="F1021" t="s">
        <v>14820</v>
      </c>
      <c r="G1021">
        <v>1</v>
      </c>
      <c r="H1021">
        <v>1</v>
      </c>
      <c r="I1021">
        <v>2</v>
      </c>
      <c r="J1021">
        <v>0</v>
      </c>
      <c r="K1021" t="s">
        <v>14821</v>
      </c>
      <c r="L1021" t="s">
        <v>14822</v>
      </c>
      <c r="M1021" t="s">
        <v>14823</v>
      </c>
      <c r="N1021" t="s">
        <v>14824</v>
      </c>
      <c r="O1021" t="s">
        <v>14825</v>
      </c>
      <c r="P1021" t="s">
        <v>14826</v>
      </c>
      <c r="Q1021" t="s">
        <v>14827</v>
      </c>
      <c r="R1021" t="s">
        <v>14828</v>
      </c>
      <c r="S1021" t="s">
        <v>14829</v>
      </c>
      <c r="T1021" s="2">
        <v>0.64583333333333337</v>
      </c>
      <c r="V1021" t="s">
        <v>14830</v>
      </c>
      <c r="W1021" t="s">
        <v>14831</v>
      </c>
      <c r="X1021" t="s">
        <v>14832</v>
      </c>
      <c r="Y1021" t="s">
        <v>14833</v>
      </c>
      <c r="Z1021" t="s">
        <v>14834</v>
      </c>
      <c r="AA1021" t="s">
        <v>14834</v>
      </c>
      <c r="AB1021" t="s">
        <v>14834</v>
      </c>
      <c r="AC1021" t="s">
        <v>14834</v>
      </c>
    </row>
    <row r="1022" spans="1:30">
      <c r="A1022" t="s">
        <v>14835</v>
      </c>
      <c r="B1022">
        <v>10</v>
      </c>
      <c r="C1022">
        <v>24</v>
      </c>
      <c r="D1022">
        <v>2014</v>
      </c>
      <c r="E1022" s="1">
        <v>41936</v>
      </c>
      <c r="F1022" t="s">
        <v>14836</v>
      </c>
      <c r="G1022">
        <v>4</v>
      </c>
      <c r="H1022">
        <v>3</v>
      </c>
      <c r="I1022">
        <v>7</v>
      </c>
      <c r="J1022">
        <v>1</v>
      </c>
      <c r="K1022" t="s">
        <v>14837</v>
      </c>
      <c r="L1022" t="s">
        <v>14838</v>
      </c>
      <c r="M1022" t="s">
        <v>14839</v>
      </c>
      <c r="N1022" t="s">
        <v>14840</v>
      </c>
      <c r="O1022" t="s">
        <v>14841</v>
      </c>
      <c r="P1022" t="s">
        <v>14842</v>
      </c>
      <c r="Q1022" t="s">
        <v>14843</v>
      </c>
      <c r="R1022" t="s">
        <v>14844</v>
      </c>
      <c r="S1022" t="s">
        <v>14845</v>
      </c>
      <c r="T1022" s="2">
        <v>0.44375000000000003</v>
      </c>
      <c r="U1022">
        <v>1</v>
      </c>
      <c r="V1022" t="s">
        <v>14846</v>
      </c>
      <c r="W1022" t="s">
        <v>14847</v>
      </c>
      <c r="X1022" t="s">
        <v>14848</v>
      </c>
      <c r="Y1022" t="s">
        <v>14849</v>
      </c>
      <c r="Z1022" t="s">
        <v>14849</v>
      </c>
      <c r="AA1022" t="s">
        <v>14849</v>
      </c>
      <c r="AB1022" t="s">
        <v>14850</v>
      </c>
      <c r="AC1022" t="s">
        <v>14850</v>
      </c>
      <c r="AD1022" t="s">
        <v>14850</v>
      </c>
    </row>
    <row r="1023" spans="1:30">
      <c r="A1023" t="s">
        <v>14851</v>
      </c>
      <c r="B1023">
        <v>10</v>
      </c>
      <c r="C1023">
        <v>24</v>
      </c>
      <c r="D1023">
        <v>2014</v>
      </c>
      <c r="E1023" s="1">
        <v>41936</v>
      </c>
      <c r="F1023" t="s">
        <v>14852</v>
      </c>
      <c r="G1023">
        <v>0</v>
      </c>
      <c r="H1023">
        <v>1</v>
      </c>
      <c r="I1023">
        <v>1</v>
      </c>
      <c r="J1023">
        <v>0</v>
      </c>
      <c r="L1023" t="s">
        <v>14853</v>
      </c>
      <c r="M1023" t="s">
        <v>14854</v>
      </c>
      <c r="N1023" t="s">
        <v>14855</v>
      </c>
      <c r="O1023" t="s">
        <v>14856</v>
      </c>
      <c r="P1023" t="s">
        <v>14857</v>
      </c>
      <c r="Q1023" t="s">
        <v>14858</v>
      </c>
      <c r="R1023" t="s">
        <v>14859</v>
      </c>
      <c r="S1023" t="s">
        <v>14860</v>
      </c>
      <c r="T1023" s="2">
        <v>0.95833333333333337</v>
      </c>
      <c r="U1023">
        <v>1</v>
      </c>
      <c r="V1023" t="s">
        <v>14861</v>
      </c>
      <c r="W1023" t="s">
        <v>14862</v>
      </c>
      <c r="X1023" t="s">
        <v>14863</v>
      </c>
      <c r="Y1023" t="s">
        <v>14864</v>
      </c>
      <c r="Z1023" t="s">
        <v>14865</v>
      </c>
      <c r="AA1023" t="s">
        <v>14865</v>
      </c>
      <c r="AB1023" t="s">
        <v>14865</v>
      </c>
      <c r="AC1023" t="s">
        <v>14865</v>
      </c>
      <c r="AD1023" t="s">
        <v>14865</v>
      </c>
    </row>
    <row r="1024" spans="1:30">
      <c r="A1024" t="s">
        <v>14866</v>
      </c>
      <c r="B1024">
        <v>10</v>
      </c>
      <c r="C1024">
        <v>21</v>
      </c>
      <c r="D1024">
        <v>2014</v>
      </c>
      <c r="E1024" s="1">
        <v>41933</v>
      </c>
      <c r="F1024" t="s">
        <v>14867</v>
      </c>
      <c r="G1024">
        <v>0</v>
      </c>
      <c r="H1024">
        <v>1</v>
      </c>
      <c r="I1024">
        <v>1</v>
      </c>
      <c r="J1024">
        <v>0</v>
      </c>
      <c r="K1024" t="s">
        <v>14868</v>
      </c>
      <c r="L1024" t="s">
        <v>14869</v>
      </c>
      <c r="M1024" t="s">
        <v>14870</v>
      </c>
      <c r="N1024" t="s">
        <v>14871</v>
      </c>
      <c r="O1024" t="s">
        <v>14872</v>
      </c>
      <c r="P1024" t="s">
        <v>14873</v>
      </c>
      <c r="Q1024" t="s">
        <v>14874</v>
      </c>
      <c r="R1024" t="s">
        <v>14875</v>
      </c>
      <c r="S1024" t="s">
        <v>14876</v>
      </c>
      <c r="T1024" s="2">
        <v>0.32291666666666669</v>
      </c>
      <c r="U1024">
        <v>1</v>
      </c>
      <c r="V1024" t="s">
        <v>14877</v>
      </c>
      <c r="W1024" t="s">
        <v>14878</v>
      </c>
      <c r="X1024" t="s">
        <v>14879</v>
      </c>
      <c r="Y1024" t="s">
        <v>14880</v>
      </c>
      <c r="Z1024" t="s">
        <v>14880</v>
      </c>
      <c r="AA1024" t="s">
        <v>14880</v>
      </c>
      <c r="AB1024" t="s">
        <v>14880</v>
      </c>
      <c r="AC1024" t="s">
        <v>14880</v>
      </c>
    </row>
    <row r="1025" spans="1:30">
      <c r="A1025" t="s">
        <v>14881</v>
      </c>
      <c r="B1025">
        <v>10</v>
      </c>
      <c r="C1025">
        <v>3</v>
      </c>
      <c r="D1025">
        <v>2014</v>
      </c>
      <c r="E1025" s="1">
        <v>41915</v>
      </c>
      <c r="F1025" t="s">
        <v>14882</v>
      </c>
      <c r="G1025">
        <v>1</v>
      </c>
      <c r="H1025">
        <v>0</v>
      </c>
      <c r="I1025">
        <v>1</v>
      </c>
      <c r="J1025">
        <v>0</v>
      </c>
      <c r="K1025" t="s">
        <v>14883</v>
      </c>
      <c r="L1025" t="s">
        <v>14884</v>
      </c>
      <c r="M1025" t="s">
        <v>14885</v>
      </c>
      <c r="N1025" t="s">
        <v>14886</v>
      </c>
      <c r="O1025" t="s">
        <v>14887</v>
      </c>
      <c r="P1025" t="s">
        <v>14888</v>
      </c>
      <c r="Q1025" t="s">
        <v>14889</v>
      </c>
      <c r="R1025" t="s">
        <v>14890</v>
      </c>
      <c r="S1025" t="s">
        <v>14891</v>
      </c>
      <c r="T1025" s="2">
        <v>0.91666666666666663</v>
      </c>
      <c r="U1025">
        <v>1</v>
      </c>
      <c r="V1025" t="s">
        <v>14892</v>
      </c>
      <c r="W1025" t="s">
        <v>14893</v>
      </c>
      <c r="X1025" t="s">
        <v>14894</v>
      </c>
      <c r="Y1025" t="s">
        <v>14895</v>
      </c>
      <c r="Z1025" t="s">
        <v>14896</v>
      </c>
      <c r="AA1025" t="s">
        <v>14896</v>
      </c>
      <c r="AB1025" t="s">
        <v>14896</v>
      </c>
      <c r="AC1025" t="s">
        <v>14896</v>
      </c>
    </row>
    <row r="1026" spans="1:30">
      <c r="A1026" t="s">
        <v>14897</v>
      </c>
      <c r="B1026">
        <v>9</v>
      </c>
      <c r="C1026">
        <v>30</v>
      </c>
      <c r="D1026">
        <v>2014</v>
      </c>
      <c r="E1026" s="1">
        <v>41912</v>
      </c>
      <c r="F1026" t="s">
        <v>14898</v>
      </c>
      <c r="G1026">
        <v>0</v>
      </c>
      <c r="H1026">
        <v>1</v>
      </c>
      <c r="I1026">
        <v>1</v>
      </c>
      <c r="J1026">
        <v>0</v>
      </c>
      <c r="K1026" t="s">
        <v>14899</v>
      </c>
      <c r="L1026" t="s">
        <v>14900</v>
      </c>
      <c r="M1026" t="s">
        <v>14901</v>
      </c>
      <c r="N1026" t="s">
        <v>14902</v>
      </c>
      <c r="O1026" t="s">
        <v>14903</v>
      </c>
      <c r="P1026" t="s">
        <v>14904</v>
      </c>
      <c r="Q1026" t="s">
        <v>14905</v>
      </c>
      <c r="R1026" t="s">
        <v>14906</v>
      </c>
      <c r="S1026" t="s">
        <v>14907</v>
      </c>
      <c r="T1026" s="2">
        <v>0.54166666666666663</v>
      </c>
      <c r="U1026">
        <v>1</v>
      </c>
      <c r="V1026" t="s">
        <v>14908</v>
      </c>
      <c r="W1026" t="s">
        <v>14909</v>
      </c>
      <c r="X1026" t="s">
        <v>14910</v>
      </c>
      <c r="Y1026" t="s">
        <v>14911</v>
      </c>
      <c r="Z1026" t="s">
        <v>14911</v>
      </c>
      <c r="AA1026" t="s">
        <v>14911</v>
      </c>
      <c r="AB1026" t="s">
        <v>14911</v>
      </c>
      <c r="AC1026" t="s">
        <v>14911</v>
      </c>
    </row>
    <row r="1027" spans="1:30">
      <c r="A1027" t="s">
        <v>14912</v>
      </c>
      <c r="B1027">
        <v>9</v>
      </c>
      <c r="C1027">
        <v>30</v>
      </c>
      <c r="D1027">
        <v>2014</v>
      </c>
      <c r="E1027" s="1">
        <v>41912</v>
      </c>
      <c r="F1027" t="s">
        <v>14913</v>
      </c>
      <c r="G1027">
        <v>0</v>
      </c>
      <c r="H1027">
        <v>1</v>
      </c>
      <c r="I1027">
        <v>1</v>
      </c>
      <c r="J1027">
        <v>0</v>
      </c>
      <c r="K1027" t="s">
        <v>14914</v>
      </c>
      <c r="L1027" t="s">
        <v>14915</v>
      </c>
      <c r="M1027" t="s">
        <v>14916</v>
      </c>
      <c r="N1027" t="s">
        <v>14917</v>
      </c>
      <c r="O1027" t="s">
        <v>14918</v>
      </c>
      <c r="P1027" t="s">
        <v>14919</v>
      </c>
      <c r="Q1027" t="s">
        <v>14920</v>
      </c>
      <c r="R1027" t="s">
        <v>14921</v>
      </c>
      <c r="S1027" t="s">
        <v>14922</v>
      </c>
      <c r="T1027" s="2">
        <v>0.31944444444444448</v>
      </c>
      <c r="V1027" t="s">
        <v>14923</v>
      </c>
      <c r="W1027" t="s">
        <v>14924</v>
      </c>
      <c r="X1027" t="s">
        <v>14925</v>
      </c>
      <c r="Y1027" t="s">
        <v>14926</v>
      </c>
      <c r="Z1027" t="s">
        <v>14926</v>
      </c>
      <c r="AA1027" t="s">
        <v>14926</v>
      </c>
      <c r="AB1027" t="s">
        <v>14926</v>
      </c>
      <c r="AC1027" t="s">
        <v>14926</v>
      </c>
    </row>
    <row r="1028" spans="1:30">
      <c r="A1028" t="s">
        <v>14927</v>
      </c>
      <c r="B1028">
        <v>9</v>
      </c>
      <c r="C1028">
        <v>25</v>
      </c>
      <c r="D1028">
        <v>2014</v>
      </c>
      <c r="E1028" s="1">
        <v>41907</v>
      </c>
      <c r="F1028" t="s">
        <v>14928</v>
      </c>
      <c r="G1028">
        <v>0</v>
      </c>
      <c r="H1028">
        <v>0</v>
      </c>
      <c r="I1028">
        <v>0</v>
      </c>
      <c r="J1028">
        <v>0</v>
      </c>
      <c r="L1028" t="s">
        <v>14929</v>
      </c>
      <c r="M1028" t="s">
        <v>14930</v>
      </c>
      <c r="N1028" t="s">
        <v>14931</v>
      </c>
      <c r="O1028" t="s">
        <v>14932</v>
      </c>
      <c r="P1028" t="s">
        <v>14933</v>
      </c>
      <c r="Q1028" t="s">
        <v>14934</v>
      </c>
      <c r="R1028" t="s">
        <v>14935</v>
      </c>
      <c r="S1028" t="s">
        <v>14936</v>
      </c>
      <c r="T1028" s="2">
        <v>0.32291666666666669</v>
      </c>
      <c r="U1028">
        <v>135</v>
      </c>
      <c r="V1028" t="s">
        <v>14937</v>
      </c>
      <c r="W1028" t="s">
        <v>14938</v>
      </c>
      <c r="X1028" t="s">
        <v>14939</v>
      </c>
      <c r="Y1028" t="s">
        <v>14940</v>
      </c>
      <c r="Z1028" t="s">
        <v>14940</v>
      </c>
      <c r="AA1028" t="s">
        <v>14940</v>
      </c>
      <c r="AC1028" t="s">
        <v>14940</v>
      </c>
      <c r="AD1028" t="s">
        <v>14941</v>
      </c>
    </row>
    <row r="1029" spans="1:30">
      <c r="A1029" t="s">
        <v>14942</v>
      </c>
      <c r="B1029">
        <v>9</v>
      </c>
      <c r="C1029">
        <v>19</v>
      </c>
      <c r="D1029">
        <v>2014</v>
      </c>
      <c r="E1029" s="1">
        <v>41901</v>
      </c>
      <c r="F1029" t="s">
        <v>14943</v>
      </c>
      <c r="G1029">
        <v>0</v>
      </c>
      <c r="H1029">
        <v>1</v>
      </c>
      <c r="I1029">
        <v>1</v>
      </c>
      <c r="J1029">
        <v>0</v>
      </c>
      <c r="K1029" t="s">
        <v>14944</v>
      </c>
      <c r="L1029" t="s">
        <v>14945</v>
      </c>
      <c r="M1029" t="s">
        <v>14946</v>
      </c>
      <c r="N1029" t="s">
        <v>14947</v>
      </c>
      <c r="O1029" t="s">
        <v>14948</v>
      </c>
      <c r="P1029" t="s">
        <v>14949</v>
      </c>
      <c r="Q1029" t="s">
        <v>14950</v>
      </c>
      <c r="R1029" t="s">
        <v>14951</v>
      </c>
      <c r="S1029" t="s">
        <v>14952</v>
      </c>
      <c r="T1029" s="2">
        <v>0.91666666666666663</v>
      </c>
      <c r="U1029">
        <v>1</v>
      </c>
      <c r="V1029" t="s">
        <v>14953</v>
      </c>
      <c r="W1029" t="s">
        <v>14954</v>
      </c>
      <c r="X1029" t="s">
        <v>14955</v>
      </c>
      <c r="Y1029" t="s">
        <v>14956</v>
      </c>
      <c r="Z1029" t="s">
        <v>14956</v>
      </c>
      <c r="AA1029" t="s">
        <v>14956</v>
      </c>
      <c r="AB1029" t="s">
        <v>14956</v>
      </c>
      <c r="AC1029" t="s">
        <v>14956</v>
      </c>
    </row>
    <row r="1030" spans="1:30">
      <c r="A1030" t="s">
        <v>14957</v>
      </c>
      <c r="B1030">
        <v>9</v>
      </c>
      <c r="C1030">
        <v>11</v>
      </c>
      <c r="D1030">
        <v>2014</v>
      </c>
      <c r="E1030" s="1">
        <v>41893</v>
      </c>
      <c r="F1030" t="s">
        <v>14958</v>
      </c>
      <c r="G1030">
        <v>0</v>
      </c>
      <c r="H1030">
        <v>0</v>
      </c>
      <c r="I1030">
        <v>0</v>
      </c>
      <c r="J1030">
        <v>0</v>
      </c>
      <c r="L1030" t="s">
        <v>14959</v>
      </c>
      <c r="M1030" t="s">
        <v>14960</v>
      </c>
      <c r="N1030" t="s">
        <v>14961</v>
      </c>
      <c r="O1030" t="s">
        <v>14962</v>
      </c>
      <c r="P1030" t="s">
        <v>14963</v>
      </c>
      <c r="Q1030" t="s">
        <v>14964</v>
      </c>
      <c r="R1030" t="s">
        <v>14965</v>
      </c>
      <c r="S1030" t="s">
        <v>14966</v>
      </c>
      <c r="T1030" s="2">
        <v>0.375</v>
      </c>
      <c r="U1030">
        <v>1</v>
      </c>
      <c r="V1030" t="s">
        <v>14967</v>
      </c>
      <c r="W1030" t="s">
        <v>14968</v>
      </c>
      <c r="X1030" t="s">
        <v>14969</v>
      </c>
      <c r="Y1030" t="s">
        <v>14970</v>
      </c>
      <c r="Z1030" t="s">
        <v>14970</v>
      </c>
      <c r="AA1030" t="s">
        <v>14970</v>
      </c>
      <c r="AB1030" t="s">
        <v>14970</v>
      </c>
      <c r="AC1030" t="s">
        <v>14970</v>
      </c>
    </row>
    <row r="1031" spans="1:30">
      <c r="A1031" t="s">
        <v>14971</v>
      </c>
      <c r="B1031">
        <v>9</v>
      </c>
      <c r="C1031">
        <v>10</v>
      </c>
      <c r="D1031">
        <v>2014</v>
      </c>
      <c r="E1031" s="1">
        <v>41892</v>
      </c>
      <c r="F1031" t="s">
        <v>14972</v>
      </c>
      <c r="G1031">
        <v>0</v>
      </c>
      <c r="H1031">
        <v>0</v>
      </c>
      <c r="I1031">
        <v>0</v>
      </c>
      <c r="J1031">
        <v>1</v>
      </c>
      <c r="L1031" t="s">
        <v>14973</v>
      </c>
      <c r="M1031" t="s">
        <v>14974</v>
      </c>
      <c r="N1031" t="s">
        <v>14975</v>
      </c>
      <c r="O1031" t="s">
        <v>14976</v>
      </c>
      <c r="P1031" t="s">
        <v>14977</v>
      </c>
      <c r="Q1031" t="s">
        <v>14978</v>
      </c>
      <c r="R1031" t="s">
        <v>14979</v>
      </c>
      <c r="S1031" t="s">
        <v>14980</v>
      </c>
      <c r="T1031" s="2">
        <v>0.70833333333333337</v>
      </c>
      <c r="U1031">
        <v>1</v>
      </c>
      <c r="V1031" t="s">
        <v>14981</v>
      </c>
      <c r="W1031" t="s">
        <v>14982</v>
      </c>
      <c r="X1031" t="s">
        <v>14983</v>
      </c>
      <c r="Y1031" t="s">
        <v>14984</v>
      </c>
      <c r="Z1031" t="s">
        <v>14984</v>
      </c>
      <c r="AA1031" t="s">
        <v>14984</v>
      </c>
      <c r="AB1031" t="s">
        <v>14985</v>
      </c>
      <c r="AC1031" t="s">
        <v>14986</v>
      </c>
    </row>
    <row r="1032" spans="1:30">
      <c r="A1032" t="s">
        <v>14987</v>
      </c>
      <c r="B1032">
        <v>9</v>
      </c>
      <c r="C1032">
        <v>9</v>
      </c>
      <c r="D1032">
        <v>2014</v>
      </c>
      <c r="E1032" s="1">
        <v>41891</v>
      </c>
      <c r="F1032" t="s">
        <v>14988</v>
      </c>
      <c r="G1032">
        <v>0</v>
      </c>
      <c r="H1032">
        <v>1</v>
      </c>
      <c r="I1032">
        <v>1</v>
      </c>
      <c r="J1032">
        <v>0</v>
      </c>
      <c r="K1032" t="s">
        <v>14989</v>
      </c>
      <c r="L1032" t="s">
        <v>14990</v>
      </c>
      <c r="M1032" t="s">
        <v>14991</v>
      </c>
      <c r="N1032" t="s">
        <v>14992</v>
      </c>
      <c r="O1032" t="s">
        <v>14993</v>
      </c>
      <c r="P1032" t="s">
        <v>14994</v>
      </c>
      <c r="Q1032" t="s">
        <v>14995</v>
      </c>
      <c r="R1032" t="s">
        <v>14996</v>
      </c>
      <c r="S1032" t="s">
        <v>14997</v>
      </c>
      <c r="V1032" t="s">
        <v>14998</v>
      </c>
      <c r="W1032" t="s">
        <v>14999</v>
      </c>
      <c r="X1032" t="s">
        <v>15000</v>
      </c>
      <c r="Y1032" t="s">
        <v>15001</v>
      </c>
      <c r="Z1032" t="s">
        <v>15002</v>
      </c>
      <c r="AA1032" t="s">
        <v>15002</v>
      </c>
      <c r="AB1032" t="s">
        <v>15002</v>
      </c>
      <c r="AC1032" t="s">
        <v>15002</v>
      </c>
    </row>
    <row r="1033" spans="1:30">
      <c r="A1033" t="s">
        <v>15003</v>
      </c>
      <c r="B1033">
        <v>8</v>
      </c>
      <c r="C1033">
        <v>14</v>
      </c>
      <c r="D1033">
        <v>2014</v>
      </c>
      <c r="E1033" s="1">
        <v>41865</v>
      </c>
      <c r="F1033" t="s">
        <v>15004</v>
      </c>
      <c r="G1033">
        <v>2</v>
      </c>
      <c r="H1033">
        <v>1</v>
      </c>
      <c r="I1033">
        <v>3</v>
      </c>
      <c r="J1033">
        <v>0</v>
      </c>
      <c r="L1033" t="s">
        <v>15005</v>
      </c>
      <c r="M1033" t="s">
        <v>15006</v>
      </c>
      <c r="N1033" t="s">
        <v>15007</v>
      </c>
      <c r="O1033" t="s">
        <v>15008</v>
      </c>
      <c r="P1033" t="s">
        <v>15009</v>
      </c>
      <c r="Q1033" t="s">
        <v>15010</v>
      </c>
      <c r="R1033" t="s">
        <v>15011</v>
      </c>
      <c r="S1033" t="s">
        <v>15012</v>
      </c>
      <c r="T1033" s="2">
        <v>6.25E-2</v>
      </c>
      <c r="U1033">
        <v>2</v>
      </c>
      <c r="V1033" t="s">
        <v>15013</v>
      </c>
      <c r="W1033" t="s">
        <v>15014</v>
      </c>
      <c r="X1033" t="s">
        <v>15015</v>
      </c>
      <c r="Y1033" t="s">
        <v>15016</v>
      </c>
      <c r="Z1033" t="s">
        <v>15017</v>
      </c>
      <c r="AA1033" t="s">
        <v>15017</v>
      </c>
      <c r="AB1033" t="s">
        <v>15017</v>
      </c>
      <c r="AC1033" t="s">
        <v>15017</v>
      </c>
    </row>
    <row r="1034" spans="1:30">
      <c r="A1034" t="s">
        <v>15018</v>
      </c>
      <c r="B1034">
        <v>8</v>
      </c>
      <c r="C1034">
        <v>13</v>
      </c>
      <c r="D1034">
        <v>2014</v>
      </c>
      <c r="E1034" s="1">
        <v>41864</v>
      </c>
      <c r="F1034" t="s">
        <v>15019</v>
      </c>
      <c r="G1034">
        <v>0</v>
      </c>
      <c r="H1034">
        <v>0</v>
      </c>
      <c r="I1034">
        <v>0</v>
      </c>
      <c r="J1034">
        <v>0</v>
      </c>
      <c r="L1034" t="s">
        <v>15020</v>
      </c>
      <c r="M1034" t="s">
        <v>15021</v>
      </c>
      <c r="N1034" t="s">
        <v>15022</v>
      </c>
      <c r="O1034" t="s">
        <v>15023</v>
      </c>
      <c r="P1034" t="s">
        <v>15024</v>
      </c>
      <c r="Q1034" t="s">
        <v>15025</v>
      </c>
      <c r="R1034" t="s">
        <v>15026</v>
      </c>
      <c r="S1034" t="s">
        <v>15027</v>
      </c>
      <c r="T1034" s="2">
        <v>0.78125</v>
      </c>
      <c r="U1034">
        <v>1</v>
      </c>
      <c r="V1034" t="s">
        <v>15028</v>
      </c>
      <c r="W1034" t="s">
        <v>15029</v>
      </c>
      <c r="X1034" t="s">
        <v>15030</v>
      </c>
      <c r="Z1034" t="s">
        <v>15031</v>
      </c>
      <c r="AA1034" t="s">
        <v>15031</v>
      </c>
      <c r="AB1034" t="s">
        <v>15031</v>
      </c>
      <c r="AC1034" t="s">
        <v>15031</v>
      </c>
    </row>
    <row r="1035" spans="1:30">
      <c r="A1035" t="s">
        <v>15032</v>
      </c>
      <c r="B1035">
        <v>6</v>
      </c>
      <c r="C1035">
        <v>23</v>
      </c>
      <c r="D1035">
        <v>2014</v>
      </c>
      <c r="E1035" s="1">
        <v>41813</v>
      </c>
      <c r="F1035" t="s">
        <v>15033</v>
      </c>
      <c r="G1035">
        <v>1</v>
      </c>
      <c r="H1035">
        <v>0</v>
      </c>
      <c r="I1035">
        <v>1</v>
      </c>
      <c r="J1035">
        <v>0</v>
      </c>
      <c r="L1035" t="s">
        <v>15034</v>
      </c>
      <c r="M1035" t="s">
        <v>15035</v>
      </c>
      <c r="N1035" t="s">
        <v>15036</v>
      </c>
      <c r="O1035" t="s">
        <v>15037</v>
      </c>
      <c r="P1035" t="s">
        <v>15038</v>
      </c>
      <c r="Q1035" t="s">
        <v>15039</v>
      </c>
      <c r="R1035" t="s">
        <v>15040</v>
      </c>
      <c r="S1035" t="s">
        <v>15041</v>
      </c>
      <c r="T1035" s="2">
        <v>0.84375</v>
      </c>
      <c r="U1035">
        <v>1</v>
      </c>
      <c r="V1035" t="s">
        <v>15042</v>
      </c>
      <c r="W1035" t="s">
        <v>15043</v>
      </c>
      <c r="X1035" t="s">
        <v>15044</v>
      </c>
      <c r="Y1035" t="s">
        <v>15045</v>
      </c>
      <c r="Z1035" t="s">
        <v>15045</v>
      </c>
      <c r="AA1035" t="s">
        <v>15045</v>
      </c>
      <c r="AB1035" t="s">
        <v>15045</v>
      </c>
      <c r="AC1035" t="s">
        <v>15045</v>
      </c>
    </row>
    <row r="1036" spans="1:30">
      <c r="A1036" t="s">
        <v>15046</v>
      </c>
      <c r="B1036">
        <v>6</v>
      </c>
      <c r="C1036">
        <v>10</v>
      </c>
      <c r="D1036">
        <v>2014</v>
      </c>
      <c r="E1036" s="1">
        <v>41800</v>
      </c>
      <c r="F1036" t="s">
        <v>15047</v>
      </c>
      <c r="G1036">
        <v>1</v>
      </c>
      <c r="H1036">
        <v>1</v>
      </c>
      <c r="I1036">
        <v>2</v>
      </c>
      <c r="J1036">
        <v>1</v>
      </c>
      <c r="K1036" t="s">
        <v>15048</v>
      </c>
      <c r="L1036" t="s">
        <v>15049</v>
      </c>
      <c r="M1036" t="s">
        <v>15050</v>
      </c>
      <c r="N1036" t="s">
        <v>15051</v>
      </c>
      <c r="O1036" t="s">
        <v>15052</v>
      </c>
      <c r="P1036" t="s">
        <v>15053</v>
      </c>
      <c r="Q1036" t="s">
        <v>15054</v>
      </c>
      <c r="R1036" t="s">
        <v>15055</v>
      </c>
      <c r="S1036" t="s">
        <v>15056</v>
      </c>
      <c r="T1036" s="2">
        <v>0.33819444444444441</v>
      </c>
      <c r="V1036" t="s">
        <v>15057</v>
      </c>
      <c r="W1036" t="s">
        <v>15058</v>
      </c>
      <c r="X1036" t="s">
        <v>15059</v>
      </c>
      <c r="Y1036" t="s">
        <v>15060</v>
      </c>
      <c r="Z1036" t="s">
        <v>15060</v>
      </c>
      <c r="AA1036" t="s">
        <v>15060</v>
      </c>
      <c r="AB1036" t="s">
        <v>15060</v>
      </c>
      <c r="AD1036" t="s">
        <v>15061</v>
      </c>
    </row>
    <row r="1037" spans="1:30">
      <c r="A1037" t="s">
        <v>15062</v>
      </c>
      <c r="B1037">
        <v>5</v>
      </c>
      <c r="C1037">
        <v>21</v>
      </c>
      <c r="D1037">
        <v>2014</v>
      </c>
      <c r="E1037" s="1">
        <v>41780</v>
      </c>
      <c r="F1037" t="s">
        <v>15063</v>
      </c>
      <c r="G1037">
        <v>1</v>
      </c>
      <c r="H1037">
        <v>0</v>
      </c>
      <c r="I1037">
        <v>1</v>
      </c>
      <c r="J1037">
        <v>0</v>
      </c>
      <c r="L1037" t="s">
        <v>15064</v>
      </c>
      <c r="M1037" t="s">
        <v>15065</v>
      </c>
      <c r="N1037" t="s">
        <v>15066</v>
      </c>
      <c r="O1037" t="s">
        <v>15067</v>
      </c>
      <c r="P1037" t="s">
        <v>15068</v>
      </c>
      <c r="Q1037" t="s">
        <v>15069</v>
      </c>
      <c r="R1037" t="s">
        <v>15070</v>
      </c>
      <c r="S1037" t="s">
        <v>15071</v>
      </c>
      <c r="T1037" s="2">
        <v>0.79166666666666663</v>
      </c>
      <c r="U1037">
        <v>5</v>
      </c>
      <c r="V1037" t="s">
        <v>15072</v>
      </c>
      <c r="W1037" t="s">
        <v>15073</v>
      </c>
      <c r="X1037" t="s">
        <v>15074</v>
      </c>
      <c r="Z1037" t="s">
        <v>15075</v>
      </c>
      <c r="AA1037" t="s">
        <v>15075</v>
      </c>
      <c r="AB1037" t="s">
        <v>15075</v>
      </c>
      <c r="AC1037" t="s">
        <v>15075</v>
      </c>
    </row>
    <row r="1038" spans="1:30">
      <c r="A1038" t="s">
        <v>15076</v>
      </c>
      <c r="B1038">
        <v>5</v>
      </c>
      <c r="C1038">
        <v>14</v>
      </c>
      <c r="D1038">
        <v>2014</v>
      </c>
      <c r="E1038" s="1">
        <v>41773</v>
      </c>
      <c r="F1038" t="s">
        <v>15077</v>
      </c>
      <c r="G1038">
        <v>0</v>
      </c>
      <c r="H1038">
        <v>1</v>
      </c>
      <c r="I1038">
        <v>1</v>
      </c>
      <c r="J1038">
        <v>0</v>
      </c>
      <c r="K1038" t="s">
        <v>15078</v>
      </c>
      <c r="L1038" t="s">
        <v>15079</v>
      </c>
      <c r="M1038" t="s">
        <v>15080</v>
      </c>
      <c r="N1038" t="s">
        <v>15081</v>
      </c>
      <c r="O1038" t="s">
        <v>15082</v>
      </c>
      <c r="P1038" t="s">
        <v>15083</v>
      </c>
      <c r="Q1038" t="s">
        <v>15083</v>
      </c>
      <c r="R1038" t="s">
        <v>15084</v>
      </c>
      <c r="S1038" t="s">
        <v>15085</v>
      </c>
      <c r="T1038" s="2">
        <v>0.375</v>
      </c>
      <c r="V1038" t="s">
        <v>15086</v>
      </c>
      <c r="W1038" t="s">
        <v>15087</v>
      </c>
      <c r="Z1038" t="s">
        <v>15088</v>
      </c>
      <c r="AA1038" t="s">
        <v>15088</v>
      </c>
      <c r="AB1038" t="s">
        <v>15088</v>
      </c>
      <c r="AC1038" t="s">
        <v>15088</v>
      </c>
    </row>
    <row r="1039" spans="1:30">
      <c r="A1039" t="s">
        <v>15089</v>
      </c>
      <c r="B1039">
        <v>5</v>
      </c>
      <c r="C1039">
        <v>3</v>
      </c>
      <c r="D1039">
        <v>2014</v>
      </c>
      <c r="E1039" s="1">
        <v>41762</v>
      </c>
      <c r="F1039" t="s">
        <v>15090</v>
      </c>
      <c r="G1039">
        <v>0</v>
      </c>
      <c r="H1039">
        <v>1</v>
      </c>
      <c r="I1039">
        <v>1</v>
      </c>
      <c r="J1039">
        <v>0</v>
      </c>
      <c r="L1039" t="s">
        <v>15091</v>
      </c>
      <c r="M1039" t="s">
        <v>15092</v>
      </c>
      <c r="N1039" t="s">
        <v>15093</v>
      </c>
      <c r="O1039" t="s">
        <v>15094</v>
      </c>
      <c r="P1039" t="s">
        <v>15095</v>
      </c>
      <c r="Q1039" t="s">
        <v>15096</v>
      </c>
      <c r="R1039" t="s">
        <v>15097</v>
      </c>
      <c r="S1039" t="s">
        <v>15098</v>
      </c>
      <c r="T1039" s="2">
        <v>0.77083333333333337</v>
      </c>
      <c r="U1039">
        <v>1</v>
      </c>
      <c r="V1039" t="s">
        <v>15099</v>
      </c>
      <c r="W1039" t="s">
        <v>15100</v>
      </c>
      <c r="Z1039" t="s">
        <v>15101</v>
      </c>
      <c r="AA1039" t="s">
        <v>15101</v>
      </c>
      <c r="AC1039" t="s">
        <v>15101</v>
      </c>
    </row>
    <row r="1040" spans="1:30">
      <c r="A1040" t="s">
        <v>15102</v>
      </c>
      <c r="B1040">
        <v>4</v>
      </c>
      <c r="C1040">
        <v>21</v>
      </c>
      <c r="D1040">
        <v>2014</v>
      </c>
      <c r="E1040" s="1">
        <v>41750</v>
      </c>
      <c r="F1040" t="s">
        <v>15103</v>
      </c>
      <c r="G1040">
        <v>1</v>
      </c>
      <c r="H1040">
        <v>0</v>
      </c>
      <c r="I1040">
        <v>1</v>
      </c>
      <c r="J1040">
        <v>1</v>
      </c>
      <c r="L1040" t="s">
        <v>15104</v>
      </c>
      <c r="M1040" t="s">
        <v>15105</v>
      </c>
      <c r="N1040" t="s">
        <v>15106</v>
      </c>
      <c r="O1040" t="s">
        <v>15107</v>
      </c>
      <c r="P1040" t="s">
        <v>15108</v>
      </c>
      <c r="Q1040" t="s">
        <v>15109</v>
      </c>
      <c r="R1040" t="s">
        <v>15110</v>
      </c>
      <c r="S1040" t="s">
        <v>15111</v>
      </c>
      <c r="T1040" s="2">
        <v>0.6875</v>
      </c>
      <c r="U1040">
        <v>1</v>
      </c>
      <c r="V1040" t="s">
        <v>15112</v>
      </c>
      <c r="W1040" t="s">
        <v>15113</v>
      </c>
      <c r="X1040" t="s">
        <v>15114</v>
      </c>
      <c r="Y1040" t="s">
        <v>15115</v>
      </c>
      <c r="Z1040" t="s">
        <v>15115</v>
      </c>
      <c r="AA1040" t="s">
        <v>15115</v>
      </c>
      <c r="AB1040" t="s">
        <v>15115</v>
      </c>
      <c r="AC1040" t="s">
        <v>15116</v>
      </c>
    </row>
    <row r="1041" spans="1:30">
      <c r="A1041" t="s">
        <v>15117</v>
      </c>
      <c r="B1041">
        <v>4</v>
      </c>
      <c r="C1041">
        <v>21</v>
      </c>
      <c r="D1041">
        <v>2014</v>
      </c>
      <c r="E1041" s="1">
        <v>41750</v>
      </c>
      <c r="F1041" t="s">
        <v>15118</v>
      </c>
      <c r="G1041">
        <v>0</v>
      </c>
      <c r="H1041">
        <v>0</v>
      </c>
      <c r="I1041">
        <v>0</v>
      </c>
      <c r="J1041">
        <v>0</v>
      </c>
      <c r="L1041" t="s">
        <v>15119</v>
      </c>
      <c r="M1041" t="s">
        <v>15120</v>
      </c>
      <c r="N1041" t="s">
        <v>15121</v>
      </c>
      <c r="O1041" t="s">
        <v>15122</v>
      </c>
      <c r="P1041" t="s">
        <v>15123</v>
      </c>
      <c r="Q1041" t="s">
        <v>15124</v>
      </c>
      <c r="R1041" t="s">
        <v>15125</v>
      </c>
      <c r="S1041" t="s">
        <v>15126</v>
      </c>
      <c r="T1041" s="2">
        <v>0.60416666666666674</v>
      </c>
      <c r="U1041">
        <v>1</v>
      </c>
      <c r="V1041" t="s">
        <v>15127</v>
      </c>
      <c r="W1041" t="s">
        <v>15128</v>
      </c>
      <c r="X1041" t="s">
        <v>15129</v>
      </c>
      <c r="Y1041" t="s">
        <v>15130</v>
      </c>
      <c r="Z1041" t="s">
        <v>15130</v>
      </c>
      <c r="AA1041" t="s">
        <v>15130</v>
      </c>
    </row>
    <row r="1042" spans="1:30">
      <c r="A1042" t="s">
        <v>15131</v>
      </c>
      <c r="B1042">
        <v>4</v>
      </c>
      <c r="C1042">
        <v>11</v>
      </c>
      <c r="D1042">
        <v>2014</v>
      </c>
      <c r="E1042" s="1">
        <v>41740</v>
      </c>
      <c r="F1042" t="s">
        <v>15132</v>
      </c>
      <c r="G1042">
        <v>1</v>
      </c>
      <c r="H1042">
        <v>0</v>
      </c>
      <c r="I1042">
        <v>1</v>
      </c>
      <c r="J1042">
        <v>0</v>
      </c>
      <c r="K1042" t="s">
        <v>15133</v>
      </c>
      <c r="L1042" t="s">
        <v>15134</v>
      </c>
      <c r="M1042" t="s">
        <v>15135</v>
      </c>
      <c r="N1042" t="s">
        <v>15136</v>
      </c>
      <c r="O1042" t="s">
        <v>15137</v>
      </c>
      <c r="P1042" t="s">
        <v>15138</v>
      </c>
      <c r="Q1042" t="s">
        <v>15139</v>
      </c>
      <c r="R1042" t="s">
        <v>15140</v>
      </c>
      <c r="S1042" t="s">
        <v>15141</v>
      </c>
      <c r="T1042" s="2">
        <v>0.89583333333333337</v>
      </c>
      <c r="U1042">
        <v>1</v>
      </c>
      <c r="V1042" t="s">
        <v>15142</v>
      </c>
      <c r="W1042" t="s">
        <v>15143</v>
      </c>
      <c r="X1042" t="s">
        <v>15144</v>
      </c>
      <c r="Y1042" t="s">
        <v>15145</v>
      </c>
      <c r="Z1042" t="s">
        <v>15146</v>
      </c>
      <c r="AA1042" t="s">
        <v>15146</v>
      </c>
      <c r="AB1042" t="s">
        <v>15146</v>
      </c>
      <c r="AC1042" t="s">
        <v>15146</v>
      </c>
    </row>
    <row r="1043" spans="1:30">
      <c r="A1043" t="s">
        <v>15147</v>
      </c>
      <c r="B1043">
        <v>4</v>
      </c>
      <c r="C1043">
        <v>10</v>
      </c>
      <c r="D1043">
        <v>2014</v>
      </c>
      <c r="E1043" s="1">
        <v>41739</v>
      </c>
      <c r="F1043" t="s">
        <v>15148</v>
      </c>
      <c r="G1043">
        <v>0</v>
      </c>
      <c r="H1043">
        <v>2</v>
      </c>
      <c r="I1043">
        <v>2</v>
      </c>
      <c r="J1043">
        <v>0</v>
      </c>
      <c r="L1043" t="s">
        <v>15149</v>
      </c>
      <c r="M1043" t="s">
        <v>15150</v>
      </c>
      <c r="N1043" t="s">
        <v>15151</v>
      </c>
      <c r="O1043" t="s">
        <v>15152</v>
      </c>
      <c r="P1043" t="s">
        <v>15153</v>
      </c>
      <c r="Q1043" t="s">
        <v>15154</v>
      </c>
      <c r="R1043" t="s">
        <v>15155</v>
      </c>
      <c r="S1043" t="s">
        <v>15156</v>
      </c>
      <c r="T1043" s="2">
        <v>0.64583333333333337</v>
      </c>
      <c r="U1043">
        <v>1</v>
      </c>
      <c r="V1043" t="s">
        <v>15157</v>
      </c>
      <c r="W1043" t="s">
        <v>15158</v>
      </c>
      <c r="X1043" t="s">
        <v>15159</v>
      </c>
      <c r="Y1043" t="s">
        <v>15160</v>
      </c>
      <c r="Z1043" t="s">
        <v>15160</v>
      </c>
      <c r="AA1043" t="s">
        <v>15160</v>
      </c>
      <c r="AB1043" t="s">
        <v>15160</v>
      </c>
      <c r="AC1043" t="s">
        <v>15160</v>
      </c>
    </row>
    <row r="1044" spans="1:30">
      <c r="A1044" t="s">
        <v>15161</v>
      </c>
      <c r="B1044">
        <v>4</v>
      </c>
      <c r="C1044">
        <v>9</v>
      </c>
      <c r="D1044">
        <v>2014</v>
      </c>
      <c r="E1044" s="1">
        <v>41738</v>
      </c>
      <c r="F1044" t="s">
        <v>15162</v>
      </c>
      <c r="G1044">
        <v>0</v>
      </c>
      <c r="H1044">
        <v>0</v>
      </c>
      <c r="I1044">
        <v>0</v>
      </c>
      <c r="J1044">
        <v>0</v>
      </c>
      <c r="K1044" t="s">
        <v>15163</v>
      </c>
      <c r="L1044" t="s">
        <v>15164</v>
      </c>
      <c r="M1044" t="s">
        <v>15165</v>
      </c>
      <c r="N1044" t="s">
        <v>15166</v>
      </c>
      <c r="O1044" t="s">
        <v>15167</v>
      </c>
      <c r="P1044" t="s">
        <v>15168</v>
      </c>
      <c r="Q1044" t="s">
        <v>15169</v>
      </c>
      <c r="R1044" t="s">
        <v>15170</v>
      </c>
      <c r="S1044" t="s">
        <v>15171</v>
      </c>
      <c r="T1044" s="2">
        <v>0.5625</v>
      </c>
      <c r="U1044">
        <v>1</v>
      </c>
      <c r="V1044" t="s">
        <v>15172</v>
      </c>
      <c r="W1044" t="s">
        <v>15173</v>
      </c>
      <c r="X1044" t="s">
        <v>15174</v>
      </c>
      <c r="Y1044" t="s">
        <v>15175</v>
      </c>
      <c r="Z1044" t="s">
        <v>15176</v>
      </c>
      <c r="AA1044" t="s">
        <v>15176</v>
      </c>
      <c r="AB1044" t="s">
        <v>15176</v>
      </c>
      <c r="AC1044" t="s">
        <v>15176</v>
      </c>
    </row>
    <row r="1045" spans="1:30">
      <c r="A1045" t="s">
        <v>15177</v>
      </c>
      <c r="B1045">
        <v>4</v>
      </c>
      <c r="C1045">
        <v>3</v>
      </c>
      <c r="D1045">
        <v>2014</v>
      </c>
      <c r="E1045" s="1">
        <v>41732</v>
      </c>
      <c r="F1045" t="s">
        <v>15178</v>
      </c>
      <c r="G1045">
        <v>0</v>
      </c>
      <c r="H1045">
        <v>0</v>
      </c>
      <c r="I1045">
        <v>0</v>
      </c>
      <c r="J1045">
        <v>0</v>
      </c>
      <c r="L1045" t="s">
        <v>15179</v>
      </c>
      <c r="M1045" t="s">
        <v>15180</v>
      </c>
      <c r="N1045" t="s">
        <v>15181</v>
      </c>
      <c r="P1045" t="s">
        <v>15182</v>
      </c>
      <c r="Q1045" t="s">
        <v>15182</v>
      </c>
      <c r="R1045" t="s">
        <v>15183</v>
      </c>
      <c r="S1045" t="s">
        <v>15184</v>
      </c>
      <c r="T1045" s="2">
        <v>0.55208333333333326</v>
      </c>
      <c r="U1045">
        <v>1</v>
      </c>
      <c r="V1045" t="s">
        <v>15185</v>
      </c>
      <c r="W1045" t="s">
        <v>15186</v>
      </c>
      <c r="X1045" t="s">
        <v>15187</v>
      </c>
      <c r="Y1045" t="s">
        <v>15188</v>
      </c>
      <c r="Z1045" t="s">
        <v>15189</v>
      </c>
      <c r="AA1045" t="s">
        <v>15189</v>
      </c>
      <c r="AB1045" t="s">
        <v>15189</v>
      </c>
      <c r="AC1045" t="s">
        <v>15189</v>
      </c>
    </row>
    <row r="1046" spans="1:30">
      <c r="A1046" t="s">
        <v>15190</v>
      </c>
      <c r="B1046">
        <v>3</v>
      </c>
      <c r="C1046">
        <v>25</v>
      </c>
      <c r="D1046">
        <v>2014</v>
      </c>
      <c r="E1046" s="1">
        <v>41723</v>
      </c>
      <c r="F1046" t="s">
        <v>15191</v>
      </c>
      <c r="G1046">
        <v>0</v>
      </c>
      <c r="H1046">
        <v>0</v>
      </c>
      <c r="I1046">
        <v>0</v>
      </c>
      <c r="J1046">
        <v>0</v>
      </c>
      <c r="K1046" t="s">
        <v>15192</v>
      </c>
      <c r="L1046" t="s">
        <v>15193</v>
      </c>
      <c r="M1046" t="s">
        <v>15194</v>
      </c>
      <c r="N1046" t="s">
        <v>15195</v>
      </c>
      <c r="O1046" t="s">
        <v>15196</v>
      </c>
      <c r="P1046" t="s">
        <v>15197</v>
      </c>
      <c r="Q1046" t="s">
        <v>15198</v>
      </c>
      <c r="R1046" t="s">
        <v>15199</v>
      </c>
      <c r="S1046" t="s">
        <v>15200</v>
      </c>
      <c r="T1046" s="2">
        <v>0.54166666666666663</v>
      </c>
      <c r="U1046">
        <v>1</v>
      </c>
      <c r="V1046" t="s">
        <v>15201</v>
      </c>
      <c r="W1046" t="s">
        <v>15202</v>
      </c>
      <c r="X1046" t="s">
        <v>15203</v>
      </c>
      <c r="Y1046" t="s">
        <v>15204</v>
      </c>
      <c r="Z1046" t="s">
        <v>15205</v>
      </c>
      <c r="AA1046" t="s">
        <v>15205</v>
      </c>
      <c r="AB1046" t="s">
        <v>15205</v>
      </c>
      <c r="AC1046" t="s">
        <v>15205</v>
      </c>
    </row>
    <row r="1047" spans="1:30">
      <c r="A1047" t="s">
        <v>15206</v>
      </c>
      <c r="B1047">
        <v>3</v>
      </c>
      <c r="C1047">
        <v>12</v>
      </c>
      <c r="D1047">
        <v>2014</v>
      </c>
      <c r="E1047" s="1">
        <v>41710</v>
      </c>
      <c r="F1047" t="s">
        <v>15207</v>
      </c>
      <c r="G1047">
        <v>1</v>
      </c>
      <c r="H1047">
        <v>0</v>
      </c>
      <c r="I1047">
        <v>1</v>
      </c>
      <c r="J1047">
        <v>0</v>
      </c>
      <c r="K1047" t="s">
        <v>15208</v>
      </c>
      <c r="L1047" t="s">
        <v>15209</v>
      </c>
      <c r="M1047" t="s">
        <v>15210</v>
      </c>
      <c r="N1047" t="s">
        <v>15211</v>
      </c>
      <c r="O1047" t="s">
        <v>15212</v>
      </c>
      <c r="P1047" t="s">
        <v>15213</v>
      </c>
      <c r="Q1047" t="s">
        <v>15214</v>
      </c>
      <c r="R1047" t="s">
        <v>15215</v>
      </c>
      <c r="S1047" t="s">
        <v>15216</v>
      </c>
      <c r="T1047" s="2">
        <v>0.5</v>
      </c>
      <c r="U1047">
        <v>1</v>
      </c>
      <c r="V1047" t="s">
        <v>15217</v>
      </c>
      <c r="W1047" t="s">
        <v>15218</v>
      </c>
      <c r="X1047" t="s">
        <v>15219</v>
      </c>
      <c r="Y1047" t="s">
        <v>15220</v>
      </c>
      <c r="Z1047" t="s">
        <v>15220</v>
      </c>
      <c r="AA1047" t="s">
        <v>15220</v>
      </c>
      <c r="AB1047" t="s">
        <v>15220</v>
      </c>
      <c r="AC1047" t="s">
        <v>15221</v>
      </c>
      <c r="AD1047" t="s">
        <v>15221</v>
      </c>
    </row>
    <row r="1048" spans="1:30">
      <c r="A1048" t="s">
        <v>15222</v>
      </c>
      <c r="B1048">
        <v>3</v>
      </c>
      <c r="C1048">
        <v>7</v>
      </c>
      <c r="D1048">
        <v>2014</v>
      </c>
      <c r="E1048" s="1">
        <v>41705</v>
      </c>
      <c r="F1048" t="s">
        <v>15223</v>
      </c>
      <c r="G1048">
        <v>0</v>
      </c>
      <c r="H1048">
        <v>1</v>
      </c>
      <c r="I1048">
        <v>1</v>
      </c>
      <c r="J1048">
        <v>0</v>
      </c>
      <c r="L1048" t="s">
        <v>15224</v>
      </c>
      <c r="M1048" t="s">
        <v>15225</v>
      </c>
      <c r="N1048" t="s">
        <v>15226</v>
      </c>
      <c r="O1048" t="s">
        <v>15227</v>
      </c>
      <c r="P1048" t="s">
        <v>15228</v>
      </c>
      <c r="Q1048" t="s">
        <v>15229</v>
      </c>
      <c r="R1048" t="s">
        <v>15230</v>
      </c>
      <c r="S1048" t="s">
        <v>15231</v>
      </c>
      <c r="V1048" t="s">
        <v>15232</v>
      </c>
      <c r="W1048" t="s">
        <v>15233</v>
      </c>
      <c r="Y1048" t="s">
        <v>15234</v>
      </c>
      <c r="Z1048" t="s">
        <v>15234</v>
      </c>
      <c r="AA1048" t="s">
        <v>15234</v>
      </c>
    </row>
    <row r="1049" spans="1:30">
      <c r="A1049" t="s">
        <v>15235</v>
      </c>
      <c r="B1049">
        <v>2</v>
      </c>
      <c r="C1049">
        <v>20</v>
      </c>
      <c r="D1049">
        <v>2014</v>
      </c>
      <c r="E1049" s="1">
        <v>41690</v>
      </c>
      <c r="F1049" t="s">
        <v>15236</v>
      </c>
      <c r="G1049">
        <v>1</v>
      </c>
      <c r="H1049">
        <v>0</v>
      </c>
      <c r="I1049">
        <v>1</v>
      </c>
      <c r="J1049">
        <v>0</v>
      </c>
      <c r="K1049" t="s">
        <v>15237</v>
      </c>
      <c r="L1049" t="s">
        <v>15238</v>
      </c>
      <c r="M1049" t="s">
        <v>15239</v>
      </c>
      <c r="N1049" t="s">
        <v>15240</v>
      </c>
      <c r="O1049" t="s">
        <v>15241</v>
      </c>
      <c r="P1049" t="s">
        <v>15242</v>
      </c>
      <c r="Q1049" t="s">
        <v>15243</v>
      </c>
      <c r="R1049" t="s">
        <v>15244</v>
      </c>
      <c r="S1049" t="s">
        <v>15245</v>
      </c>
      <c r="T1049" s="2">
        <v>0.4375</v>
      </c>
      <c r="U1049">
        <v>1</v>
      </c>
      <c r="V1049" t="s">
        <v>15246</v>
      </c>
      <c r="W1049" t="s">
        <v>15247</v>
      </c>
      <c r="X1049" t="s">
        <v>15248</v>
      </c>
      <c r="Y1049" t="s">
        <v>15249</v>
      </c>
      <c r="Z1049" t="s">
        <v>15249</v>
      </c>
      <c r="AA1049" t="s">
        <v>15249</v>
      </c>
      <c r="AB1049" t="s">
        <v>15250</v>
      </c>
      <c r="AC1049" t="s">
        <v>15251</v>
      </c>
    </row>
    <row r="1050" spans="1:30">
      <c r="A1050" t="s">
        <v>15252</v>
      </c>
      <c r="B1050">
        <v>2</v>
      </c>
      <c r="C1050">
        <v>11</v>
      </c>
      <c r="D1050">
        <v>2014</v>
      </c>
      <c r="E1050" s="1">
        <v>41681</v>
      </c>
      <c r="F1050" t="s">
        <v>15253</v>
      </c>
      <c r="G1050">
        <v>0</v>
      </c>
      <c r="H1050">
        <v>0</v>
      </c>
      <c r="I1050">
        <v>0</v>
      </c>
      <c r="J1050">
        <v>0</v>
      </c>
      <c r="L1050" t="s">
        <v>15254</v>
      </c>
      <c r="M1050" t="s">
        <v>15255</v>
      </c>
      <c r="N1050" t="s">
        <v>15256</v>
      </c>
      <c r="O1050" t="s">
        <v>15257</v>
      </c>
      <c r="P1050" t="s">
        <v>15258</v>
      </c>
      <c r="Q1050" t="s">
        <v>15259</v>
      </c>
      <c r="R1050" t="s">
        <v>15260</v>
      </c>
      <c r="S1050" t="s">
        <v>15261</v>
      </c>
      <c r="T1050" s="2">
        <v>0.85416666666666674</v>
      </c>
      <c r="U1050">
        <v>1</v>
      </c>
      <c r="V1050" t="s">
        <v>15262</v>
      </c>
      <c r="W1050" t="s">
        <v>15263</v>
      </c>
      <c r="X1050" t="s">
        <v>15264</v>
      </c>
      <c r="Y1050" t="s">
        <v>15265</v>
      </c>
      <c r="Z1050" t="s">
        <v>15266</v>
      </c>
      <c r="AA1050" t="s">
        <v>15266</v>
      </c>
      <c r="AB1050" t="s">
        <v>15266</v>
      </c>
      <c r="AC1050" t="s">
        <v>15266</v>
      </c>
    </row>
    <row r="1051" spans="1:30">
      <c r="A1051" t="s">
        <v>15267</v>
      </c>
      <c r="B1051">
        <v>2</v>
      </c>
      <c r="C1051">
        <v>10</v>
      </c>
      <c r="D1051">
        <v>2014</v>
      </c>
      <c r="E1051" s="1">
        <v>41680</v>
      </c>
      <c r="F1051" t="s">
        <v>15268</v>
      </c>
      <c r="G1051">
        <v>0</v>
      </c>
      <c r="H1051">
        <v>1</v>
      </c>
      <c r="I1051">
        <v>1</v>
      </c>
      <c r="J1051">
        <v>0</v>
      </c>
      <c r="K1051" t="s">
        <v>15269</v>
      </c>
      <c r="L1051" t="s">
        <v>15270</v>
      </c>
      <c r="M1051" t="s">
        <v>15271</v>
      </c>
      <c r="N1051" t="s">
        <v>15272</v>
      </c>
      <c r="O1051" t="s">
        <v>15273</v>
      </c>
      <c r="P1051" t="s">
        <v>15274</v>
      </c>
      <c r="Q1051" t="s">
        <v>15275</v>
      </c>
      <c r="R1051" t="s">
        <v>15276</v>
      </c>
      <c r="S1051" t="s">
        <v>15277</v>
      </c>
      <c r="T1051" s="2">
        <v>0.5</v>
      </c>
      <c r="U1051">
        <v>1</v>
      </c>
      <c r="V1051" t="s">
        <v>15278</v>
      </c>
      <c r="W1051" t="s">
        <v>15279</v>
      </c>
      <c r="X1051" t="s">
        <v>15280</v>
      </c>
      <c r="Y1051" t="s">
        <v>15281</v>
      </c>
      <c r="Z1051" t="s">
        <v>15282</v>
      </c>
      <c r="AA1051" t="s">
        <v>15282</v>
      </c>
      <c r="AB1051" t="s">
        <v>15282</v>
      </c>
      <c r="AC1051" t="s">
        <v>15282</v>
      </c>
    </row>
    <row r="1052" spans="1:30">
      <c r="A1052" t="s">
        <v>15283</v>
      </c>
      <c r="B1052">
        <v>2</v>
      </c>
      <c r="C1052">
        <v>7</v>
      </c>
      <c r="D1052">
        <v>2014</v>
      </c>
      <c r="E1052" s="1">
        <v>41677</v>
      </c>
      <c r="F1052" t="s">
        <v>15284</v>
      </c>
      <c r="G1052">
        <v>0</v>
      </c>
      <c r="H1052">
        <v>0</v>
      </c>
      <c r="I1052">
        <v>0</v>
      </c>
      <c r="J1052">
        <v>1</v>
      </c>
      <c r="K1052" t="s">
        <v>15285</v>
      </c>
      <c r="L1052" t="s">
        <v>15286</v>
      </c>
      <c r="M1052" t="s">
        <v>15287</v>
      </c>
      <c r="N1052" t="s">
        <v>15288</v>
      </c>
      <c r="O1052" t="s">
        <v>15289</v>
      </c>
      <c r="P1052" t="s">
        <v>15290</v>
      </c>
      <c r="Q1052" t="s">
        <v>15291</v>
      </c>
      <c r="R1052" t="s">
        <v>15292</v>
      </c>
      <c r="S1052" t="s">
        <v>15293</v>
      </c>
      <c r="T1052" s="2">
        <v>0.5</v>
      </c>
      <c r="U1052">
        <v>1</v>
      </c>
      <c r="V1052" t="s">
        <v>15294</v>
      </c>
      <c r="W1052" t="s">
        <v>15295</v>
      </c>
      <c r="X1052" t="s">
        <v>15296</v>
      </c>
      <c r="Y1052" t="s">
        <v>15297</v>
      </c>
      <c r="Z1052" t="s">
        <v>15297</v>
      </c>
      <c r="AA1052" t="s">
        <v>15297</v>
      </c>
      <c r="AB1052" t="s">
        <v>15297</v>
      </c>
      <c r="AC1052" t="s">
        <v>15297</v>
      </c>
    </row>
    <row r="1053" spans="1:30">
      <c r="A1053" t="s">
        <v>15298</v>
      </c>
      <c r="B1053">
        <v>1</v>
      </c>
      <c r="C1053">
        <v>31</v>
      </c>
      <c r="D1053">
        <v>2014</v>
      </c>
      <c r="E1053" s="1">
        <v>41670</v>
      </c>
      <c r="F1053" t="s">
        <v>15299</v>
      </c>
      <c r="G1053">
        <v>0</v>
      </c>
      <c r="H1053">
        <v>1</v>
      </c>
      <c r="I1053">
        <v>1</v>
      </c>
      <c r="J1053">
        <v>0</v>
      </c>
      <c r="K1053" t="s">
        <v>15300</v>
      </c>
      <c r="L1053" t="s">
        <v>15301</v>
      </c>
      <c r="M1053" t="s">
        <v>15302</v>
      </c>
      <c r="N1053" t="s">
        <v>15303</v>
      </c>
      <c r="O1053" t="s">
        <v>15304</v>
      </c>
      <c r="P1053" t="s">
        <v>15305</v>
      </c>
      <c r="Q1053" t="s">
        <v>15306</v>
      </c>
      <c r="R1053" t="s">
        <v>15307</v>
      </c>
      <c r="S1053" t="s">
        <v>15308</v>
      </c>
      <c r="V1053" t="s">
        <v>15309</v>
      </c>
      <c r="W1053" t="s">
        <v>15310</v>
      </c>
      <c r="X1053" t="s">
        <v>15311</v>
      </c>
      <c r="Y1053" t="s">
        <v>15312</v>
      </c>
      <c r="Z1053" t="s">
        <v>15313</v>
      </c>
      <c r="AA1053" t="s">
        <v>15313</v>
      </c>
      <c r="AB1053" t="s">
        <v>15313</v>
      </c>
      <c r="AC1053" t="s">
        <v>15313</v>
      </c>
    </row>
    <row r="1054" spans="1:30">
      <c r="A1054" t="s">
        <v>15314</v>
      </c>
      <c r="B1054">
        <v>1</v>
      </c>
      <c r="C1054">
        <v>31</v>
      </c>
      <c r="D1054">
        <v>2014</v>
      </c>
      <c r="E1054" s="1">
        <v>41670</v>
      </c>
      <c r="F1054" t="s">
        <v>15315</v>
      </c>
      <c r="G1054">
        <v>0</v>
      </c>
      <c r="H1054">
        <v>0</v>
      </c>
      <c r="I1054">
        <v>0</v>
      </c>
      <c r="J1054">
        <v>0</v>
      </c>
      <c r="K1054" t="s">
        <v>15316</v>
      </c>
      <c r="L1054" t="s">
        <v>15317</v>
      </c>
      <c r="M1054" t="s">
        <v>15318</v>
      </c>
      <c r="N1054" t="s">
        <v>15319</v>
      </c>
      <c r="O1054" t="s">
        <v>15320</v>
      </c>
      <c r="P1054" t="s">
        <v>15321</v>
      </c>
      <c r="Q1054" t="s">
        <v>15322</v>
      </c>
      <c r="R1054" t="s">
        <v>15323</v>
      </c>
      <c r="S1054" t="s">
        <v>15324</v>
      </c>
      <c r="V1054" t="s">
        <v>15325</v>
      </c>
      <c r="W1054" t="s">
        <v>15326</v>
      </c>
      <c r="X1054" t="s">
        <v>15327</v>
      </c>
      <c r="Y1054" t="s">
        <v>15328</v>
      </c>
      <c r="Z1054" t="s">
        <v>15329</v>
      </c>
      <c r="AA1054" t="s">
        <v>15329</v>
      </c>
      <c r="AB1054" t="s">
        <v>15329</v>
      </c>
      <c r="AC1054" t="s">
        <v>15329</v>
      </c>
    </row>
    <row r="1055" spans="1:30">
      <c r="A1055" t="s">
        <v>15330</v>
      </c>
      <c r="B1055">
        <v>1</v>
      </c>
      <c r="C1055">
        <v>28</v>
      </c>
      <c r="D1055">
        <v>2014</v>
      </c>
      <c r="E1055" s="1">
        <v>41667</v>
      </c>
      <c r="F1055" t="s">
        <v>15331</v>
      </c>
      <c r="G1055">
        <v>0</v>
      </c>
      <c r="H1055">
        <v>1</v>
      </c>
      <c r="I1055">
        <v>1</v>
      </c>
      <c r="J1055">
        <v>0</v>
      </c>
      <c r="L1055" t="s">
        <v>15332</v>
      </c>
      <c r="M1055" t="s">
        <v>15333</v>
      </c>
      <c r="N1055" t="s">
        <v>15334</v>
      </c>
      <c r="O1055" t="s">
        <v>15335</v>
      </c>
      <c r="P1055" t="s">
        <v>15336</v>
      </c>
      <c r="Q1055" t="s">
        <v>15337</v>
      </c>
      <c r="R1055" t="s">
        <v>15338</v>
      </c>
      <c r="S1055" t="s">
        <v>15339</v>
      </c>
      <c r="T1055" s="2">
        <v>0.35416666666666663</v>
      </c>
      <c r="U1055">
        <v>1</v>
      </c>
      <c r="V1055" t="s">
        <v>15340</v>
      </c>
      <c r="W1055" t="s">
        <v>15341</v>
      </c>
      <c r="X1055" t="s">
        <v>15342</v>
      </c>
      <c r="Y1055" t="s">
        <v>15343</v>
      </c>
      <c r="Z1055" t="s">
        <v>15343</v>
      </c>
      <c r="AA1055" t="s">
        <v>15343</v>
      </c>
      <c r="AB1055" t="s">
        <v>15344</v>
      </c>
      <c r="AC1055" t="s">
        <v>15344</v>
      </c>
      <c r="AD1055" t="s">
        <v>15344</v>
      </c>
    </row>
    <row r="1056" spans="1:30">
      <c r="A1056" t="s">
        <v>15345</v>
      </c>
      <c r="B1056">
        <v>1</v>
      </c>
      <c r="C1056">
        <v>27</v>
      </c>
      <c r="D1056">
        <v>2014</v>
      </c>
      <c r="E1056" s="1">
        <v>41666</v>
      </c>
      <c r="F1056" t="s">
        <v>15346</v>
      </c>
      <c r="G1056">
        <v>0</v>
      </c>
      <c r="H1056">
        <v>1</v>
      </c>
      <c r="I1056">
        <v>1</v>
      </c>
      <c r="J1056">
        <v>0</v>
      </c>
      <c r="K1056" t="s">
        <v>15347</v>
      </c>
      <c r="L1056" t="s">
        <v>15348</v>
      </c>
      <c r="M1056" t="s">
        <v>15349</v>
      </c>
      <c r="N1056" t="s">
        <v>15350</v>
      </c>
      <c r="O1056" t="s">
        <v>15351</v>
      </c>
      <c r="P1056" t="s">
        <v>15352</v>
      </c>
      <c r="Q1056" t="s">
        <v>15353</v>
      </c>
      <c r="R1056" t="s">
        <v>15354</v>
      </c>
      <c r="S1056" t="s">
        <v>15355</v>
      </c>
      <c r="T1056" s="2">
        <v>0.5</v>
      </c>
      <c r="U1056">
        <v>1</v>
      </c>
      <c r="V1056" t="s">
        <v>15356</v>
      </c>
      <c r="W1056" t="s">
        <v>15357</v>
      </c>
      <c r="X1056" t="s">
        <v>15358</v>
      </c>
      <c r="Y1056" t="s">
        <v>15359</v>
      </c>
      <c r="Z1056" t="s">
        <v>15360</v>
      </c>
      <c r="AA1056" t="s">
        <v>15360</v>
      </c>
      <c r="AC1056" t="s">
        <v>15360</v>
      </c>
    </row>
    <row r="1057" spans="1:30">
      <c r="A1057" t="s">
        <v>15361</v>
      </c>
      <c r="B1057">
        <v>1</v>
      </c>
      <c r="C1057">
        <v>17</v>
      </c>
      <c r="D1057">
        <v>2014</v>
      </c>
      <c r="E1057" s="1">
        <v>41656</v>
      </c>
      <c r="F1057" t="s">
        <v>15362</v>
      </c>
      <c r="G1057">
        <v>0</v>
      </c>
      <c r="H1057">
        <v>2</v>
      </c>
      <c r="I1057">
        <v>2</v>
      </c>
      <c r="J1057">
        <v>0</v>
      </c>
      <c r="L1057" t="s">
        <v>15363</v>
      </c>
      <c r="M1057" t="s">
        <v>15364</v>
      </c>
      <c r="N1057" t="s">
        <v>15365</v>
      </c>
      <c r="O1057" t="s">
        <v>15366</v>
      </c>
      <c r="P1057" t="s">
        <v>15367</v>
      </c>
      <c r="Q1057" t="s">
        <v>15368</v>
      </c>
      <c r="R1057" t="s">
        <v>15369</v>
      </c>
      <c r="S1057" t="s">
        <v>15370</v>
      </c>
      <c r="T1057" s="2">
        <v>0.64583333333333337</v>
      </c>
      <c r="U1057">
        <v>1</v>
      </c>
      <c r="V1057" t="s">
        <v>15371</v>
      </c>
      <c r="W1057" t="s">
        <v>15372</v>
      </c>
      <c r="X1057" t="s">
        <v>15373</v>
      </c>
      <c r="Y1057" t="s">
        <v>15374</v>
      </c>
      <c r="Z1057" t="s">
        <v>15374</v>
      </c>
      <c r="AA1057" t="s">
        <v>15374</v>
      </c>
      <c r="AB1057" t="s">
        <v>15374</v>
      </c>
      <c r="AC1057" t="s">
        <v>15374</v>
      </c>
    </row>
    <row r="1058" spans="1:30">
      <c r="A1058" t="s">
        <v>15375</v>
      </c>
      <c r="B1058">
        <v>1</v>
      </c>
      <c r="C1058">
        <v>14</v>
      </c>
      <c r="D1058">
        <v>2014</v>
      </c>
      <c r="E1058" s="1">
        <v>41653</v>
      </c>
      <c r="F1058" t="s">
        <v>15376</v>
      </c>
      <c r="G1058">
        <v>0</v>
      </c>
      <c r="H1058">
        <v>0</v>
      </c>
      <c r="I1058">
        <v>0</v>
      </c>
      <c r="J1058">
        <v>0</v>
      </c>
      <c r="K1058" t="s">
        <v>15377</v>
      </c>
      <c r="L1058" t="s">
        <v>15378</v>
      </c>
      <c r="M1058" t="s">
        <v>15379</v>
      </c>
      <c r="N1058" t="s">
        <v>15380</v>
      </c>
      <c r="O1058" t="s">
        <v>15381</v>
      </c>
      <c r="P1058" t="s">
        <v>15382</v>
      </c>
      <c r="Q1058" t="s">
        <v>15383</v>
      </c>
      <c r="R1058" t="s">
        <v>15384</v>
      </c>
      <c r="S1058" t="s">
        <v>15385</v>
      </c>
      <c r="T1058" s="2">
        <v>0.6166666666666667</v>
      </c>
      <c r="U1058">
        <v>1</v>
      </c>
      <c r="V1058" t="s">
        <v>15386</v>
      </c>
      <c r="W1058" t="s">
        <v>15387</v>
      </c>
      <c r="Y1058" t="s">
        <v>15388</v>
      </c>
      <c r="Z1058" t="s">
        <v>15388</v>
      </c>
      <c r="AA1058" t="s">
        <v>15388</v>
      </c>
      <c r="AB1058" t="s">
        <v>15389</v>
      </c>
      <c r="AC1058" t="s">
        <v>15390</v>
      </c>
    </row>
    <row r="1059" spans="1:30">
      <c r="A1059" t="s">
        <v>15391</v>
      </c>
      <c r="B1059">
        <v>1</v>
      </c>
      <c r="C1059">
        <v>14</v>
      </c>
      <c r="D1059">
        <v>2014</v>
      </c>
      <c r="E1059" s="1">
        <v>41653</v>
      </c>
      <c r="F1059" t="s">
        <v>15392</v>
      </c>
      <c r="G1059">
        <v>0</v>
      </c>
      <c r="H1059">
        <v>2</v>
      </c>
      <c r="I1059">
        <v>2</v>
      </c>
      <c r="J1059">
        <v>0</v>
      </c>
      <c r="K1059" t="s">
        <v>15393</v>
      </c>
      <c r="L1059" t="s">
        <v>15394</v>
      </c>
      <c r="M1059" t="s">
        <v>15395</v>
      </c>
      <c r="N1059" t="s">
        <v>15396</v>
      </c>
      <c r="O1059" t="s">
        <v>15397</v>
      </c>
      <c r="P1059" t="s">
        <v>15398</v>
      </c>
      <c r="Q1059" t="s">
        <v>15399</v>
      </c>
      <c r="R1059" t="s">
        <v>15400</v>
      </c>
      <c r="S1059" t="s">
        <v>15401</v>
      </c>
      <c r="T1059" s="2">
        <v>0.3125</v>
      </c>
      <c r="U1059">
        <v>1</v>
      </c>
      <c r="V1059" t="s">
        <v>15402</v>
      </c>
      <c r="W1059" t="s">
        <v>15403</v>
      </c>
      <c r="X1059" t="s">
        <v>15404</v>
      </c>
      <c r="Y1059" t="s">
        <v>15405</v>
      </c>
      <c r="Z1059" t="s">
        <v>15405</v>
      </c>
      <c r="AA1059" t="s">
        <v>15405</v>
      </c>
      <c r="AB1059" t="s">
        <v>15406</v>
      </c>
      <c r="AC1059" t="s">
        <v>15407</v>
      </c>
      <c r="AD1059" t="s">
        <v>15408</v>
      </c>
    </row>
    <row r="1060" spans="1:30">
      <c r="A1060" t="s">
        <v>15409</v>
      </c>
      <c r="B1060">
        <v>1</v>
      </c>
      <c r="C1060">
        <v>14</v>
      </c>
      <c r="D1060">
        <v>2014</v>
      </c>
      <c r="E1060" s="1">
        <v>41653</v>
      </c>
      <c r="F1060" t="s">
        <v>15410</v>
      </c>
      <c r="G1060">
        <v>0</v>
      </c>
      <c r="H1060">
        <v>1</v>
      </c>
      <c r="I1060">
        <v>1</v>
      </c>
      <c r="J1060">
        <v>0</v>
      </c>
      <c r="L1060" t="s">
        <v>15411</v>
      </c>
      <c r="M1060" t="s">
        <v>15412</v>
      </c>
      <c r="N1060" t="s">
        <v>15413</v>
      </c>
      <c r="O1060" t="s">
        <v>15414</v>
      </c>
      <c r="P1060" t="s">
        <v>15415</v>
      </c>
      <c r="Q1060" t="s">
        <v>15416</v>
      </c>
      <c r="R1060" t="s">
        <v>15417</v>
      </c>
      <c r="S1060" t="s">
        <v>15418</v>
      </c>
      <c r="U1060">
        <v>1</v>
      </c>
      <c r="V1060" t="s">
        <v>15419</v>
      </c>
      <c r="W1060" t="s">
        <v>15420</v>
      </c>
      <c r="X1060" t="s">
        <v>15421</v>
      </c>
      <c r="Y1060" t="s">
        <v>15422</v>
      </c>
      <c r="Z1060" t="s">
        <v>15422</v>
      </c>
      <c r="AA1060" t="s">
        <v>15422</v>
      </c>
      <c r="AB1060" t="s">
        <v>15422</v>
      </c>
      <c r="AC1060" t="s">
        <v>15422</v>
      </c>
      <c r="AD1060" t="s">
        <v>15422</v>
      </c>
    </row>
    <row r="1061" spans="1:30">
      <c r="A1061" t="s">
        <v>15423</v>
      </c>
      <c r="B1061">
        <v>1</v>
      </c>
      <c r="C1061">
        <v>13</v>
      </c>
      <c r="D1061">
        <v>2014</v>
      </c>
      <c r="E1061" s="1">
        <v>41652</v>
      </c>
      <c r="F1061" t="s">
        <v>15424</v>
      </c>
      <c r="G1061">
        <v>0</v>
      </c>
      <c r="H1061">
        <v>1</v>
      </c>
      <c r="I1061">
        <v>1</v>
      </c>
      <c r="J1061">
        <v>0</v>
      </c>
      <c r="K1061" t="s">
        <v>15425</v>
      </c>
      <c r="L1061" t="s">
        <v>15426</v>
      </c>
      <c r="M1061" t="s">
        <v>15427</v>
      </c>
      <c r="N1061" t="s">
        <v>15428</v>
      </c>
      <c r="O1061" t="s">
        <v>15429</v>
      </c>
      <c r="P1061" t="s">
        <v>15430</v>
      </c>
      <c r="Q1061" t="s">
        <v>15431</v>
      </c>
      <c r="R1061" t="s">
        <v>15432</v>
      </c>
      <c r="S1061" t="s">
        <v>15433</v>
      </c>
      <c r="T1061" s="2">
        <v>0.82638888888888884</v>
      </c>
      <c r="U1061">
        <v>1</v>
      </c>
      <c r="V1061" t="s">
        <v>15434</v>
      </c>
      <c r="W1061" t="s">
        <v>15435</v>
      </c>
      <c r="X1061" t="s">
        <v>15436</v>
      </c>
      <c r="Y1061" t="s">
        <v>15437</v>
      </c>
      <c r="Z1061" t="s">
        <v>15437</v>
      </c>
      <c r="AA1061" t="s">
        <v>15437</v>
      </c>
      <c r="AB1061" t="s">
        <v>15437</v>
      </c>
      <c r="AC1061" t="s">
        <v>15437</v>
      </c>
    </row>
    <row r="1062" spans="1:30">
      <c r="A1062" t="s">
        <v>15438</v>
      </c>
      <c r="B1062">
        <v>1</v>
      </c>
      <c r="C1062">
        <v>9</v>
      </c>
      <c r="D1062">
        <v>2014</v>
      </c>
      <c r="E1062" s="1">
        <v>41648</v>
      </c>
      <c r="F1062" t="s">
        <v>15439</v>
      </c>
      <c r="G1062">
        <v>0</v>
      </c>
      <c r="H1062">
        <v>1</v>
      </c>
      <c r="I1062">
        <v>1</v>
      </c>
      <c r="J1062">
        <v>0</v>
      </c>
      <c r="K1062" t="s">
        <v>15440</v>
      </c>
      <c r="L1062" t="s">
        <v>15441</v>
      </c>
      <c r="M1062" t="s">
        <v>15442</v>
      </c>
      <c r="N1062" t="s">
        <v>15443</v>
      </c>
      <c r="O1062" t="s">
        <v>15444</v>
      </c>
      <c r="P1062" t="s">
        <v>15445</v>
      </c>
      <c r="Q1062" t="s">
        <v>15446</v>
      </c>
      <c r="R1062" t="s">
        <v>15447</v>
      </c>
      <c r="S1062" t="s">
        <v>15448</v>
      </c>
      <c r="T1062" s="2">
        <v>0.59791666666666665</v>
      </c>
      <c r="U1062">
        <v>1</v>
      </c>
      <c r="V1062" t="s">
        <v>15449</v>
      </c>
      <c r="W1062" t="s">
        <v>15450</v>
      </c>
      <c r="X1062" t="s">
        <v>15451</v>
      </c>
      <c r="Y1062" t="s">
        <v>15452</v>
      </c>
      <c r="Z1062" t="s">
        <v>15452</v>
      </c>
      <c r="AA1062" t="s">
        <v>15452</v>
      </c>
      <c r="AB1062" t="s">
        <v>15452</v>
      </c>
      <c r="AC1062" t="s">
        <v>15452</v>
      </c>
    </row>
    <row r="1063" spans="1:30">
      <c r="A1063" t="s">
        <v>15453</v>
      </c>
      <c r="B1063">
        <v>12</v>
      </c>
      <c r="C1063">
        <v>19</v>
      </c>
      <c r="D1063">
        <v>2013</v>
      </c>
      <c r="E1063" s="1">
        <v>41627</v>
      </c>
      <c r="F1063" t="s">
        <v>15454</v>
      </c>
      <c r="G1063">
        <v>0</v>
      </c>
      <c r="H1063">
        <v>1</v>
      </c>
      <c r="I1063">
        <v>1</v>
      </c>
      <c r="J1063">
        <v>0</v>
      </c>
      <c r="K1063" t="s">
        <v>15455</v>
      </c>
      <c r="L1063" t="s">
        <v>15456</v>
      </c>
      <c r="M1063" t="s">
        <v>15457</v>
      </c>
      <c r="N1063" t="s">
        <v>15458</v>
      </c>
      <c r="O1063" t="s">
        <v>15459</v>
      </c>
      <c r="P1063" t="s">
        <v>15460</v>
      </c>
      <c r="Q1063" t="s">
        <v>15461</v>
      </c>
      <c r="R1063" t="s">
        <v>15462</v>
      </c>
      <c r="S1063" t="s">
        <v>15463</v>
      </c>
      <c r="T1063" s="2">
        <v>0.79166666666666663</v>
      </c>
      <c r="U1063">
        <v>1</v>
      </c>
      <c r="V1063" t="s">
        <v>15464</v>
      </c>
      <c r="W1063" t="s">
        <v>15465</v>
      </c>
      <c r="X1063" t="s">
        <v>15466</v>
      </c>
      <c r="Y1063" t="s">
        <v>15467</v>
      </c>
      <c r="Z1063" t="s">
        <v>15468</v>
      </c>
      <c r="AA1063" t="s">
        <v>15468</v>
      </c>
      <c r="AB1063" t="s">
        <v>15468</v>
      </c>
      <c r="AC1063" t="s">
        <v>15468</v>
      </c>
    </row>
    <row r="1064" spans="1:30">
      <c r="A1064" t="s">
        <v>15469</v>
      </c>
      <c r="B1064">
        <v>12</v>
      </c>
      <c r="C1064">
        <v>13</v>
      </c>
      <c r="D1064">
        <v>2013</v>
      </c>
      <c r="E1064" s="1">
        <v>41621</v>
      </c>
      <c r="F1064" t="s">
        <v>15470</v>
      </c>
      <c r="G1064">
        <v>1</v>
      </c>
      <c r="H1064">
        <v>0</v>
      </c>
      <c r="I1064">
        <v>1</v>
      </c>
      <c r="J1064">
        <v>1</v>
      </c>
      <c r="K1064" t="s">
        <v>15471</v>
      </c>
      <c r="L1064" t="s">
        <v>15472</v>
      </c>
      <c r="M1064" t="s">
        <v>15473</v>
      </c>
      <c r="N1064" t="s">
        <v>15474</v>
      </c>
      <c r="O1064" t="s">
        <v>15475</v>
      </c>
      <c r="P1064" t="s">
        <v>15476</v>
      </c>
      <c r="Q1064" t="s">
        <v>15477</v>
      </c>
      <c r="R1064" t="s">
        <v>15478</v>
      </c>
      <c r="S1064" t="s">
        <v>15479</v>
      </c>
      <c r="T1064" s="2">
        <v>0</v>
      </c>
      <c r="U1064">
        <v>2</v>
      </c>
      <c r="V1064" t="s">
        <v>15480</v>
      </c>
      <c r="W1064" t="s">
        <v>15481</v>
      </c>
      <c r="X1064" t="s">
        <v>15482</v>
      </c>
      <c r="Y1064" t="s">
        <v>15483</v>
      </c>
      <c r="Z1064" t="s">
        <v>15483</v>
      </c>
      <c r="AA1064" t="s">
        <v>15483</v>
      </c>
      <c r="AB1064" t="s">
        <v>15484</v>
      </c>
      <c r="AC1064" t="s">
        <v>15485</v>
      </c>
      <c r="AD1064" t="s">
        <v>15486</v>
      </c>
    </row>
    <row r="1065" spans="1:30">
      <c r="A1065" t="s">
        <v>15487</v>
      </c>
      <c r="B1065">
        <v>12</v>
      </c>
      <c r="C1065">
        <v>4</v>
      </c>
      <c r="D1065">
        <v>2013</v>
      </c>
      <c r="E1065" s="1">
        <v>41612</v>
      </c>
      <c r="F1065" t="s">
        <v>15488</v>
      </c>
      <c r="G1065">
        <v>0</v>
      </c>
      <c r="H1065">
        <v>1</v>
      </c>
      <c r="I1065">
        <v>1</v>
      </c>
      <c r="J1065">
        <v>0</v>
      </c>
      <c r="K1065" t="s">
        <v>15489</v>
      </c>
      <c r="L1065" t="s">
        <v>15490</v>
      </c>
      <c r="M1065" t="s">
        <v>15491</v>
      </c>
      <c r="N1065" t="s">
        <v>15492</v>
      </c>
      <c r="O1065" t="s">
        <v>15493</v>
      </c>
      <c r="P1065" t="s">
        <v>15494</v>
      </c>
      <c r="Q1065" t="s">
        <v>15495</v>
      </c>
      <c r="R1065" t="s">
        <v>15496</v>
      </c>
      <c r="S1065" t="s">
        <v>15497</v>
      </c>
      <c r="T1065" s="2">
        <v>0.55208333333333326</v>
      </c>
      <c r="U1065">
        <v>1</v>
      </c>
      <c r="V1065" t="s">
        <v>15498</v>
      </c>
      <c r="W1065" t="s">
        <v>15499</v>
      </c>
      <c r="X1065" t="s">
        <v>15500</v>
      </c>
      <c r="Y1065" t="s">
        <v>15501</v>
      </c>
      <c r="Z1065" t="s">
        <v>15501</v>
      </c>
      <c r="AA1065" t="s">
        <v>15501</v>
      </c>
      <c r="AB1065" t="s">
        <v>15501</v>
      </c>
      <c r="AC1065" t="s">
        <v>15501</v>
      </c>
    </row>
    <row r="1066" spans="1:30">
      <c r="A1066" t="s">
        <v>15502</v>
      </c>
      <c r="B1066">
        <v>11</v>
      </c>
      <c r="C1066">
        <v>13</v>
      </c>
      <c r="D1066">
        <v>2013</v>
      </c>
      <c r="E1066" s="1">
        <v>41591</v>
      </c>
      <c r="F1066" t="s">
        <v>15503</v>
      </c>
      <c r="G1066">
        <v>0</v>
      </c>
      <c r="H1066">
        <v>3</v>
      </c>
      <c r="I1066">
        <v>3</v>
      </c>
      <c r="J1066">
        <v>0</v>
      </c>
      <c r="K1066" t="s">
        <v>15504</v>
      </c>
      <c r="L1066" t="s">
        <v>15505</v>
      </c>
      <c r="M1066" t="s">
        <v>15506</v>
      </c>
      <c r="N1066" t="s">
        <v>15507</v>
      </c>
      <c r="O1066" t="s">
        <v>15508</v>
      </c>
      <c r="P1066" t="s">
        <v>15509</v>
      </c>
      <c r="Q1066" t="s">
        <v>15509</v>
      </c>
      <c r="R1066" t="s">
        <v>15510</v>
      </c>
      <c r="S1066" t="s">
        <v>15511</v>
      </c>
      <c r="T1066" s="2">
        <v>0.625</v>
      </c>
      <c r="U1066">
        <v>1</v>
      </c>
      <c r="V1066" t="s">
        <v>15512</v>
      </c>
      <c r="W1066" t="s">
        <v>15513</v>
      </c>
      <c r="X1066" t="s">
        <v>15514</v>
      </c>
      <c r="Y1066" t="s">
        <v>15515</v>
      </c>
      <c r="Z1066" t="s">
        <v>15516</v>
      </c>
      <c r="AA1066" t="s">
        <v>15516</v>
      </c>
      <c r="AB1066" t="s">
        <v>15516</v>
      </c>
      <c r="AC1066" t="s">
        <v>15516</v>
      </c>
    </row>
    <row r="1067" spans="1:30">
      <c r="A1067" t="s">
        <v>15517</v>
      </c>
      <c r="B1067">
        <v>11</v>
      </c>
      <c r="C1067">
        <v>3</v>
      </c>
      <c r="D1067">
        <v>2013</v>
      </c>
      <c r="E1067" s="1">
        <v>41581</v>
      </c>
      <c r="F1067" t="s">
        <v>15518</v>
      </c>
      <c r="G1067">
        <v>0</v>
      </c>
      <c r="H1067">
        <v>1</v>
      </c>
      <c r="I1067">
        <v>1</v>
      </c>
      <c r="J1067">
        <v>0</v>
      </c>
      <c r="K1067" t="s">
        <v>15519</v>
      </c>
      <c r="L1067" t="s">
        <v>15520</v>
      </c>
      <c r="M1067" t="s">
        <v>15521</v>
      </c>
      <c r="N1067" t="s">
        <v>15522</v>
      </c>
      <c r="O1067" t="s">
        <v>15523</v>
      </c>
      <c r="P1067" t="s">
        <v>15524</v>
      </c>
      <c r="Q1067" t="s">
        <v>15525</v>
      </c>
      <c r="R1067" t="s">
        <v>15526</v>
      </c>
      <c r="S1067" t="s">
        <v>15527</v>
      </c>
      <c r="U1067">
        <v>1</v>
      </c>
      <c r="V1067" t="s">
        <v>15528</v>
      </c>
      <c r="W1067" t="s">
        <v>15529</v>
      </c>
      <c r="X1067" t="s">
        <v>15530</v>
      </c>
      <c r="Y1067" t="s">
        <v>15531</v>
      </c>
      <c r="Z1067" t="s">
        <v>15532</v>
      </c>
      <c r="AA1067" t="s">
        <v>15532</v>
      </c>
      <c r="AB1067" t="s">
        <v>15532</v>
      </c>
      <c r="AC1067" t="s">
        <v>15532</v>
      </c>
    </row>
    <row r="1068" spans="1:30">
      <c r="A1068" t="s">
        <v>15533</v>
      </c>
      <c r="B1068">
        <v>11</v>
      </c>
      <c r="C1068">
        <v>1</v>
      </c>
      <c r="D1068">
        <v>2013</v>
      </c>
      <c r="E1068" s="1">
        <v>41579</v>
      </c>
      <c r="F1068" t="s">
        <v>15534</v>
      </c>
      <c r="G1068">
        <v>0</v>
      </c>
      <c r="H1068">
        <v>0</v>
      </c>
      <c r="I1068">
        <v>0</v>
      </c>
      <c r="J1068">
        <v>1</v>
      </c>
      <c r="K1068" t="s">
        <v>15535</v>
      </c>
      <c r="L1068" t="s">
        <v>15536</v>
      </c>
      <c r="M1068" t="s">
        <v>15537</v>
      </c>
      <c r="N1068" t="s">
        <v>15538</v>
      </c>
      <c r="O1068" t="s">
        <v>15539</v>
      </c>
      <c r="P1068" t="s">
        <v>15540</v>
      </c>
      <c r="Q1068" t="s">
        <v>15541</v>
      </c>
      <c r="R1068" t="s">
        <v>15542</v>
      </c>
      <c r="S1068" t="s">
        <v>15543</v>
      </c>
      <c r="T1068" s="2">
        <v>5.5555555555555552E-2</v>
      </c>
      <c r="U1068">
        <v>1</v>
      </c>
      <c r="V1068" t="s">
        <v>15544</v>
      </c>
      <c r="W1068" t="s">
        <v>15545</v>
      </c>
      <c r="X1068" t="s">
        <v>15546</v>
      </c>
      <c r="Y1068" t="s">
        <v>15547</v>
      </c>
      <c r="Z1068" t="s">
        <v>15547</v>
      </c>
      <c r="AA1068" t="s">
        <v>15547</v>
      </c>
      <c r="AB1068" t="s">
        <v>15547</v>
      </c>
      <c r="AC1068" t="s">
        <v>15547</v>
      </c>
    </row>
    <row r="1069" spans="1:30">
      <c r="A1069" t="s">
        <v>15548</v>
      </c>
      <c r="B1069">
        <v>10</v>
      </c>
      <c r="C1069">
        <v>23</v>
      </c>
      <c r="D1069">
        <v>2013</v>
      </c>
      <c r="E1069" s="1">
        <v>41570</v>
      </c>
      <c r="F1069" t="s">
        <v>15549</v>
      </c>
      <c r="G1069">
        <v>0</v>
      </c>
      <c r="H1069">
        <v>3</v>
      </c>
      <c r="I1069">
        <v>3</v>
      </c>
      <c r="J1069">
        <v>0</v>
      </c>
      <c r="K1069" t="s">
        <v>15550</v>
      </c>
      <c r="L1069" t="s">
        <v>15551</v>
      </c>
      <c r="M1069" t="s">
        <v>15552</v>
      </c>
      <c r="N1069" t="s">
        <v>15553</v>
      </c>
      <c r="O1069" t="s">
        <v>15554</v>
      </c>
      <c r="P1069" t="s">
        <v>15555</v>
      </c>
      <c r="Q1069" t="s">
        <v>15556</v>
      </c>
      <c r="R1069" t="s">
        <v>15557</v>
      </c>
      <c r="S1069" t="s">
        <v>15558</v>
      </c>
      <c r="T1069" s="2">
        <v>0.46805555555555556</v>
      </c>
      <c r="U1069">
        <v>1</v>
      </c>
      <c r="V1069" t="s">
        <v>15559</v>
      </c>
      <c r="W1069" t="s">
        <v>15560</v>
      </c>
      <c r="X1069" t="s">
        <v>15561</v>
      </c>
      <c r="Y1069" t="s">
        <v>15562</v>
      </c>
      <c r="Z1069" t="s">
        <v>15562</v>
      </c>
      <c r="AA1069" t="s">
        <v>15562</v>
      </c>
      <c r="AB1069" t="s">
        <v>15562</v>
      </c>
      <c r="AC1069" t="s">
        <v>15562</v>
      </c>
    </row>
    <row r="1070" spans="1:30">
      <c r="A1070" t="s">
        <v>15563</v>
      </c>
      <c r="B1070">
        <v>10</v>
      </c>
      <c r="C1070">
        <v>21</v>
      </c>
      <c r="D1070">
        <v>2013</v>
      </c>
      <c r="E1070" s="1">
        <v>41568</v>
      </c>
      <c r="F1070" t="s">
        <v>15564</v>
      </c>
      <c r="G1070">
        <v>1</v>
      </c>
      <c r="H1070">
        <v>2</v>
      </c>
      <c r="I1070">
        <v>3</v>
      </c>
      <c r="J1070">
        <v>1</v>
      </c>
      <c r="K1070" t="s">
        <v>15565</v>
      </c>
      <c r="L1070" t="s">
        <v>15566</v>
      </c>
      <c r="M1070" t="s">
        <v>15567</v>
      </c>
      <c r="N1070" t="s">
        <v>15568</v>
      </c>
      <c r="O1070" t="s">
        <v>15569</v>
      </c>
      <c r="P1070" t="s">
        <v>15570</v>
      </c>
      <c r="Q1070" t="s">
        <v>15571</v>
      </c>
      <c r="R1070" t="s">
        <v>15572</v>
      </c>
      <c r="S1070" t="s">
        <v>15573</v>
      </c>
      <c r="T1070" s="2">
        <v>0.30208333333333337</v>
      </c>
      <c r="U1070">
        <v>3</v>
      </c>
      <c r="V1070" t="s">
        <v>15574</v>
      </c>
      <c r="W1070" t="s">
        <v>15575</v>
      </c>
      <c r="X1070" t="s">
        <v>15576</v>
      </c>
      <c r="Y1070" t="s">
        <v>15577</v>
      </c>
      <c r="Z1070" t="s">
        <v>15577</v>
      </c>
      <c r="AA1070" t="s">
        <v>15577</v>
      </c>
      <c r="AB1070" t="s">
        <v>15578</v>
      </c>
      <c r="AC1070" t="s">
        <v>15579</v>
      </c>
      <c r="AD1070" t="s">
        <v>15580</v>
      </c>
    </row>
    <row r="1071" spans="1:30">
      <c r="A1071" t="s">
        <v>15581</v>
      </c>
      <c r="B1071">
        <v>10</v>
      </c>
      <c r="C1071">
        <v>15</v>
      </c>
      <c r="D1071">
        <v>2013</v>
      </c>
      <c r="E1071" s="1">
        <v>41562</v>
      </c>
      <c r="F1071" t="s">
        <v>15582</v>
      </c>
      <c r="G1071">
        <v>0</v>
      </c>
      <c r="H1071">
        <v>0</v>
      </c>
      <c r="I1071">
        <v>0</v>
      </c>
      <c r="J1071">
        <v>1</v>
      </c>
      <c r="K1071" t="s">
        <v>15583</v>
      </c>
      <c r="L1071" t="s">
        <v>15584</v>
      </c>
      <c r="M1071" t="s">
        <v>15585</v>
      </c>
      <c r="N1071" t="s">
        <v>15586</v>
      </c>
      <c r="O1071" t="s">
        <v>15587</v>
      </c>
      <c r="P1071" t="s">
        <v>15588</v>
      </c>
      <c r="Q1071" t="s">
        <v>15589</v>
      </c>
      <c r="R1071" t="s">
        <v>15590</v>
      </c>
      <c r="S1071" t="s">
        <v>15591</v>
      </c>
      <c r="T1071" s="2">
        <v>0.50277777777777777</v>
      </c>
      <c r="U1071">
        <v>1</v>
      </c>
      <c r="V1071" t="s">
        <v>15592</v>
      </c>
      <c r="W1071" t="s">
        <v>15593</v>
      </c>
      <c r="X1071" t="s">
        <v>15594</v>
      </c>
      <c r="Y1071" t="s">
        <v>15595</v>
      </c>
      <c r="Z1071" t="s">
        <v>15595</v>
      </c>
      <c r="AA1071" t="s">
        <v>15595</v>
      </c>
      <c r="AB1071" t="s">
        <v>15595</v>
      </c>
      <c r="AC1071" t="s">
        <v>15595</v>
      </c>
    </row>
    <row r="1072" spans="1:30">
      <c r="A1072" t="s">
        <v>15596</v>
      </c>
      <c r="B1072">
        <v>10</v>
      </c>
      <c r="C1072">
        <v>4</v>
      </c>
      <c r="D1072">
        <v>2013</v>
      </c>
      <c r="E1072" s="1">
        <v>41551</v>
      </c>
      <c r="F1072" t="s">
        <v>15597</v>
      </c>
      <c r="G1072">
        <v>0</v>
      </c>
      <c r="H1072">
        <v>2</v>
      </c>
      <c r="I1072">
        <v>2</v>
      </c>
      <c r="J1072">
        <v>0</v>
      </c>
      <c r="K1072" t="s">
        <v>15598</v>
      </c>
      <c r="L1072" t="s">
        <v>15599</v>
      </c>
      <c r="M1072" t="s">
        <v>15600</v>
      </c>
      <c r="N1072" t="s">
        <v>15601</v>
      </c>
      <c r="O1072" t="s">
        <v>15602</v>
      </c>
      <c r="P1072" t="s">
        <v>15603</v>
      </c>
      <c r="Q1072" t="s">
        <v>15604</v>
      </c>
      <c r="R1072" t="s">
        <v>15605</v>
      </c>
      <c r="S1072" t="s">
        <v>15606</v>
      </c>
      <c r="T1072" s="2">
        <v>0.58333333333333337</v>
      </c>
      <c r="U1072">
        <v>1</v>
      </c>
      <c r="V1072" t="s">
        <v>15607</v>
      </c>
      <c r="W1072" t="s">
        <v>15608</v>
      </c>
      <c r="X1072" t="s">
        <v>15609</v>
      </c>
      <c r="Y1072" t="s">
        <v>15610</v>
      </c>
      <c r="Z1072" t="s">
        <v>15611</v>
      </c>
      <c r="AA1072" t="s">
        <v>15611</v>
      </c>
      <c r="AB1072" t="s">
        <v>15611</v>
      </c>
      <c r="AC1072" t="s">
        <v>15611</v>
      </c>
    </row>
    <row r="1073" spans="1:30">
      <c r="A1073" t="s">
        <v>15612</v>
      </c>
      <c r="B1073">
        <v>10</v>
      </c>
      <c r="C1073">
        <v>2</v>
      </c>
      <c r="D1073">
        <v>2013</v>
      </c>
      <c r="E1073" s="1">
        <v>41549</v>
      </c>
      <c r="F1073" t="s">
        <v>15613</v>
      </c>
      <c r="G1073">
        <v>0</v>
      </c>
      <c r="H1073">
        <v>0</v>
      </c>
      <c r="I1073">
        <v>0</v>
      </c>
      <c r="J1073">
        <v>0</v>
      </c>
      <c r="L1073" t="s">
        <v>15614</v>
      </c>
      <c r="M1073" t="s">
        <v>15615</v>
      </c>
      <c r="N1073" t="s">
        <v>15616</v>
      </c>
      <c r="P1073" t="s">
        <v>15617</v>
      </c>
      <c r="Q1073" t="s">
        <v>15617</v>
      </c>
      <c r="R1073" t="s">
        <v>15618</v>
      </c>
      <c r="S1073" t="s">
        <v>15619</v>
      </c>
      <c r="V1073" t="s">
        <v>15620</v>
      </c>
      <c r="W1073" t="s">
        <v>15621</v>
      </c>
      <c r="X1073" t="s">
        <v>15622</v>
      </c>
      <c r="Y1073" t="s">
        <v>15623</v>
      </c>
      <c r="Z1073" t="s">
        <v>15623</v>
      </c>
      <c r="AA1073" t="s">
        <v>15623</v>
      </c>
      <c r="AB1073" t="s">
        <v>15623</v>
      </c>
      <c r="AC1073" t="s">
        <v>15623</v>
      </c>
    </row>
    <row r="1074" spans="1:30">
      <c r="A1074" t="s">
        <v>15624</v>
      </c>
      <c r="B1074">
        <v>9</v>
      </c>
      <c r="C1074">
        <v>28</v>
      </c>
      <c r="D1074">
        <v>2013</v>
      </c>
      <c r="E1074" s="1">
        <v>41545</v>
      </c>
      <c r="F1074" t="s">
        <v>15625</v>
      </c>
      <c r="G1074">
        <v>0</v>
      </c>
      <c r="H1074">
        <v>0</v>
      </c>
      <c r="I1074">
        <v>0</v>
      </c>
      <c r="J1074">
        <v>1</v>
      </c>
      <c r="K1074" t="s">
        <v>15626</v>
      </c>
      <c r="L1074" t="s">
        <v>15627</v>
      </c>
      <c r="M1074" t="s">
        <v>15628</v>
      </c>
      <c r="N1074" t="s">
        <v>15629</v>
      </c>
      <c r="O1074" t="s">
        <v>15630</v>
      </c>
      <c r="P1074" t="s">
        <v>15631</v>
      </c>
      <c r="Q1074" t="s">
        <v>15632</v>
      </c>
      <c r="R1074" t="s">
        <v>15633</v>
      </c>
      <c r="S1074" t="s">
        <v>15634</v>
      </c>
      <c r="T1074" s="2">
        <v>0.53472222222222221</v>
      </c>
      <c r="U1074">
        <v>1</v>
      </c>
      <c r="V1074" t="s">
        <v>15635</v>
      </c>
      <c r="W1074" t="s">
        <v>15636</v>
      </c>
      <c r="X1074" t="s">
        <v>15637</v>
      </c>
      <c r="Y1074" t="s">
        <v>15638</v>
      </c>
      <c r="Z1074" t="s">
        <v>15638</v>
      </c>
      <c r="AA1074" t="s">
        <v>15638</v>
      </c>
    </row>
    <row r="1075" spans="1:30">
      <c r="A1075" t="s">
        <v>15639</v>
      </c>
      <c r="B1075">
        <v>9</v>
      </c>
      <c r="C1075">
        <v>27</v>
      </c>
      <c r="D1075">
        <v>2013</v>
      </c>
      <c r="E1075" s="1">
        <v>41544</v>
      </c>
      <c r="F1075" t="s">
        <v>15640</v>
      </c>
      <c r="G1075">
        <v>0</v>
      </c>
      <c r="H1075">
        <v>1</v>
      </c>
      <c r="I1075">
        <v>1</v>
      </c>
      <c r="J1075">
        <v>0</v>
      </c>
      <c r="K1075" t="s">
        <v>15641</v>
      </c>
      <c r="L1075" t="s">
        <v>15642</v>
      </c>
      <c r="M1075" t="s">
        <v>15643</v>
      </c>
      <c r="N1075" t="s">
        <v>15644</v>
      </c>
      <c r="O1075" t="s">
        <v>15645</v>
      </c>
      <c r="P1075" t="s">
        <v>15646</v>
      </c>
      <c r="Q1075" t="s">
        <v>15647</v>
      </c>
      <c r="R1075" t="s">
        <v>15648</v>
      </c>
      <c r="S1075" t="s">
        <v>15649</v>
      </c>
      <c r="T1075" s="2">
        <v>0.60069444444444453</v>
      </c>
      <c r="U1075">
        <v>1</v>
      </c>
      <c r="V1075" t="s">
        <v>15650</v>
      </c>
      <c r="W1075" t="s">
        <v>15651</v>
      </c>
      <c r="X1075" t="s">
        <v>15652</v>
      </c>
      <c r="Y1075" t="s">
        <v>15653</v>
      </c>
      <c r="Z1075" t="s">
        <v>15654</v>
      </c>
      <c r="AA1075" t="s">
        <v>15654</v>
      </c>
      <c r="AB1075" t="s">
        <v>15654</v>
      </c>
      <c r="AC1075" t="s">
        <v>15654</v>
      </c>
    </row>
    <row r="1076" spans="1:30">
      <c r="A1076" t="s">
        <v>15655</v>
      </c>
      <c r="B1076">
        <v>8</v>
      </c>
      <c r="C1076">
        <v>30</v>
      </c>
      <c r="D1076">
        <v>2013</v>
      </c>
      <c r="E1076" s="1">
        <v>41516</v>
      </c>
      <c r="F1076" t="s">
        <v>15656</v>
      </c>
      <c r="G1076">
        <v>0</v>
      </c>
      <c r="H1076">
        <v>1</v>
      </c>
      <c r="I1076">
        <v>1</v>
      </c>
      <c r="J1076">
        <v>0</v>
      </c>
      <c r="K1076" t="s">
        <v>15657</v>
      </c>
      <c r="L1076" t="s">
        <v>15658</v>
      </c>
      <c r="M1076" t="s">
        <v>15659</v>
      </c>
      <c r="N1076" t="s">
        <v>15660</v>
      </c>
      <c r="O1076" t="s">
        <v>15661</v>
      </c>
      <c r="P1076" t="s">
        <v>15662</v>
      </c>
      <c r="Q1076" t="s">
        <v>15663</v>
      </c>
      <c r="R1076" t="s">
        <v>15664</v>
      </c>
      <c r="S1076" t="s">
        <v>15665</v>
      </c>
      <c r="T1076" s="2">
        <v>0.60069444444444453</v>
      </c>
      <c r="U1076">
        <v>1</v>
      </c>
      <c r="V1076" t="s">
        <v>15666</v>
      </c>
      <c r="W1076" t="s">
        <v>15667</v>
      </c>
      <c r="X1076" t="s">
        <v>15668</v>
      </c>
      <c r="Y1076" t="s">
        <v>15669</v>
      </c>
      <c r="Z1076" t="s">
        <v>15669</v>
      </c>
      <c r="AA1076" t="s">
        <v>15669</v>
      </c>
      <c r="AB1076" t="s">
        <v>15670</v>
      </c>
      <c r="AC1076" t="s">
        <v>15671</v>
      </c>
    </row>
    <row r="1077" spans="1:30">
      <c r="A1077" t="s">
        <v>15672</v>
      </c>
      <c r="B1077">
        <v>8</v>
      </c>
      <c r="C1077">
        <v>23</v>
      </c>
      <c r="D1077">
        <v>2013</v>
      </c>
      <c r="E1077" s="1">
        <v>41509</v>
      </c>
      <c r="F1077" t="s">
        <v>15673</v>
      </c>
      <c r="G1077">
        <v>1</v>
      </c>
      <c r="H1077">
        <v>2</v>
      </c>
      <c r="I1077">
        <v>3</v>
      </c>
      <c r="J1077">
        <v>0</v>
      </c>
      <c r="K1077" t="s">
        <v>15674</v>
      </c>
      <c r="L1077" t="s">
        <v>15675</v>
      </c>
      <c r="M1077" t="s">
        <v>15676</v>
      </c>
      <c r="N1077" t="s">
        <v>15677</v>
      </c>
      <c r="O1077" t="s">
        <v>15678</v>
      </c>
      <c r="P1077" t="s">
        <v>15679</v>
      </c>
      <c r="Q1077" t="s">
        <v>15680</v>
      </c>
      <c r="R1077" t="s">
        <v>15681</v>
      </c>
      <c r="S1077" t="s">
        <v>15682</v>
      </c>
      <c r="T1077" s="2">
        <v>0.9375</v>
      </c>
      <c r="U1077">
        <v>5</v>
      </c>
      <c r="V1077" t="s">
        <v>15683</v>
      </c>
      <c r="W1077" t="s">
        <v>15684</v>
      </c>
      <c r="Y1077" t="s">
        <v>15685</v>
      </c>
      <c r="Z1077" t="s">
        <v>15686</v>
      </c>
      <c r="AA1077" t="s">
        <v>15686</v>
      </c>
      <c r="AB1077" t="s">
        <v>15686</v>
      </c>
      <c r="AC1077" t="s">
        <v>15686</v>
      </c>
    </row>
    <row r="1078" spans="1:30">
      <c r="A1078" t="s">
        <v>15687</v>
      </c>
      <c r="B1078">
        <v>8</v>
      </c>
      <c r="C1078">
        <v>22</v>
      </c>
      <c r="D1078">
        <v>2013</v>
      </c>
      <c r="E1078" s="1">
        <v>41508</v>
      </c>
      <c r="F1078" t="s">
        <v>15688</v>
      </c>
      <c r="G1078">
        <v>0</v>
      </c>
      <c r="H1078">
        <v>0</v>
      </c>
      <c r="I1078">
        <v>0</v>
      </c>
      <c r="J1078">
        <v>0</v>
      </c>
      <c r="K1078" t="s">
        <v>15689</v>
      </c>
      <c r="L1078" t="s">
        <v>15690</v>
      </c>
      <c r="M1078" t="s">
        <v>15691</v>
      </c>
      <c r="N1078" t="s">
        <v>15692</v>
      </c>
      <c r="O1078" t="s">
        <v>15693</v>
      </c>
      <c r="P1078" t="s">
        <v>15694</v>
      </c>
      <c r="Q1078" t="s">
        <v>15695</v>
      </c>
      <c r="R1078" t="s">
        <v>15696</v>
      </c>
      <c r="S1078" t="s">
        <v>15697</v>
      </c>
      <c r="T1078" s="2">
        <v>0.33333333333333331</v>
      </c>
      <c r="U1078">
        <v>1</v>
      </c>
      <c r="V1078" t="s">
        <v>15698</v>
      </c>
      <c r="W1078" t="s">
        <v>15699</v>
      </c>
      <c r="X1078" t="s">
        <v>15700</v>
      </c>
      <c r="Y1078" t="s">
        <v>15701</v>
      </c>
      <c r="Z1078" t="s">
        <v>15701</v>
      </c>
      <c r="AA1078" t="s">
        <v>15701</v>
      </c>
      <c r="AB1078" t="s">
        <v>15701</v>
      </c>
      <c r="AC1078" t="s">
        <v>15701</v>
      </c>
    </row>
    <row r="1079" spans="1:30">
      <c r="A1079" t="s">
        <v>15702</v>
      </c>
      <c r="B1079">
        <v>8</v>
      </c>
      <c r="C1079">
        <v>20</v>
      </c>
      <c r="D1079">
        <v>2013</v>
      </c>
      <c r="E1079" s="1">
        <v>41506</v>
      </c>
      <c r="F1079" t="s">
        <v>15703</v>
      </c>
      <c r="G1079">
        <v>0</v>
      </c>
      <c r="H1079">
        <v>0</v>
      </c>
      <c r="I1079">
        <v>0</v>
      </c>
      <c r="J1079">
        <v>0</v>
      </c>
      <c r="K1079" t="s">
        <v>15704</v>
      </c>
      <c r="L1079" t="s">
        <v>15705</v>
      </c>
      <c r="M1079" t="s">
        <v>15706</v>
      </c>
      <c r="N1079" t="s">
        <v>15707</v>
      </c>
      <c r="O1079" t="s">
        <v>15708</v>
      </c>
      <c r="P1079" t="s">
        <v>15709</v>
      </c>
      <c r="Q1079" t="s">
        <v>15710</v>
      </c>
      <c r="R1079" t="s">
        <v>15711</v>
      </c>
      <c r="S1079" t="s">
        <v>15712</v>
      </c>
      <c r="T1079" s="2">
        <v>0.53541666666666665</v>
      </c>
      <c r="U1079">
        <v>1</v>
      </c>
      <c r="V1079" t="s">
        <v>15713</v>
      </c>
      <c r="W1079" t="s">
        <v>15714</v>
      </c>
      <c r="X1079" t="s">
        <v>15715</v>
      </c>
      <c r="Y1079" t="s">
        <v>15716</v>
      </c>
      <c r="Z1079" t="s">
        <v>15717</v>
      </c>
      <c r="AA1079" t="s">
        <v>15718</v>
      </c>
      <c r="AB1079" t="s">
        <v>15718</v>
      </c>
      <c r="AC1079" t="s">
        <v>15718</v>
      </c>
      <c r="AD1079" t="s">
        <v>15719</v>
      </c>
    </row>
    <row r="1080" spans="1:30">
      <c r="A1080" t="s">
        <v>15720</v>
      </c>
      <c r="B1080">
        <v>8</v>
      </c>
      <c r="C1080">
        <v>15</v>
      </c>
      <c r="D1080">
        <v>2013</v>
      </c>
      <c r="E1080" s="1">
        <v>41501</v>
      </c>
      <c r="F1080" t="s">
        <v>15721</v>
      </c>
      <c r="G1080">
        <v>1</v>
      </c>
      <c r="H1080">
        <v>0</v>
      </c>
      <c r="I1080">
        <v>1</v>
      </c>
      <c r="J1080">
        <v>0</v>
      </c>
      <c r="K1080" t="s">
        <v>15722</v>
      </c>
      <c r="L1080" t="s">
        <v>15723</v>
      </c>
      <c r="M1080" t="s">
        <v>15724</v>
      </c>
      <c r="N1080" t="s">
        <v>15725</v>
      </c>
      <c r="O1080" t="s">
        <v>15726</v>
      </c>
      <c r="P1080" t="s">
        <v>15727</v>
      </c>
      <c r="Q1080" t="s">
        <v>15728</v>
      </c>
      <c r="R1080" t="s">
        <v>15729</v>
      </c>
      <c r="S1080" t="s">
        <v>15730</v>
      </c>
      <c r="T1080" s="2">
        <v>8.3333333333333329E-2</v>
      </c>
      <c r="U1080">
        <v>1</v>
      </c>
      <c r="V1080" t="s">
        <v>15731</v>
      </c>
      <c r="W1080" t="s">
        <v>15732</v>
      </c>
      <c r="X1080" t="s">
        <v>15733</v>
      </c>
      <c r="Y1080" t="s">
        <v>15734</v>
      </c>
      <c r="Z1080" t="s">
        <v>15735</v>
      </c>
      <c r="AA1080" t="s">
        <v>15735</v>
      </c>
      <c r="AB1080" t="s">
        <v>15735</v>
      </c>
      <c r="AC1080" t="s">
        <v>15735</v>
      </c>
    </row>
    <row r="1081" spans="1:30">
      <c r="A1081" t="s">
        <v>15736</v>
      </c>
      <c r="B1081">
        <v>6</v>
      </c>
      <c r="C1081">
        <v>19</v>
      </c>
      <c r="D1081">
        <v>2013</v>
      </c>
      <c r="E1081" s="1">
        <v>41444</v>
      </c>
      <c r="F1081" t="s">
        <v>15737</v>
      </c>
      <c r="G1081">
        <v>2</v>
      </c>
      <c r="H1081">
        <v>0</v>
      </c>
      <c r="I1081">
        <v>2</v>
      </c>
      <c r="J1081">
        <v>0</v>
      </c>
      <c r="K1081" t="s">
        <v>15738</v>
      </c>
      <c r="L1081" t="s">
        <v>15739</v>
      </c>
      <c r="M1081" t="s">
        <v>15740</v>
      </c>
      <c r="N1081" t="s">
        <v>15741</v>
      </c>
      <c r="O1081" t="s">
        <v>15742</v>
      </c>
      <c r="P1081" t="s">
        <v>15743</v>
      </c>
      <c r="Q1081" t="s">
        <v>15744</v>
      </c>
      <c r="R1081" t="s">
        <v>15745</v>
      </c>
      <c r="S1081" t="s">
        <v>15746</v>
      </c>
      <c r="T1081" s="2">
        <v>0.27083333333333331</v>
      </c>
      <c r="U1081">
        <v>1</v>
      </c>
      <c r="V1081" t="s">
        <v>15747</v>
      </c>
      <c r="W1081" t="s">
        <v>15748</v>
      </c>
      <c r="X1081" t="s">
        <v>15749</v>
      </c>
      <c r="Y1081" t="s">
        <v>15750</v>
      </c>
      <c r="Z1081" t="s">
        <v>15750</v>
      </c>
      <c r="AA1081" t="s">
        <v>15750</v>
      </c>
      <c r="AB1081" t="s">
        <v>15750</v>
      </c>
      <c r="AC1081" t="s">
        <v>15750</v>
      </c>
    </row>
    <row r="1082" spans="1:30">
      <c r="A1082" t="s">
        <v>15751</v>
      </c>
      <c r="B1082">
        <v>6</v>
      </c>
      <c r="C1082">
        <v>18</v>
      </c>
      <c r="D1082">
        <v>2013</v>
      </c>
      <c r="E1082" s="1">
        <v>41443</v>
      </c>
      <c r="F1082" t="s">
        <v>15752</v>
      </c>
      <c r="G1082">
        <v>0</v>
      </c>
      <c r="H1082">
        <v>1</v>
      </c>
      <c r="I1082">
        <v>1</v>
      </c>
      <c r="J1082">
        <v>1</v>
      </c>
      <c r="K1082" t="s">
        <v>15753</v>
      </c>
      <c r="L1082" t="s">
        <v>15754</v>
      </c>
      <c r="M1082" t="s">
        <v>15755</v>
      </c>
      <c r="N1082" t="s">
        <v>15756</v>
      </c>
      <c r="O1082" t="s">
        <v>15757</v>
      </c>
      <c r="P1082" t="s">
        <v>15758</v>
      </c>
      <c r="Q1082" t="s">
        <v>15759</v>
      </c>
      <c r="R1082" t="s">
        <v>15760</v>
      </c>
      <c r="S1082" t="s">
        <v>15761</v>
      </c>
      <c r="T1082" s="2">
        <v>0.58333333333333337</v>
      </c>
      <c r="U1082">
        <v>1</v>
      </c>
      <c r="V1082" t="s">
        <v>15762</v>
      </c>
      <c r="W1082" t="s">
        <v>15763</v>
      </c>
      <c r="X1082" t="s">
        <v>15764</v>
      </c>
      <c r="Y1082" t="s">
        <v>15765</v>
      </c>
      <c r="Z1082" t="s">
        <v>15766</v>
      </c>
      <c r="AA1082" t="s">
        <v>15766</v>
      </c>
      <c r="AB1082" t="s">
        <v>15766</v>
      </c>
      <c r="AC1082" t="s">
        <v>15766</v>
      </c>
    </row>
    <row r="1083" spans="1:30">
      <c r="A1083" t="s">
        <v>15767</v>
      </c>
      <c r="B1083">
        <v>5</v>
      </c>
      <c r="C1083">
        <v>23</v>
      </c>
      <c r="D1083">
        <v>2013</v>
      </c>
      <c r="E1083" s="1">
        <v>41417</v>
      </c>
      <c r="F1083" t="s">
        <v>15768</v>
      </c>
      <c r="G1083">
        <v>0</v>
      </c>
      <c r="H1083">
        <v>1</v>
      </c>
      <c r="I1083">
        <v>1</v>
      </c>
      <c r="J1083">
        <v>0</v>
      </c>
      <c r="K1083" t="s">
        <v>15769</v>
      </c>
      <c r="L1083" t="s">
        <v>15770</v>
      </c>
      <c r="M1083" t="s">
        <v>15771</v>
      </c>
      <c r="N1083" t="s">
        <v>15772</v>
      </c>
      <c r="O1083" t="s">
        <v>15773</v>
      </c>
      <c r="P1083" t="s">
        <v>15774</v>
      </c>
      <c r="Q1083" t="s">
        <v>15775</v>
      </c>
      <c r="R1083" t="s">
        <v>15776</v>
      </c>
      <c r="S1083" t="s">
        <v>15777</v>
      </c>
      <c r="T1083" s="2">
        <v>0.61111111111111116</v>
      </c>
      <c r="U1083">
        <v>1</v>
      </c>
      <c r="V1083" t="s">
        <v>15778</v>
      </c>
      <c r="W1083" t="s">
        <v>15779</v>
      </c>
      <c r="X1083" t="s">
        <v>15780</v>
      </c>
      <c r="Y1083" t="s">
        <v>15781</v>
      </c>
      <c r="Z1083" t="s">
        <v>15781</v>
      </c>
      <c r="AA1083" t="s">
        <v>15781</v>
      </c>
      <c r="AB1083" t="s">
        <v>15781</v>
      </c>
      <c r="AC1083" t="s">
        <v>15781</v>
      </c>
    </row>
    <row r="1084" spans="1:30">
      <c r="A1084" t="s">
        <v>15782</v>
      </c>
      <c r="B1084">
        <v>5</v>
      </c>
      <c r="C1084">
        <v>13</v>
      </c>
      <c r="D1084">
        <v>2013</v>
      </c>
      <c r="E1084" s="1">
        <v>41407</v>
      </c>
      <c r="F1084" t="s">
        <v>15783</v>
      </c>
      <c r="G1084">
        <v>0</v>
      </c>
      <c r="H1084">
        <v>0</v>
      </c>
      <c r="I1084">
        <v>0</v>
      </c>
      <c r="J1084">
        <v>0</v>
      </c>
      <c r="K1084" t="s">
        <v>15784</v>
      </c>
      <c r="L1084" t="s">
        <v>15785</v>
      </c>
      <c r="M1084" t="s">
        <v>15786</v>
      </c>
      <c r="N1084" t="s">
        <v>15787</v>
      </c>
      <c r="O1084" t="s">
        <v>15788</v>
      </c>
      <c r="P1084" t="s">
        <v>15789</v>
      </c>
      <c r="Q1084" t="s">
        <v>15790</v>
      </c>
      <c r="R1084" t="s">
        <v>15791</v>
      </c>
      <c r="S1084" t="s">
        <v>15792</v>
      </c>
      <c r="U1084">
        <v>1</v>
      </c>
      <c r="V1084" t="s">
        <v>15793</v>
      </c>
      <c r="W1084" t="s">
        <v>15794</v>
      </c>
      <c r="X1084" t="s">
        <v>15795</v>
      </c>
      <c r="Y1084" t="s">
        <v>15796</v>
      </c>
      <c r="Z1084" t="s">
        <v>15796</v>
      </c>
      <c r="AA1084" t="s">
        <v>15796</v>
      </c>
      <c r="AB1084" t="s">
        <v>15796</v>
      </c>
      <c r="AC1084" t="s">
        <v>15796</v>
      </c>
    </row>
    <row r="1085" spans="1:30">
      <c r="A1085" t="s">
        <v>15797</v>
      </c>
      <c r="B1085">
        <v>4</v>
      </c>
      <c r="C1085">
        <v>30</v>
      </c>
      <c r="D1085">
        <v>2013</v>
      </c>
      <c r="E1085" s="1">
        <v>41394</v>
      </c>
      <c r="F1085" t="s">
        <v>15798</v>
      </c>
      <c r="G1085">
        <v>0</v>
      </c>
      <c r="H1085">
        <v>0</v>
      </c>
      <c r="I1085">
        <v>0</v>
      </c>
      <c r="J1085">
        <v>1</v>
      </c>
      <c r="K1085" t="s">
        <v>15799</v>
      </c>
      <c r="L1085" t="s">
        <v>15800</v>
      </c>
      <c r="M1085" t="s">
        <v>15801</v>
      </c>
      <c r="N1085" t="s">
        <v>15802</v>
      </c>
      <c r="O1085" t="s">
        <v>15803</v>
      </c>
      <c r="P1085" t="s">
        <v>15804</v>
      </c>
      <c r="Q1085" t="s">
        <v>15804</v>
      </c>
      <c r="R1085" t="s">
        <v>15805</v>
      </c>
      <c r="S1085" t="s">
        <v>15806</v>
      </c>
      <c r="V1085" t="s">
        <v>15807</v>
      </c>
      <c r="W1085" t="s">
        <v>15808</v>
      </c>
      <c r="X1085" t="s">
        <v>15809</v>
      </c>
      <c r="Y1085" t="s">
        <v>15810</v>
      </c>
      <c r="Z1085" t="s">
        <v>15810</v>
      </c>
      <c r="AA1085" t="s">
        <v>15810</v>
      </c>
      <c r="AB1085" t="s">
        <v>15810</v>
      </c>
      <c r="AC1085" t="s">
        <v>15810</v>
      </c>
    </row>
    <row r="1086" spans="1:30">
      <c r="A1086" t="s">
        <v>15811</v>
      </c>
      <c r="B1086">
        <v>4</v>
      </c>
      <c r="C1086">
        <v>29</v>
      </c>
      <c r="D1086">
        <v>2013</v>
      </c>
      <c r="E1086" s="1">
        <v>41393</v>
      </c>
      <c r="F1086" t="s">
        <v>15812</v>
      </c>
      <c r="G1086">
        <v>0</v>
      </c>
      <c r="H1086">
        <v>0</v>
      </c>
      <c r="I1086">
        <v>0</v>
      </c>
      <c r="J1086">
        <v>0</v>
      </c>
      <c r="K1086" t="s">
        <v>15813</v>
      </c>
      <c r="L1086" t="s">
        <v>15814</v>
      </c>
      <c r="M1086" t="s">
        <v>15815</v>
      </c>
      <c r="N1086" t="s">
        <v>15816</v>
      </c>
      <c r="O1086" t="s">
        <v>15817</v>
      </c>
      <c r="P1086" t="s">
        <v>15818</v>
      </c>
      <c r="Q1086" t="s">
        <v>15819</v>
      </c>
      <c r="R1086" t="s">
        <v>15820</v>
      </c>
      <c r="S1086" t="s">
        <v>15821</v>
      </c>
      <c r="T1086" s="2">
        <v>0.33333333333333331</v>
      </c>
      <c r="U1086">
        <v>1</v>
      </c>
      <c r="V1086" t="s">
        <v>15822</v>
      </c>
      <c r="W1086" t="s">
        <v>15823</v>
      </c>
      <c r="X1086" t="s">
        <v>15824</v>
      </c>
      <c r="Y1086" t="s">
        <v>15825</v>
      </c>
      <c r="Z1086" t="s">
        <v>15825</v>
      </c>
      <c r="AA1086" t="s">
        <v>15825</v>
      </c>
      <c r="AC1086" t="s">
        <v>15825</v>
      </c>
    </row>
    <row r="1087" spans="1:30">
      <c r="A1087" t="s">
        <v>15826</v>
      </c>
      <c r="B1087">
        <v>4</v>
      </c>
      <c r="C1087">
        <v>16</v>
      </c>
      <c r="D1087">
        <v>2013</v>
      </c>
      <c r="E1087" s="1">
        <v>41380</v>
      </c>
      <c r="F1087" t="s">
        <v>15827</v>
      </c>
      <c r="G1087">
        <v>0</v>
      </c>
      <c r="H1087">
        <v>0</v>
      </c>
      <c r="I1087">
        <v>0</v>
      </c>
      <c r="J1087">
        <v>1</v>
      </c>
      <c r="L1087" t="s">
        <v>15828</v>
      </c>
      <c r="M1087" t="s">
        <v>15829</v>
      </c>
      <c r="N1087" t="s">
        <v>15830</v>
      </c>
      <c r="O1087" t="s">
        <v>15831</v>
      </c>
      <c r="P1087" t="s">
        <v>15832</v>
      </c>
      <c r="Q1087" t="s">
        <v>15833</v>
      </c>
      <c r="R1087" t="s">
        <v>15834</v>
      </c>
      <c r="S1087" t="s">
        <v>15835</v>
      </c>
      <c r="U1087">
        <v>1</v>
      </c>
      <c r="V1087" t="s">
        <v>15836</v>
      </c>
      <c r="W1087" t="s">
        <v>15837</v>
      </c>
      <c r="X1087" t="s">
        <v>15838</v>
      </c>
      <c r="Y1087" t="s">
        <v>15839</v>
      </c>
      <c r="Z1087" t="s">
        <v>15839</v>
      </c>
      <c r="AA1087" t="s">
        <v>15839</v>
      </c>
      <c r="AB1087" t="s">
        <v>15839</v>
      </c>
      <c r="AC1087" t="s">
        <v>15839</v>
      </c>
    </row>
    <row r="1088" spans="1:30">
      <c r="A1088" t="s">
        <v>15840</v>
      </c>
      <c r="B1088">
        <v>3</v>
      </c>
      <c r="C1088">
        <v>21</v>
      </c>
      <c r="D1088">
        <v>2013</v>
      </c>
      <c r="E1088" s="1">
        <v>41354</v>
      </c>
      <c r="F1088" t="s">
        <v>15841</v>
      </c>
      <c r="G1088">
        <v>0</v>
      </c>
      <c r="H1088">
        <v>0</v>
      </c>
      <c r="I1088">
        <v>0</v>
      </c>
      <c r="J1088">
        <v>1</v>
      </c>
      <c r="K1088" t="s">
        <v>15842</v>
      </c>
      <c r="L1088" t="s">
        <v>15843</v>
      </c>
      <c r="M1088" t="s">
        <v>15844</v>
      </c>
      <c r="N1088" t="s">
        <v>15845</v>
      </c>
      <c r="O1088" t="s">
        <v>15846</v>
      </c>
      <c r="P1088" t="s">
        <v>15847</v>
      </c>
      <c r="Q1088" t="s">
        <v>15848</v>
      </c>
      <c r="R1088" t="s">
        <v>15849</v>
      </c>
      <c r="S1088" t="s">
        <v>15850</v>
      </c>
      <c r="T1088" s="2">
        <v>0.33333333333333331</v>
      </c>
      <c r="U1088">
        <v>1</v>
      </c>
      <c r="V1088" t="s">
        <v>15851</v>
      </c>
      <c r="W1088" t="s">
        <v>15852</v>
      </c>
      <c r="X1088" t="s">
        <v>15853</v>
      </c>
      <c r="Y1088" t="s">
        <v>15854</v>
      </c>
      <c r="Z1088" t="s">
        <v>15854</v>
      </c>
      <c r="AA1088" t="s">
        <v>15854</v>
      </c>
      <c r="AB1088" t="s">
        <v>15854</v>
      </c>
      <c r="AC1088" t="s">
        <v>15854</v>
      </c>
    </row>
    <row r="1089" spans="1:30">
      <c r="A1089" t="s">
        <v>15855</v>
      </c>
      <c r="B1089">
        <v>2</v>
      </c>
      <c r="C1089">
        <v>27</v>
      </c>
      <c r="D1089">
        <v>2013</v>
      </c>
      <c r="E1089" s="1">
        <v>41332</v>
      </c>
      <c r="F1089" t="s">
        <v>15856</v>
      </c>
      <c r="G1089">
        <v>0</v>
      </c>
      <c r="H1089">
        <v>0</v>
      </c>
      <c r="I1089">
        <v>0</v>
      </c>
      <c r="J1089">
        <v>0</v>
      </c>
      <c r="K1089" t="s">
        <v>15857</v>
      </c>
      <c r="L1089" t="s">
        <v>15858</v>
      </c>
      <c r="M1089" t="s">
        <v>15859</v>
      </c>
      <c r="N1089" t="s">
        <v>15860</v>
      </c>
      <c r="O1089" t="s">
        <v>15861</v>
      </c>
      <c r="P1089" t="s">
        <v>15862</v>
      </c>
      <c r="Q1089" t="s">
        <v>15863</v>
      </c>
      <c r="R1089" t="s">
        <v>15864</v>
      </c>
      <c r="S1089" t="s">
        <v>15865</v>
      </c>
      <c r="T1089" s="2">
        <v>0.39583333333333331</v>
      </c>
      <c r="U1089">
        <v>1</v>
      </c>
      <c r="V1089" t="s">
        <v>15866</v>
      </c>
      <c r="W1089" t="s">
        <v>15867</v>
      </c>
      <c r="X1089" t="s">
        <v>15868</v>
      </c>
      <c r="Y1089" t="s">
        <v>15869</v>
      </c>
      <c r="Z1089" t="s">
        <v>15869</v>
      </c>
      <c r="AA1089" t="s">
        <v>15869</v>
      </c>
      <c r="AB1089" t="s">
        <v>15869</v>
      </c>
      <c r="AC1089" t="s">
        <v>15869</v>
      </c>
    </row>
    <row r="1090" spans="1:30">
      <c r="A1090" t="s">
        <v>15870</v>
      </c>
      <c r="B1090">
        <v>2</v>
      </c>
      <c r="C1090">
        <v>13</v>
      </c>
      <c r="D1090">
        <v>2013</v>
      </c>
      <c r="E1090" s="1">
        <v>41318</v>
      </c>
      <c r="F1090" t="s">
        <v>15871</v>
      </c>
      <c r="G1090">
        <v>1</v>
      </c>
      <c r="H1090">
        <v>0</v>
      </c>
      <c r="I1090">
        <v>1</v>
      </c>
      <c r="J1090">
        <v>0</v>
      </c>
      <c r="K1090" t="s">
        <v>15872</v>
      </c>
      <c r="L1090" t="s">
        <v>15873</v>
      </c>
      <c r="M1090" t="s">
        <v>15874</v>
      </c>
      <c r="N1090" t="s">
        <v>15875</v>
      </c>
      <c r="O1090" t="s">
        <v>15876</v>
      </c>
      <c r="P1090" t="s">
        <v>15877</v>
      </c>
      <c r="Q1090" t="s">
        <v>15878</v>
      </c>
      <c r="R1090" t="s">
        <v>15879</v>
      </c>
      <c r="S1090" t="s">
        <v>15880</v>
      </c>
      <c r="T1090" s="2">
        <v>0.86458333333333337</v>
      </c>
      <c r="U1090">
        <v>1</v>
      </c>
      <c r="V1090" t="s">
        <v>15881</v>
      </c>
      <c r="W1090" t="s">
        <v>15882</v>
      </c>
      <c r="X1090" t="s">
        <v>15883</v>
      </c>
      <c r="Y1090" t="s">
        <v>15884</v>
      </c>
      <c r="Z1090" t="s">
        <v>15885</v>
      </c>
      <c r="AA1090" t="s">
        <v>15885</v>
      </c>
      <c r="AB1090" t="s">
        <v>15885</v>
      </c>
      <c r="AC1090" t="s">
        <v>15885</v>
      </c>
    </row>
    <row r="1091" spans="1:30">
      <c r="A1091" t="s">
        <v>15886</v>
      </c>
      <c r="B1091">
        <v>2</v>
      </c>
      <c r="C1091">
        <v>1</v>
      </c>
      <c r="D1091">
        <v>2013</v>
      </c>
      <c r="E1091" s="1">
        <v>41306</v>
      </c>
      <c r="F1091" t="s">
        <v>15887</v>
      </c>
      <c r="G1091">
        <v>1</v>
      </c>
      <c r="H1091">
        <v>1</v>
      </c>
      <c r="I1091">
        <v>2</v>
      </c>
      <c r="J1091">
        <v>1</v>
      </c>
      <c r="K1091" t="s">
        <v>15888</v>
      </c>
      <c r="L1091" t="s">
        <v>15889</v>
      </c>
      <c r="M1091" t="s">
        <v>15890</v>
      </c>
      <c r="N1091" t="s">
        <v>15891</v>
      </c>
      <c r="O1091" t="s">
        <v>15892</v>
      </c>
      <c r="P1091" t="s">
        <v>15893</v>
      </c>
      <c r="Q1091" t="s">
        <v>15894</v>
      </c>
      <c r="R1091" t="s">
        <v>15895</v>
      </c>
      <c r="S1091" t="s">
        <v>15896</v>
      </c>
      <c r="T1091" s="2">
        <v>0.8125</v>
      </c>
      <c r="U1091">
        <v>1</v>
      </c>
      <c r="V1091" t="s">
        <v>15897</v>
      </c>
      <c r="W1091" t="s">
        <v>15898</v>
      </c>
      <c r="X1091" t="s">
        <v>15899</v>
      </c>
      <c r="Y1091" t="s">
        <v>15900</v>
      </c>
      <c r="Z1091" t="s">
        <v>15901</v>
      </c>
      <c r="AA1091" t="s">
        <v>15901</v>
      </c>
      <c r="AB1091" t="s">
        <v>15901</v>
      </c>
      <c r="AC1091" t="s">
        <v>15901</v>
      </c>
    </row>
    <row r="1092" spans="1:30">
      <c r="A1092" t="s">
        <v>15902</v>
      </c>
      <c r="B1092">
        <v>1</v>
      </c>
      <c r="C1092">
        <v>31</v>
      </c>
      <c r="D1092">
        <v>2013</v>
      </c>
      <c r="E1092" s="1">
        <v>41305</v>
      </c>
      <c r="F1092" t="s">
        <v>15903</v>
      </c>
      <c r="G1092">
        <v>0</v>
      </c>
      <c r="H1092">
        <v>1</v>
      </c>
      <c r="I1092">
        <v>1</v>
      </c>
      <c r="J1092">
        <v>0</v>
      </c>
      <c r="K1092" t="s">
        <v>15904</v>
      </c>
      <c r="L1092" t="s">
        <v>15905</v>
      </c>
      <c r="M1092" t="s">
        <v>15906</v>
      </c>
      <c r="N1092" t="s">
        <v>15907</v>
      </c>
      <c r="O1092" t="s">
        <v>15908</v>
      </c>
      <c r="P1092" t="s">
        <v>15909</v>
      </c>
      <c r="Q1092" t="s">
        <v>15910</v>
      </c>
      <c r="R1092" t="s">
        <v>15911</v>
      </c>
      <c r="S1092" t="s">
        <v>15912</v>
      </c>
      <c r="T1092" s="2">
        <v>0.57638888888888884</v>
      </c>
      <c r="U1092">
        <v>1</v>
      </c>
      <c r="V1092" t="s">
        <v>15913</v>
      </c>
      <c r="W1092" t="s">
        <v>15914</v>
      </c>
      <c r="X1092" t="s">
        <v>15915</v>
      </c>
      <c r="Y1092" t="s">
        <v>15916</v>
      </c>
      <c r="Z1092" t="s">
        <v>15916</v>
      </c>
      <c r="AA1092" t="s">
        <v>15916</v>
      </c>
      <c r="AB1092" t="s">
        <v>15916</v>
      </c>
      <c r="AC1092" t="s">
        <v>15916</v>
      </c>
    </row>
    <row r="1093" spans="1:30">
      <c r="A1093" t="s">
        <v>15917</v>
      </c>
      <c r="B1093">
        <v>1</v>
      </c>
      <c r="C1093">
        <v>29</v>
      </c>
      <c r="D1093">
        <v>2013</v>
      </c>
      <c r="E1093" s="1">
        <v>41303</v>
      </c>
      <c r="F1093" t="s">
        <v>15918</v>
      </c>
      <c r="G1093">
        <v>1</v>
      </c>
      <c r="H1093">
        <v>0</v>
      </c>
      <c r="I1093">
        <v>1</v>
      </c>
      <c r="J1093">
        <v>0</v>
      </c>
      <c r="K1093" t="s">
        <v>15919</v>
      </c>
      <c r="L1093" t="s">
        <v>15920</v>
      </c>
      <c r="M1093" t="s">
        <v>15921</v>
      </c>
      <c r="N1093" t="s">
        <v>15922</v>
      </c>
      <c r="O1093" t="s">
        <v>15923</v>
      </c>
      <c r="P1093" t="s">
        <v>15924</v>
      </c>
      <c r="Q1093" t="s">
        <v>15924</v>
      </c>
      <c r="R1093" t="s">
        <v>15925</v>
      </c>
      <c r="S1093" t="s">
        <v>15926</v>
      </c>
      <c r="T1093" s="2">
        <v>0.64583333333333337</v>
      </c>
      <c r="U1093">
        <v>1</v>
      </c>
      <c r="V1093" t="s">
        <v>15927</v>
      </c>
      <c r="W1093" t="s">
        <v>15928</v>
      </c>
      <c r="X1093" t="s">
        <v>15929</v>
      </c>
      <c r="Y1093" t="s">
        <v>15930</v>
      </c>
      <c r="Z1093" t="s">
        <v>15931</v>
      </c>
      <c r="AA1093" t="s">
        <v>15932</v>
      </c>
      <c r="AB1093" t="s">
        <v>15932</v>
      </c>
      <c r="AC1093" t="s">
        <v>15932</v>
      </c>
      <c r="AD1093" t="s">
        <v>15932</v>
      </c>
    </row>
    <row r="1094" spans="1:30">
      <c r="A1094" t="s">
        <v>15933</v>
      </c>
      <c r="B1094">
        <v>1</v>
      </c>
      <c r="C1094">
        <v>11</v>
      </c>
      <c r="D1094">
        <v>2013</v>
      </c>
      <c r="E1094" s="1">
        <v>41285</v>
      </c>
      <c r="F1094" t="s">
        <v>15934</v>
      </c>
      <c r="G1094">
        <v>0</v>
      </c>
      <c r="H1094">
        <v>1</v>
      </c>
      <c r="I1094">
        <v>1</v>
      </c>
      <c r="J1094">
        <v>0</v>
      </c>
      <c r="K1094" t="s">
        <v>15935</v>
      </c>
      <c r="L1094" t="s">
        <v>15936</v>
      </c>
      <c r="M1094" t="s">
        <v>15937</v>
      </c>
      <c r="N1094" t="s">
        <v>15938</v>
      </c>
      <c r="O1094" t="s">
        <v>15939</v>
      </c>
      <c r="P1094" t="s">
        <v>15940</v>
      </c>
      <c r="Q1094" t="s">
        <v>15941</v>
      </c>
      <c r="R1094" t="s">
        <v>15942</v>
      </c>
      <c r="S1094" t="s">
        <v>15943</v>
      </c>
      <c r="U1094">
        <v>1</v>
      </c>
      <c r="V1094" t="s">
        <v>15944</v>
      </c>
      <c r="W1094" t="s">
        <v>15945</v>
      </c>
      <c r="X1094" t="s">
        <v>15946</v>
      </c>
      <c r="Z1094" t="s">
        <v>15947</v>
      </c>
      <c r="AA1094" t="s">
        <v>15947</v>
      </c>
      <c r="AB1094" t="s">
        <v>15947</v>
      </c>
      <c r="AC1094" t="s">
        <v>15947</v>
      </c>
    </row>
    <row r="1095" spans="1:30">
      <c r="A1095" t="s">
        <v>15948</v>
      </c>
      <c r="B1095">
        <v>1</v>
      </c>
      <c r="C1095">
        <v>10</v>
      </c>
      <c r="D1095">
        <v>2013</v>
      </c>
      <c r="E1095" s="1">
        <v>41284</v>
      </c>
      <c r="F1095" t="s">
        <v>15949</v>
      </c>
      <c r="G1095">
        <v>0</v>
      </c>
      <c r="H1095">
        <v>2</v>
      </c>
      <c r="I1095">
        <v>2</v>
      </c>
      <c r="J1095">
        <v>0</v>
      </c>
      <c r="K1095" t="s">
        <v>15950</v>
      </c>
      <c r="L1095" t="s">
        <v>15951</v>
      </c>
      <c r="M1095" t="s">
        <v>15952</v>
      </c>
      <c r="N1095" t="s">
        <v>15953</v>
      </c>
      <c r="O1095" t="s">
        <v>15954</v>
      </c>
      <c r="P1095" t="s">
        <v>15955</v>
      </c>
      <c r="Q1095" t="s">
        <v>15956</v>
      </c>
      <c r="R1095" t="s">
        <v>15957</v>
      </c>
      <c r="S1095" t="s">
        <v>15958</v>
      </c>
      <c r="T1095" s="2">
        <v>0.375</v>
      </c>
      <c r="U1095">
        <v>1</v>
      </c>
      <c r="V1095" t="s">
        <v>15959</v>
      </c>
      <c r="W1095" t="s">
        <v>15960</v>
      </c>
      <c r="X1095" t="s">
        <v>15961</v>
      </c>
      <c r="Y1095" t="s">
        <v>15962</v>
      </c>
      <c r="Z1095" t="s">
        <v>15962</v>
      </c>
      <c r="AA1095" t="s">
        <v>15962</v>
      </c>
      <c r="AB1095" t="s">
        <v>15963</v>
      </c>
      <c r="AC1095" t="s">
        <v>15964</v>
      </c>
      <c r="AD1095" t="s">
        <v>15965</v>
      </c>
    </row>
    <row r="1096" spans="1:30">
      <c r="A1096" t="s">
        <v>15966</v>
      </c>
      <c r="B1096">
        <v>1</v>
      </c>
      <c r="C1096">
        <v>7</v>
      </c>
      <c r="D1096">
        <v>2013</v>
      </c>
      <c r="E1096" s="1">
        <v>41281</v>
      </c>
      <c r="F1096" t="s">
        <v>15967</v>
      </c>
      <c r="G1096">
        <v>1</v>
      </c>
      <c r="H1096">
        <v>0</v>
      </c>
      <c r="I1096">
        <v>1</v>
      </c>
      <c r="J1096">
        <v>0</v>
      </c>
      <c r="K1096" t="s">
        <v>15968</v>
      </c>
      <c r="L1096" t="s">
        <v>15969</v>
      </c>
      <c r="M1096" t="s">
        <v>15970</v>
      </c>
      <c r="N1096" t="s">
        <v>15971</v>
      </c>
      <c r="O1096" t="s">
        <v>15972</v>
      </c>
      <c r="P1096" t="s">
        <v>15973</v>
      </c>
      <c r="Q1096" t="s">
        <v>15974</v>
      </c>
      <c r="R1096" t="s">
        <v>15975</v>
      </c>
      <c r="S1096" t="s">
        <v>15976</v>
      </c>
      <c r="T1096" s="2">
        <v>0.45833333333333331</v>
      </c>
      <c r="U1096">
        <v>1</v>
      </c>
      <c r="V1096" t="s">
        <v>15977</v>
      </c>
      <c r="W1096" t="s">
        <v>15978</v>
      </c>
      <c r="X1096" t="s">
        <v>15979</v>
      </c>
      <c r="Z1096" t="s">
        <v>15980</v>
      </c>
      <c r="AA1096" t="s">
        <v>15980</v>
      </c>
      <c r="AB1096" t="s">
        <v>15981</v>
      </c>
      <c r="AC1096" t="s">
        <v>15982</v>
      </c>
    </row>
    <row r="1097" spans="1:30">
      <c r="A1097" t="s">
        <v>15983</v>
      </c>
      <c r="B1097">
        <v>12</v>
      </c>
      <c r="C1097">
        <v>14</v>
      </c>
      <c r="D1097">
        <v>2012</v>
      </c>
      <c r="E1097" s="1">
        <v>41257</v>
      </c>
      <c r="F1097" t="s">
        <v>15984</v>
      </c>
      <c r="G1097">
        <v>26</v>
      </c>
      <c r="H1097">
        <v>0</v>
      </c>
      <c r="I1097">
        <v>26</v>
      </c>
      <c r="J1097">
        <v>1</v>
      </c>
      <c r="K1097" t="s">
        <v>15985</v>
      </c>
      <c r="L1097" t="s">
        <v>15986</v>
      </c>
      <c r="M1097" t="s">
        <v>15987</v>
      </c>
      <c r="N1097" t="s">
        <v>15988</v>
      </c>
      <c r="O1097" t="s">
        <v>15989</v>
      </c>
      <c r="P1097" t="s">
        <v>15990</v>
      </c>
      <c r="Q1097" t="s">
        <v>15991</v>
      </c>
      <c r="R1097" t="s">
        <v>15992</v>
      </c>
      <c r="S1097" t="s">
        <v>15993</v>
      </c>
      <c r="T1097" s="2">
        <v>0.39930555555555558</v>
      </c>
      <c r="U1097">
        <v>5</v>
      </c>
      <c r="V1097" t="s">
        <v>15994</v>
      </c>
      <c r="W1097" t="s">
        <v>15995</v>
      </c>
      <c r="X1097" t="s">
        <v>15996</v>
      </c>
      <c r="Y1097" t="s">
        <v>15997</v>
      </c>
      <c r="Z1097" t="s">
        <v>15997</v>
      </c>
      <c r="AA1097" t="s">
        <v>15997</v>
      </c>
      <c r="AC1097" t="s">
        <v>15997</v>
      </c>
      <c r="AD1097" t="s">
        <v>15998</v>
      </c>
    </row>
    <row r="1098" spans="1:30">
      <c r="A1098" t="s">
        <v>15999</v>
      </c>
      <c r="B1098">
        <v>12</v>
      </c>
      <c r="C1098">
        <v>10</v>
      </c>
      <c r="D1098">
        <v>2012</v>
      </c>
      <c r="E1098" s="1">
        <v>41253</v>
      </c>
      <c r="F1098" t="s">
        <v>16000</v>
      </c>
      <c r="G1098">
        <v>0</v>
      </c>
      <c r="H1098">
        <v>0</v>
      </c>
      <c r="I1098">
        <v>0</v>
      </c>
      <c r="J1098">
        <v>0</v>
      </c>
      <c r="K1098" t="s">
        <v>16001</v>
      </c>
      <c r="L1098" t="s">
        <v>16002</v>
      </c>
      <c r="M1098" t="s">
        <v>16003</v>
      </c>
      <c r="N1098" t="s">
        <v>16004</v>
      </c>
      <c r="O1098" t="s">
        <v>16005</v>
      </c>
      <c r="P1098" t="s">
        <v>16006</v>
      </c>
      <c r="Q1098" t="s">
        <v>16007</v>
      </c>
      <c r="R1098" t="s">
        <v>16008</v>
      </c>
      <c r="S1098" t="s">
        <v>16009</v>
      </c>
      <c r="T1098" s="2">
        <v>0.45833333333333331</v>
      </c>
      <c r="U1098">
        <v>1</v>
      </c>
      <c r="V1098" t="s">
        <v>16010</v>
      </c>
      <c r="W1098" t="s">
        <v>16011</v>
      </c>
      <c r="X1098" t="s">
        <v>16012</v>
      </c>
      <c r="Y1098" t="s">
        <v>16013</v>
      </c>
      <c r="Z1098" t="s">
        <v>16013</v>
      </c>
      <c r="AA1098" t="s">
        <v>16013</v>
      </c>
      <c r="AB1098" t="s">
        <v>16013</v>
      </c>
      <c r="AC1098" t="s">
        <v>16013</v>
      </c>
    </row>
    <row r="1099" spans="1:30">
      <c r="A1099" t="s">
        <v>16014</v>
      </c>
      <c r="B1099">
        <v>10</v>
      </c>
      <c r="C1099">
        <v>19</v>
      </c>
      <c r="D1099">
        <v>2012</v>
      </c>
      <c r="E1099" s="1">
        <v>41201</v>
      </c>
      <c r="F1099" t="s">
        <v>16015</v>
      </c>
      <c r="G1099">
        <v>1</v>
      </c>
      <c r="H1099">
        <v>0</v>
      </c>
      <c r="I1099">
        <v>1</v>
      </c>
      <c r="J1099">
        <v>0</v>
      </c>
      <c r="K1099" t="s">
        <v>16016</v>
      </c>
      <c r="L1099" t="s">
        <v>16017</v>
      </c>
      <c r="M1099" t="s">
        <v>16018</v>
      </c>
      <c r="N1099" t="s">
        <v>16019</v>
      </c>
      <c r="O1099" t="s">
        <v>16020</v>
      </c>
      <c r="P1099" t="s">
        <v>16021</v>
      </c>
      <c r="Q1099" t="s">
        <v>16022</v>
      </c>
      <c r="R1099" t="s">
        <v>16023</v>
      </c>
      <c r="S1099" t="s">
        <v>16024</v>
      </c>
      <c r="V1099" t="s">
        <v>16025</v>
      </c>
      <c r="W1099" t="s">
        <v>16026</v>
      </c>
      <c r="X1099" t="s">
        <v>16027</v>
      </c>
      <c r="Y1099" t="s">
        <v>16028</v>
      </c>
      <c r="Z1099" t="s">
        <v>16029</v>
      </c>
      <c r="AA1099" t="s">
        <v>16029</v>
      </c>
      <c r="AB1099" t="s">
        <v>16029</v>
      </c>
      <c r="AC1099" t="s">
        <v>16029</v>
      </c>
    </row>
    <row r="1100" spans="1:30">
      <c r="A1100" t="s">
        <v>16030</v>
      </c>
      <c r="B1100">
        <v>10</v>
      </c>
      <c r="C1100">
        <v>12</v>
      </c>
      <c r="D1100">
        <v>2012</v>
      </c>
      <c r="E1100" s="1">
        <v>41194</v>
      </c>
      <c r="F1100" t="s">
        <v>16031</v>
      </c>
      <c r="G1100">
        <v>0</v>
      </c>
      <c r="H1100">
        <v>0</v>
      </c>
      <c r="I1100">
        <v>0</v>
      </c>
      <c r="J1100">
        <v>0</v>
      </c>
      <c r="L1100" t="s">
        <v>16032</v>
      </c>
      <c r="M1100" t="s">
        <v>16033</v>
      </c>
      <c r="N1100" t="s">
        <v>16034</v>
      </c>
      <c r="O1100" t="s">
        <v>16035</v>
      </c>
      <c r="P1100" t="s">
        <v>16036</v>
      </c>
      <c r="Q1100" t="s">
        <v>16037</v>
      </c>
      <c r="R1100" t="s">
        <v>16038</v>
      </c>
      <c r="S1100" t="s">
        <v>16039</v>
      </c>
      <c r="U1100">
        <v>1</v>
      </c>
      <c r="V1100" t="s">
        <v>16040</v>
      </c>
      <c r="W1100" t="s">
        <v>16041</v>
      </c>
      <c r="X1100" t="s">
        <v>16042</v>
      </c>
      <c r="Y1100" t="s">
        <v>16043</v>
      </c>
      <c r="Z1100" t="s">
        <v>16043</v>
      </c>
      <c r="AA1100" t="s">
        <v>16043</v>
      </c>
      <c r="AB1100" t="s">
        <v>16043</v>
      </c>
      <c r="AC1100" t="s">
        <v>16043</v>
      </c>
    </row>
    <row r="1101" spans="1:30">
      <c r="A1101" t="s">
        <v>16044</v>
      </c>
      <c r="B1101">
        <v>9</v>
      </c>
      <c r="C1101">
        <v>26</v>
      </c>
      <c r="D1101">
        <v>2012</v>
      </c>
      <c r="E1101" s="1">
        <v>41178</v>
      </c>
      <c r="F1101" t="s">
        <v>16045</v>
      </c>
      <c r="G1101">
        <v>0</v>
      </c>
      <c r="H1101">
        <v>0</v>
      </c>
      <c r="I1101">
        <v>0</v>
      </c>
      <c r="J1101">
        <v>1</v>
      </c>
      <c r="K1101" t="s">
        <v>16046</v>
      </c>
      <c r="L1101" t="s">
        <v>16047</v>
      </c>
      <c r="M1101" t="s">
        <v>16048</v>
      </c>
      <c r="N1101" t="s">
        <v>16049</v>
      </c>
      <c r="O1101" t="s">
        <v>16050</v>
      </c>
      <c r="P1101" t="s">
        <v>16051</v>
      </c>
      <c r="Q1101" t="s">
        <v>16052</v>
      </c>
      <c r="R1101" t="s">
        <v>16053</v>
      </c>
      <c r="S1101" t="s">
        <v>16054</v>
      </c>
      <c r="T1101" s="2">
        <v>0.3263888888888889</v>
      </c>
      <c r="U1101">
        <v>1</v>
      </c>
      <c r="V1101" t="s">
        <v>16055</v>
      </c>
      <c r="W1101" t="s">
        <v>16056</v>
      </c>
      <c r="X1101" t="s">
        <v>16057</v>
      </c>
      <c r="Y1101" t="s">
        <v>16058</v>
      </c>
      <c r="Z1101" t="s">
        <v>16058</v>
      </c>
      <c r="AA1101" t="s">
        <v>16058</v>
      </c>
      <c r="AB1101" t="s">
        <v>16058</v>
      </c>
      <c r="AC1101" t="s">
        <v>16058</v>
      </c>
    </row>
    <row r="1102" spans="1:30">
      <c r="A1102" t="s">
        <v>16059</v>
      </c>
      <c r="B1102">
        <v>9</v>
      </c>
      <c r="C1102">
        <v>7</v>
      </c>
      <c r="D1102">
        <v>2012</v>
      </c>
      <c r="E1102" s="1">
        <v>41159</v>
      </c>
      <c r="F1102" t="s">
        <v>16060</v>
      </c>
      <c r="G1102">
        <v>0</v>
      </c>
      <c r="H1102">
        <v>0</v>
      </c>
      <c r="I1102">
        <v>0</v>
      </c>
      <c r="J1102">
        <v>0</v>
      </c>
      <c r="K1102" t="s">
        <v>16061</v>
      </c>
      <c r="L1102" t="s">
        <v>16062</v>
      </c>
      <c r="M1102" t="s">
        <v>16063</v>
      </c>
      <c r="N1102" t="s">
        <v>16064</v>
      </c>
      <c r="O1102" t="s">
        <v>16065</v>
      </c>
      <c r="P1102" t="s">
        <v>16066</v>
      </c>
      <c r="Q1102" t="s">
        <v>16067</v>
      </c>
      <c r="R1102" t="s">
        <v>16068</v>
      </c>
      <c r="S1102" t="s">
        <v>16069</v>
      </c>
      <c r="T1102" s="2">
        <v>0.33333333333333331</v>
      </c>
      <c r="V1102" t="s">
        <v>16070</v>
      </c>
      <c r="W1102" t="s">
        <v>16071</v>
      </c>
      <c r="X1102" t="s">
        <v>16072</v>
      </c>
      <c r="Y1102" t="s">
        <v>16073</v>
      </c>
      <c r="Z1102" t="s">
        <v>16074</v>
      </c>
      <c r="AA1102" t="s">
        <v>16075</v>
      </c>
      <c r="AB1102" t="s">
        <v>16076</v>
      </c>
      <c r="AC1102" t="s">
        <v>16077</v>
      </c>
      <c r="AD1102" t="s">
        <v>16078</v>
      </c>
    </row>
    <row r="1103" spans="1:30">
      <c r="A1103" t="s">
        <v>16079</v>
      </c>
      <c r="B1103">
        <v>8</v>
      </c>
      <c r="C1103">
        <v>27</v>
      </c>
      <c r="D1103">
        <v>2012</v>
      </c>
      <c r="E1103" s="1">
        <v>41148</v>
      </c>
      <c r="F1103" t="s">
        <v>16080</v>
      </c>
      <c r="G1103">
        <v>0</v>
      </c>
      <c r="H1103">
        <v>1</v>
      </c>
      <c r="I1103">
        <v>1</v>
      </c>
      <c r="J1103">
        <v>0</v>
      </c>
      <c r="K1103" t="s">
        <v>16081</v>
      </c>
      <c r="L1103" t="s">
        <v>16082</v>
      </c>
      <c r="M1103" t="s">
        <v>16083</v>
      </c>
      <c r="N1103" t="s">
        <v>16084</v>
      </c>
      <c r="O1103" t="s">
        <v>16085</v>
      </c>
      <c r="P1103" t="s">
        <v>16086</v>
      </c>
      <c r="Q1103" t="s">
        <v>16087</v>
      </c>
      <c r="R1103" t="s">
        <v>16088</v>
      </c>
      <c r="S1103" t="s">
        <v>16089</v>
      </c>
      <c r="T1103" s="2">
        <v>0.44791666666666669</v>
      </c>
      <c r="U1103">
        <v>1</v>
      </c>
      <c r="V1103" t="s">
        <v>16090</v>
      </c>
      <c r="W1103" t="s">
        <v>16091</v>
      </c>
      <c r="X1103" t="s">
        <v>16092</v>
      </c>
      <c r="Y1103" t="s">
        <v>16093</v>
      </c>
      <c r="Z1103" t="s">
        <v>16093</v>
      </c>
      <c r="AA1103" t="s">
        <v>16093</v>
      </c>
      <c r="AB1103" t="s">
        <v>16093</v>
      </c>
      <c r="AC1103" t="s">
        <v>16093</v>
      </c>
      <c r="AD1103" t="s">
        <v>16094</v>
      </c>
    </row>
    <row r="1104" spans="1:30">
      <c r="A1104" t="s">
        <v>16095</v>
      </c>
      <c r="B1104">
        <v>8</v>
      </c>
      <c r="C1104">
        <v>24</v>
      </c>
      <c r="D1104">
        <v>2012</v>
      </c>
      <c r="E1104" s="1">
        <v>41145</v>
      </c>
      <c r="F1104" t="s">
        <v>16096</v>
      </c>
      <c r="G1104">
        <v>0</v>
      </c>
      <c r="H1104">
        <v>0</v>
      </c>
      <c r="I1104">
        <v>0</v>
      </c>
      <c r="J1104">
        <v>1</v>
      </c>
      <c r="L1104" t="s">
        <v>16097</v>
      </c>
      <c r="M1104" t="s">
        <v>16098</v>
      </c>
      <c r="N1104" t="s">
        <v>16099</v>
      </c>
      <c r="O1104" t="s">
        <v>16100</v>
      </c>
      <c r="P1104" t="s">
        <v>16101</v>
      </c>
      <c r="Q1104" t="s">
        <v>16102</v>
      </c>
      <c r="R1104" t="s">
        <v>16103</v>
      </c>
      <c r="S1104" t="s">
        <v>16104</v>
      </c>
      <c r="T1104" s="2">
        <v>0.33333333333333331</v>
      </c>
      <c r="U1104">
        <v>1</v>
      </c>
      <c r="V1104" t="s">
        <v>16105</v>
      </c>
      <c r="W1104" t="s">
        <v>16106</v>
      </c>
      <c r="X1104" t="s">
        <v>16107</v>
      </c>
      <c r="Y1104" t="s">
        <v>16108</v>
      </c>
      <c r="Z1104" t="s">
        <v>16108</v>
      </c>
      <c r="AA1104" t="s">
        <v>16108</v>
      </c>
      <c r="AC1104" t="s">
        <v>16108</v>
      </c>
    </row>
    <row r="1105" spans="1:30">
      <c r="A1105" t="s">
        <v>16109</v>
      </c>
      <c r="B1105">
        <v>8</v>
      </c>
      <c r="C1105">
        <v>16</v>
      </c>
      <c r="D1105">
        <v>2012</v>
      </c>
      <c r="E1105" s="1">
        <v>41137</v>
      </c>
      <c r="F1105" t="s">
        <v>16110</v>
      </c>
      <c r="G1105">
        <v>0</v>
      </c>
      <c r="H1105">
        <v>0</v>
      </c>
      <c r="I1105">
        <v>0</v>
      </c>
      <c r="J1105">
        <v>0</v>
      </c>
      <c r="K1105" t="s">
        <v>16111</v>
      </c>
      <c r="L1105" t="s">
        <v>16112</v>
      </c>
      <c r="M1105" t="s">
        <v>16113</v>
      </c>
      <c r="N1105" t="s">
        <v>16114</v>
      </c>
      <c r="O1105" t="s">
        <v>16115</v>
      </c>
      <c r="P1105" t="s">
        <v>16116</v>
      </c>
      <c r="Q1105" t="s">
        <v>16117</v>
      </c>
      <c r="R1105" t="s">
        <v>16118</v>
      </c>
      <c r="S1105" t="s">
        <v>16119</v>
      </c>
      <c r="T1105" s="2">
        <v>0.70833333333333337</v>
      </c>
      <c r="U1105">
        <v>1</v>
      </c>
      <c r="V1105" t="s">
        <v>16120</v>
      </c>
      <c r="W1105" t="s">
        <v>16121</v>
      </c>
      <c r="X1105" t="s">
        <v>16122</v>
      </c>
      <c r="Z1105" t="s">
        <v>16123</v>
      </c>
      <c r="AA1105" t="s">
        <v>16123</v>
      </c>
      <c r="AB1105" t="s">
        <v>16123</v>
      </c>
      <c r="AC1105" t="s">
        <v>16123</v>
      </c>
    </row>
    <row r="1106" spans="1:30">
      <c r="A1106" t="s">
        <v>16124</v>
      </c>
      <c r="B1106">
        <v>7</v>
      </c>
      <c r="C1106">
        <v>6</v>
      </c>
      <c r="D1106">
        <v>2012</v>
      </c>
      <c r="E1106" s="1">
        <v>41096</v>
      </c>
      <c r="F1106" t="s">
        <v>16125</v>
      </c>
      <c r="G1106">
        <v>1</v>
      </c>
      <c r="H1106">
        <v>0</v>
      </c>
      <c r="I1106">
        <v>1</v>
      </c>
      <c r="J1106">
        <v>0</v>
      </c>
      <c r="L1106" t="s">
        <v>16126</v>
      </c>
      <c r="M1106" t="s">
        <v>16127</v>
      </c>
      <c r="N1106" t="s">
        <v>16128</v>
      </c>
      <c r="O1106" t="s">
        <v>16129</v>
      </c>
      <c r="P1106" t="s">
        <v>16130</v>
      </c>
      <c r="Q1106" t="s">
        <v>16131</v>
      </c>
      <c r="R1106" t="s">
        <v>16132</v>
      </c>
      <c r="S1106" t="s">
        <v>16133</v>
      </c>
      <c r="T1106" s="2">
        <v>0.125</v>
      </c>
      <c r="U1106">
        <v>1</v>
      </c>
      <c r="V1106" t="s">
        <v>16134</v>
      </c>
      <c r="W1106" t="s">
        <v>16135</v>
      </c>
      <c r="X1106" t="s">
        <v>16136</v>
      </c>
      <c r="Y1106" t="s">
        <v>16137</v>
      </c>
      <c r="Z1106" t="s">
        <v>16137</v>
      </c>
      <c r="AA1106" t="s">
        <v>16137</v>
      </c>
      <c r="AB1106" t="s">
        <v>16137</v>
      </c>
      <c r="AC1106" t="s">
        <v>16137</v>
      </c>
      <c r="AD1106" t="s">
        <v>16137</v>
      </c>
    </row>
    <row r="1107" spans="1:30">
      <c r="A1107" t="s">
        <v>16138</v>
      </c>
      <c r="B1107">
        <v>5</v>
      </c>
      <c r="C1107">
        <v>25</v>
      </c>
      <c r="D1107">
        <v>2012</v>
      </c>
      <c r="E1107" s="1">
        <v>41054</v>
      </c>
      <c r="F1107" t="s">
        <v>16139</v>
      </c>
      <c r="G1107">
        <v>1</v>
      </c>
      <c r="H1107">
        <v>0</v>
      </c>
      <c r="I1107">
        <v>1</v>
      </c>
      <c r="J1107">
        <v>0</v>
      </c>
      <c r="K1107" t="s">
        <v>16140</v>
      </c>
      <c r="L1107" t="s">
        <v>16141</v>
      </c>
      <c r="M1107" t="s">
        <v>16142</v>
      </c>
      <c r="N1107" t="s">
        <v>16143</v>
      </c>
      <c r="O1107" t="s">
        <v>16144</v>
      </c>
      <c r="P1107" t="s">
        <v>16145</v>
      </c>
      <c r="Q1107" t="s">
        <v>16146</v>
      </c>
      <c r="R1107" t="s">
        <v>16147</v>
      </c>
      <c r="S1107" t="s">
        <v>16148</v>
      </c>
      <c r="T1107" s="2">
        <v>0.58611111111111114</v>
      </c>
      <c r="U1107">
        <v>1</v>
      </c>
      <c r="V1107" t="s">
        <v>16149</v>
      </c>
      <c r="W1107" t="s">
        <v>16150</v>
      </c>
      <c r="X1107" t="s">
        <v>16151</v>
      </c>
      <c r="Y1107" t="s">
        <v>16152</v>
      </c>
      <c r="Z1107" t="s">
        <v>16152</v>
      </c>
      <c r="AA1107" t="s">
        <v>16152</v>
      </c>
      <c r="AB1107" t="s">
        <v>16152</v>
      </c>
      <c r="AC1107" t="s">
        <v>16153</v>
      </c>
    </row>
    <row r="1108" spans="1:30">
      <c r="A1108" t="s">
        <v>16154</v>
      </c>
      <c r="B1108">
        <v>5</v>
      </c>
      <c r="C1108">
        <v>25</v>
      </c>
      <c r="D1108">
        <v>2012</v>
      </c>
      <c r="E1108" s="1">
        <v>41054</v>
      </c>
      <c r="F1108" t="s">
        <v>16155</v>
      </c>
      <c r="G1108">
        <v>1</v>
      </c>
      <c r="H1108">
        <v>0</v>
      </c>
      <c r="I1108">
        <v>1</v>
      </c>
      <c r="J1108">
        <v>0</v>
      </c>
      <c r="L1108" t="s">
        <v>16156</v>
      </c>
      <c r="M1108" t="s">
        <v>16157</v>
      </c>
      <c r="N1108" t="s">
        <v>16158</v>
      </c>
      <c r="O1108" t="s">
        <v>16159</v>
      </c>
      <c r="P1108" t="s">
        <v>16160</v>
      </c>
      <c r="Q1108" t="s">
        <v>16161</v>
      </c>
      <c r="R1108" t="s">
        <v>16162</v>
      </c>
      <c r="S1108" t="s">
        <v>16163</v>
      </c>
      <c r="T1108" s="2">
        <v>0.57986111111111105</v>
      </c>
      <c r="U1108">
        <v>1</v>
      </c>
      <c r="V1108" t="s">
        <v>16164</v>
      </c>
      <c r="W1108" t="s">
        <v>16165</v>
      </c>
      <c r="X1108" t="s">
        <v>16166</v>
      </c>
      <c r="Y1108" t="s">
        <v>16167</v>
      </c>
      <c r="Z1108" t="s">
        <v>16167</v>
      </c>
      <c r="AA1108" t="s">
        <v>16167</v>
      </c>
      <c r="AB1108" t="s">
        <v>16167</v>
      </c>
      <c r="AC1108" t="s">
        <v>16168</v>
      </c>
      <c r="AD1108" t="s">
        <v>16169</v>
      </c>
    </row>
    <row r="1109" spans="1:30">
      <c r="A1109" t="s">
        <v>16170</v>
      </c>
      <c r="B1109">
        <v>4</v>
      </c>
      <c r="C1109">
        <v>1</v>
      </c>
      <c r="D1109">
        <v>2012</v>
      </c>
      <c r="E1109" s="1">
        <v>41000</v>
      </c>
      <c r="F1109" t="s">
        <v>16171</v>
      </c>
      <c r="G1109">
        <v>0</v>
      </c>
      <c r="H1109">
        <v>1</v>
      </c>
      <c r="I1109">
        <v>1</v>
      </c>
      <c r="J1109">
        <v>0</v>
      </c>
      <c r="K1109" t="s">
        <v>16172</v>
      </c>
      <c r="L1109" t="s">
        <v>16173</v>
      </c>
      <c r="M1109" t="s">
        <v>16174</v>
      </c>
      <c r="N1109" t="s">
        <v>16175</v>
      </c>
      <c r="O1109" t="s">
        <v>16176</v>
      </c>
      <c r="P1109" t="s">
        <v>16177</v>
      </c>
      <c r="Q1109" t="s">
        <v>16178</v>
      </c>
      <c r="R1109" t="s">
        <v>16179</v>
      </c>
      <c r="S1109" t="s">
        <v>16180</v>
      </c>
      <c r="T1109" s="2">
        <v>0.91527777777777775</v>
      </c>
      <c r="U1109">
        <v>1</v>
      </c>
      <c r="V1109" t="s">
        <v>16181</v>
      </c>
      <c r="W1109" t="s">
        <v>16182</v>
      </c>
      <c r="X1109" t="s">
        <v>16183</v>
      </c>
      <c r="Y1109" t="s">
        <v>16184</v>
      </c>
      <c r="Z1109" t="s">
        <v>16184</v>
      </c>
      <c r="AA1109" t="s">
        <v>16184</v>
      </c>
      <c r="AB1109" t="s">
        <v>16184</v>
      </c>
      <c r="AC1109" t="s">
        <v>16184</v>
      </c>
    </row>
    <row r="1110" spans="1:30">
      <c r="A1110" t="s">
        <v>16185</v>
      </c>
      <c r="B1110">
        <v>3</v>
      </c>
      <c r="C1110">
        <v>15</v>
      </c>
      <c r="D1110">
        <v>2012</v>
      </c>
      <c r="E1110" s="1">
        <v>40983</v>
      </c>
      <c r="F1110" t="s">
        <v>16186</v>
      </c>
      <c r="G1110">
        <v>0</v>
      </c>
      <c r="H1110">
        <v>0</v>
      </c>
      <c r="I1110">
        <v>0</v>
      </c>
      <c r="J1110">
        <v>0</v>
      </c>
      <c r="K1110" t="s">
        <v>16187</v>
      </c>
      <c r="L1110" t="s">
        <v>16188</v>
      </c>
      <c r="M1110" t="s">
        <v>16189</v>
      </c>
      <c r="N1110" t="s">
        <v>16190</v>
      </c>
      <c r="O1110" t="s">
        <v>16191</v>
      </c>
      <c r="P1110" t="s">
        <v>16192</v>
      </c>
      <c r="Q1110" t="s">
        <v>16193</v>
      </c>
      <c r="R1110" t="s">
        <v>16194</v>
      </c>
      <c r="S1110" t="s">
        <v>16195</v>
      </c>
      <c r="T1110" s="2">
        <v>0.4513888888888889</v>
      </c>
      <c r="U1110">
        <v>1</v>
      </c>
      <c r="V1110" t="s">
        <v>16196</v>
      </c>
      <c r="W1110" t="s">
        <v>16197</v>
      </c>
      <c r="X1110" t="s">
        <v>16198</v>
      </c>
      <c r="Y1110" t="s">
        <v>16199</v>
      </c>
      <c r="Z1110" t="s">
        <v>16200</v>
      </c>
      <c r="AA1110" t="s">
        <v>16200</v>
      </c>
      <c r="AB1110" t="s">
        <v>16200</v>
      </c>
      <c r="AC1110" t="s">
        <v>16200</v>
      </c>
    </row>
    <row r="1111" spans="1:30">
      <c r="A1111" t="s">
        <v>16201</v>
      </c>
      <c r="B1111">
        <v>3</v>
      </c>
      <c r="C1111">
        <v>6</v>
      </c>
      <c r="D1111">
        <v>2012</v>
      </c>
      <c r="E1111" s="1">
        <v>40974</v>
      </c>
      <c r="F1111" t="s">
        <v>16202</v>
      </c>
      <c r="G1111">
        <v>1</v>
      </c>
      <c r="H1111">
        <v>0</v>
      </c>
      <c r="I1111">
        <v>1</v>
      </c>
      <c r="J1111">
        <v>1</v>
      </c>
      <c r="K1111" t="s">
        <v>16203</v>
      </c>
      <c r="L1111" t="s">
        <v>16204</v>
      </c>
      <c r="M1111" t="s">
        <v>16205</v>
      </c>
      <c r="N1111" t="s">
        <v>16206</v>
      </c>
      <c r="O1111" t="s">
        <v>16207</v>
      </c>
      <c r="P1111" t="s">
        <v>16208</v>
      </c>
      <c r="Q1111" t="s">
        <v>16209</v>
      </c>
      <c r="R1111" t="s">
        <v>16210</v>
      </c>
      <c r="S1111" t="s">
        <v>16211</v>
      </c>
      <c r="T1111" s="2">
        <v>0.55208333333333326</v>
      </c>
      <c r="V1111" t="s">
        <v>16212</v>
      </c>
      <c r="W1111" t="s">
        <v>16213</v>
      </c>
      <c r="X1111" t="s">
        <v>16214</v>
      </c>
      <c r="Y1111" t="s">
        <v>16215</v>
      </c>
      <c r="Z1111" t="s">
        <v>16215</v>
      </c>
      <c r="AA1111" t="s">
        <v>16215</v>
      </c>
      <c r="AB1111" t="s">
        <v>16215</v>
      </c>
      <c r="AC1111" t="s">
        <v>16215</v>
      </c>
      <c r="AD1111" t="s">
        <v>16216</v>
      </c>
    </row>
    <row r="1112" spans="1:30">
      <c r="A1112" t="s">
        <v>16217</v>
      </c>
      <c r="B1112">
        <v>2</v>
      </c>
      <c r="C1112">
        <v>27</v>
      </c>
      <c r="D1112">
        <v>2012</v>
      </c>
      <c r="E1112" s="1">
        <v>40966</v>
      </c>
      <c r="F1112" t="s">
        <v>16218</v>
      </c>
      <c r="G1112">
        <v>3</v>
      </c>
      <c r="H1112">
        <v>3</v>
      </c>
      <c r="I1112">
        <v>6</v>
      </c>
      <c r="J1112">
        <v>0</v>
      </c>
      <c r="K1112" t="s">
        <v>16219</v>
      </c>
      <c r="L1112" t="s">
        <v>16220</v>
      </c>
      <c r="M1112" t="s">
        <v>16221</v>
      </c>
      <c r="N1112" t="s">
        <v>16222</v>
      </c>
      <c r="O1112" t="s">
        <v>16223</v>
      </c>
      <c r="P1112" t="s">
        <v>16224</v>
      </c>
      <c r="Q1112" t="s">
        <v>16225</v>
      </c>
      <c r="R1112" t="s">
        <v>16226</v>
      </c>
      <c r="S1112" t="s">
        <v>16227</v>
      </c>
      <c r="T1112" s="2">
        <v>0.3125</v>
      </c>
      <c r="V1112" t="s">
        <v>16228</v>
      </c>
      <c r="W1112" t="s">
        <v>16229</v>
      </c>
      <c r="X1112" t="s">
        <v>16230</v>
      </c>
      <c r="Y1112" t="s">
        <v>16231</v>
      </c>
      <c r="Z1112" t="s">
        <v>16231</v>
      </c>
      <c r="AA1112" t="s">
        <v>16231</v>
      </c>
      <c r="AB1112" t="s">
        <v>16231</v>
      </c>
      <c r="AC1112" t="s">
        <v>16231</v>
      </c>
      <c r="AD1112" t="s">
        <v>16232</v>
      </c>
    </row>
    <row r="1113" spans="1:30">
      <c r="A1113" t="s">
        <v>16233</v>
      </c>
      <c r="B1113">
        <v>2</v>
      </c>
      <c r="C1113">
        <v>22</v>
      </c>
      <c r="D1113">
        <v>2012</v>
      </c>
      <c r="E1113" s="1">
        <v>40961</v>
      </c>
      <c r="F1113" t="s">
        <v>16234</v>
      </c>
      <c r="G1113">
        <v>0</v>
      </c>
      <c r="H1113">
        <v>1</v>
      </c>
      <c r="I1113">
        <v>1</v>
      </c>
      <c r="J1113">
        <v>0</v>
      </c>
      <c r="K1113" t="s">
        <v>16235</v>
      </c>
      <c r="L1113" t="s">
        <v>16236</v>
      </c>
      <c r="M1113" t="s">
        <v>16237</v>
      </c>
      <c r="N1113" t="s">
        <v>16238</v>
      </c>
      <c r="O1113" t="s">
        <v>16239</v>
      </c>
      <c r="P1113" t="s">
        <v>16240</v>
      </c>
      <c r="Q1113" t="s">
        <v>16241</v>
      </c>
      <c r="R1113" t="s">
        <v>16242</v>
      </c>
      <c r="S1113" t="s">
        <v>16243</v>
      </c>
      <c r="T1113" s="2">
        <v>0.5625</v>
      </c>
      <c r="U1113">
        <v>1</v>
      </c>
      <c r="V1113" t="s">
        <v>16244</v>
      </c>
      <c r="W1113" t="s">
        <v>16245</v>
      </c>
      <c r="X1113" t="s">
        <v>16246</v>
      </c>
      <c r="Y1113" t="s">
        <v>16247</v>
      </c>
      <c r="Z1113" t="s">
        <v>16248</v>
      </c>
      <c r="AA1113" t="s">
        <v>16248</v>
      </c>
      <c r="AB1113" t="s">
        <v>16249</v>
      </c>
      <c r="AC1113" t="s">
        <v>16250</v>
      </c>
      <c r="AD1113" t="s">
        <v>16250</v>
      </c>
    </row>
    <row r="1114" spans="1:30">
      <c r="A1114" t="s">
        <v>16251</v>
      </c>
      <c r="B1114">
        <v>2</v>
      </c>
      <c r="C1114">
        <v>10</v>
      </c>
      <c r="D1114">
        <v>2012</v>
      </c>
      <c r="E1114" s="1">
        <v>40949</v>
      </c>
      <c r="F1114" t="s">
        <v>16252</v>
      </c>
      <c r="G1114">
        <v>0</v>
      </c>
      <c r="H1114">
        <v>0</v>
      </c>
      <c r="I1114">
        <v>0</v>
      </c>
      <c r="J1114">
        <v>0</v>
      </c>
      <c r="K1114" t="s">
        <v>16253</v>
      </c>
      <c r="L1114" t="s">
        <v>16254</v>
      </c>
      <c r="M1114" t="s">
        <v>16255</v>
      </c>
      <c r="N1114" t="s">
        <v>16256</v>
      </c>
      <c r="O1114" t="s">
        <v>16257</v>
      </c>
      <c r="P1114" t="s">
        <v>16258</v>
      </c>
      <c r="Q1114" t="s">
        <v>16259</v>
      </c>
      <c r="R1114" t="s">
        <v>16260</v>
      </c>
      <c r="S1114" t="s">
        <v>16261</v>
      </c>
      <c r="T1114" s="2">
        <v>0.45833333333333331</v>
      </c>
      <c r="U1114">
        <v>1</v>
      </c>
      <c r="V1114" t="s">
        <v>16262</v>
      </c>
      <c r="W1114" t="s">
        <v>16263</v>
      </c>
      <c r="X1114" t="s">
        <v>16264</v>
      </c>
      <c r="Y1114" t="s">
        <v>16265</v>
      </c>
      <c r="Z1114" t="s">
        <v>16265</v>
      </c>
      <c r="AA1114" t="s">
        <v>16265</v>
      </c>
      <c r="AC1114" t="s">
        <v>16265</v>
      </c>
    </row>
    <row r="1115" spans="1:30">
      <c r="A1115" t="s">
        <v>16266</v>
      </c>
      <c r="B1115">
        <v>1</v>
      </c>
      <c r="C1115">
        <v>10</v>
      </c>
      <c r="D1115">
        <v>2012</v>
      </c>
      <c r="E1115" s="1">
        <v>40918</v>
      </c>
      <c r="F1115" t="s">
        <v>16267</v>
      </c>
      <c r="G1115">
        <v>0</v>
      </c>
      <c r="H1115">
        <v>1</v>
      </c>
      <c r="I1115">
        <v>1</v>
      </c>
      <c r="J1115">
        <v>0</v>
      </c>
      <c r="K1115" t="s">
        <v>16268</v>
      </c>
      <c r="L1115" t="s">
        <v>16269</v>
      </c>
      <c r="M1115" t="s">
        <v>16270</v>
      </c>
      <c r="N1115" t="s">
        <v>16271</v>
      </c>
      <c r="O1115" t="s">
        <v>16272</v>
      </c>
      <c r="P1115" t="s">
        <v>16273</v>
      </c>
      <c r="Q1115" t="s">
        <v>16274</v>
      </c>
      <c r="R1115" t="s">
        <v>16275</v>
      </c>
      <c r="S1115" t="s">
        <v>16276</v>
      </c>
      <c r="T1115" s="2">
        <v>0.52083333333333337</v>
      </c>
      <c r="U1115">
        <v>1</v>
      </c>
      <c r="V1115" t="s">
        <v>16277</v>
      </c>
      <c r="W1115" t="s">
        <v>16278</v>
      </c>
      <c r="X1115" t="s">
        <v>16279</v>
      </c>
      <c r="Y1115" t="s">
        <v>16280</v>
      </c>
      <c r="Z1115" t="s">
        <v>16280</v>
      </c>
      <c r="AA1115" t="s">
        <v>16280</v>
      </c>
      <c r="AC1115" t="s">
        <v>16280</v>
      </c>
    </row>
    <row r="1116" spans="1:30">
      <c r="A1116" t="s">
        <v>16281</v>
      </c>
      <c r="B1116">
        <v>1</v>
      </c>
      <c r="C1116">
        <v>4</v>
      </c>
      <c r="D1116">
        <v>2012</v>
      </c>
      <c r="E1116" s="1">
        <v>40912</v>
      </c>
      <c r="F1116" t="s">
        <v>16282</v>
      </c>
      <c r="G1116">
        <v>0</v>
      </c>
      <c r="H1116">
        <v>0</v>
      </c>
      <c r="I1116">
        <v>0</v>
      </c>
      <c r="J1116">
        <v>1</v>
      </c>
      <c r="K1116" t="s">
        <v>16283</v>
      </c>
      <c r="L1116" t="s">
        <v>16284</v>
      </c>
      <c r="M1116" t="s">
        <v>16285</v>
      </c>
      <c r="N1116" t="s">
        <v>16286</v>
      </c>
      <c r="O1116" t="s">
        <v>16287</v>
      </c>
      <c r="P1116" t="s">
        <v>16288</v>
      </c>
      <c r="Q1116" t="s">
        <v>16289</v>
      </c>
      <c r="R1116" t="s">
        <v>16290</v>
      </c>
      <c r="S1116" t="s">
        <v>16291</v>
      </c>
      <c r="T1116" s="2">
        <v>0.33333333333333331</v>
      </c>
      <c r="U1116">
        <v>1</v>
      </c>
      <c r="V1116" t="s">
        <v>16292</v>
      </c>
      <c r="W1116" t="s">
        <v>16293</v>
      </c>
      <c r="X1116" t="s">
        <v>16294</v>
      </c>
      <c r="Y1116" t="s">
        <v>16295</v>
      </c>
      <c r="Z1116" t="s">
        <v>16295</v>
      </c>
      <c r="AA1116" t="s">
        <v>16295</v>
      </c>
      <c r="AB1116" t="s">
        <v>16296</v>
      </c>
      <c r="AC1116" t="s">
        <v>16296</v>
      </c>
      <c r="AD1116" t="s">
        <v>16296</v>
      </c>
    </row>
    <row r="1117" spans="1:30">
      <c r="A1117" t="s">
        <v>16297</v>
      </c>
      <c r="B1117">
        <v>12</v>
      </c>
      <c r="C1117">
        <v>28</v>
      </c>
      <c r="D1117">
        <v>2011</v>
      </c>
      <c r="E1117" s="1">
        <v>40905</v>
      </c>
      <c r="F1117" t="s">
        <v>16298</v>
      </c>
      <c r="G1117">
        <v>0</v>
      </c>
      <c r="H1117">
        <v>1</v>
      </c>
      <c r="I1117">
        <v>1</v>
      </c>
      <c r="J1117">
        <v>0</v>
      </c>
      <c r="L1117" t="s">
        <v>16299</v>
      </c>
      <c r="M1117" t="s">
        <v>16300</v>
      </c>
      <c r="N1117" t="s">
        <v>16301</v>
      </c>
      <c r="O1117" t="s">
        <v>16302</v>
      </c>
      <c r="P1117" t="s">
        <v>16303</v>
      </c>
      <c r="Q1117" t="s">
        <v>16304</v>
      </c>
      <c r="R1117" t="s">
        <v>16305</v>
      </c>
      <c r="S1117" t="s">
        <v>16306</v>
      </c>
      <c r="U1117">
        <v>1</v>
      </c>
      <c r="V1117" t="s">
        <v>16307</v>
      </c>
      <c r="W1117" t="s">
        <v>16308</v>
      </c>
      <c r="Y1117" t="s">
        <v>16309</v>
      </c>
      <c r="Z1117" t="s">
        <v>16310</v>
      </c>
      <c r="AA1117" t="s">
        <v>16310</v>
      </c>
      <c r="AB1117" t="s">
        <v>16310</v>
      </c>
      <c r="AC1117" t="s">
        <v>16310</v>
      </c>
    </row>
    <row r="1118" spans="1:30">
      <c r="A1118" t="s">
        <v>16311</v>
      </c>
      <c r="B1118">
        <v>12</v>
      </c>
      <c r="C1118">
        <v>12</v>
      </c>
      <c r="D1118">
        <v>2011</v>
      </c>
      <c r="E1118" s="1">
        <v>40889</v>
      </c>
      <c r="F1118" t="s">
        <v>16312</v>
      </c>
      <c r="G1118">
        <v>0</v>
      </c>
      <c r="H1118">
        <v>2</v>
      </c>
      <c r="I1118">
        <v>2</v>
      </c>
      <c r="J1118">
        <v>0</v>
      </c>
      <c r="L1118" t="s">
        <v>16313</v>
      </c>
      <c r="M1118" t="s">
        <v>16314</v>
      </c>
      <c r="N1118" t="s">
        <v>16315</v>
      </c>
      <c r="O1118" t="s">
        <v>16316</v>
      </c>
      <c r="P1118" t="s">
        <v>16317</v>
      </c>
      <c r="Q1118" t="s">
        <v>16318</v>
      </c>
      <c r="R1118" t="s">
        <v>16319</v>
      </c>
      <c r="S1118" t="s">
        <v>16320</v>
      </c>
      <c r="T1118" s="2">
        <v>0.69791666666666663</v>
      </c>
      <c r="U1118">
        <v>1</v>
      </c>
      <c r="V1118" t="s">
        <v>16321</v>
      </c>
      <c r="W1118" t="s">
        <v>16322</v>
      </c>
      <c r="Y1118" t="s">
        <v>16323</v>
      </c>
      <c r="Z1118" t="s">
        <v>16323</v>
      </c>
      <c r="AA1118" t="s">
        <v>16323</v>
      </c>
      <c r="AB1118" t="s">
        <v>16323</v>
      </c>
      <c r="AC1118" t="s">
        <v>16323</v>
      </c>
    </row>
    <row r="1119" spans="1:30">
      <c r="A1119" t="s">
        <v>16324</v>
      </c>
      <c r="B1119">
        <v>10</v>
      </c>
      <c r="C1119">
        <v>24</v>
      </c>
      <c r="D1119">
        <v>2011</v>
      </c>
      <c r="E1119" s="1">
        <v>40840</v>
      </c>
      <c r="F1119" t="s">
        <v>16325</v>
      </c>
      <c r="G1119">
        <v>0</v>
      </c>
      <c r="H1119">
        <v>1</v>
      </c>
      <c r="I1119">
        <v>1</v>
      </c>
      <c r="J1119">
        <v>0</v>
      </c>
      <c r="K1119" t="s">
        <v>16326</v>
      </c>
      <c r="L1119" t="s">
        <v>16327</v>
      </c>
      <c r="M1119" t="s">
        <v>16328</v>
      </c>
      <c r="N1119" t="s">
        <v>16329</v>
      </c>
      <c r="O1119" t="s">
        <v>16330</v>
      </c>
      <c r="P1119" t="s">
        <v>16331</v>
      </c>
      <c r="Q1119" t="s">
        <v>16332</v>
      </c>
      <c r="R1119" t="s">
        <v>16333</v>
      </c>
      <c r="S1119" t="s">
        <v>16334</v>
      </c>
      <c r="T1119" s="2">
        <v>0.54166666666666663</v>
      </c>
      <c r="U1119">
        <v>1</v>
      </c>
      <c r="V1119" t="s">
        <v>16335</v>
      </c>
      <c r="W1119" t="s">
        <v>16336</v>
      </c>
      <c r="X1119" t="s">
        <v>16337</v>
      </c>
      <c r="Y1119" t="s">
        <v>16338</v>
      </c>
      <c r="Z1119" t="s">
        <v>16339</v>
      </c>
      <c r="AA1119" t="s">
        <v>16339</v>
      </c>
      <c r="AB1119" t="s">
        <v>16339</v>
      </c>
      <c r="AC1119" t="s">
        <v>16339</v>
      </c>
    </row>
    <row r="1120" spans="1:30">
      <c r="A1120" t="s">
        <v>16340</v>
      </c>
      <c r="B1120">
        <v>9</v>
      </c>
      <c r="C1120">
        <v>30</v>
      </c>
      <c r="D1120">
        <v>2011</v>
      </c>
      <c r="E1120" s="1">
        <v>40816</v>
      </c>
      <c r="F1120" t="s">
        <v>16341</v>
      </c>
      <c r="G1120">
        <v>0</v>
      </c>
      <c r="H1120">
        <v>0</v>
      </c>
      <c r="I1120">
        <v>0</v>
      </c>
      <c r="J1120">
        <v>0</v>
      </c>
      <c r="L1120" t="s">
        <v>16342</v>
      </c>
      <c r="M1120" t="s">
        <v>16343</v>
      </c>
      <c r="N1120" t="s">
        <v>16344</v>
      </c>
      <c r="O1120" t="s">
        <v>16345</v>
      </c>
      <c r="P1120" t="s">
        <v>16346</v>
      </c>
      <c r="Q1120" t="s">
        <v>16347</v>
      </c>
      <c r="R1120" t="s">
        <v>16348</v>
      </c>
      <c r="S1120" t="s">
        <v>16349</v>
      </c>
      <c r="T1120" s="2">
        <v>0.875</v>
      </c>
      <c r="U1120">
        <v>1</v>
      </c>
      <c r="V1120" t="s">
        <v>16350</v>
      </c>
      <c r="W1120" t="s">
        <v>16351</v>
      </c>
      <c r="X1120" t="s">
        <v>16352</v>
      </c>
      <c r="Y1120" t="s">
        <v>16353</v>
      </c>
      <c r="Z1120" t="s">
        <v>16354</v>
      </c>
      <c r="AA1120" t="s">
        <v>16354</v>
      </c>
      <c r="AB1120" t="s">
        <v>16354</v>
      </c>
      <c r="AC1120" t="s">
        <v>16354</v>
      </c>
      <c r="AD1120" t="s">
        <v>16354</v>
      </c>
    </row>
    <row r="1121" spans="1:30">
      <c r="A1121" t="s">
        <v>16355</v>
      </c>
      <c r="B1121">
        <v>9</v>
      </c>
      <c r="C1121">
        <v>30</v>
      </c>
      <c r="D1121">
        <v>2011</v>
      </c>
      <c r="E1121" s="1">
        <v>40816</v>
      </c>
      <c r="F1121" t="s">
        <v>16356</v>
      </c>
      <c r="G1121">
        <v>0</v>
      </c>
      <c r="H1121">
        <v>1</v>
      </c>
      <c r="I1121">
        <v>1</v>
      </c>
      <c r="J1121">
        <v>0</v>
      </c>
      <c r="L1121" t="s">
        <v>16357</v>
      </c>
      <c r="M1121" t="s">
        <v>16358</v>
      </c>
      <c r="N1121" t="s">
        <v>16359</v>
      </c>
      <c r="O1121" t="s">
        <v>16360</v>
      </c>
      <c r="P1121" t="s">
        <v>16361</v>
      </c>
      <c r="Q1121" t="s">
        <v>16362</v>
      </c>
      <c r="R1121" t="s">
        <v>16363</v>
      </c>
      <c r="S1121" t="s">
        <v>16364</v>
      </c>
      <c r="T1121" s="2">
        <v>0.91666666666666663</v>
      </c>
      <c r="U1121">
        <v>1</v>
      </c>
      <c r="V1121" t="s">
        <v>16365</v>
      </c>
      <c r="W1121" t="s">
        <v>16366</v>
      </c>
      <c r="X1121" t="s">
        <v>16367</v>
      </c>
      <c r="Z1121" t="s">
        <v>16368</v>
      </c>
      <c r="AA1121" t="s">
        <v>16368</v>
      </c>
      <c r="AB1121" t="s">
        <v>16368</v>
      </c>
      <c r="AC1121" t="s">
        <v>16368</v>
      </c>
      <c r="AD1121" t="s">
        <v>16368</v>
      </c>
    </row>
    <row r="1122" spans="1:30">
      <c r="A1122" t="s">
        <v>16369</v>
      </c>
      <c r="B1122">
        <v>9</v>
      </c>
      <c r="C1122">
        <v>23</v>
      </c>
      <c r="D1122">
        <v>2011</v>
      </c>
      <c r="E1122" s="1">
        <v>40809</v>
      </c>
      <c r="F1122" t="s">
        <v>16370</v>
      </c>
      <c r="G1122">
        <v>0</v>
      </c>
      <c r="H1122">
        <v>0</v>
      </c>
      <c r="I1122">
        <v>0</v>
      </c>
      <c r="J1122">
        <v>1</v>
      </c>
      <c r="L1122" t="s">
        <v>16371</v>
      </c>
      <c r="M1122" t="s">
        <v>16372</v>
      </c>
      <c r="N1122" t="s">
        <v>16373</v>
      </c>
      <c r="O1122" t="s">
        <v>16374</v>
      </c>
      <c r="P1122" t="s">
        <v>16375</v>
      </c>
      <c r="Q1122" t="s">
        <v>16376</v>
      </c>
      <c r="R1122" t="s">
        <v>16377</v>
      </c>
      <c r="S1122" t="s">
        <v>16378</v>
      </c>
      <c r="T1122" s="2">
        <v>0.79166666666666663</v>
      </c>
      <c r="V1122" t="s">
        <v>16379</v>
      </c>
      <c r="W1122" t="s">
        <v>16380</v>
      </c>
      <c r="Y1122" t="s">
        <v>16381</v>
      </c>
      <c r="Z1122" t="s">
        <v>16381</v>
      </c>
      <c r="AA1122" t="s">
        <v>16381</v>
      </c>
      <c r="AB1122" t="s">
        <v>16381</v>
      </c>
      <c r="AC1122" t="s">
        <v>16381</v>
      </c>
      <c r="AD1122" t="s">
        <v>16382</v>
      </c>
    </row>
    <row r="1123" spans="1:30">
      <c r="A1123" t="s">
        <v>16383</v>
      </c>
      <c r="B1123">
        <v>5</v>
      </c>
      <c r="C1123">
        <v>23</v>
      </c>
      <c r="D1123">
        <v>2011</v>
      </c>
      <c r="E1123" s="1">
        <v>40686</v>
      </c>
      <c r="F1123" t="s">
        <v>16384</v>
      </c>
      <c r="G1123">
        <v>0</v>
      </c>
      <c r="H1123">
        <v>1</v>
      </c>
      <c r="I1123">
        <v>1</v>
      </c>
      <c r="J1123">
        <v>0</v>
      </c>
      <c r="K1123" t="s">
        <v>16385</v>
      </c>
      <c r="L1123" t="s">
        <v>16386</v>
      </c>
      <c r="M1123" t="s">
        <v>16387</v>
      </c>
      <c r="N1123" t="s">
        <v>16388</v>
      </c>
      <c r="O1123" t="s">
        <v>16389</v>
      </c>
      <c r="P1123" t="s">
        <v>16390</v>
      </c>
      <c r="Q1123" t="s">
        <v>16391</v>
      </c>
      <c r="R1123" t="s">
        <v>16392</v>
      </c>
      <c r="S1123" t="s">
        <v>16393</v>
      </c>
      <c r="T1123" s="2">
        <v>0.27083333333333331</v>
      </c>
      <c r="U1123">
        <v>1</v>
      </c>
      <c r="V1123" t="s">
        <v>16394</v>
      </c>
      <c r="W1123" t="s">
        <v>16395</v>
      </c>
      <c r="X1123" t="s">
        <v>16396</v>
      </c>
      <c r="Y1123" t="s">
        <v>16397</v>
      </c>
      <c r="Z1123" t="s">
        <v>16397</v>
      </c>
      <c r="AA1123" t="s">
        <v>16397</v>
      </c>
      <c r="AB1123" t="s">
        <v>16397</v>
      </c>
      <c r="AC1123" t="s">
        <v>16397</v>
      </c>
    </row>
    <row r="1124" spans="1:30">
      <c r="A1124" t="s">
        <v>16398</v>
      </c>
      <c r="B1124">
        <v>5</v>
      </c>
      <c r="C1124">
        <v>17</v>
      </c>
      <c r="D1124">
        <v>2011</v>
      </c>
      <c r="E1124" s="1">
        <v>40680</v>
      </c>
      <c r="F1124" t="s">
        <v>16399</v>
      </c>
      <c r="G1124">
        <v>0</v>
      </c>
      <c r="H1124">
        <v>1</v>
      </c>
      <c r="I1124">
        <v>1</v>
      </c>
      <c r="J1124">
        <v>0</v>
      </c>
      <c r="K1124" t="s">
        <v>16400</v>
      </c>
      <c r="L1124" t="s">
        <v>16401</v>
      </c>
      <c r="M1124" t="s">
        <v>16402</v>
      </c>
      <c r="N1124" t="s">
        <v>16403</v>
      </c>
      <c r="O1124" t="s">
        <v>16404</v>
      </c>
      <c r="P1124" t="s">
        <v>16405</v>
      </c>
      <c r="Q1124" t="s">
        <v>16406</v>
      </c>
      <c r="R1124" t="s">
        <v>16407</v>
      </c>
      <c r="S1124" t="s">
        <v>16408</v>
      </c>
      <c r="T1124" s="2">
        <v>0.77083333333333337</v>
      </c>
      <c r="U1124">
        <v>1</v>
      </c>
      <c r="V1124" t="s">
        <v>16409</v>
      </c>
      <c r="W1124" t="s">
        <v>16410</v>
      </c>
      <c r="X1124" t="s">
        <v>16411</v>
      </c>
      <c r="Z1124" t="s">
        <v>16412</v>
      </c>
      <c r="AA1124" t="s">
        <v>16412</v>
      </c>
      <c r="AB1124" t="s">
        <v>16412</v>
      </c>
      <c r="AC1124" t="s">
        <v>16412</v>
      </c>
    </row>
    <row r="1125" spans="1:30">
      <c r="A1125" t="s">
        <v>16413</v>
      </c>
      <c r="B1125">
        <v>4</v>
      </c>
      <c r="C1125">
        <v>19</v>
      </c>
      <c r="D1125">
        <v>2011</v>
      </c>
      <c r="E1125" s="1">
        <v>40652</v>
      </c>
      <c r="F1125" t="s">
        <v>16414</v>
      </c>
      <c r="G1125">
        <v>0</v>
      </c>
      <c r="H1125">
        <v>3</v>
      </c>
      <c r="I1125">
        <v>3</v>
      </c>
      <c r="J1125">
        <v>0</v>
      </c>
      <c r="K1125" t="s">
        <v>16415</v>
      </c>
      <c r="L1125" t="s">
        <v>16416</v>
      </c>
      <c r="M1125" t="s">
        <v>16417</v>
      </c>
      <c r="N1125" t="s">
        <v>16418</v>
      </c>
      <c r="O1125" t="s">
        <v>16419</v>
      </c>
      <c r="P1125" t="s">
        <v>16420</v>
      </c>
      <c r="Q1125" t="s">
        <v>16421</v>
      </c>
      <c r="R1125" t="s">
        <v>16422</v>
      </c>
      <c r="S1125" t="s">
        <v>16423</v>
      </c>
      <c r="T1125" s="2">
        <v>0.45833333333333331</v>
      </c>
      <c r="U1125">
        <v>1</v>
      </c>
      <c r="V1125" t="s">
        <v>16424</v>
      </c>
      <c r="W1125" t="s">
        <v>16425</v>
      </c>
      <c r="X1125" t="s">
        <v>16426</v>
      </c>
      <c r="Y1125" t="s">
        <v>16427</v>
      </c>
      <c r="Z1125" t="s">
        <v>16427</v>
      </c>
      <c r="AA1125" t="s">
        <v>16427</v>
      </c>
      <c r="AB1125" t="s">
        <v>16427</v>
      </c>
      <c r="AC1125" t="s">
        <v>16427</v>
      </c>
    </row>
    <row r="1126" spans="1:30">
      <c r="A1126" t="s">
        <v>16428</v>
      </c>
      <c r="B1126">
        <v>4</v>
      </c>
      <c r="C1126">
        <v>13</v>
      </c>
      <c r="D1126">
        <v>2011</v>
      </c>
      <c r="E1126" s="1">
        <v>40646</v>
      </c>
      <c r="F1126" t="s">
        <v>16429</v>
      </c>
      <c r="G1126">
        <v>0</v>
      </c>
      <c r="H1126">
        <v>1</v>
      </c>
      <c r="I1126">
        <v>1</v>
      </c>
      <c r="J1126">
        <v>0</v>
      </c>
      <c r="K1126" t="s">
        <v>16430</v>
      </c>
      <c r="L1126" t="s">
        <v>16431</v>
      </c>
      <c r="M1126" t="s">
        <v>16432</v>
      </c>
      <c r="N1126" t="s">
        <v>16433</v>
      </c>
      <c r="O1126" t="s">
        <v>16434</v>
      </c>
      <c r="P1126" t="s">
        <v>16435</v>
      </c>
      <c r="Q1126" t="s">
        <v>16436</v>
      </c>
      <c r="R1126" t="s">
        <v>16437</v>
      </c>
      <c r="S1126" t="s">
        <v>16438</v>
      </c>
      <c r="T1126" s="2">
        <v>0.5</v>
      </c>
      <c r="U1126">
        <v>1</v>
      </c>
      <c r="V1126" t="s">
        <v>16439</v>
      </c>
      <c r="W1126" t="s">
        <v>16440</v>
      </c>
      <c r="X1126" t="s">
        <v>16441</v>
      </c>
      <c r="Y1126" t="s">
        <v>16442</v>
      </c>
      <c r="Z1126" t="s">
        <v>16443</v>
      </c>
      <c r="AA1126" t="s">
        <v>16443</v>
      </c>
      <c r="AB1126" t="s">
        <v>16443</v>
      </c>
      <c r="AC1126" t="s">
        <v>16443</v>
      </c>
    </row>
    <row r="1127" spans="1:30">
      <c r="A1127" t="s">
        <v>16444</v>
      </c>
      <c r="B1127">
        <v>3</v>
      </c>
      <c r="C1127">
        <v>30</v>
      </c>
      <c r="D1127">
        <v>2011</v>
      </c>
      <c r="E1127" s="1">
        <v>40632</v>
      </c>
      <c r="F1127" t="s">
        <v>16445</v>
      </c>
      <c r="G1127">
        <v>1</v>
      </c>
      <c r="H1127">
        <v>5</v>
      </c>
      <c r="I1127">
        <v>6</v>
      </c>
      <c r="J1127">
        <v>0</v>
      </c>
      <c r="K1127" t="s">
        <v>16446</v>
      </c>
      <c r="L1127" t="s">
        <v>16447</v>
      </c>
      <c r="M1127" t="s">
        <v>16448</v>
      </c>
      <c r="N1127" t="s">
        <v>16449</v>
      </c>
      <c r="O1127" t="s">
        <v>16450</v>
      </c>
      <c r="P1127" t="s">
        <v>16451</v>
      </c>
      <c r="Q1127" t="s">
        <v>16452</v>
      </c>
      <c r="R1127" t="s">
        <v>16453</v>
      </c>
      <c r="S1127" t="s">
        <v>16454</v>
      </c>
      <c r="T1127" s="2">
        <v>0.78125</v>
      </c>
      <c r="U1127">
        <v>1</v>
      </c>
      <c r="V1127" t="s">
        <v>16455</v>
      </c>
      <c r="W1127" t="s">
        <v>16456</v>
      </c>
      <c r="X1127" t="s">
        <v>16457</v>
      </c>
      <c r="Z1127" t="s">
        <v>16458</v>
      </c>
      <c r="AA1127" t="s">
        <v>16458</v>
      </c>
      <c r="AB1127" t="s">
        <v>16458</v>
      </c>
      <c r="AC1127" t="s">
        <v>16458</v>
      </c>
    </row>
    <row r="1128" spans="1:30">
      <c r="A1128" t="s">
        <v>16459</v>
      </c>
      <c r="B1128">
        <v>3</v>
      </c>
      <c r="C1128">
        <v>25</v>
      </c>
      <c r="D1128">
        <v>2011</v>
      </c>
      <c r="E1128" s="1">
        <v>40627</v>
      </c>
      <c r="F1128" t="s">
        <v>16460</v>
      </c>
      <c r="G1128">
        <v>0</v>
      </c>
      <c r="H1128">
        <v>1</v>
      </c>
      <c r="I1128">
        <v>1</v>
      </c>
      <c r="J1128">
        <v>0</v>
      </c>
      <c r="K1128" t="s">
        <v>16461</v>
      </c>
      <c r="L1128" t="s">
        <v>16462</v>
      </c>
      <c r="M1128" t="s">
        <v>16463</v>
      </c>
      <c r="N1128" t="s">
        <v>16464</v>
      </c>
      <c r="O1128" t="s">
        <v>16465</v>
      </c>
      <c r="P1128" t="s">
        <v>16466</v>
      </c>
      <c r="Q1128" t="s">
        <v>16467</v>
      </c>
      <c r="R1128" t="s">
        <v>16468</v>
      </c>
      <c r="S1128" t="s">
        <v>16469</v>
      </c>
      <c r="T1128" s="2">
        <v>0.29166666666666669</v>
      </c>
      <c r="U1128">
        <v>1</v>
      </c>
      <c r="V1128" t="s">
        <v>16470</v>
      </c>
      <c r="W1128" t="s">
        <v>16471</v>
      </c>
      <c r="X1128" t="s">
        <v>16472</v>
      </c>
      <c r="Y1128" t="s">
        <v>16473</v>
      </c>
      <c r="Z1128" t="s">
        <v>16473</v>
      </c>
      <c r="AA1128" t="s">
        <v>16473</v>
      </c>
      <c r="AB1128" t="s">
        <v>16473</v>
      </c>
      <c r="AC1128" t="s">
        <v>16474</v>
      </c>
    </row>
    <row r="1129" spans="1:30">
      <c r="A1129" t="s">
        <v>16475</v>
      </c>
      <c r="B1129">
        <v>2</v>
      </c>
      <c r="C1129">
        <v>2</v>
      </c>
      <c r="D1129">
        <v>2011</v>
      </c>
      <c r="E1129" s="1">
        <v>40576</v>
      </c>
      <c r="F1129" t="s">
        <v>16476</v>
      </c>
      <c r="G1129">
        <v>1</v>
      </c>
      <c r="H1129">
        <v>0</v>
      </c>
      <c r="I1129">
        <v>1</v>
      </c>
      <c r="J1129">
        <v>0</v>
      </c>
      <c r="K1129" t="s">
        <v>16477</v>
      </c>
      <c r="L1129" t="s">
        <v>16478</v>
      </c>
      <c r="M1129" t="s">
        <v>16479</v>
      </c>
      <c r="N1129" t="s">
        <v>16480</v>
      </c>
      <c r="O1129" t="s">
        <v>16481</v>
      </c>
      <c r="P1129" t="s">
        <v>16482</v>
      </c>
      <c r="Q1129" t="s">
        <v>16483</v>
      </c>
      <c r="R1129" t="s">
        <v>16484</v>
      </c>
      <c r="S1129" t="s">
        <v>16485</v>
      </c>
      <c r="T1129" s="2">
        <v>0.44236111111111115</v>
      </c>
      <c r="U1129">
        <v>1</v>
      </c>
      <c r="V1129" t="s">
        <v>16486</v>
      </c>
      <c r="W1129" t="s">
        <v>16487</v>
      </c>
      <c r="X1129" t="s">
        <v>16488</v>
      </c>
      <c r="Y1129" t="s">
        <v>16489</v>
      </c>
      <c r="Z1129" t="s">
        <v>16489</v>
      </c>
      <c r="AA1129" t="s">
        <v>16489</v>
      </c>
      <c r="AB1129" t="s">
        <v>16489</v>
      </c>
      <c r="AC1129" t="s">
        <v>16489</v>
      </c>
    </row>
    <row r="1130" spans="1:30">
      <c r="A1130" t="s">
        <v>16490</v>
      </c>
      <c r="B1130">
        <v>1</v>
      </c>
      <c r="C1130">
        <v>18</v>
      </c>
      <c r="D1130">
        <v>2011</v>
      </c>
      <c r="E1130" s="1">
        <v>40561</v>
      </c>
      <c r="F1130" t="s">
        <v>16491</v>
      </c>
      <c r="G1130">
        <v>0</v>
      </c>
      <c r="H1130">
        <v>2</v>
      </c>
      <c r="I1130">
        <v>2</v>
      </c>
      <c r="J1130">
        <v>0</v>
      </c>
      <c r="K1130" t="s">
        <v>16492</v>
      </c>
      <c r="L1130" t="s">
        <v>16493</v>
      </c>
      <c r="M1130" t="s">
        <v>16494</v>
      </c>
      <c r="N1130" t="s">
        <v>16495</v>
      </c>
      <c r="O1130" t="s">
        <v>16496</v>
      </c>
      <c r="P1130" t="s">
        <v>16497</v>
      </c>
      <c r="Q1130" t="s">
        <v>16498</v>
      </c>
      <c r="R1130" t="s">
        <v>16499</v>
      </c>
      <c r="S1130" t="s">
        <v>16500</v>
      </c>
      <c r="T1130" s="2">
        <v>0.44444444444444448</v>
      </c>
      <c r="U1130">
        <v>1</v>
      </c>
      <c r="V1130" t="s">
        <v>16501</v>
      </c>
      <c r="W1130" t="s">
        <v>16502</v>
      </c>
      <c r="X1130" t="s">
        <v>16503</v>
      </c>
      <c r="Y1130" t="s">
        <v>16504</v>
      </c>
      <c r="Z1130" t="s">
        <v>16505</v>
      </c>
      <c r="AA1130" t="s">
        <v>16505</v>
      </c>
      <c r="AB1130" t="s">
        <v>16505</v>
      </c>
      <c r="AC1130" t="s">
        <v>16505</v>
      </c>
    </row>
    <row r="1131" spans="1:30">
      <c r="A1131" t="s">
        <v>16506</v>
      </c>
      <c r="B1131">
        <v>1</v>
      </c>
      <c r="C1131">
        <v>5</v>
      </c>
      <c r="D1131">
        <v>2011</v>
      </c>
      <c r="E1131" s="1">
        <v>40548</v>
      </c>
      <c r="F1131" t="s">
        <v>16507</v>
      </c>
      <c r="G1131">
        <v>1</v>
      </c>
      <c r="H1131">
        <v>1</v>
      </c>
      <c r="I1131">
        <v>2</v>
      </c>
      <c r="J1131">
        <v>1</v>
      </c>
      <c r="K1131" t="s">
        <v>16508</v>
      </c>
      <c r="L1131" t="s">
        <v>16509</v>
      </c>
      <c r="M1131" t="s">
        <v>16510</v>
      </c>
      <c r="N1131" t="s">
        <v>16511</v>
      </c>
      <c r="O1131" t="s">
        <v>16512</v>
      </c>
      <c r="P1131" t="s">
        <v>16513</v>
      </c>
      <c r="Q1131" t="s">
        <v>16514</v>
      </c>
      <c r="R1131" t="s">
        <v>16515</v>
      </c>
      <c r="S1131" t="s">
        <v>16516</v>
      </c>
      <c r="T1131" s="2">
        <v>0.53125</v>
      </c>
      <c r="U1131">
        <v>1</v>
      </c>
      <c r="V1131" t="s">
        <v>16517</v>
      </c>
      <c r="W1131" t="s">
        <v>16518</v>
      </c>
      <c r="X1131" t="s">
        <v>16519</v>
      </c>
      <c r="Y1131" t="s">
        <v>16520</v>
      </c>
      <c r="Z1131" t="s">
        <v>16520</v>
      </c>
      <c r="AA1131" t="s">
        <v>16520</v>
      </c>
      <c r="AB1131" t="s">
        <v>16520</v>
      </c>
      <c r="AC1131" t="s">
        <v>16520</v>
      </c>
      <c r="AD1131" t="s">
        <v>16521</v>
      </c>
    </row>
    <row r="1132" spans="1:30">
      <c r="A1132" t="s">
        <v>16522</v>
      </c>
      <c r="B1132">
        <v>1</v>
      </c>
      <c r="C1132">
        <v>4</v>
      </c>
      <c r="D1132">
        <v>2011</v>
      </c>
      <c r="E1132" s="1">
        <v>40547</v>
      </c>
      <c r="F1132" t="s">
        <v>16523</v>
      </c>
      <c r="G1132">
        <v>0</v>
      </c>
      <c r="H1132">
        <v>0</v>
      </c>
      <c r="I1132">
        <v>0</v>
      </c>
      <c r="J1132">
        <v>0</v>
      </c>
      <c r="L1132" t="s">
        <v>16524</v>
      </c>
      <c r="M1132" t="s">
        <v>16525</v>
      </c>
      <c r="N1132" t="s">
        <v>16526</v>
      </c>
      <c r="O1132" t="s">
        <v>16527</v>
      </c>
      <c r="P1132" t="s">
        <v>16528</v>
      </c>
      <c r="Q1132" t="s">
        <v>16528</v>
      </c>
      <c r="R1132" t="s">
        <v>16529</v>
      </c>
      <c r="S1132" t="s">
        <v>16530</v>
      </c>
      <c r="T1132" s="2">
        <v>0.25</v>
      </c>
      <c r="U1132">
        <v>1</v>
      </c>
      <c r="V1132" t="s">
        <v>16531</v>
      </c>
      <c r="W1132" t="s">
        <v>16532</v>
      </c>
      <c r="X1132" t="s">
        <v>16533</v>
      </c>
      <c r="Z1132" t="s">
        <v>16534</v>
      </c>
      <c r="AA1132" t="s">
        <v>16534</v>
      </c>
      <c r="AB1132" t="s">
        <v>16535</v>
      </c>
    </row>
    <row r="1133" spans="1:30">
      <c r="A1133" t="s">
        <v>16536</v>
      </c>
      <c r="B1133">
        <v>12</v>
      </c>
      <c r="C1133">
        <v>6</v>
      </c>
      <c r="D1133">
        <v>2010</v>
      </c>
      <c r="E1133" s="1">
        <v>40518</v>
      </c>
      <c r="F1133" t="s">
        <v>16537</v>
      </c>
      <c r="G1133">
        <v>0</v>
      </c>
      <c r="H1133">
        <v>1</v>
      </c>
      <c r="I1133">
        <v>1</v>
      </c>
      <c r="J1133">
        <v>0</v>
      </c>
      <c r="K1133" t="s">
        <v>16538</v>
      </c>
      <c r="L1133" t="s">
        <v>16539</v>
      </c>
      <c r="M1133" t="s">
        <v>16540</v>
      </c>
      <c r="N1133" t="s">
        <v>16541</v>
      </c>
      <c r="O1133" t="s">
        <v>16542</v>
      </c>
      <c r="P1133" t="s">
        <v>16543</v>
      </c>
      <c r="Q1133" t="s">
        <v>16544</v>
      </c>
      <c r="R1133" t="s">
        <v>16545</v>
      </c>
      <c r="S1133" t="s">
        <v>16546</v>
      </c>
      <c r="T1133" s="2">
        <v>0.60416666666666674</v>
      </c>
      <c r="U1133">
        <v>1</v>
      </c>
      <c r="V1133" t="s">
        <v>16547</v>
      </c>
      <c r="W1133" t="s">
        <v>16548</v>
      </c>
      <c r="X1133" t="s">
        <v>16549</v>
      </c>
      <c r="Y1133" t="s">
        <v>16550</v>
      </c>
      <c r="Z1133" t="s">
        <v>16551</v>
      </c>
      <c r="AA1133" t="s">
        <v>16551</v>
      </c>
      <c r="AB1133" t="s">
        <v>16551</v>
      </c>
      <c r="AC1133" t="s">
        <v>16551</v>
      </c>
    </row>
    <row r="1134" spans="1:30">
      <c r="A1134" t="s">
        <v>16552</v>
      </c>
      <c r="B1134">
        <v>11</v>
      </c>
      <c r="C1134">
        <v>29</v>
      </c>
      <c r="D1134">
        <v>2010</v>
      </c>
      <c r="E1134" s="1">
        <v>40511</v>
      </c>
      <c r="F1134" t="s">
        <v>16553</v>
      </c>
      <c r="G1134">
        <v>0</v>
      </c>
      <c r="H1134">
        <v>0</v>
      </c>
      <c r="I1134">
        <v>0</v>
      </c>
      <c r="J1134">
        <v>1</v>
      </c>
      <c r="K1134" t="s">
        <v>16554</v>
      </c>
      <c r="L1134" t="s">
        <v>16555</v>
      </c>
      <c r="M1134" t="s">
        <v>16556</v>
      </c>
      <c r="N1134" t="s">
        <v>16557</v>
      </c>
      <c r="O1134" t="s">
        <v>16558</v>
      </c>
      <c r="P1134" t="s">
        <v>16559</v>
      </c>
      <c r="Q1134" t="s">
        <v>16560</v>
      </c>
      <c r="R1134" t="s">
        <v>16561</v>
      </c>
      <c r="S1134" t="s">
        <v>16562</v>
      </c>
      <c r="T1134" s="2">
        <v>0.8125</v>
      </c>
      <c r="U1134">
        <v>1</v>
      </c>
      <c r="V1134" t="s">
        <v>16563</v>
      </c>
      <c r="W1134" t="s">
        <v>16564</v>
      </c>
      <c r="X1134" t="s">
        <v>16565</v>
      </c>
      <c r="Y1134" t="s">
        <v>16566</v>
      </c>
      <c r="Z1134" t="s">
        <v>16567</v>
      </c>
      <c r="AA1134" t="s">
        <v>16567</v>
      </c>
      <c r="AB1134" t="s">
        <v>16568</v>
      </c>
      <c r="AC1134" t="s">
        <v>16568</v>
      </c>
      <c r="AD1134" t="s">
        <v>16569</v>
      </c>
    </row>
    <row r="1135" spans="1:30">
      <c r="A1135" t="s">
        <v>16570</v>
      </c>
      <c r="B1135">
        <v>10</v>
      </c>
      <c r="C1135">
        <v>23</v>
      </c>
      <c r="D1135">
        <v>2010</v>
      </c>
      <c r="E1135" s="1">
        <v>40474</v>
      </c>
      <c r="F1135" t="s">
        <v>16571</v>
      </c>
      <c r="G1135">
        <v>1</v>
      </c>
      <c r="H1135">
        <v>1</v>
      </c>
      <c r="I1135">
        <v>2</v>
      </c>
      <c r="J1135">
        <v>0</v>
      </c>
      <c r="K1135" t="s">
        <v>16572</v>
      </c>
      <c r="L1135" t="s">
        <v>16573</v>
      </c>
      <c r="M1135" t="s">
        <v>16574</v>
      </c>
      <c r="N1135" t="s">
        <v>16575</v>
      </c>
      <c r="O1135" t="s">
        <v>16576</v>
      </c>
      <c r="P1135" t="s">
        <v>16577</v>
      </c>
      <c r="Q1135" t="s">
        <v>16578</v>
      </c>
      <c r="R1135" t="s">
        <v>16579</v>
      </c>
      <c r="S1135" t="s">
        <v>16580</v>
      </c>
      <c r="T1135" s="2">
        <v>0.9375</v>
      </c>
      <c r="U1135">
        <v>1</v>
      </c>
      <c r="V1135" t="s">
        <v>16581</v>
      </c>
      <c r="W1135" t="s">
        <v>16582</v>
      </c>
      <c r="X1135" t="s">
        <v>16583</v>
      </c>
      <c r="Y1135" t="s">
        <v>16584</v>
      </c>
      <c r="Z1135" t="s">
        <v>16585</v>
      </c>
      <c r="AA1135" t="s">
        <v>16585</v>
      </c>
      <c r="AB1135" t="s">
        <v>16585</v>
      </c>
      <c r="AC1135" t="s">
        <v>16585</v>
      </c>
    </row>
    <row r="1136" spans="1:30">
      <c r="A1136" t="s">
        <v>16586</v>
      </c>
      <c r="B1136">
        <v>10</v>
      </c>
      <c r="C1136">
        <v>8</v>
      </c>
      <c r="D1136">
        <v>2010</v>
      </c>
      <c r="E1136" s="1">
        <v>40459</v>
      </c>
      <c r="F1136" t="s">
        <v>16587</v>
      </c>
      <c r="G1136">
        <v>0</v>
      </c>
      <c r="H1136">
        <v>2</v>
      </c>
      <c r="I1136">
        <v>2</v>
      </c>
      <c r="J1136">
        <v>0</v>
      </c>
      <c r="L1136" t="s">
        <v>16588</v>
      </c>
      <c r="M1136" t="s">
        <v>16589</v>
      </c>
      <c r="N1136" t="s">
        <v>16590</v>
      </c>
      <c r="O1136" t="s">
        <v>16591</v>
      </c>
      <c r="P1136" t="s">
        <v>16592</v>
      </c>
      <c r="Q1136" t="s">
        <v>16593</v>
      </c>
      <c r="R1136" t="s">
        <v>16594</v>
      </c>
      <c r="S1136" t="s">
        <v>16595</v>
      </c>
      <c r="T1136" s="2">
        <v>0.5</v>
      </c>
      <c r="U1136">
        <v>2</v>
      </c>
      <c r="V1136" t="s">
        <v>16596</v>
      </c>
      <c r="W1136" t="s">
        <v>16597</v>
      </c>
      <c r="X1136" t="s">
        <v>16598</v>
      </c>
      <c r="Y1136" t="s">
        <v>16599</v>
      </c>
      <c r="Z1136" t="s">
        <v>16599</v>
      </c>
      <c r="AA1136" t="s">
        <v>16599</v>
      </c>
      <c r="AB1136" t="s">
        <v>16599</v>
      </c>
      <c r="AC1136" t="s">
        <v>16599</v>
      </c>
      <c r="AD1136" t="s">
        <v>16600</v>
      </c>
    </row>
    <row r="1137" spans="1:30">
      <c r="A1137" t="s">
        <v>16601</v>
      </c>
      <c r="B1137">
        <v>10</v>
      </c>
      <c r="C1137">
        <v>1</v>
      </c>
      <c r="D1137">
        <v>2010</v>
      </c>
      <c r="E1137" s="1">
        <v>40452</v>
      </c>
      <c r="F1137" t="s">
        <v>16602</v>
      </c>
      <c r="G1137">
        <v>1</v>
      </c>
      <c r="H1137">
        <v>0</v>
      </c>
      <c r="I1137">
        <v>1</v>
      </c>
      <c r="J1137">
        <v>0</v>
      </c>
      <c r="L1137" t="s">
        <v>16603</v>
      </c>
      <c r="M1137" t="s">
        <v>16604</v>
      </c>
      <c r="N1137" t="s">
        <v>16605</v>
      </c>
      <c r="O1137" t="s">
        <v>16606</v>
      </c>
      <c r="P1137" t="s">
        <v>16607</v>
      </c>
      <c r="Q1137" t="s">
        <v>16608</v>
      </c>
      <c r="R1137" t="s">
        <v>16609</v>
      </c>
      <c r="S1137" t="s">
        <v>16610</v>
      </c>
      <c r="T1137" s="2">
        <v>0.32847222222222222</v>
      </c>
      <c r="U1137">
        <v>1</v>
      </c>
      <c r="V1137" t="s">
        <v>16611</v>
      </c>
      <c r="W1137" t="s">
        <v>16612</v>
      </c>
      <c r="X1137" t="s">
        <v>16613</v>
      </c>
      <c r="Z1137" t="s">
        <v>16614</v>
      </c>
      <c r="AA1137" t="s">
        <v>16614</v>
      </c>
      <c r="AC1137" t="s">
        <v>16614</v>
      </c>
    </row>
    <row r="1138" spans="1:30">
      <c r="A1138" t="s">
        <v>16615</v>
      </c>
      <c r="B1138">
        <v>9</v>
      </c>
      <c r="C1138">
        <v>21</v>
      </c>
      <c r="D1138">
        <v>2010</v>
      </c>
      <c r="E1138" s="1">
        <v>40442</v>
      </c>
      <c r="F1138" t="s">
        <v>16616</v>
      </c>
      <c r="G1138">
        <v>0</v>
      </c>
      <c r="H1138">
        <v>1</v>
      </c>
      <c r="I1138">
        <v>1</v>
      </c>
      <c r="J1138">
        <v>0</v>
      </c>
      <c r="L1138" t="s">
        <v>16617</v>
      </c>
      <c r="M1138" t="s">
        <v>16618</v>
      </c>
      <c r="N1138" t="s">
        <v>16619</v>
      </c>
      <c r="O1138" t="s">
        <v>16620</v>
      </c>
      <c r="P1138" t="s">
        <v>16621</v>
      </c>
      <c r="Q1138" t="s">
        <v>16622</v>
      </c>
      <c r="R1138" t="s">
        <v>16623</v>
      </c>
      <c r="S1138" t="s">
        <v>16624</v>
      </c>
      <c r="T1138" s="2">
        <v>0.58333333333333337</v>
      </c>
      <c r="U1138">
        <v>1</v>
      </c>
      <c r="V1138" t="s">
        <v>16625</v>
      </c>
      <c r="W1138" t="s">
        <v>16626</v>
      </c>
      <c r="X1138" t="s">
        <v>16627</v>
      </c>
      <c r="Y1138" t="s">
        <v>16628</v>
      </c>
      <c r="Z1138" t="s">
        <v>16628</v>
      </c>
      <c r="AA1138" t="s">
        <v>16628</v>
      </c>
      <c r="AB1138" t="s">
        <v>16629</v>
      </c>
      <c r="AC1138" t="s">
        <v>16630</v>
      </c>
      <c r="AD1138" t="s">
        <v>16631</v>
      </c>
    </row>
    <row r="1139" spans="1:30">
      <c r="A1139" t="s">
        <v>16632</v>
      </c>
      <c r="B1139">
        <v>9</v>
      </c>
      <c r="C1139">
        <v>8</v>
      </c>
      <c r="D1139">
        <v>2010</v>
      </c>
      <c r="E1139" s="1">
        <v>40429</v>
      </c>
      <c r="F1139" t="s">
        <v>16633</v>
      </c>
      <c r="G1139">
        <v>0</v>
      </c>
      <c r="H1139">
        <v>2</v>
      </c>
      <c r="I1139">
        <v>2</v>
      </c>
      <c r="J1139">
        <v>0</v>
      </c>
      <c r="L1139" t="s">
        <v>16634</v>
      </c>
      <c r="M1139" t="s">
        <v>16635</v>
      </c>
      <c r="N1139" t="s">
        <v>16636</v>
      </c>
      <c r="O1139" t="s">
        <v>16637</v>
      </c>
      <c r="P1139" t="s">
        <v>16638</v>
      </c>
      <c r="Q1139" t="s">
        <v>16639</v>
      </c>
      <c r="R1139" t="s">
        <v>16640</v>
      </c>
      <c r="T1139" s="2">
        <v>0.64583333333333337</v>
      </c>
      <c r="U1139">
        <v>1</v>
      </c>
      <c r="V1139" t="s">
        <v>16641</v>
      </c>
      <c r="W1139" t="s">
        <v>16642</v>
      </c>
      <c r="X1139" t="s">
        <v>16643</v>
      </c>
      <c r="Z1139" t="s">
        <v>16644</v>
      </c>
      <c r="AA1139" t="s">
        <v>16644</v>
      </c>
      <c r="AB1139" t="s">
        <v>16644</v>
      </c>
      <c r="AC1139" t="s">
        <v>16644</v>
      </c>
    </row>
    <row r="1140" spans="1:30">
      <c r="A1140" t="s">
        <v>16645</v>
      </c>
      <c r="B1140">
        <v>8</v>
      </c>
      <c r="C1140">
        <v>30</v>
      </c>
      <c r="D1140">
        <v>2010</v>
      </c>
      <c r="E1140" s="1">
        <v>40420</v>
      </c>
      <c r="F1140" t="s">
        <v>16646</v>
      </c>
      <c r="G1140">
        <v>1</v>
      </c>
      <c r="H1140">
        <v>0</v>
      </c>
      <c r="I1140">
        <v>1</v>
      </c>
      <c r="J1140">
        <v>0</v>
      </c>
      <c r="L1140" t="s">
        <v>16647</v>
      </c>
      <c r="M1140" t="s">
        <v>16648</v>
      </c>
      <c r="N1140" t="s">
        <v>16649</v>
      </c>
      <c r="O1140" t="s">
        <v>16650</v>
      </c>
      <c r="P1140" t="s">
        <v>16651</v>
      </c>
      <c r="Q1140" t="s">
        <v>16652</v>
      </c>
      <c r="R1140" t="s">
        <v>16653</v>
      </c>
      <c r="S1140" t="s">
        <v>16654</v>
      </c>
      <c r="T1140" s="2">
        <v>0.38611111111111113</v>
      </c>
      <c r="U1140">
        <v>10</v>
      </c>
      <c r="V1140" t="s">
        <v>16655</v>
      </c>
      <c r="W1140" t="s">
        <v>16656</v>
      </c>
      <c r="X1140" t="s">
        <v>16657</v>
      </c>
      <c r="Y1140" t="s">
        <v>16658</v>
      </c>
      <c r="Z1140" t="s">
        <v>16659</v>
      </c>
      <c r="AA1140" t="s">
        <v>16660</v>
      </c>
      <c r="AB1140" t="s">
        <v>16660</v>
      </c>
      <c r="AC1140" t="s">
        <v>16660</v>
      </c>
      <c r="AD1140" t="s">
        <v>16661</v>
      </c>
    </row>
    <row r="1141" spans="1:30">
      <c r="A1141" t="s">
        <v>16662</v>
      </c>
      <c r="B1141">
        <v>5</v>
      </c>
      <c r="C1141">
        <v>18</v>
      </c>
      <c r="D1141">
        <v>2010</v>
      </c>
      <c r="E1141" s="1">
        <v>40316</v>
      </c>
      <c r="F1141" t="s">
        <v>16663</v>
      </c>
      <c r="G1141">
        <v>0</v>
      </c>
      <c r="H1141">
        <v>1</v>
      </c>
      <c r="I1141">
        <v>1</v>
      </c>
      <c r="J1141">
        <v>0</v>
      </c>
      <c r="L1141" t="s">
        <v>16664</v>
      </c>
      <c r="M1141" t="s">
        <v>16665</v>
      </c>
      <c r="N1141" t="s">
        <v>16666</v>
      </c>
      <c r="O1141" t="s">
        <v>16667</v>
      </c>
      <c r="P1141" t="s">
        <v>16668</v>
      </c>
      <c r="Q1141" t="s">
        <v>16669</v>
      </c>
      <c r="R1141" t="s">
        <v>16670</v>
      </c>
      <c r="S1141" t="s">
        <v>16671</v>
      </c>
      <c r="T1141" s="2">
        <v>0.32708333333333334</v>
      </c>
      <c r="U1141">
        <v>1</v>
      </c>
      <c r="V1141" t="s">
        <v>16672</v>
      </c>
      <c r="W1141" t="s">
        <v>16673</v>
      </c>
      <c r="X1141" t="s">
        <v>16674</v>
      </c>
      <c r="Z1141" t="s">
        <v>16675</v>
      </c>
      <c r="AA1141" t="s">
        <v>16675</v>
      </c>
    </row>
    <row r="1142" spans="1:30">
      <c r="A1142" t="s">
        <v>16676</v>
      </c>
      <c r="B1142">
        <v>4</v>
      </c>
      <c r="C1142">
        <v>28</v>
      </c>
      <c r="D1142">
        <v>2010</v>
      </c>
      <c r="E1142" s="1">
        <v>40296</v>
      </c>
      <c r="F1142" t="s">
        <v>16677</v>
      </c>
      <c r="G1142">
        <v>0</v>
      </c>
      <c r="H1142">
        <v>0</v>
      </c>
      <c r="I1142">
        <v>0</v>
      </c>
      <c r="J1142">
        <v>0</v>
      </c>
      <c r="L1142" t="s">
        <v>16678</v>
      </c>
      <c r="M1142" t="s">
        <v>16679</v>
      </c>
      <c r="N1142" t="s">
        <v>16680</v>
      </c>
      <c r="O1142" t="s">
        <v>16681</v>
      </c>
      <c r="P1142" t="s">
        <v>16682</v>
      </c>
      <c r="Q1142" t="s">
        <v>16683</v>
      </c>
      <c r="R1142" t="s">
        <v>16684</v>
      </c>
      <c r="S1142" t="s">
        <v>16685</v>
      </c>
      <c r="T1142" s="2">
        <v>0.51041666666666663</v>
      </c>
      <c r="U1142">
        <v>1</v>
      </c>
      <c r="V1142" t="s">
        <v>16686</v>
      </c>
      <c r="W1142" t="s">
        <v>16687</v>
      </c>
      <c r="X1142" t="s">
        <v>16688</v>
      </c>
      <c r="Z1142" t="s">
        <v>16689</v>
      </c>
      <c r="AA1142" t="s">
        <v>16689</v>
      </c>
      <c r="AB1142" t="s">
        <v>16690</v>
      </c>
      <c r="AC1142" t="s">
        <v>16691</v>
      </c>
      <c r="AD1142" t="s">
        <v>16692</v>
      </c>
    </row>
    <row r="1143" spans="1:30">
      <c r="A1143" t="s">
        <v>16693</v>
      </c>
      <c r="B1143">
        <v>2</v>
      </c>
      <c r="C1143">
        <v>26</v>
      </c>
      <c r="D1143">
        <v>2010</v>
      </c>
      <c r="E1143" s="1">
        <v>40235</v>
      </c>
      <c r="F1143" t="s">
        <v>16694</v>
      </c>
      <c r="G1143">
        <v>1</v>
      </c>
      <c r="H1143">
        <v>0</v>
      </c>
      <c r="I1143">
        <v>1</v>
      </c>
      <c r="J1143">
        <v>0</v>
      </c>
      <c r="L1143" t="s">
        <v>16695</v>
      </c>
      <c r="M1143" t="s">
        <v>16696</v>
      </c>
      <c r="N1143" t="s">
        <v>16697</v>
      </c>
      <c r="O1143" t="s">
        <v>16698</v>
      </c>
      <c r="P1143" t="s">
        <v>16699</v>
      </c>
      <c r="Q1143" t="s">
        <v>16700</v>
      </c>
      <c r="R1143" t="s">
        <v>16701</v>
      </c>
      <c r="S1143" t="s">
        <v>16702</v>
      </c>
      <c r="U1143">
        <v>1</v>
      </c>
      <c r="V1143" t="s">
        <v>16703</v>
      </c>
      <c r="W1143" t="s">
        <v>16704</v>
      </c>
      <c r="X1143" t="s">
        <v>16705</v>
      </c>
      <c r="Z1143" t="s">
        <v>16706</v>
      </c>
      <c r="AA1143" t="s">
        <v>16706</v>
      </c>
      <c r="AB1143" t="s">
        <v>16706</v>
      </c>
      <c r="AC1143" t="s">
        <v>16706</v>
      </c>
    </row>
    <row r="1144" spans="1:30">
      <c r="A1144" t="s">
        <v>16707</v>
      </c>
      <c r="B1144">
        <v>2</v>
      </c>
      <c r="C1144">
        <v>23</v>
      </c>
      <c r="D1144">
        <v>2010</v>
      </c>
      <c r="E1144" s="1">
        <v>40232</v>
      </c>
      <c r="F1144" t="s">
        <v>16708</v>
      </c>
      <c r="G1144">
        <v>0</v>
      </c>
      <c r="H1144">
        <v>2</v>
      </c>
      <c r="I1144">
        <v>2</v>
      </c>
      <c r="J1144">
        <v>0</v>
      </c>
      <c r="K1144" t="s">
        <v>16709</v>
      </c>
      <c r="L1144" t="s">
        <v>16710</v>
      </c>
      <c r="M1144" t="s">
        <v>16711</v>
      </c>
      <c r="N1144" t="s">
        <v>16712</v>
      </c>
      <c r="O1144" t="s">
        <v>16713</v>
      </c>
      <c r="P1144" t="s">
        <v>16714</v>
      </c>
      <c r="Q1144" t="s">
        <v>16715</v>
      </c>
      <c r="R1144" t="s">
        <v>16716</v>
      </c>
      <c r="S1144" t="s">
        <v>16717</v>
      </c>
      <c r="T1144" s="2">
        <v>0.63472222222222219</v>
      </c>
      <c r="U1144">
        <v>1</v>
      </c>
      <c r="V1144" t="s">
        <v>16718</v>
      </c>
      <c r="W1144" t="s">
        <v>16719</v>
      </c>
      <c r="X1144" t="s">
        <v>16720</v>
      </c>
      <c r="Y1144" t="s">
        <v>16721</v>
      </c>
      <c r="Z1144" t="s">
        <v>16721</v>
      </c>
      <c r="AA1144" t="s">
        <v>16721</v>
      </c>
      <c r="AC1144" t="s">
        <v>16721</v>
      </c>
      <c r="AD1144" t="s">
        <v>16722</v>
      </c>
    </row>
    <row r="1145" spans="1:30">
      <c r="A1145" t="s">
        <v>16723</v>
      </c>
      <c r="B1145">
        <v>2</v>
      </c>
      <c r="C1145">
        <v>10</v>
      </c>
      <c r="D1145">
        <v>2010</v>
      </c>
      <c r="E1145" s="1">
        <v>40219</v>
      </c>
      <c r="F1145" t="s">
        <v>16724</v>
      </c>
      <c r="G1145">
        <v>0</v>
      </c>
      <c r="H1145">
        <v>2</v>
      </c>
      <c r="I1145">
        <v>2</v>
      </c>
      <c r="J1145">
        <v>0</v>
      </c>
      <c r="K1145" t="s">
        <v>16725</v>
      </c>
      <c r="L1145" t="s">
        <v>16726</v>
      </c>
      <c r="M1145" t="s">
        <v>16727</v>
      </c>
      <c r="N1145" t="s">
        <v>16728</v>
      </c>
      <c r="O1145" t="s">
        <v>16729</v>
      </c>
      <c r="P1145" t="s">
        <v>16730</v>
      </c>
      <c r="Q1145" t="s">
        <v>16731</v>
      </c>
      <c r="R1145" t="s">
        <v>16732</v>
      </c>
      <c r="S1145" t="s">
        <v>16733</v>
      </c>
      <c r="T1145" s="2">
        <v>0.54166666666666663</v>
      </c>
      <c r="U1145">
        <v>1</v>
      </c>
      <c r="V1145" t="s">
        <v>16734</v>
      </c>
      <c r="W1145" t="s">
        <v>16735</v>
      </c>
      <c r="X1145" t="s">
        <v>16736</v>
      </c>
      <c r="Y1145" t="s">
        <v>16737</v>
      </c>
      <c r="Z1145" t="s">
        <v>16737</v>
      </c>
      <c r="AA1145" t="s">
        <v>16737</v>
      </c>
      <c r="AB1145" t="s">
        <v>16737</v>
      </c>
      <c r="AC1145" t="s">
        <v>16737</v>
      </c>
      <c r="AD1145" t="s">
        <v>16737</v>
      </c>
    </row>
    <row r="1146" spans="1:30">
      <c r="A1146" t="s">
        <v>16738</v>
      </c>
      <c r="B1146">
        <v>2</v>
      </c>
      <c r="C1146">
        <v>5</v>
      </c>
      <c r="D1146">
        <v>2010</v>
      </c>
      <c r="E1146" s="1">
        <v>40214</v>
      </c>
      <c r="F1146" t="s">
        <v>16739</v>
      </c>
      <c r="G1146">
        <v>1</v>
      </c>
      <c r="H1146">
        <v>0</v>
      </c>
      <c r="I1146">
        <v>1</v>
      </c>
      <c r="J1146">
        <v>0</v>
      </c>
      <c r="L1146" t="s">
        <v>16740</v>
      </c>
      <c r="M1146" t="s">
        <v>16741</v>
      </c>
      <c r="N1146" t="s">
        <v>16742</v>
      </c>
      <c r="O1146" t="s">
        <v>16743</v>
      </c>
      <c r="P1146" t="s">
        <v>16744</v>
      </c>
      <c r="Q1146" t="s">
        <v>16745</v>
      </c>
      <c r="R1146" t="s">
        <v>16746</v>
      </c>
      <c r="S1146" t="s">
        <v>16747</v>
      </c>
      <c r="T1146" s="2">
        <v>0.57291666666666663</v>
      </c>
      <c r="U1146">
        <v>1</v>
      </c>
      <c r="V1146" t="s">
        <v>16748</v>
      </c>
      <c r="W1146" t="s">
        <v>16749</v>
      </c>
      <c r="X1146" t="s">
        <v>16750</v>
      </c>
      <c r="Y1146" t="s">
        <v>16751</v>
      </c>
      <c r="Z1146" t="s">
        <v>16751</v>
      </c>
      <c r="AA1146" t="s">
        <v>16751</v>
      </c>
      <c r="AC1146" t="s">
        <v>16751</v>
      </c>
      <c r="AD1146" t="s">
        <v>16752</v>
      </c>
    </row>
    <row r="1147" spans="1:30">
      <c r="A1147" t="s">
        <v>16753</v>
      </c>
      <c r="B1147">
        <v>1</v>
      </c>
      <c r="C1147">
        <v>20</v>
      </c>
      <c r="D1147">
        <v>2010</v>
      </c>
      <c r="E1147" s="1">
        <v>40198</v>
      </c>
      <c r="F1147" t="s">
        <v>16754</v>
      </c>
      <c r="G1147">
        <v>0</v>
      </c>
      <c r="H1147">
        <v>1</v>
      </c>
      <c r="I1147">
        <v>1</v>
      </c>
      <c r="J1147">
        <v>0</v>
      </c>
      <c r="L1147" t="s">
        <v>16755</v>
      </c>
      <c r="M1147" t="s">
        <v>16756</v>
      </c>
      <c r="N1147" t="s">
        <v>16757</v>
      </c>
      <c r="O1147" t="s">
        <v>16758</v>
      </c>
      <c r="P1147" t="s">
        <v>16759</v>
      </c>
      <c r="Q1147" t="s">
        <v>16760</v>
      </c>
      <c r="R1147" t="s">
        <v>16761</v>
      </c>
      <c r="S1147" t="s">
        <v>16762</v>
      </c>
      <c r="T1147" s="2">
        <v>0.625</v>
      </c>
      <c r="U1147">
        <v>1</v>
      </c>
      <c r="V1147" t="s">
        <v>16763</v>
      </c>
      <c r="W1147" t="s">
        <v>16764</v>
      </c>
      <c r="X1147" t="s">
        <v>16765</v>
      </c>
      <c r="Y1147" t="s">
        <v>16766</v>
      </c>
      <c r="Z1147" t="s">
        <v>16766</v>
      </c>
      <c r="AA1147" t="s">
        <v>16766</v>
      </c>
      <c r="AB1147" t="s">
        <v>16766</v>
      </c>
      <c r="AC1147" t="s">
        <v>16767</v>
      </c>
      <c r="AD1147" t="s">
        <v>16768</v>
      </c>
    </row>
    <row r="1148" spans="1:30">
      <c r="A1148" t="s">
        <v>16769</v>
      </c>
      <c r="B1148">
        <v>12</v>
      </c>
      <c r="C1148">
        <v>11</v>
      </c>
      <c r="D1148">
        <v>2009</v>
      </c>
      <c r="E1148" s="1">
        <v>40158</v>
      </c>
      <c r="F1148" t="s">
        <v>16770</v>
      </c>
      <c r="G1148">
        <v>0</v>
      </c>
      <c r="H1148">
        <v>1</v>
      </c>
      <c r="I1148">
        <v>1</v>
      </c>
      <c r="J1148">
        <v>0</v>
      </c>
      <c r="L1148" t="s">
        <v>16771</v>
      </c>
      <c r="M1148" t="s">
        <v>16772</v>
      </c>
      <c r="N1148" t="s">
        <v>16773</v>
      </c>
      <c r="O1148" t="s">
        <v>16774</v>
      </c>
      <c r="P1148" t="s">
        <v>16775</v>
      </c>
      <c r="Q1148" t="s">
        <v>16776</v>
      </c>
      <c r="R1148" t="s">
        <v>16777</v>
      </c>
      <c r="S1148" t="s">
        <v>16778</v>
      </c>
      <c r="T1148" s="2">
        <v>0.34027777777777773</v>
      </c>
      <c r="U1148">
        <v>1</v>
      </c>
      <c r="V1148" t="s">
        <v>16779</v>
      </c>
      <c r="W1148" t="s">
        <v>16780</v>
      </c>
      <c r="X1148" t="s">
        <v>16781</v>
      </c>
      <c r="Y1148" t="s">
        <v>16782</v>
      </c>
      <c r="Z1148" t="s">
        <v>16782</v>
      </c>
      <c r="AA1148" t="s">
        <v>16782</v>
      </c>
      <c r="AB1148" t="s">
        <v>16782</v>
      </c>
      <c r="AC1148" t="s">
        <v>16783</v>
      </c>
    </row>
    <row r="1149" spans="1:30">
      <c r="A1149" t="s">
        <v>16784</v>
      </c>
      <c r="B1149">
        <v>11</v>
      </c>
      <c r="C1149">
        <v>6</v>
      </c>
      <c r="D1149">
        <v>2009</v>
      </c>
      <c r="E1149" s="1">
        <v>40123</v>
      </c>
      <c r="F1149" t="s">
        <v>16785</v>
      </c>
      <c r="G1149">
        <v>0</v>
      </c>
      <c r="H1149">
        <v>1</v>
      </c>
      <c r="I1149">
        <v>1</v>
      </c>
      <c r="J1149">
        <v>0</v>
      </c>
      <c r="L1149" t="s">
        <v>16786</v>
      </c>
      <c r="M1149" t="s">
        <v>16787</v>
      </c>
      <c r="N1149" t="s">
        <v>16788</v>
      </c>
      <c r="O1149" t="s">
        <v>16789</v>
      </c>
      <c r="P1149" t="s">
        <v>16790</v>
      </c>
      <c r="Q1149" t="s">
        <v>16790</v>
      </c>
      <c r="R1149" t="s">
        <v>16791</v>
      </c>
      <c r="S1149" t="s">
        <v>16792</v>
      </c>
      <c r="T1149" s="2">
        <v>0.33333333333333331</v>
      </c>
      <c r="U1149">
        <v>1</v>
      </c>
      <c r="V1149" t="s">
        <v>16793</v>
      </c>
      <c r="W1149" t="s">
        <v>16794</v>
      </c>
      <c r="X1149" t="s">
        <v>16795</v>
      </c>
      <c r="Z1149" t="s">
        <v>16796</v>
      </c>
      <c r="AA1149" t="s">
        <v>16796</v>
      </c>
      <c r="AB1149" t="s">
        <v>16797</v>
      </c>
      <c r="AC1149" t="s">
        <v>16798</v>
      </c>
    </row>
    <row r="1150" spans="1:30">
      <c r="A1150" t="s">
        <v>16799</v>
      </c>
      <c r="B1150">
        <v>10</v>
      </c>
      <c r="C1150">
        <v>30</v>
      </c>
      <c r="D1150">
        <v>2009</v>
      </c>
      <c r="E1150" s="1">
        <v>40116</v>
      </c>
      <c r="F1150" t="s">
        <v>16800</v>
      </c>
      <c r="G1150">
        <v>1</v>
      </c>
      <c r="H1150">
        <v>2</v>
      </c>
      <c r="I1150">
        <v>3</v>
      </c>
      <c r="J1150">
        <v>0</v>
      </c>
      <c r="L1150" t="s">
        <v>16801</v>
      </c>
      <c r="M1150" t="s">
        <v>16802</v>
      </c>
      <c r="N1150" t="s">
        <v>16803</v>
      </c>
      <c r="O1150" t="s">
        <v>16804</v>
      </c>
      <c r="P1150" t="s">
        <v>16805</v>
      </c>
      <c r="Q1150" t="s">
        <v>16806</v>
      </c>
      <c r="R1150" t="s">
        <v>16807</v>
      </c>
      <c r="S1150" t="s">
        <v>16808</v>
      </c>
      <c r="U1150">
        <v>1</v>
      </c>
      <c r="V1150" t="s">
        <v>16809</v>
      </c>
      <c r="W1150" t="s">
        <v>16810</v>
      </c>
      <c r="X1150" t="s">
        <v>16811</v>
      </c>
      <c r="Y1150" t="s">
        <v>16812</v>
      </c>
      <c r="Z1150" t="s">
        <v>16812</v>
      </c>
      <c r="AA1150" t="s">
        <v>16812</v>
      </c>
      <c r="AB1150" t="s">
        <v>16812</v>
      </c>
      <c r="AC1150" t="s">
        <v>16812</v>
      </c>
    </row>
    <row r="1151" spans="1:30">
      <c r="A1151" t="s">
        <v>16813</v>
      </c>
      <c r="B1151">
        <v>10</v>
      </c>
      <c r="C1151">
        <v>16</v>
      </c>
      <c r="D1151">
        <v>2009</v>
      </c>
      <c r="E1151" s="1">
        <v>40102</v>
      </c>
      <c r="F1151" t="s">
        <v>16814</v>
      </c>
      <c r="G1151">
        <v>1</v>
      </c>
      <c r="H1151">
        <v>0</v>
      </c>
      <c r="I1151">
        <v>1</v>
      </c>
      <c r="J1151">
        <v>0</v>
      </c>
      <c r="L1151" t="s">
        <v>16815</v>
      </c>
      <c r="M1151" t="s">
        <v>16816</v>
      </c>
      <c r="N1151" t="s">
        <v>16817</v>
      </c>
      <c r="O1151" t="s">
        <v>16818</v>
      </c>
      <c r="P1151" t="s">
        <v>16819</v>
      </c>
      <c r="Q1151" t="s">
        <v>16819</v>
      </c>
      <c r="R1151" t="s">
        <v>16820</v>
      </c>
      <c r="S1151" t="s">
        <v>16821</v>
      </c>
      <c r="T1151" s="2">
        <v>0.35069444444444442</v>
      </c>
      <c r="U1151">
        <v>1</v>
      </c>
      <c r="V1151" t="s">
        <v>16822</v>
      </c>
      <c r="W1151" t="s">
        <v>16823</v>
      </c>
      <c r="X1151" t="s">
        <v>16824</v>
      </c>
      <c r="Y1151" t="s">
        <v>16825</v>
      </c>
      <c r="Z1151" t="s">
        <v>16825</v>
      </c>
      <c r="AA1151" t="s">
        <v>16825</v>
      </c>
      <c r="AB1151" t="s">
        <v>16826</v>
      </c>
      <c r="AC1151" t="s">
        <v>16826</v>
      </c>
      <c r="AD1151" t="s">
        <v>16826</v>
      </c>
    </row>
    <row r="1152" spans="1:30">
      <c r="A1152" t="s">
        <v>16827</v>
      </c>
      <c r="B1152">
        <v>10</v>
      </c>
      <c r="C1152">
        <v>8</v>
      </c>
      <c r="D1152">
        <v>2009</v>
      </c>
      <c r="E1152" s="1">
        <v>40094</v>
      </c>
      <c r="F1152" t="s">
        <v>16828</v>
      </c>
      <c r="G1152">
        <v>0</v>
      </c>
      <c r="H1152">
        <v>1</v>
      </c>
      <c r="I1152">
        <v>1</v>
      </c>
      <c r="J1152">
        <v>0</v>
      </c>
      <c r="L1152" t="s">
        <v>16829</v>
      </c>
      <c r="M1152" t="s">
        <v>16830</v>
      </c>
      <c r="N1152" t="s">
        <v>16831</v>
      </c>
      <c r="O1152" t="s">
        <v>16832</v>
      </c>
      <c r="P1152" t="s">
        <v>16833</v>
      </c>
      <c r="Q1152" t="s">
        <v>16834</v>
      </c>
      <c r="R1152" t="s">
        <v>16835</v>
      </c>
      <c r="S1152" t="s">
        <v>16836</v>
      </c>
      <c r="T1152" s="2">
        <v>0.57847222222222217</v>
      </c>
      <c r="U1152">
        <v>1</v>
      </c>
      <c r="V1152" t="s">
        <v>16837</v>
      </c>
      <c r="W1152" t="s">
        <v>16838</v>
      </c>
      <c r="X1152" t="s">
        <v>16839</v>
      </c>
      <c r="Y1152" t="s">
        <v>16840</v>
      </c>
      <c r="Z1152" t="s">
        <v>16840</v>
      </c>
      <c r="AA1152" t="s">
        <v>16840</v>
      </c>
      <c r="AB1152" t="s">
        <v>16840</v>
      </c>
      <c r="AC1152" t="s">
        <v>16840</v>
      </c>
    </row>
    <row r="1153" spans="1:30">
      <c r="A1153" t="s">
        <v>16841</v>
      </c>
      <c r="B1153">
        <v>9</v>
      </c>
      <c r="C1153">
        <v>16</v>
      </c>
      <c r="D1153">
        <v>2009</v>
      </c>
      <c r="E1153" s="1">
        <v>40072</v>
      </c>
      <c r="F1153" t="s">
        <v>16842</v>
      </c>
      <c r="G1153">
        <v>0</v>
      </c>
      <c r="H1153">
        <v>0</v>
      </c>
      <c r="I1153">
        <v>0</v>
      </c>
      <c r="J1153">
        <v>0</v>
      </c>
      <c r="L1153" t="s">
        <v>16843</v>
      </c>
      <c r="M1153" t="s">
        <v>16844</v>
      </c>
      <c r="N1153" t="s">
        <v>16845</v>
      </c>
      <c r="O1153" t="s">
        <v>16846</v>
      </c>
      <c r="P1153" t="s">
        <v>16847</v>
      </c>
      <c r="Q1153" t="s">
        <v>16848</v>
      </c>
      <c r="R1153" t="s">
        <v>16849</v>
      </c>
      <c r="S1153" t="s">
        <v>16850</v>
      </c>
      <c r="T1153" s="2">
        <v>0.52083333333333337</v>
      </c>
      <c r="U1153">
        <v>1</v>
      </c>
      <c r="V1153" t="s">
        <v>16851</v>
      </c>
      <c r="W1153" t="s">
        <v>16852</v>
      </c>
      <c r="X1153" t="s">
        <v>16853</v>
      </c>
      <c r="Z1153" t="s">
        <v>16854</v>
      </c>
      <c r="AA1153" t="s">
        <v>16854</v>
      </c>
    </row>
    <row r="1154" spans="1:30">
      <c r="A1154" t="s">
        <v>16855</v>
      </c>
      <c r="B1154">
        <v>9</v>
      </c>
      <c r="C1154">
        <v>8</v>
      </c>
      <c r="D1154">
        <v>2009</v>
      </c>
      <c r="E1154" s="1">
        <v>40064</v>
      </c>
      <c r="F1154" t="s">
        <v>16856</v>
      </c>
      <c r="G1154">
        <v>0</v>
      </c>
      <c r="H1154">
        <v>0</v>
      </c>
      <c r="I1154">
        <v>0</v>
      </c>
      <c r="J1154">
        <v>0</v>
      </c>
      <c r="L1154" t="s">
        <v>16857</v>
      </c>
      <c r="M1154" t="s">
        <v>16858</v>
      </c>
      <c r="N1154" t="s">
        <v>16859</v>
      </c>
      <c r="O1154" t="s">
        <v>16860</v>
      </c>
      <c r="P1154" t="s">
        <v>16861</v>
      </c>
      <c r="Q1154" t="s">
        <v>16862</v>
      </c>
      <c r="R1154" t="s">
        <v>16863</v>
      </c>
      <c r="S1154" t="s">
        <v>16864</v>
      </c>
      <c r="T1154" s="2">
        <v>0.33680555555555552</v>
      </c>
      <c r="U1154">
        <v>1</v>
      </c>
      <c r="V1154" t="s">
        <v>16865</v>
      </c>
      <c r="W1154" t="s">
        <v>16866</v>
      </c>
      <c r="X1154" t="s">
        <v>16867</v>
      </c>
      <c r="Z1154" t="s">
        <v>16868</v>
      </c>
      <c r="AA1154" t="s">
        <v>16868</v>
      </c>
      <c r="AB1154" t="s">
        <v>16868</v>
      </c>
      <c r="AC1154" t="s">
        <v>16868</v>
      </c>
    </row>
    <row r="1155" spans="1:30">
      <c r="A1155" t="s">
        <v>16869</v>
      </c>
      <c r="B1155">
        <v>8</v>
      </c>
      <c r="C1155">
        <v>27</v>
      </c>
      <c r="D1155">
        <v>2009</v>
      </c>
      <c r="E1155" s="1">
        <v>40052</v>
      </c>
      <c r="F1155" t="s">
        <v>16870</v>
      </c>
      <c r="G1155">
        <v>0</v>
      </c>
      <c r="H1155">
        <v>0</v>
      </c>
      <c r="I1155">
        <v>0</v>
      </c>
      <c r="J1155">
        <v>0</v>
      </c>
      <c r="L1155" t="s">
        <v>16871</v>
      </c>
      <c r="M1155" t="s">
        <v>16872</v>
      </c>
      <c r="N1155" t="s">
        <v>16873</v>
      </c>
      <c r="O1155" t="s">
        <v>16874</v>
      </c>
      <c r="P1155" t="s">
        <v>16875</v>
      </c>
      <c r="Q1155" t="s">
        <v>16876</v>
      </c>
      <c r="R1155" t="s">
        <v>16877</v>
      </c>
      <c r="S1155" t="s">
        <v>16878</v>
      </c>
      <c r="T1155" s="2">
        <v>0.66666666666666663</v>
      </c>
      <c r="U1155">
        <v>1</v>
      </c>
      <c r="V1155" t="s">
        <v>16879</v>
      </c>
      <c r="W1155" t="s">
        <v>16880</v>
      </c>
      <c r="X1155" t="s">
        <v>16881</v>
      </c>
      <c r="Y1155" t="s">
        <v>16882</v>
      </c>
      <c r="Z1155" t="s">
        <v>16882</v>
      </c>
      <c r="AA1155" t="s">
        <v>16882</v>
      </c>
      <c r="AB1155" t="s">
        <v>16882</v>
      </c>
      <c r="AC1155" t="s">
        <v>16882</v>
      </c>
    </row>
    <row r="1156" spans="1:30">
      <c r="A1156" t="s">
        <v>16883</v>
      </c>
      <c r="B1156">
        <v>6</v>
      </c>
      <c r="C1156">
        <v>24</v>
      </c>
      <c r="D1156">
        <v>2009</v>
      </c>
      <c r="E1156" s="1">
        <v>39988</v>
      </c>
      <c r="F1156" t="s">
        <v>16884</v>
      </c>
      <c r="G1156">
        <v>1</v>
      </c>
      <c r="H1156">
        <v>0</v>
      </c>
      <c r="I1156">
        <v>1</v>
      </c>
      <c r="J1156">
        <v>0</v>
      </c>
      <c r="L1156" t="s">
        <v>16885</v>
      </c>
      <c r="M1156" t="s">
        <v>16886</v>
      </c>
      <c r="N1156" t="s">
        <v>16887</v>
      </c>
      <c r="O1156" t="s">
        <v>16888</v>
      </c>
      <c r="P1156" t="s">
        <v>16889</v>
      </c>
      <c r="Q1156" t="s">
        <v>16890</v>
      </c>
      <c r="R1156" t="s">
        <v>16891</v>
      </c>
      <c r="S1156" t="s">
        <v>16892</v>
      </c>
      <c r="T1156" s="2">
        <v>0.33333333333333331</v>
      </c>
      <c r="U1156">
        <v>1</v>
      </c>
      <c r="V1156" t="s">
        <v>16893</v>
      </c>
      <c r="W1156" t="s">
        <v>16894</v>
      </c>
      <c r="X1156" t="s">
        <v>16895</v>
      </c>
      <c r="Y1156" t="s">
        <v>16896</v>
      </c>
      <c r="Z1156" t="s">
        <v>16896</v>
      </c>
      <c r="AA1156" t="s">
        <v>16896</v>
      </c>
      <c r="AC1156" t="s">
        <v>16896</v>
      </c>
    </row>
    <row r="1157" spans="1:30">
      <c r="A1157" t="s">
        <v>16897</v>
      </c>
      <c r="B1157">
        <v>6</v>
      </c>
      <c r="C1157">
        <v>15</v>
      </c>
      <c r="D1157">
        <v>2009</v>
      </c>
      <c r="E1157" s="1">
        <v>39979</v>
      </c>
      <c r="F1157" t="s">
        <v>16898</v>
      </c>
      <c r="G1157">
        <v>0</v>
      </c>
      <c r="H1157">
        <v>3</v>
      </c>
      <c r="I1157">
        <v>3</v>
      </c>
      <c r="J1157">
        <v>0</v>
      </c>
      <c r="L1157" t="s">
        <v>16899</v>
      </c>
      <c r="M1157" t="s">
        <v>16900</v>
      </c>
      <c r="N1157" t="s">
        <v>16901</v>
      </c>
      <c r="O1157" t="s">
        <v>16902</v>
      </c>
      <c r="P1157" t="s">
        <v>16903</v>
      </c>
      <c r="Q1157" t="s">
        <v>16904</v>
      </c>
      <c r="R1157" t="s">
        <v>16905</v>
      </c>
      <c r="S1157" t="s">
        <v>16906</v>
      </c>
      <c r="U1157">
        <v>1</v>
      </c>
      <c r="V1157" t="s">
        <v>16907</v>
      </c>
      <c r="W1157" t="s">
        <v>16908</v>
      </c>
      <c r="Z1157" t="s">
        <v>16909</v>
      </c>
      <c r="AA1157" t="s">
        <v>16909</v>
      </c>
      <c r="AC1157" t="s">
        <v>16909</v>
      </c>
    </row>
    <row r="1158" spans="1:30">
      <c r="A1158" t="s">
        <v>16910</v>
      </c>
      <c r="B1158">
        <v>5</v>
      </c>
      <c r="C1158">
        <v>18</v>
      </c>
      <c r="D1158">
        <v>2009</v>
      </c>
      <c r="E1158" s="1">
        <v>39951</v>
      </c>
      <c r="F1158" t="s">
        <v>16911</v>
      </c>
      <c r="G1158">
        <v>0</v>
      </c>
      <c r="H1158">
        <v>0</v>
      </c>
      <c r="I1158">
        <v>0</v>
      </c>
      <c r="J1158">
        <v>1</v>
      </c>
      <c r="K1158" t="s">
        <v>16912</v>
      </c>
      <c r="L1158" t="s">
        <v>16913</v>
      </c>
      <c r="M1158" t="s">
        <v>16914</v>
      </c>
      <c r="N1158" t="s">
        <v>16915</v>
      </c>
      <c r="O1158" t="s">
        <v>16916</v>
      </c>
      <c r="P1158" t="s">
        <v>16917</v>
      </c>
      <c r="Q1158" t="s">
        <v>16918</v>
      </c>
      <c r="R1158" t="s">
        <v>16919</v>
      </c>
      <c r="S1158" t="s">
        <v>16920</v>
      </c>
      <c r="T1158" s="2">
        <v>0.375</v>
      </c>
      <c r="U1158">
        <v>1</v>
      </c>
      <c r="V1158" t="s">
        <v>16921</v>
      </c>
      <c r="W1158" t="s">
        <v>16922</v>
      </c>
      <c r="Y1158" t="s">
        <v>16923</v>
      </c>
      <c r="Z1158" t="s">
        <v>16923</v>
      </c>
      <c r="AA1158" t="s">
        <v>16923</v>
      </c>
      <c r="AC1158" t="s">
        <v>16923</v>
      </c>
      <c r="AD1158" t="s">
        <v>16924</v>
      </c>
    </row>
    <row r="1159" spans="1:30">
      <c r="A1159" t="s">
        <v>16925</v>
      </c>
      <c r="B1159">
        <v>5</v>
      </c>
      <c r="C1159">
        <v>5</v>
      </c>
      <c r="D1159">
        <v>2009</v>
      </c>
      <c r="E1159" s="1">
        <v>39938</v>
      </c>
      <c r="F1159" t="s">
        <v>16926</v>
      </c>
      <c r="G1159">
        <v>0</v>
      </c>
      <c r="H1159">
        <v>0</v>
      </c>
      <c r="I1159">
        <v>0</v>
      </c>
      <c r="J1159">
        <v>1</v>
      </c>
      <c r="L1159" t="s">
        <v>16927</v>
      </c>
      <c r="M1159" t="s">
        <v>16928</v>
      </c>
      <c r="N1159" t="s">
        <v>16929</v>
      </c>
      <c r="O1159" t="s">
        <v>16930</v>
      </c>
      <c r="P1159" t="s">
        <v>16931</v>
      </c>
      <c r="Q1159" t="s">
        <v>16932</v>
      </c>
      <c r="R1159" t="s">
        <v>16933</v>
      </c>
      <c r="S1159" t="s">
        <v>16934</v>
      </c>
      <c r="T1159" s="2">
        <v>0.43402777777777779</v>
      </c>
      <c r="U1159">
        <v>1</v>
      </c>
      <c r="V1159" t="s">
        <v>16935</v>
      </c>
      <c r="W1159" t="s">
        <v>16936</v>
      </c>
      <c r="X1159" t="s">
        <v>16937</v>
      </c>
      <c r="Y1159" t="s">
        <v>16938</v>
      </c>
      <c r="Z1159" t="s">
        <v>16938</v>
      </c>
      <c r="AA1159" t="s">
        <v>16938</v>
      </c>
      <c r="AD1159" t="s">
        <v>16939</v>
      </c>
    </row>
    <row r="1160" spans="1:30">
      <c r="A1160" t="s">
        <v>16940</v>
      </c>
      <c r="B1160">
        <v>5</v>
      </c>
      <c r="C1160">
        <v>1</v>
      </c>
      <c r="D1160">
        <v>2009</v>
      </c>
      <c r="E1160" s="1">
        <v>39934</v>
      </c>
      <c r="F1160" t="s">
        <v>16941</v>
      </c>
      <c r="G1160">
        <v>0</v>
      </c>
      <c r="H1160">
        <v>0</v>
      </c>
      <c r="I1160">
        <v>0</v>
      </c>
      <c r="J1160">
        <v>1</v>
      </c>
      <c r="L1160" t="s">
        <v>16942</v>
      </c>
      <c r="M1160" t="s">
        <v>16943</v>
      </c>
      <c r="N1160" t="s">
        <v>16944</v>
      </c>
      <c r="O1160" t="s">
        <v>16945</v>
      </c>
      <c r="P1160" t="s">
        <v>16946</v>
      </c>
      <c r="Q1160" t="s">
        <v>16947</v>
      </c>
      <c r="R1160" t="s">
        <v>16948</v>
      </c>
      <c r="S1160" t="s">
        <v>16949</v>
      </c>
      <c r="T1160" s="2">
        <v>0.65277777777777779</v>
      </c>
      <c r="U1160">
        <v>1</v>
      </c>
      <c r="V1160" t="s">
        <v>16950</v>
      </c>
      <c r="W1160" t="s">
        <v>16951</v>
      </c>
      <c r="X1160" t="s">
        <v>16952</v>
      </c>
      <c r="Y1160" t="s">
        <v>16953</v>
      </c>
      <c r="Z1160" t="s">
        <v>16953</v>
      </c>
      <c r="AA1160" t="s">
        <v>16953</v>
      </c>
    </row>
    <row r="1161" spans="1:30">
      <c r="A1161" t="s">
        <v>16954</v>
      </c>
      <c r="B1161">
        <v>4</v>
      </c>
      <c r="C1161">
        <v>13</v>
      </c>
      <c r="D1161">
        <v>2009</v>
      </c>
      <c r="E1161" s="1">
        <v>39916</v>
      </c>
      <c r="F1161" t="s">
        <v>16955</v>
      </c>
      <c r="G1161">
        <v>0</v>
      </c>
      <c r="H1161">
        <v>1</v>
      </c>
      <c r="I1161">
        <v>1</v>
      </c>
      <c r="J1161">
        <v>0</v>
      </c>
      <c r="L1161" t="s">
        <v>16956</v>
      </c>
      <c r="M1161" t="s">
        <v>16957</v>
      </c>
      <c r="N1161" t="s">
        <v>16958</v>
      </c>
      <c r="O1161" t="s">
        <v>16959</v>
      </c>
      <c r="P1161" t="s">
        <v>16960</v>
      </c>
      <c r="Q1161" t="s">
        <v>16961</v>
      </c>
      <c r="R1161" t="s">
        <v>16962</v>
      </c>
      <c r="S1161" t="s">
        <v>16963</v>
      </c>
      <c r="U1161">
        <v>1</v>
      </c>
      <c r="V1161" t="s">
        <v>16964</v>
      </c>
      <c r="W1161" t="s">
        <v>16965</v>
      </c>
      <c r="X1161" t="s">
        <v>16966</v>
      </c>
      <c r="Z1161" t="s">
        <v>16967</v>
      </c>
      <c r="AA1161" t="s">
        <v>16967</v>
      </c>
    </row>
    <row r="1162" spans="1:30">
      <c r="A1162" t="s">
        <v>16968</v>
      </c>
      <c r="B1162">
        <v>3</v>
      </c>
      <c r="C1162">
        <v>11</v>
      </c>
      <c r="D1162">
        <v>2009</v>
      </c>
      <c r="E1162" s="1">
        <v>39883</v>
      </c>
      <c r="F1162" t="s">
        <v>16969</v>
      </c>
      <c r="G1162">
        <v>0</v>
      </c>
      <c r="H1162">
        <v>0</v>
      </c>
      <c r="I1162">
        <v>0</v>
      </c>
      <c r="J1162">
        <v>0</v>
      </c>
      <c r="L1162" t="s">
        <v>16970</v>
      </c>
      <c r="M1162" t="s">
        <v>16971</v>
      </c>
      <c r="N1162" t="s">
        <v>16972</v>
      </c>
      <c r="O1162" t="s">
        <v>16973</v>
      </c>
      <c r="P1162" t="s">
        <v>16974</v>
      </c>
      <c r="Q1162" t="s">
        <v>16975</v>
      </c>
      <c r="R1162" t="s">
        <v>16976</v>
      </c>
      <c r="S1162" t="s">
        <v>16977</v>
      </c>
      <c r="U1162">
        <v>1</v>
      </c>
      <c r="V1162" t="s">
        <v>16978</v>
      </c>
      <c r="W1162" t="s">
        <v>16979</v>
      </c>
      <c r="X1162" t="s">
        <v>16980</v>
      </c>
      <c r="Y1162" t="s">
        <v>16981</v>
      </c>
      <c r="Z1162" t="s">
        <v>16982</v>
      </c>
      <c r="AA1162" t="s">
        <v>16982</v>
      </c>
      <c r="AB1162" t="s">
        <v>16983</v>
      </c>
      <c r="AC1162" t="s">
        <v>16983</v>
      </c>
    </row>
    <row r="1163" spans="1:30">
      <c r="A1163" t="s">
        <v>16984</v>
      </c>
      <c r="B1163">
        <v>3</v>
      </c>
      <c r="C1163">
        <v>10</v>
      </c>
      <c r="D1163">
        <v>2009</v>
      </c>
      <c r="E1163" s="1">
        <v>39882</v>
      </c>
      <c r="F1163" t="s">
        <v>16985</v>
      </c>
      <c r="G1163">
        <v>0</v>
      </c>
      <c r="H1163">
        <v>0</v>
      </c>
      <c r="I1163">
        <v>0</v>
      </c>
      <c r="J1163">
        <v>0</v>
      </c>
      <c r="L1163" t="s">
        <v>16986</v>
      </c>
      <c r="M1163" t="s">
        <v>16987</v>
      </c>
      <c r="N1163" t="s">
        <v>16988</v>
      </c>
      <c r="O1163" t="s">
        <v>16989</v>
      </c>
      <c r="P1163" t="s">
        <v>16990</v>
      </c>
      <c r="Q1163" t="s">
        <v>16991</v>
      </c>
      <c r="R1163" t="s">
        <v>16992</v>
      </c>
      <c r="S1163" t="s">
        <v>16993</v>
      </c>
      <c r="T1163" s="2">
        <v>0.30694444444444446</v>
      </c>
      <c r="U1163">
        <v>1</v>
      </c>
      <c r="V1163" t="s">
        <v>16994</v>
      </c>
      <c r="W1163" t="s">
        <v>16995</v>
      </c>
      <c r="Z1163" t="s">
        <v>16996</v>
      </c>
      <c r="AA1163" t="s">
        <v>16996</v>
      </c>
      <c r="AB1163" t="s">
        <v>16996</v>
      </c>
      <c r="AC1163" t="s">
        <v>16996</v>
      </c>
    </row>
    <row r="1164" spans="1:30">
      <c r="A1164" t="s">
        <v>16997</v>
      </c>
      <c r="B1164">
        <v>3</v>
      </c>
      <c r="C1164">
        <v>6</v>
      </c>
      <c r="D1164">
        <v>2009</v>
      </c>
      <c r="E1164" s="1">
        <v>39878</v>
      </c>
      <c r="F1164" t="s">
        <v>16998</v>
      </c>
      <c r="G1164">
        <v>0</v>
      </c>
      <c r="H1164">
        <v>1</v>
      </c>
      <c r="I1164">
        <v>1</v>
      </c>
      <c r="J1164">
        <v>0</v>
      </c>
      <c r="L1164" t="s">
        <v>16999</v>
      </c>
      <c r="M1164" t="s">
        <v>17000</v>
      </c>
      <c r="N1164" t="s">
        <v>17001</v>
      </c>
      <c r="O1164" t="s">
        <v>17002</v>
      </c>
      <c r="P1164" t="s">
        <v>17003</v>
      </c>
      <c r="Q1164" t="s">
        <v>17004</v>
      </c>
      <c r="R1164" t="s">
        <v>17005</v>
      </c>
      <c r="S1164" t="s">
        <v>17006</v>
      </c>
      <c r="T1164" s="2">
        <v>0.91666666666666663</v>
      </c>
      <c r="U1164">
        <v>1</v>
      </c>
      <c r="V1164" t="s">
        <v>17007</v>
      </c>
      <c r="W1164" t="s">
        <v>17008</v>
      </c>
      <c r="X1164" t="s">
        <v>17009</v>
      </c>
      <c r="Z1164" t="s">
        <v>17010</v>
      </c>
      <c r="AA1164" t="s">
        <v>17010</v>
      </c>
      <c r="AB1164" t="s">
        <v>17010</v>
      </c>
      <c r="AC1164" t="s">
        <v>17010</v>
      </c>
    </row>
    <row r="1165" spans="1:30">
      <c r="A1165" t="s">
        <v>17011</v>
      </c>
      <c r="B1165">
        <v>3</v>
      </c>
      <c r="C1165">
        <v>2</v>
      </c>
      <c r="D1165">
        <v>2009</v>
      </c>
      <c r="E1165" s="1">
        <v>39874</v>
      </c>
      <c r="F1165" t="s">
        <v>17012</v>
      </c>
      <c r="G1165">
        <v>0</v>
      </c>
      <c r="H1165">
        <v>0</v>
      </c>
      <c r="I1165">
        <v>0</v>
      </c>
      <c r="J1165">
        <v>0</v>
      </c>
      <c r="L1165" t="s">
        <v>17013</v>
      </c>
      <c r="M1165" t="s">
        <v>17014</v>
      </c>
      <c r="N1165" t="s">
        <v>17015</v>
      </c>
      <c r="O1165" t="s">
        <v>17016</v>
      </c>
      <c r="P1165" t="s">
        <v>17017</v>
      </c>
      <c r="Q1165" t="s">
        <v>17018</v>
      </c>
      <c r="R1165" t="s">
        <v>17019</v>
      </c>
      <c r="S1165" t="s">
        <v>17020</v>
      </c>
      <c r="T1165" s="2">
        <v>0.61805555555555558</v>
      </c>
      <c r="U1165">
        <v>1</v>
      </c>
      <c r="V1165" t="s">
        <v>17021</v>
      </c>
      <c r="W1165" t="s">
        <v>17022</v>
      </c>
      <c r="X1165" t="s">
        <v>17023</v>
      </c>
      <c r="Y1165" t="s">
        <v>17024</v>
      </c>
      <c r="Z1165" t="s">
        <v>17024</v>
      </c>
      <c r="AA1165" t="s">
        <v>17024</v>
      </c>
      <c r="AC1165" t="s">
        <v>17024</v>
      </c>
    </row>
    <row r="1166" spans="1:30">
      <c r="A1166" t="s">
        <v>17025</v>
      </c>
      <c r="B1166">
        <v>2</v>
      </c>
      <c r="C1166">
        <v>23</v>
      </c>
      <c r="D1166">
        <v>2009</v>
      </c>
      <c r="E1166" s="1">
        <v>39867</v>
      </c>
      <c r="F1166" t="s">
        <v>17026</v>
      </c>
      <c r="G1166">
        <v>0</v>
      </c>
      <c r="H1166">
        <v>0</v>
      </c>
      <c r="I1166">
        <v>0</v>
      </c>
      <c r="J1166">
        <v>0</v>
      </c>
      <c r="L1166" t="s">
        <v>17027</v>
      </c>
      <c r="M1166" t="s">
        <v>17028</v>
      </c>
      <c r="N1166" t="s">
        <v>17029</v>
      </c>
      <c r="O1166" t="s">
        <v>17030</v>
      </c>
      <c r="P1166" t="s">
        <v>17031</v>
      </c>
      <c r="Q1166" t="s">
        <v>17032</v>
      </c>
      <c r="R1166" t="s">
        <v>17033</v>
      </c>
      <c r="S1166" t="s">
        <v>17034</v>
      </c>
      <c r="T1166" s="2">
        <v>0.85416666666666674</v>
      </c>
      <c r="U1166">
        <v>1</v>
      </c>
      <c r="V1166" t="s">
        <v>17035</v>
      </c>
      <c r="W1166" t="s">
        <v>17036</v>
      </c>
      <c r="Z1166" t="s">
        <v>17037</v>
      </c>
      <c r="AA1166" t="s">
        <v>17037</v>
      </c>
    </row>
    <row r="1167" spans="1:30">
      <c r="A1167" t="s">
        <v>17038</v>
      </c>
      <c r="B1167">
        <v>2</v>
      </c>
      <c r="C1167">
        <v>20</v>
      </c>
      <c r="D1167">
        <v>2009</v>
      </c>
      <c r="E1167" s="1">
        <v>39864</v>
      </c>
      <c r="F1167" t="s">
        <v>17039</v>
      </c>
      <c r="G1167">
        <v>0</v>
      </c>
      <c r="H1167">
        <v>0</v>
      </c>
      <c r="I1167">
        <v>0</v>
      </c>
      <c r="J1167">
        <v>0</v>
      </c>
      <c r="L1167" t="s">
        <v>17040</v>
      </c>
      <c r="M1167" t="s">
        <v>17041</v>
      </c>
      <c r="N1167" t="s">
        <v>17042</v>
      </c>
      <c r="O1167" t="s">
        <v>17043</v>
      </c>
      <c r="P1167" t="s">
        <v>17044</v>
      </c>
      <c r="Q1167" t="s">
        <v>17045</v>
      </c>
      <c r="R1167" t="s">
        <v>17046</v>
      </c>
      <c r="S1167" t="s">
        <v>17047</v>
      </c>
      <c r="T1167" s="2">
        <v>0.5</v>
      </c>
      <c r="U1167">
        <v>1</v>
      </c>
      <c r="V1167" t="s">
        <v>17048</v>
      </c>
      <c r="W1167" t="s">
        <v>17049</v>
      </c>
      <c r="X1167" t="s">
        <v>17050</v>
      </c>
      <c r="Y1167" t="s">
        <v>17051</v>
      </c>
      <c r="Z1167" t="s">
        <v>17051</v>
      </c>
      <c r="AA1167" t="s">
        <v>17051</v>
      </c>
      <c r="AB1167" t="s">
        <v>17051</v>
      </c>
      <c r="AC1167" t="s">
        <v>17051</v>
      </c>
    </row>
    <row r="1168" spans="1:30">
      <c r="A1168" t="s">
        <v>17052</v>
      </c>
      <c r="B1168">
        <v>2</v>
      </c>
      <c r="C1168">
        <v>17</v>
      </c>
      <c r="D1168">
        <v>2009</v>
      </c>
      <c r="E1168" s="1">
        <v>39861</v>
      </c>
      <c r="F1168" t="s">
        <v>17053</v>
      </c>
      <c r="G1168">
        <v>0</v>
      </c>
      <c r="H1168">
        <v>1</v>
      </c>
      <c r="I1168">
        <v>1</v>
      </c>
      <c r="J1168">
        <v>0</v>
      </c>
      <c r="L1168" t="s">
        <v>17054</v>
      </c>
      <c r="M1168" t="s">
        <v>17055</v>
      </c>
      <c r="N1168" t="s">
        <v>17056</v>
      </c>
      <c r="O1168" t="s">
        <v>17057</v>
      </c>
      <c r="P1168" t="s">
        <v>17058</v>
      </c>
      <c r="Q1168" t="s">
        <v>17059</v>
      </c>
      <c r="R1168" t="s">
        <v>17060</v>
      </c>
      <c r="S1168" t="s">
        <v>17061</v>
      </c>
      <c r="T1168" s="2">
        <v>0.59722222222222221</v>
      </c>
      <c r="U1168">
        <v>2</v>
      </c>
      <c r="V1168" t="s">
        <v>17062</v>
      </c>
      <c r="W1168" t="s">
        <v>17063</v>
      </c>
      <c r="X1168" t="s">
        <v>17064</v>
      </c>
      <c r="Z1168" t="s">
        <v>17065</v>
      </c>
      <c r="AA1168" t="s">
        <v>17065</v>
      </c>
      <c r="AB1168" t="s">
        <v>17065</v>
      </c>
      <c r="AC1168" t="s">
        <v>17065</v>
      </c>
    </row>
    <row r="1169" spans="1:29">
      <c r="A1169" t="s">
        <v>17066</v>
      </c>
      <c r="B1169">
        <v>2</v>
      </c>
      <c r="C1169">
        <v>11</v>
      </c>
      <c r="D1169">
        <v>2009</v>
      </c>
      <c r="E1169" s="1">
        <v>39855</v>
      </c>
      <c r="F1169" t="s">
        <v>17067</v>
      </c>
      <c r="G1169">
        <v>0</v>
      </c>
      <c r="H1169">
        <v>1</v>
      </c>
      <c r="I1169">
        <v>1</v>
      </c>
      <c r="J1169">
        <v>0</v>
      </c>
      <c r="L1169" t="s">
        <v>17068</v>
      </c>
      <c r="M1169" t="s">
        <v>17069</v>
      </c>
      <c r="N1169" t="s">
        <v>17070</v>
      </c>
      <c r="O1169" t="s">
        <v>17071</v>
      </c>
      <c r="P1169" t="s">
        <v>17072</v>
      </c>
      <c r="Q1169" t="s">
        <v>17072</v>
      </c>
      <c r="R1169" t="s">
        <v>17073</v>
      </c>
      <c r="S1169" t="s">
        <v>17074</v>
      </c>
      <c r="U1169">
        <v>1</v>
      </c>
      <c r="V1169" t="s">
        <v>17075</v>
      </c>
      <c r="W1169" t="s">
        <v>17076</v>
      </c>
      <c r="X1169" t="s">
        <v>17077</v>
      </c>
      <c r="Y1169" t="s">
        <v>17078</v>
      </c>
      <c r="Z1169" t="s">
        <v>17078</v>
      </c>
      <c r="AA1169" t="s">
        <v>17078</v>
      </c>
      <c r="AB1169" t="s">
        <v>17078</v>
      </c>
      <c r="AC1169" t="s">
        <v>17078</v>
      </c>
    </row>
    <row r="1170" spans="1:29">
      <c r="A1170" t="s">
        <v>17079</v>
      </c>
      <c r="B1170">
        <v>2</v>
      </c>
      <c r="C1170">
        <v>10</v>
      </c>
      <c r="D1170">
        <v>2009</v>
      </c>
      <c r="E1170" s="1">
        <v>39854</v>
      </c>
      <c r="F1170" t="s">
        <v>17080</v>
      </c>
      <c r="G1170">
        <v>0</v>
      </c>
      <c r="H1170">
        <v>0</v>
      </c>
      <c r="I1170">
        <v>0</v>
      </c>
      <c r="J1170">
        <v>0</v>
      </c>
      <c r="L1170" t="s">
        <v>17081</v>
      </c>
      <c r="M1170" t="s">
        <v>17082</v>
      </c>
      <c r="N1170" t="s">
        <v>17083</v>
      </c>
      <c r="O1170" t="s">
        <v>17084</v>
      </c>
      <c r="P1170" t="s">
        <v>17085</v>
      </c>
      <c r="Q1170" t="s">
        <v>17086</v>
      </c>
      <c r="R1170" t="s">
        <v>17087</v>
      </c>
      <c r="S1170" t="s">
        <v>17088</v>
      </c>
      <c r="T1170" s="2">
        <v>0.58333333333333337</v>
      </c>
      <c r="U1170">
        <v>1</v>
      </c>
      <c r="V1170" t="s">
        <v>17089</v>
      </c>
      <c r="W1170" t="s">
        <v>17090</v>
      </c>
      <c r="X1170" t="s">
        <v>17091</v>
      </c>
      <c r="Y1170" t="s">
        <v>17092</v>
      </c>
      <c r="Z1170" t="s">
        <v>17092</v>
      </c>
      <c r="AA1170" t="s">
        <v>17092</v>
      </c>
      <c r="AB1170" t="s">
        <v>17092</v>
      </c>
      <c r="AC1170" t="s">
        <v>17092</v>
      </c>
    </row>
    <row r="1171" spans="1:29">
      <c r="A1171" t="s">
        <v>17093</v>
      </c>
      <c r="B1171">
        <v>1</v>
      </c>
      <c r="C1171">
        <v>27</v>
      </c>
      <c r="D1171">
        <v>2009</v>
      </c>
      <c r="E1171" s="1">
        <v>39840</v>
      </c>
      <c r="F1171" t="s">
        <v>17094</v>
      </c>
      <c r="G1171">
        <v>0</v>
      </c>
      <c r="H1171">
        <v>0</v>
      </c>
      <c r="I1171">
        <v>0</v>
      </c>
      <c r="J1171">
        <v>0</v>
      </c>
      <c r="L1171" t="s">
        <v>17095</v>
      </c>
      <c r="M1171" t="s">
        <v>17096</v>
      </c>
      <c r="N1171" t="s">
        <v>17097</v>
      </c>
      <c r="O1171" t="s">
        <v>17098</v>
      </c>
      <c r="P1171" t="s">
        <v>17099</v>
      </c>
      <c r="Q1171" t="s">
        <v>17100</v>
      </c>
      <c r="R1171" t="s">
        <v>17101</v>
      </c>
      <c r="S1171" t="s">
        <v>17102</v>
      </c>
      <c r="U1171">
        <v>1</v>
      </c>
      <c r="V1171" t="s">
        <v>17103</v>
      </c>
      <c r="W1171" t="s">
        <v>17104</v>
      </c>
      <c r="X1171" t="s">
        <v>17105</v>
      </c>
      <c r="Y1171" t="s">
        <v>17106</v>
      </c>
      <c r="Z1171" t="s">
        <v>17107</v>
      </c>
      <c r="AA1171" t="s">
        <v>17107</v>
      </c>
      <c r="AB1171" t="s">
        <v>17107</v>
      </c>
      <c r="AC1171" t="s">
        <v>17107</v>
      </c>
    </row>
    <row r="1172" spans="1:29">
      <c r="A1172" t="s">
        <v>17108</v>
      </c>
      <c r="B1172">
        <v>1</v>
      </c>
      <c r="C1172">
        <v>23</v>
      </c>
      <c r="D1172">
        <v>2009</v>
      </c>
      <c r="E1172" s="1">
        <v>39836</v>
      </c>
      <c r="F1172" t="s">
        <v>17109</v>
      </c>
      <c r="G1172">
        <v>1</v>
      </c>
      <c r="H1172">
        <v>0</v>
      </c>
      <c r="I1172">
        <v>1</v>
      </c>
      <c r="J1172">
        <v>0</v>
      </c>
      <c r="L1172" t="s">
        <v>17110</v>
      </c>
      <c r="M1172" t="s">
        <v>17111</v>
      </c>
      <c r="N1172" t="s">
        <v>17112</v>
      </c>
      <c r="O1172" t="s">
        <v>17113</v>
      </c>
      <c r="P1172" t="s">
        <v>17114</v>
      </c>
      <c r="Q1172" t="s">
        <v>17115</v>
      </c>
      <c r="R1172" t="s">
        <v>17116</v>
      </c>
      <c r="S1172" t="s">
        <v>17117</v>
      </c>
      <c r="U1172">
        <v>1</v>
      </c>
      <c r="V1172" t="s">
        <v>17118</v>
      </c>
      <c r="W1172" t="s">
        <v>17119</v>
      </c>
      <c r="X1172" t="s">
        <v>17120</v>
      </c>
      <c r="Y1172" t="s">
        <v>17121</v>
      </c>
      <c r="Z1172" t="s">
        <v>17121</v>
      </c>
      <c r="AA1172" t="s">
        <v>17121</v>
      </c>
      <c r="AB1172" t="s">
        <v>17121</v>
      </c>
      <c r="AC1172" t="s">
        <v>17121</v>
      </c>
    </row>
    <row r="1173" spans="1:29">
      <c r="A1173" t="s">
        <v>17122</v>
      </c>
      <c r="B1173">
        <v>1</v>
      </c>
      <c r="C1173">
        <v>20</v>
      </c>
      <c r="D1173">
        <v>2009</v>
      </c>
      <c r="E1173" s="1">
        <v>39833</v>
      </c>
      <c r="F1173" t="s">
        <v>17123</v>
      </c>
      <c r="G1173">
        <v>0</v>
      </c>
      <c r="H1173">
        <v>1</v>
      </c>
      <c r="I1173">
        <v>1</v>
      </c>
      <c r="J1173">
        <v>0</v>
      </c>
      <c r="L1173" t="s">
        <v>17124</v>
      </c>
      <c r="M1173" t="s">
        <v>17125</v>
      </c>
      <c r="N1173" t="s">
        <v>17126</v>
      </c>
      <c r="O1173" t="s">
        <v>17127</v>
      </c>
      <c r="P1173" t="s">
        <v>17128</v>
      </c>
      <c r="Q1173" t="s">
        <v>17129</v>
      </c>
      <c r="R1173" t="s">
        <v>17130</v>
      </c>
      <c r="S1173" t="s">
        <v>17131</v>
      </c>
      <c r="T1173" s="2">
        <v>0.84861111111111109</v>
      </c>
      <c r="U1173">
        <v>1</v>
      </c>
      <c r="V1173" t="s">
        <v>17132</v>
      </c>
      <c r="W1173" t="s">
        <v>17133</v>
      </c>
      <c r="X1173" t="s">
        <v>17134</v>
      </c>
      <c r="Y1173" t="s">
        <v>17135</v>
      </c>
      <c r="Z1173" t="s">
        <v>17136</v>
      </c>
      <c r="AA1173" t="s">
        <v>17136</v>
      </c>
      <c r="AB1173" t="s">
        <v>17136</v>
      </c>
      <c r="AC1173" t="s">
        <v>17136</v>
      </c>
    </row>
    <row r="1174" spans="1:29">
      <c r="A1174" t="s">
        <v>17137</v>
      </c>
      <c r="B1174">
        <v>1</v>
      </c>
      <c r="C1174">
        <v>20</v>
      </c>
      <c r="D1174">
        <v>2009</v>
      </c>
      <c r="E1174" s="1">
        <v>39833</v>
      </c>
      <c r="F1174" t="s">
        <v>17138</v>
      </c>
      <c r="G1174">
        <v>0</v>
      </c>
      <c r="H1174">
        <v>4</v>
      </c>
      <c r="I1174">
        <v>4</v>
      </c>
      <c r="J1174">
        <v>0</v>
      </c>
      <c r="L1174" t="s">
        <v>17139</v>
      </c>
      <c r="M1174" t="s">
        <v>17140</v>
      </c>
      <c r="N1174" t="s">
        <v>17141</v>
      </c>
      <c r="O1174" t="s">
        <v>17142</v>
      </c>
      <c r="P1174" t="s">
        <v>17143</v>
      </c>
      <c r="Q1174" t="s">
        <v>17144</v>
      </c>
      <c r="R1174" t="s">
        <v>17145</v>
      </c>
      <c r="S1174" t="s">
        <v>17146</v>
      </c>
      <c r="U1174">
        <v>1</v>
      </c>
      <c r="V1174" t="s">
        <v>17147</v>
      </c>
      <c r="W1174" t="s">
        <v>17148</v>
      </c>
      <c r="Y1174" t="s">
        <v>17149</v>
      </c>
      <c r="Z1174" t="s">
        <v>17150</v>
      </c>
      <c r="AA1174" t="s">
        <v>17150</v>
      </c>
      <c r="AC1174" t="s">
        <v>17150</v>
      </c>
    </row>
    <row r="1175" spans="1:29">
      <c r="A1175" t="s">
        <v>17151</v>
      </c>
      <c r="B1175">
        <v>1</v>
      </c>
      <c r="C1175">
        <v>20</v>
      </c>
      <c r="D1175">
        <v>2009</v>
      </c>
      <c r="E1175" s="1">
        <v>39833</v>
      </c>
      <c r="F1175" t="s">
        <v>17152</v>
      </c>
      <c r="G1175">
        <v>0</v>
      </c>
      <c r="H1175">
        <v>1</v>
      </c>
      <c r="I1175">
        <v>1</v>
      </c>
      <c r="J1175">
        <v>0</v>
      </c>
      <c r="L1175" t="s">
        <v>17153</v>
      </c>
      <c r="M1175" t="s">
        <v>17154</v>
      </c>
      <c r="N1175" t="s">
        <v>17155</v>
      </c>
      <c r="O1175" t="s">
        <v>17156</v>
      </c>
      <c r="P1175" t="s">
        <v>17157</v>
      </c>
      <c r="Q1175" t="s">
        <v>17158</v>
      </c>
      <c r="R1175" t="s">
        <v>17159</v>
      </c>
      <c r="S1175" t="s">
        <v>17160</v>
      </c>
      <c r="U1175">
        <v>1</v>
      </c>
      <c r="V1175" t="s">
        <v>17161</v>
      </c>
      <c r="W1175" t="s">
        <v>17162</v>
      </c>
      <c r="Z1175" t="s">
        <v>17163</v>
      </c>
      <c r="AA1175" t="s">
        <v>17163</v>
      </c>
      <c r="AB1175" t="s">
        <v>17163</v>
      </c>
      <c r="AC1175" t="s">
        <v>17163</v>
      </c>
    </row>
    <row r="1176" spans="1:29">
      <c r="A1176" t="s">
        <v>17164</v>
      </c>
      <c r="B1176">
        <v>1</v>
      </c>
      <c r="C1176">
        <v>14</v>
      </c>
      <c r="D1176">
        <v>2009</v>
      </c>
      <c r="E1176" s="1">
        <v>39827</v>
      </c>
      <c r="F1176" t="s">
        <v>17165</v>
      </c>
      <c r="G1176">
        <v>0</v>
      </c>
      <c r="H1176">
        <v>3</v>
      </c>
      <c r="I1176">
        <v>3</v>
      </c>
      <c r="J1176">
        <v>0</v>
      </c>
      <c r="L1176" t="s">
        <v>17166</v>
      </c>
      <c r="M1176" t="s">
        <v>17167</v>
      </c>
      <c r="N1176" t="s">
        <v>17168</v>
      </c>
      <c r="O1176" t="s">
        <v>17169</v>
      </c>
      <c r="P1176" t="s">
        <v>17170</v>
      </c>
      <c r="Q1176" t="s">
        <v>17170</v>
      </c>
      <c r="R1176" t="s">
        <v>17171</v>
      </c>
      <c r="S1176" t="s">
        <v>17172</v>
      </c>
      <c r="T1176" s="2">
        <v>0.46666666666666667</v>
      </c>
      <c r="U1176">
        <v>1</v>
      </c>
      <c r="V1176" t="s">
        <v>17173</v>
      </c>
      <c r="W1176" t="s">
        <v>17174</v>
      </c>
      <c r="X1176" t="s">
        <v>17175</v>
      </c>
      <c r="Y1176" t="s">
        <v>17176</v>
      </c>
      <c r="Z1176" t="s">
        <v>17176</v>
      </c>
      <c r="AA1176" t="s">
        <v>17176</v>
      </c>
      <c r="AB1176" t="s">
        <v>17176</v>
      </c>
      <c r="AC1176" t="s">
        <v>17176</v>
      </c>
    </row>
    <row r="1177" spans="1:29">
      <c r="A1177" t="s">
        <v>17177</v>
      </c>
      <c r="B1177">
        <v>1</v>
      </c>
      <c r="C1177">
        <v>9</v>
      </c>
      <c r="D1177">
        <v>2009</v>
      </c>
      <c r="E1177" s="1">
        <v>39822</v>
      </c>
      <c r="F1177" t="s">
        <v>17178</v>
      </c>
      <c r="G1177">
        <v>0</v>
      </c>
      <c r="H1177">
        <v>5</v>
      </c>
      <c r="I1177">
        <v>5</v>
      </c>
      <c r="J1177">
        <v>0</v>
      </c>
      <c r="L1177" t="s">
        <v>17179</v>
      </c>
      <c r="M1177" t="s">
        <v>17180</v>
      </c>
      <c r="N1177" t="s">
        <v>17181</v>
      </c>
      <c r="O1177" t="s">
        <v>17182</v>
      </c>
      <c r="P1177" t="s">
        <v>17183</v>
      </c>
      <c r="Q1177" t="s">
        <v>17184</v>
      </c>
      <c r="R1177" t="s">
        <v>17185</v>
      </c>
      <c r="S1177" t="s">
        <v>17186</v>
      </c>
      <c r="T1177" s="2">
        <v>0.83333333333333337</v>
      </c>
      <c r="U1177">
        <v>1</v>
      </c>
      <c r="V1177" t="s">
        <v>17187</v>
      </c>
      <c r="W1177" t="s">
        <v>17188</v>
      </c>
      <c r="X1177" t="s">
        <v>17189</v>
      </c>
      <c r="Z1177" t="s">
        <v>17190</v>
      </c>
      <c r="AA1177" t="s">
        <v>17190</v>
      </c>
      <c r="AB1177" t="s">
        <v>17190</v>
      </c>
      <c r="AC1177" t="s">
        <v>17190</v>
      </c>
    </row>
    <row r="1178" spans="1:29">
      <c r="A1178" t="s">
        <v>17191</v>
      </c>
      <c r="B1178">
        <v>1</v>
      </c>
      <c r="C1178">
        <v>8</v>
      </c>
      <c r="D1178">
        <v>2009</v>
      </c>
      <c r="E1178" s="1">
        <v>39821</v>
      </c>
      <c r="F1178" t="s">
        <v>17192</v>
      </c>
      <c r="G1178">
        <v>0</v>
      </c>
      <c r="H1178">
        <v>2</v>
      </c>
      <c r="I1178">
        <v>2</v>
      </c>
      <c r="J1178">
        <v>0</v>
      </c>
      <c r="L1178" t="s">
        <v>17193</v>
      </c>
      <c r="M1178" t="s">
        <v>17194</v>
      </c>
      <c r="N1178" t="s">
        <v>17195</v>
      </c>
      <c r="O1178" t="s">
        <v>17196</v>
      </c>
      <c r="P1178" t="s">
        <v>17197</v>
      </c>
      <c r="Q1178" t="s">
        <v>17198</v>
      </c>
      <c r="R1178" t="s">
        <v>17199</v>
      </c>
      <c r="S1178" t="s">
        <v>17200</v>
      </c>
      <c r="T1178" s="2">
        <v>0.85416666666666674</v>
      </c>
      <c r="U1178">
        <v>1</v>
      </c>
      <c r="V1178" t="s">
        <v>17201</v>
      </c>
      <c r="W1178" t="s">
        <v>17202</v>
      </c>
      <c r="X1178" t="s">
        <v>17203</v>
      </c>
      <c r="Y1178" t="s">
        <v>17204</v>
      </c>
      <c r="Z1178" t="s">
        <v>17204</v>
      </c>
      <c r="AA1178" t="s">
        <v>17204</v>
      </c>
      <c r="AB1178" t="s">
        <v>17204</v>
      </c>
      <c r="AC1178" t="s">
        <v>17204</v>
      </c>
    </row>
    <row r="1179" spans="1:29">
      <c r="A1179" t="s">
        <v>17205</v>
      </c>
      <c r="B1179">
        <v>12</v>
      </c>
      <c r="C1179">
        <v>31</v>
      </c>
      <c r="D1179">
        <v>2008</v>
      </c>
      <c r="E1179" s="1">
        <v>39813</v>
      </c>
      <c r="F1179" t="s">
        <v>17206</v>
      </c>
      <c r="G1179">
        <v>0</v>
      </c>
      <c r="H1179">
        <v>1</v>
      </c>
      <c r="I1179">
        <v>1</v>
      </c>
      <c r="J1179">
        <v>0</v>
      </c>
      <c r="L1179" t="s">
        <v>17207</v>
      </c>
      <c r="M1179" t="s">
        <v>17208</v>
      </c>
      <c r="N1179" t="s">
        <v>17209</v>
      </c>
      <c r="O1179" t="s">
        <v>17210</v>
      </c>
      <c r="P1179" t="s">
        <v>17211</v>
      </c>
      <c r="Q1179" t="s">
        <v>17212</v>
      </c>
      <c r="R1179" t="s">
        <v>17213</v>
      </c>
      <c r="S1179" t="s">
        <v>17214</v>
      </c>
      <c r="U1179">
        <v>1</v>
      </c>
      <c r="V1179" t="s">
        <v>17215</v>
      </c>
      <c r="W1179" t="s">
        <v>17216</v>
      </c>
      <c r="X1179" t="s">
        <v>17217</v>
      </c>
      <c r="Y1179" t="s">
        <v>17218</v>
      </c>
      <c r="Z1179" t="s">
        <v>17218</v>
      </c>
      <c r="AA1179" t="s">
        <v>17218</v>
      </c>
      <c r="AB1179" t="s">
        <v>17218</v>
      </c>
      <c r="AC1179" t="s">
        <v>17218</v>
      </c>
    </row>
    <row r="1180" spans="1:29">
      <c r="A1180" t="s">
        <v>17219</v>
      </c>
      <c r="B1180">
        <v>12</v>
      </c>
      <c r="C1180">
        <v>31</v>
      </c>
      <c r="D1180">
        <v>2008</v>
      </c>
      <c r="E1180" s="1">
        <v>39813</v>
      </c>
      <c r="F1180" t="s">
        <v>17220</v>
      </c>
      <c r="G1180">
        <v>0</v>
      </c>
      <c r="H1180">
        <v>0</v>
      </c>
      <c r="I1180">
        <v>0</v>
      </c>
      <c r="J1180">
        <v>1</v>
      </c>
      <c r="L1180" t="s">
        <v>17221</v>
      </c>
      <c r="M1180" t="s">
        <v>17222</v>
      </c>
      <c r="N1180" t="s">
        <v>17223</v>
      </c>
      <c r="O1180" t="s">
        <v>17224</v>
      </c>
      <c r="P1180" t="s">
        <v>17225</v>
      </c>
      <c r="Q1180" t="s">
        <v>17225</v>
      </c>
      <c r="R1180" t="s">
        <v>17226</v>
      </c>
      <c r="S1180" t="s">
        <v>17227</v>
      </c>
      <c r="U1180">
        <v>1</v>
      </c>
      <c r="V1180" t="s">
        <v>17228</v>
      </c>
      <c r="W1180" t="s">
        <v>17229</v>
      </c>
      <c r="X1180" t="s">
        <v>17230</v>
      </c>
      <c r="Y1180" t="s">
        <v>17231</v>
      </c>
      <c r="Z1180" t="s">
        <v>17231</v>
      </c>
      <c r="AA1180" t="s">
        <v>17231</v>
      </c>
      <c r="AB1180" t="s">
        <v>17231</v>
      </c>
      <c r="AC1180" t="s">
        <v>17231</v>
      </c>
    </row>
    <row r="1181" spans="1:29">
      <c r="A1181" t="s">
        <v>17232</v>
      </c>
      <c r="B1181">
        <v>12</v>
      </c>
      <c r="C1181">
        <v>27</v>
      </c>
      <c r="D1181">
        <v>2008</v>
      </c>
      <c r="E1181" s="1">
        <v>39809</v>
      </c>
      <c r="F1181" t="s">
        <v>17233</v>
      </c>
      <c r="G1181">
        <v>0</v>
      </c>
      <c r="H1181">
        <v>2</v>
      </c>
      <c r="I1181">
        <v>2</v>
      </c>
      <c r="J1181">
        <v>0</v>
      </c>
      <c r="L1181" t="s">
        <v>17234</v>
      </c>
      <c r="M1181" t="s">
        <v>17235</v>
      </c>
      <c r="N1181" t="s">
        <v>17236</v>
      </c>
      <c r="O1181" t="s">
        <v>17237</v>
      </c>
      <c r="P1181" t="s">
        <v>17238</v>
      </c>
      <c r="Q1181" t="s">
        <v>17239</v>
      </c>
      <c r="R1181" t="s">
        <v>17240</v>
      </c>
      <c r="S1181" t="s">
        <v>17241</v>
      </c>
      <c r="T1181" s="2">
        <v>0.41666666666666669</v>
      </c>
      <c r="U1181">
        <v>1</v>
      </c>
      <c r="V1181" t="s">
        <v>17242</v>
      </c>
      <c r="W1181" t="s">
        <v>17243</v>
      </c>
      <c r="Z1181" t="s">
        <v>17244</v>
      </c>
      <c r="AA1181" t="s">
        <v>17244</v>
      </c>
      <c r="AB1181" t="s">
        <v>17244</v>
      </c>
      <c r="AC1181" t="s">
        <v>17244</v>
      </c>
    </row>
    <row r="1182" spans="1:29">
      <c r="A1182" t="s">
        <v>17245</v>
      </c>
      <c r="B1182">
        <v>12</v>
      </c>
      <c r="C1182">
        <v>22</v>
      </c>
      <c r="D1182">
        <v>2008</v>
      </c>
      <c r="E1182" s="1">
        <v>39804</v>
      </c>
      <c r="F1182" t="s">
        <v>17246</v>
      </c>
      <c r="G1182">
        <v>0</v>
      </c>
      <c r="H1182">
        <v>0</v>
      </c>
      <c r="I1182">
        <v>0</v>
      </c>
      <c r="J1182">
        <v>1</v>
      </c>
      <c r="L1182" t="s">
        <v>17247</v>
      </c>
      <c r="M1182" t="s">
        <v>17248</v>
      </c>
      <c r="N1182" t="s">
        <v>17249</v>
      </c>
      <c r="O1182" t="s">
        <v>17250</v>
      </c>
      <c r="P1182" t="s">
        <v>17251</v>
      </c>
      <c r="Q1182" t="s">
        <v>17251</v>
      </c>
      <c r="R1182" t="s">
        <v>17252</v>
      </c>
      <c r="S1182" t="s">
        <v>17253</v>
      </c>
      <c r="U1182">
        <v>1</v>
      </c>
      <c r="V1182" t="s">
        <v>17254</v>
      </c>
      <c r="W1182" t="s">
        <v>17255</v>
      </c>
      <c r="X1182" t="s">
        <v>17256</v>
      </c>
      <c r="Y1182" t="s">
        <v>17257</v>
      </c>
      <c r="Z1182" t="s">
        <v>17257</v>
      </c>
      <c r="AA1182" t="s">
        <v>17257</v>
      </c>
      <c r="AB1182" t="s">
        <v>17257</v>
      </c>
      <c r="AC1182" t="s">
        <v>17257</v>
      </c>
    </row>
    <row r="1183" spans="1:29">
      <c r="A1183" t="s">
        <v>17258</v>
      </c>
      <c r="B1183">
        <v>12</v>
      </c>
      <c r="C1183">
        <v>21</v>
      </c>
      <c r="D1183">
        <v>2008</v>
      </c>
      <c r="E1183" s="1">
        <v>39803</v>
      </c>
      <c r="F1183" t="s">
        <v>17259</v>
      </c>
      <c r="G1183">
        <v>0</v>
      </c>
      <c r="H1183">
        <v>1</v>
      </c>
      <c r="I1183">
        <v>1</v>
      </c>
      <c r="J1183">
        <v>0</v>
      </c>
      <c r="L1183" t="s">
        <v>17260</v>
      </c>
      <c r="M1183" t="s">
        <v>17261</v>
      </c>
      <c r="N1183" t="s">
        <v>17262</v>
      </c>
      <c r="O1183" t="s">
        <v>17263</v>
      </c>
      <c r="P1183" t="s">
        <v>17264</v>
      </c>
      <c r="Q1183" t="s">
        <v>17265</v>
      </c>
      <c r="R1183" t="s">
        <v>17266</v>
      </c>
      <c r="S1183" t="s">
        <v>17267</v>
      </c>
      <c r="T1183" s="2">
        <v>0.80208333333333326</v>
      </c>
      <c r="U1183">
        <v>1</v>
      </c>
      <c r="V1183" t="s">
        <v>17268</v>
      </c>
      <c r="W1183" t="s">
        <v>17269</v>
      </c>
      <c r="X1183" t="s">
        <v>17270</v>
      </c>
      <c r="Z1183" t="s">
        <v>17271</v>
      </c>
      <c r="AA1183" t="s">
        <v>17271</v>
      </c>
      <c r="AB1183" t="s">
        <v>17271</v>
      </c>
      <c r="AC1183" t="s">
        <v>17271</v>
      </c>
    </row>
    <row r="1184" spans="1:29">
      <c r="A1184" t="s">
        <v>17272</v>
      </c>
      <c r="B1184">
        <v>12</v>
      </c>
      <c r="C1184">
        <v>12</v>
      </c>
      <c r="D1184">
        <v>2008</v>
      </c>
      <c r="E1184" s="1">
        <v>39794</v>
      </c>
      <c r="F1184" t="s">
        <v>17273</v>
      </c>
      <c r="G1184">
        <v>1</v>
      </c>
      <c r="H1184">
        <v>0</v>
      </c>
      <c r="I1184">
        <v>1</v>
      </c>
      <c r="J1184">
        <v>0</v>
      </c>
      <c r="L1184" t="s">
        <v>17274</v>
      </c>
      <c r="M1184" t="s">
        <v>17275</v>
      </c>
      <c r="N1184" t="s">
        <v>17276</v>
      </c>
      <c r="O1184" t="s">
        <v>17277</v>
      </c>
      <c r="P1184" t="s">
        <v>17278</v>
      </c>
      <c r="Q1184" t="s">
        <v>17279</v>
      </c>
      <c r="R1184" t="s">
        <v>17280</v>
      </c>
      <c r="S1184" t="s">
        <v>17281</v>
      </c>
      <c r="T1184" s="2">
        <v>0.9375</v>
      </c>
      <c r="U1184">
        <v>1</v>
      </c>
      <c r="V1184" t="s">
        <v>17282</v>
      </c>
      <c r="W1184" t="s">
        <v>17283</v>
      </c>
      <c r="X1184" t="s">
        <v>17284</v>
      </c>
      <c r="Y1184" t="s">
        <v>17285</v>
      </c>
      <c r="Z1184" t="s">
        <v>17286</v>
      </c>
      <c r="AA1184" t="s">
        <v>17286</v>
      </c>
      <c r="AB1184" t="s">
        <v>17286</v>
      </c>
      <c r="AC1184" t="s">
        <v>17286</v>
      </c>
    </row>
    <row r="1185" spans="1:30">
      <c r="A1185" t="s">
        <v>17287</v>
      </c>
      <c r="B1185">
        <v>12</v>
      </c>
      <c r="C1185">
        <v>12</v>
      </c>
      <c r="D1185">
        <v>2008</v>
      </c>
      <c r="E1185" s="1">
        <v>39794</v>
      </c>
      <c r="F1185" t="s">
        <v>17288</v>
      </c>
      <c r="G1185">
        <v>0</v>
      </c>
      <c r="H1185">
        <v>1</v>
      </c>
      <c r="I1185">
        <v>1</v>
      </c>
      <c r="J1185">
        <v>0</v>
      </c>
      <c r="L1185" t="s">
        <v>17289</v>
      </c>
      <c r="M1185" t="s">
        <v>17290</v>
      </c>
      <c r="N1185" t="s">
        <v>17291</v>
      </c>
      <c r="O1185" t="s">
        <v>17292</v>
      </c>
      <c r="P1185" t="s">
        <v>17293</v>
      </c>
      <c r="Q1185" t="s">
        <v>17294</v>
      </c>
      <c r="R1185" t="s">
        <v>17295</v>
      </c>
      <c r="S1185" t="s">
        <v>17296</v>
      </c>
      <c r="T1185" s="2">
        <v>0.85416666666666674</v>
      </c>
      <c r="U1185">
        <v>1</v>
      </c>
      <c r="V1185" t="s">
        <v>17297</v>
      </c>
      <c r="W1185" t="s">
        <v>17298</v>
      </c>
      <c r="X1185" t="s">
        <v>17299</v>
      </c>
      <c r="Y1185" t="s">
        <v>17300</v>
      </c>
      <c r="Z1185" t="s">
        <v>17300</v>
      </c>
      <c r="AA1185" t="s">
        <v>17300</v>
      </c>
      <c r="AB1185" t="s">
        <v>17300</v>
      </c>
      <c r="AC1185" t="s">
        <v>17300</v>
      </c>
    </row>
    <row r="1186" spans="1:30">
      <c r="A1186" t="s">
        <v>17301</v>
      </c>
      <c r="B1186">
        <v>12</v>
      </c>
      <c r="C1186">
        <v>5</v>
      </c>
      <c r="D1186">
        <v>2008</v>
      </c>
      <c r="E1186" s="1">
        <v>39787</v>
      </c>
      <c r="F1186" t="s">
        <v>17302</v>
      </c>
      <c r="G1186">
        <v>0</v>
      </c>
      <c r="H1186">
        <v>0</v>
      </c>
      <c r="I1186">
        <v>0</v>
      </c>
      <c r="J1186">
        <v>1</v>
      </c>
      <c r="L1186" t="s">
        <v>17303</v>
      </c>
      <c r="M1186" t="s">
        <v>17304</v>
      </c>
      <c r="N1186" t="s">
        <v>17305</v>
      </c>
      <c r="O1186" t="s">
        <v>17306</v>
      </c>
      <c r="P1186" t="s">
        <v>17306</v>
      </c>
      <c r="Q1186" t="s">
        <v>17307</v>
      </c>
      <c r="R1186" t="s">
        <v>17308</v>
      </c>
      <c r="S1186" t="s">
        <v>17309</v>
      </c>
      <c r="T1186" s="2">
        <v>0.875</v>
      </c>
      <c r="U1186">
        <v>1</v>
      </c>
      <c r="V1186" t="s">
        <v>17310</v>
      </c>
      <c r="W1186" t="s">
        <v>17311</v>
      </c>
      <c r="X1186" t="s">
        <v>17312</v>
      </c>
      <c r="Y1186" t="s">
        <v>17313</v>
      </c>
      <c r="Z1186" t="s">
        <v>17313</v>
      </c>
      <c r="AA1186" t="s">
        <v>17313</v>
      </c>
      <c r="AB1186" t="s">
        <v>17313</v>
      </c>
      <c r="AC1186" t="s">
        <v>17313</v>
      </c>
    </row>
    <row r="1187" spans="1:30">
      <c r="A1187" t="s">
        <v>17314</v>
      </c>
      <c r="B1187">
        <v>12</v>
      </c>
      <c r="C1187">
        <v>2</v>
      </c>
      <c r="D1187">
        <v>2008</v>
      </c>
      <c r="E1187" s="1">
        <v>39784</v>
      </c>
      <c r="F1187" t="s">
        <v>17315</v>
      </c>
      <c r="G1187">
        <v>1</v>
      </c>
      <c r="H1187">
        <v>1</v>
      </c>
      <c r="I1187">
        <v>2</v>
      </c>
      <c r="J1187">
        <v>0</v>
      </c>
      <c r="L1187" t="s">
        <v>17316</v>
      </c>
      <c r="M1187" t="s">
        <v>17317</v>
      </c>
      <c r="N1187" t="s">
        <v>17318</v>
      </c>
      <c r="O1187" t="s">
        <v>17319</v>
      </c>
      <c r="P1187" t="s">
        <v>17320</v>
      </c>
      <c r="Q1187" t="s">
        <v>17321</v>
      </c>
      <c r="R1187" t="s">
        <v>17322</v>
      </c>
      <c r="S1187" t="s">
        <v>17323</v>
      </c>
      <c r="T1187" s="2">
        <v>0.80972222222222223</v>
      </c>
      <c r="U1187">
        <v>1</v>
      </c>
      <c r="V1187" t="s">
        <v>17324</v>
      </c>
      <c r="W1187" t="s">
        <v>17325</v>
      </c>
      <c r="X1187" t="s">
        <v>17326</v>
      </c>
      <c r="Y1187" t="s">
        <v>17327</v>
      </c>
      <c r="Z1187" t="s">
        <v>17327</v>
      </c>
      <c r="AA1187" t="s">
        <v>17327</v>
      </c>
      <c r="AB1187" t="s">
        <v>17327</v>
      </c>
      <c r="AC1187" t="s">
        <v>17327</v>
      </c>
    </row>
    <row r="1188" spans="1:30">
      <c r="A1188" t="s">
        <v>17328</v>
      </c>
      <c r="B1188">
        <v>11</v>
      </c>
      <c r="C1188">
        <v>30</v>
      </c>
      <c r="D1188">
        <v>2008</v>
      </c>
      <c r="E1188" s="1">
        <v>39782</v>
      </c>
      <c r="F1188" t="s">
        <v>17329</v>
      </c>
      <c r="G1188">
        <v>0</v>
      </c>
      <c r="H1188">
        <v>1</v>
      </c>
      <c r="I1188">
        <v>1</v>
      </c>
      <c r="J1188">
        <v>0</v>
      </c>
      <c r="L1188" t="s">
        <v>17330</v>
      </c>
      <c r="M1188" t="s">
        <v>17331</v>
      </c>
      <c r="N1188" t="s">
        <v>17332</v>
      </c>
      <c r="O1188" t="s">
        <v>17333</v>
      </c>
      <c r="P1188" t="s">
        <v>17334</v>
      </c>
      <c r="Q1188" t="s">
        <v>17335</v>
      </c>
      <c r="R1188" t="s">
        <v>17336</v>
      </c>
      <c r="S1188" t="s">
        <v>17337</v>
      </c>
      <c r="T1188" s="2">
        <v>0.66666666666666663</v>
      </c>
      <c r="U1188">
        <v>1</v>
      </c>
      <c r="V1188" t="s">
        <v>17338</v>
      </c>
      <c r="W1188" t="s">
        <v>17339</v>
      </c>
      <c r="X1188" t="s">
        <v>17340</v>
      </c>
      <c r="Y1188" t="s">
        <v>17341</v>
      </c>
      <c r="Z1188" t="s">
        <v>17342</v>
      </c>
      <c r="AA1188" t="s">
        <v>17342</v>
      </c>
      <c r="AB1188" t="s">
        <v>17342</v>
      </c>
      <c r="AC1188" t="s">
        <v>17342</v>
      </c>
    </row>
    <row r="1189" spans="1:30">
      <c r="A1189" t="s">
        <v>17343</v>
      </c>
      <c r="B1189">
        <v>11</v>
      </c>
      <c r="C1189">
        <v>25</v>
      </c>
      <c r="D1189">
        <v>2008</v>
      </c>
      <c r="E1189" s="1">
        <v>39777</v>
      </c>
      <c r="F1189" t="s">
        <v>17344</v>
      </c>
      <c r="G1189">
        <v>0</v>
      </c>
      <c r="H1189">
        <v>1</v>
      </c>
      <c r="I1189">
        <v>1</v>
      </c>
      <c r="J1189">
        <v>0</v>
      </c>
      <c r="L1189" t="s">
        <v>17345</v>
      </c>
      <c r="M1189" t="s">
        <v>17346</v>
      </c>
      <c r="N1189" t="s">
        <v>17347</v>
      </c>
      <c r="O1189" t="s">
        <v>17348</v>
      </c>
      <c r="P1189" t="s">
        <v>17349</v>
      </c>
      <c r="Q1189" t="s">
        <v>17350</v>
      </c>
      <c r="R1189" t="s">
        <v>17351</v>
      </c>
      <c r="S1189" t="s">
        <v>17352</v>
      </c>
      <c r="T1189" s="2">
        <v>0.90625</v>
      </c>
      <c r="U1189">
        <v>1</v>
      </c>
      <c r="V1189" t="s">
        <v>17353</v>
      </c>
      <c r="W1189" t="s">
        <v>17354</v>
      </c>
      <c r="Z1189" t="s">
        <v>17355</v>
      </c>
      <c r="AA1189" t="s">
        <v>17355</v>
      </c>
      <c r="AB1189" t="s">
        <v>17355</v>
      </c>
      <c r="AC1189" t="s">
        <v>17355</v>
      </c>
    </row>
    <row r="1190" spans="1:30">
      <c r="A1190" t="s">
        <v>17356</v>
      </c>
      <c r="B1190">
        <v>11</v>
      </c>
      <c r="C1190">
        <v>18</v>
      </c>
      <c r="D1190">
        <v>2008</v>
      </c>
      <c r="E1190" s="1">
        <v>39770</v>
      </c>
      <c r="F1190" t="s">
        <v>17357</v>
      </c>
      <c r="G1190">
        <v>0</v>
      </c>
      <c r="H1190">
        <v>1</v>
      </c>
      <c r="I1190">
        <v>1</v>
      </c>
      <c r="J1190">
        <v>0</v>
      </c>
      <c r="L1190" t="s">
        <v>17358</v>
      </c>
      <c r="M1190" t="s">
        <v>17359</v>
      </c>
      <c r="N1190" t="s">
        <v>17360</v>
      </c>
      <c r="O1190" t="s">
        <v>17361</v>
      </c>
      <c r="P1190" t="s">
        <v>17362</v>
      </c>
      <c r="Q1190" t="s">
        <v>17363</v>
      </c>
      <c r="R1190" t="s">
        <v>17364</v>
      </c>
      <c r="S1190" t="s">
        <v>17365</v>
      </c>
      <c r="T1190" s="2">
        <v>0.875</v>
      </c>
      <c r="U1190">
        <v>1</v>
      </c>
      <c r="V1190" t="s">
        <v>17366</v>
      </c>
      <c r="W1190" t="s">
        <v>17367</v>
      </c>
      <c r="X1190" t="s">
        <v>17368</v>
      </c>
      <c r="Y1190" t="s">
        <v>17369</v>
      </c>
      <c r="Z1190" t="s">
        <v>17369</v>
      </c>
      <c r="AA1190" t="s">
        <v>17369</v>
      </c>
      <c r="AB1190" t="s">
        <v>17369</v>
      </c>
      <c r="AC1190" t="s">
        <v>17369</v>
      </c>
    </row>
    <row r="1191" spans="1:30">
      <c r="A1191" t="s">
        <v>17370</v>
      </c>
      <c r="B1191">
        <v>11</v>
      </c>
      <c r="C1191">
        <v>18</v>
      </c>
      <c r="D1191">
        <v>2008</v>
      </c>
      <c r="E1191" s="1">
        <v>39770</v>
      </c>
      <c r="F1191" t="s">
        <v>17371</v>
      </c>
      <c r="G1191">
        <v>0</v>
      </c>
      <c r="H1191">
        <v>0</v>
      </c>
      <c r="I1191">
        <v>0</v>
      </c>
      <c r="J1191">
        <v>0</v>
      </c>
      <c r="L1191" t="s">
        <v>17372</v>
      </c>
      <c r="M1191" t="s">
        <v>17373</v>
      </c>
      <c r="N1191" t="s">
        <v>17374</v>
      </c>
      <c r="O1191" t="s">
        <v>17375</v>
      </c>
      <c r="P1191" t="s">
        <v>17376</v>
      </c>
      <c r="Q1191" t="s">
        <v>17377</v>
      </c>
      <c r="R1191" t="s">
        <v>17378</v>
      </c>
      <c r="S1191" t="s">
        <v>17379</v>
      </c>
      <c r="T1191" s="2">
        <v>0.35416666666666663</v>
      </c>
      <c r="U1191">
        <v>1</v>
      </c>
      <c r="V1191" t="s">
        <v>17380</v>
      </c>
      <c r="W1191" t="s">
        <v>17381</v>
      </c>
      <c r="Y1191" t="s">
        <v>17382</v>
      </c>
      <c r="Z1191" t="s">
        <v>17382</v>
      </c>
      <c r="AA1191" t="s">
        <v>17382</v>
      </c>
      <c r="AB1191" t="s">
        <v>17382</v>
      </c>
      <c r="AC1191" t="s">
        <v>17382</v>
      </c>
    </row>
    <row r="1192" spans="1:30">
      <c r="A1192" t="s">
        <v>17383</v>
      </c>
      <c r="B1192">
        <v>11</v>
      </c>
      <c r="C1192">
        <v>15</v>
      </c>
      <c r="D1192">
        <v>2008</v>
      </c>
      <c r="E1192" s="1">
        <v>39767</v>
      </c>
      <c r="F1192" t="s">
        <v>17384</v>
      </c>
      <c r="G1192">
        <v>1</v>
      </c>
      <c r="H1192">
        <v>0</v>
      </c>
      <c r="I1192">
        <v>1</v>
      </c>
      <c r="J1192">
        <v>0</v>
      </c>
      <c r="L1192" t="s">
        <v>17385</v>
      </c>
      <c r="M1192" t="s">
        <v>17386</v>
      </c>
      <c r="N1192" t="s">
        <v>17387</v>
      </c>
      <c r="O1192" t="s">
        <v>17388</v>
      </c>
      <c r="P1192" t="s">
        <v>17389</v>
      </c>
      <c r="Q1192" t="s">
        <v>17390</v>
      </c>
      <c r="R1192" t="s">
        <v>17391</v>
      </c>
      <c r="S1192" t="s">
        <v>17392</v>
      </c>
      <c r="T1192" s="2">
        <v>5.2083333333333329E-2</v>
      </c>
      <c r="U1192">
        <v>1</v>
      </c>
      <c r="V1192" t="s">
        <v>17393</v>
      </c>
      <c r="W1192" t="s">
        <v>17394</v>
      </c>
      <c r="X1192" t="s">
        <v>17395</v>
      </c>
      <c r="Y1192" t="s">
        <v>17396</v>
      </c>
      <c r="Z1192" t="s">
        <v>17396</v>
      </c>
      <c r="AA1192" t="s">
        <v>17396</v>
      </c>
      <c r="AB1192" t="s">
        <v>17396</v>
      </c>
      <c r="AC1192" t="s">
        <v>17396</v>
      </c>
    </row>
    <row r="1193" spans="1:30">
      <c r="A1193" t="s">
        <v>17397</v>
      </c>
      <c r="B1193">
        <v>11</v>
      </c>
      <c r="C1193">
        <v>15</v>
      </c>
      <c r="D1193">
        <v>2008</v>
      </c>
      <c r="E1193" s="1">
        <v>39767</v>
      </c>
      <c r="F1193" t="s">
        <v>17398</v>
      </c>
      <c r="G1193">
        <v>1</v>
      </c>
      <c r="H1193">
        <v>0</v>
      </c>
      <c r="I1193">
        <v>1</v>
      </c>
      <c r="J1193">
        <v>0</v>
      </c>
      <c r="L1193" t="s">
        <v>17399</v>
      </c>
      <c r="M1193" t="s">
        <v>17400</v>
      </c>
      <c r="N1193" t="s">
        <v>17401</v>
      </c>
      <c r="O1193" t="s">
        <v>17402</v>
      </c>
      <c r="P1193" t="s">
        <v>17403</v>
      </c>
      <c r="Q1193" t="s">
        <v>17404</v>
      </c>
      <c r="R1193" t="s">
        <v>17405</v>
      </c>
      <c r="S1193" t="s">
        <v>17406</v>
      </c>
      <c r="T1193" s="2">
        <v>0.76388888888888884</v>
      </c>
      <c r="U1193">
        <v>1</v>
      </c>
      <c r="V1193" t="s">
        <v>17407</v>
      </c>
      <c r="W1193" t="s">
        <v>17408</v>
      </c>
      <c r="X1193" t="s">
        <v>17409</v>
      </c>
      <c r="Y1193" t="s">
        <v>17410</v>
      </c>
      <c r="Z1193" t="s">
        <v>17410</v>
      </c>
      <c r="AA1193" t="s">
        <v>17410</v>
      </c>
      <c r="AB1193" t="s">
        <v>17410</v>
      </c>
      <c r="AC1193" t="s">
        <v>17410</v>
      </c>
    </row>
    <row r="1194" spans="1:30">
      <c r="A1194" t="s">
        <v>17411</v>
      </c>
      <c r="B1194">
        <v>11</v>
      </c>
      <c r="C1194">
        <v>12</v>
      </c>
      <c r="D1194">
        <v>2008</v>
      </c>
      <c r="E1194" s="1">
        <v>39764</v>
      </c>
      <c r="F1194" t="s">
        <v>17412</v>
      </c>
      <c r="G1194">
        <v>1</v>
      </c>
      <c r="H1194">
        <v>0</v>
      </c>
      <c r="I1194">
        <v>1</v>
      </c>
      <c r="J1194">
        <v>0</v>
      </c>
      <c r="L1194" t="s">
        <v>17413</v>
      </c>
      <c r="M1194" t="s">
        <v>17414</v>
      </c>
      <c r="N1194" t="s">
        <v>17415</v>
      </c>
      <c r="O1194" t="s">
        <v>17416</v>
      </c>
      <c r="P1194" t="s">
        <v>17417</v>
      </c>
      <c r="Q1194" t="s">
        <v>17418</v>
      </c>
      <c r="R1194" t="s">
        <v>17419</v>
      </c>
      <c r="S1194" t="s">
        <v>17420</v>
      </c>
      <c r="T1194" s="2">
        <v>0.45833333333333331</v>
      </c>
      <c r="U1194">
        <v>1</v>
      </c>
      <c r="V1194" t="s">
        <v>17421</v>
      </c>
      <c r="W1194" t="s">
        <v>17422</v>
      </c>
      <c r="X1194" t="s">
        <v>17423</v>
      </c>
      <c r="Y1194" t="s">
        <v>17424</v>
      </c>
      <c r="Z1194" t="s">
        <v>17424</v>
      </c>
      <c r="AA1194" t="s">
        <v>17424</v>
      </c>
      <c r="AB1194" t="s">
        <v>17424</v>
      </c>
      <c r="AC1194" t="s">
        <v>17425</v>
      </c>
    </row>
    <row r="1195" spans="1:30">
      <c r="A1195" t="s">
        <v>17426</v>
      </c>
      <c r="B1195">
        <v>11</v>
      </c>
      <c r="C1195">
        <v>3</v>
      </c>
      <c r="D1195">
        <v>2008</v>
      </c>
      <c r="E1195" s="1">
        <v>39755</v>
      </c>
      <c r="F1195" t="s">
        <v>17427</v>
      </c>
      <c r="G1195">
        <v>0</v>
      </c>
      <c r="H1195">
        <v>0</v>
      </c>
      <c r="I1195">
        <v>0</v>
      </c>
      <c r="J1195">
        <v>0</v>
      </c>
      <c r="L1195" t="s">
        <v>17428</v>
      </c>
      <c r="M1195" t="s">
        <v>17429</v>
      </c>
      <c r="N1195" t="s">
        <v>17430</v>
      </c>
      <c r="O1195" t="s">
        <v>17431</v>
      </c>
      <c r="P1195" t="s">
        <v>17432</v>
      </c>
      <c r="Q1195" t="s">
        <v>17433</v>
      </c>
      <c r="R1195" t="s">
        <v>17434</v>
      </c>
      <c r="S1195" t="s">
        <v>17435</v>
      </c>
      <c r="T1195" s="2">
        <v>0.64930555555555558</v>
      </c>
      <c r="U1195">
        <v>1</v>
      </c>
      <c r="V1195" t="s">
        <v>17436</v>
      </c>
      <c r="W1195" t="s">
        <v>17437</v>
      </c>
      <c r="Y1195" t="s">
        <v>17438</v>
      </c>
      <c r="Z1195" t="s">
        <v>17439</v>
      </c>
      <c r="AA1195" t="s">
        <v>17439</v>
      </c>
      <c r="AB1195" t="s">
        <v>17439</v>
      </c>
      <c r="AC1195" t="s">
        <v>17439</v>
      </c>
    </row>
    <row r="1196" spans="1:30">
      <c r="A1196" t="s">
        <v>17440</v>
      </c>
      <c r="B1196">
        <v>11</v>
      </c>
      <c r="C1196">
        <v>3</v>
      </c>
      <c r="D1196">
        <v>2008</v>
      </c>
      <c r="E1196" s="1">
        <v>39755</v>
      </c>
      <c r="F1196" t="s">
        <v>17441</v>
      </c>
      <c r="G1196">
        <v>1</v>
      </c>
      <c r="H1196">
        <v>0</v>
      </c>
      <c r="I1196">
        <v>1</v>
      </c>
      <c r="J1196">
        <v>0</v>
      </c>
      <c r="L1196" t="s">
        <v>17442</v>
      </c>
      <c r="M1196" t="s">
        <v>17443</v>
      </c>
      <c r="N1196" t="s">
        <v>17444</v>
      </c>
      <c r="O1196" t="s">
        <v>17445</v>
      </c>
      <c r="P1196" t="s">
        <v>17446</v>
      </c>
      <c r="Q1196" t="s">
        <v>17447</v>
      </c>
      <c r="R1196" t="s">
        <v>17448</v>
      </c>
      <c r="S1196" t="s">
        <v>17449</v>
      </c>
      <c r="T1196" s="2">
        <v>0.83333333333333337</v>
      </c>
      <c r="U1196">
        <v>1</v>
      </c>
      <c r="V1196" t="s">
        <v>17450</v>
      </c>
      <c r="W1196" t="s">
        <v>17451</v>
      </c>
      <c r="X1196" t="s">
        <v>17452</v>
      </c>
      <c r="Y1196" t="s">
        <v>17453</v>
      </c>
      <c r="Z1196" t="s">
        <v>17454</v>
      </c>
      <c r="AA1196" t="s">
        <v>17454</v>
      </c>
      <c r="AB1196" t="s">
        <v>17454</v>
      </c>
      <c r="AC1196" t="s">
        <v>17454</v>
      </c>
    </row>
    <row r="1197" spans="1:30">
      <c r="A1197" t="s">
        <v>17455</v>
      </c>
      <c r="B1197">
        <v>10</v>
      </c>
      <c r="C1197">
        <v>31</v>
      </c>
      <c r="D1197">
        <v>2008</v>
      </c>
      <c r="E1197" s="1">
        <v>39752</v>
      </c>
      <c r="F1197" t="s">
        <v>17456</v>
      </c>
      <c r="G1197">
        <v>0</v>
      </c>
      <c r="H1197">
        <v>0</v>
      </c>
      <c r="I1197">
        <v>0</v>
      </c>
      <c r="J1197">
        <v>0</v>
      </c>
      <c r="L1197" t="s">
        <v>17457</v>
      </c>
      <c r="M1197" t="s">
        <v>17458</v>
      </c>
      <c r="N1197" t="s">
        <v>17459</v>
      </c>
      <c r="O1197" t="s">
        <v>17460</v>
      </c>
      <c r="P1197" t="s">
        <v>17461</v>
      </c>
      <c r="Q1197" t="s">
        <v>17462</v>
      </c>
      <c r="R1197" t="s">
        <v>17463</v>
      </c>
      <c r="S1197" t="s">
        <v>17464</v>
      </c>
      <c r="T1197" s="2">
        <v>0.35416666666666663</v>
      </c>
      <c r="U1197">
        <v>34</v>
      </c>
      <c r="V1197" t="s">
        <v>17465</v>
      </c>
      <c r="W1197" t="s">
        <v>17466</v>
      </c>
      <c r="Y1197" t="s">
        <v>17467</v>
      </c>
      <c r="Z1197" t="s">
        <v>17468</v>
      </c>
      <c r="AA1197" t="s">
        <v>17468</v>
      </c>
      <c r="AB1197" t="s">
        <v>17469</v>
      </c>
      <c r="AC1197" t="s">
        <v>17469</v>
      </c>
      <c r="AD1197" t="s">
        <v>17470</v>
      </c>
    </row>
    <row r="1198" spans="1:30">
      <c r="A1198" t="s">
        <v>17471</v>
      </c>
      <c r="B1198">
        <v>10</v>
      </c>
      <c r="C1198">
        <v>29</v>
      </c>
      <c r="D1198">
        <v>2008</v>
      </c>
      <c r="E1198" s="1">
        <v>39750</v>
      </c>
      <c r="F1198" t="s">
        <v>17472</v>
      </c>
      <c r="G1198">
        <v>0</v>
      </c>
      <c r="H1198">
        <v>1</v>
      </c>
      <c r="I1198">
        <v>1</v>
      </c>
      <c r="J1198">
        <v>0</v>
      </c>
      <c r="L1198" t="s">
        <v>17473</v>
      </c>
      <c r="M1198" t="s">
        <v>17474</v>
      </c>
      <c r="N1198" t="s">
        <v>17475</v>
      </c>
      <c r="O1198" t="s">
        <v>17476</v>
      </c>
      <c r="P1198" t="s">
        <v>17477</v>
      </c>
      <c r="Q1198" t="s">
        <v>17478</v>
      </c>
      <c r="R1198" t="s">
        <v>17479</v>
      </c>
      <c r="S1198" t="s">
        <v>17480</v>
      </c>
      <c r="U1198">
        <v>1</v>
      </c>
      <c r="V1198" t="s">
        <v>17481</v>
      </c>
      <c r="W1198" t="s">
        <v>17482</v>
      </c>
      <c r="X1198" t="s">
        <v>17483</v>
      </c>
      <c r="Y1198" t="s">
        <v>17484</v>
      </c>
      <c r="Z1198" t="s">
        <v>17484</v>
      </c>
      <c r="AA1198" t="s">
        <v>17484</v>
      </c>
      <c r="AB1198" t="s">
        <v>17484</v>
      </c>
      <c r="AC1198" t="s">
        <v>17484</v>
      </c>
    </row>
    <row r="1199" spans="1:30">
      <c r="A1199" t="s">
        <v>17485</v>
      </c>
      <c r="B1199">
        <v>10</v>
      </c>
      <c r="C1199">
        <v>23</v>
      </c>
      <c r="D1199">
        <v>2008</v>
      </c>
      <c r="E1199" s="1">
        <v>39744</v>
      </c>
      <c r="F1199" t="s">
        <v>17486</v>
      </c>
      <c r="G1199">
        <v>0</v>
      </c>
      <c r="H1199">
        <v>1</v>
      </c>
      <c r="I1199">
        <v>1</v>
      </c>
      <c r="J1199">
        <v>0</v>
      </c>
      <c r="L1199" t="s">
        <v>17487</v>
      </c>
      <c r="M1199" t="s">
        <v>17488</v>
      </c>
      <c r="N1199" t="s">
        <v>17489</v>
      </c>
      <c r="O1199" t="s">
        <v>17490</v>
      </c>
      <c r="P1199" t="s">
        <v>17491</v>
      </c>
      <c r="Q1199" t="s">
        <v>17492</v>
      </c>
      <c r="R1199" t="s">
        <v>17493</v>
      </c>
      <c r="U1199">
        <v>1</v>
      </c>
      <c r="V1199" t="s">
        <v>17494</v>
      </c>
      <c r="W1199" t="s">
        <v>17495</v>
      </c>
      <c r="X1199" t="s">
        <v>17496</v>
      </c>
      <c r="Y1199" t="s">
        <v>17497</v>
      </c>
      <c r="Z1199" t="s">
        <v>17497</v>
      </c>
      <c r="AA1199" t="s">
        <v>17497</v>
      </c>
      <c r="AB1199" t="s">
        <v>17497</v>
      </c>
      <c r="AC1199" t="s">
        <v>17498</v>
      </c>
    </row>
    <row r="1200" spans="1:30">
      <c r="A1200" t="s">
        <v>17499</v>
      </c>
      <c r="B1200">
        <v>10</v>
      </c>
      <c r="C1200">
        <v>20</v>
      </c>
      <c r="D1200">
        <v>2008</v>
      </c>
      <c r="E1200" s="1">
        <v>39741</v>
      </c>
      <c r="F1200" t="s">
        <v>17500</v>
      </c>
      <c r="G1200">
        <v>0</v>
      </c>
      <c r="H1200">
        <v>0</v>
      </c>
      <c r="I1200">
        <v>0</v>
      </c>
      <c r="J1200">
        <v>1</v>
      </c>
      <c r="L1200" t="s">
        <v>17501</v>
      </c>
      <c r="M1200" t="s">
        <v>17502</v>
      </c>
      <c r="N1200" t="s">
        <v>17503</v>
      </c>
      <c r="O1200" t="s">
        <v>17504</v>
      </c>
      <c r="P1200" t="s">
        <v>17505</v>
      </c>
      <c r="Q1200" t="s">
        <v>17506</v>
      </c>
      <c r="R1200" t="s">
        <v>17507</v>
      </c>
      <c r="S1200" t="s">
        <v>17508</v>
      </c>
      <c r="U1200">
        <v>1</v>
      </c>
      <c r="V1200" t="s">
        <v>17509</v>
      </c>
      <c r="W1200" t="s">
        <v>17510</v>
      </c>
      <c r="X1200" t="s">
        <v>17511</v>
      </c>
      <c r="Y1200" t="s">
        <v>17512</v>
      </c>
      <c r="Z1200" t="s">
        <v>17512</v>
      </c>
      <c r="AA1200" t="s">
        <v>17512</v>
      </c>
      <c r="AB1200" t="s">
        <v>17513</v>
      </c>
      <c r="AC1200" t="s">
        <v>17514</v>
      </c>
    </row>
    <row r="1201" spans="1:30">
      <c r="A1201" t="s">
        <v>17515</v>
      </c>
      <c r="B1201">
        <v>10</v>
      </c>
      <c r="C1201">
        <v>16</v>
      </c>
      <c r="D1201">
        <v>2008</v>
      </c>
      <c r="E1201" s="1">
        <v>39737</v>
      </c>
      <c r="F1201" t="s">
        <v>17516</v>
      </c>
      <c r="G1201">
        <v>1</v>
      </c>
      <c r="H1201">
        <v>3</v>
      </c>
      <c r="I1201">
        <v>4</v>
      </c>
      <c r="J1201">
        <v>0</v>
      </c>
      <c r="L1201" t="s">
        <v>17517</v>
      </c>
      <c r="M1201" t="s">
        <v>17518</v>
      </c>
      <c r="N1201" t="s">
        <v>17519</v>
      </c>
      <c r="O1201" t="s">
        <v>17520</v>
      </c>
      <c r="P1201" t="s">
        <v>17521</v>
      </c>
      <c r="Q1201" t="s">
        <v>17522</v>
      </c>
      <c r="R1201" t="s">
        <v>17523</v>
      </c>
      <c r="S1201" t="s">
        <v>17524</v>
      </c>
      <c r="T1201" s="2">
        <v>0.63541666666666663</v>
      </c>
      <c r="U1201">
        <v>1</v>
      </c>
      <c r="V1201" t="s">
        <v>17525</v>
      </c>
      <c r="W1201" t="s">
        <v>17526</v>
      </c>
      <c r="X1201" t="s">
        <v>17527</v>
      </c>
      <c r="Y1201" t="s">
        <v>17528</v>
      </c>
      <c r="Z1201" t="s">
        <v>17529</v>
      </c>
      <c r="AA1201" t="s">
        <v>17529</v>
      </c>
      <c r="AB1201" t="s">
        <v>17529</v>
      </c>
      <c r="AC1201" t="s">
        <v>17529</v>
      </c>
    </row>
    <row r="1202" spans="1:30">
      <c r="A1202" t="s">
        <v>17530</v>
      </c>
      <c r="B1202">
        <v>9</v>
      </c>
      <c r="C1202">
        <v>19</v>
      </c>
      <c r="D1202">
        <v>2008</v>
      </c>
      <c r="E1202" s="1">
        <v>39710</v>
      </c>
      <c r="F1202" t="s">
        <v>17531</v>
      </c>
      <c r="G1202">
        <v>0</v>
      </c>
      <c r="H1202">
        <v>2</v>
      </c>
      <c r="I1202">
        <v>2</v>
      </c>
      <c r="J1202">
        <v>0</v>
      </c>
      <c r="L1202" t="s">
        <v>17532</v>
      </c>
      <c r="M1202" t="s">
        <v>17533</v>
      </c>
      <c r="N1202" t="s">
        <v>17534</v>
      </c>
      <c r="O1202" t="s">
        <v>17535</v>
      </c>
      <c r="P1202" t="s">
        <v>17536</v>
      </c>
      <c r="Q1202" t="s">
        <v>17537</v>
      </c>
      <c r="R1202" t="s">
        <v>17538</v>
      </c>
      <c r="S1202" t="s">
        <v>17539</v>
      </c>
      <c r="T1202" s="2">
        <v>0.75</v>
      </c>
      <c r="U1202">
        <v>1</v>
      </c>
      <c r="V1202" t="s">
        <v>17540</v>
      </c>
      <c r="W1202" t="s">
        <v>17541</v>
      </c>
      <c r="X1202" t="s">
        <v>17542</v>
      </c>
      <c r="Y1202" t="s">
        <v>17543</v>
      </c>
      <c r="Z1202" t="s">
        <v>17544</v>
      </c>
      <c r="AA1202" t="s">
        <v>17544</v>
      </c>
      <c r="AB1202" t="s">
        <v>17544</v>
      </c>
      <c r="AC1202" t="s">
        <v>17544</v>
      </c>
    </row>
    <row r="1203" spans="1:30">
      <c r="A1203" t="s">
        <v>17545</v>
      </c>
      <c r="B1203">
        <v>9</v>
      </c>
      <c r="C1203">
        <v>15</v>
      </c>
      <c r="D1203">
        <v>2008</v>
      </c>
      <c r="E1203" s="1">
        <v>39706</v>
      </c>
      <c r="F1203" t="s">
        <v>17546</v>
      </c>
      <c r="G1203">
        <v>0</v>
      </c>
      <c r="H1203">
        <v>0</v>
      </c>
      <c r="I1203">
        <v>0</v>
      </c>
      <c r="J1203">
        <v>1</v>
      </c>
      <c r="L1203" t="s">
        <v>17547</v>
      </c>
      <c r="M1203" t="s">
        <v>17548</v>
      </c>
      <c r="N1203" t="s">
        <v>17549</v>
      </c>
      <c r="O1203" t="s">
        <v>17550</v>
      </c>
      <c r="P1203" t="s">
        <v>17551</v>
      </c>
      <c r="Q1203" t="s">
        <v>17552</v>
      </c>
      <c r="R1203" t="s">
        <v>17553</v>
      </c>
      <c r="S1203" t="s">
        <v>17554</v>
      </c>
      <c r="U1203">
        <v>1</v>
      </c>
      <c r="V1203" t="s">
        <v>17555</v>
      </c>
      <c r="W1203" t="s">
        <v>17556</v>
      </c>
      <c r="X1203" t="s">
        <v>17557</v>
      </c>
      <c r="Y1203" t="s">
        <v>17558</v>
      </c>
      <c r="Z1203" t="s">
        <v>17558</v>
      </c>
      <c r="AA1203" t="s">
        <v>17558</v>
      </c>
      <c r="AB1203" t="s">
        <v>17559</v>
      </c>
      <c r="AC1203" t="s">
        <v>17560</v>
      </c>
    </row>
    <row r="1204" spans="1:30">
      <c r="A1204" t="s">
        <v>17561</v>
      </c>
      <c r="B1204">
        <v>9</v>
      </c>
      <c r="C1204">
        <v>2</v>
      </c>
      <c r="D1204">
        <v>2008</v>
      </c>
      <c r="E1204" s="1">
        <v>39693</v>
      </c>
      <c r="F1204" t="s">
        <v>17562</v>
      </c>
      <c r="G1204">
        <v>0</v>
      </c>
      <c r="H1204">
        <v>0</v>
      </c>
      <c r="I1204">
        <v>0</v>
      </c>
      <c r="J1204">
        <v>0</v>
      </c>
      <c r="K1204" t="s">
        <v>17563</v>
      </c>
      <c r="L1204" t="s">
        <v>17564</v>
      </c>
      <c r="M1204" t="s">
        <v>17565</v>
      </c>
      <c r="N1204" t="s">
        <v>17566</v>
      </c>
      <c r="O1204" t="s">
        <v>17567</v>
      </c>
      <c r="P1204" t="s">
        <v>17568</v>
      </c>
      <c r="Q1204" t="s">
        <v>17569</v>
      </c>
      <c r="R1204" t="s">
        <v>17570</v>
      </c>
      <c r="S1204" t="s">
        <v>17571</v>
      </c>
      <c r="U1204">
        <v>5</v>
      </c>
      <c r="V1204" t="s">
        <v>17572</v>
      </c>
      <c r="W1204" t="s">
        <v>17573</v>
      </c>
      <c r="X1204" t="s">
        <v>17574</v>
      </c>
      <c r="Y1204" t="s">
        <v>17575</v>
      </c>
      <c r="Z1204" t="s">
        <v>17575</v>
      </c>
      <c r="AA1204" t="s">
        <v>17575</v>
      </c>
      <c r="AB1204" t="s">
        <v>17576</v>
      </c>
      <c r="AC1204" t="s">
        <v>17577</v>
      </c>
      <c r="AD1204" t="s">
        <v>17578</v>
      </c>
    </row>
    <row r="1205" spans="1:30">
      <c r="A1205" t="s">
        <v>17579</v>
      </c>
      <c r="B1205">
        <v>8</v>
      </c>
      <c r="C1205">
        <v>21</v>
      </c>
      <c r="D1205">
        <v>2008</v>
      </c>
      <c r="E1205" s="1">
        <v>39681</v>
      </c>
      <c r="F1205" t="s">
        <v>17580</v>
      </c>
      <c r="G1205">
        <v>1</v>
      </c>
      <c r="H1205">
        <v>0</v>
      </c>
      <c r="I1205">
        <v>1</v>
      </c>
      <c r="J1205">
        <v>0</v>
      </c>
      <c r="K1205" t="s">
        <v>17581</v>
      </c>
      <c r="L1205" t="s">
        <v>17582</v>
      </c>
      <c r="M1205" t="s">
        <v>17583</v>
      </c>
      <c r="N1205" t="s">
        <v>17584</v>
      </c>
      <c r="O1205" t="s">
        <v>17585</v>
      </c>
      <c r="P1205" t="s">
        <v>17586</v>
      </c>
      <c r="Q1205" t="s">
        <v>17587</v>
      </c>
      <c r="R1205" t="s">
        <v>17588</v>
      </c>
      <c r="S1205" t="s">
        <v>17589</v>
      </c>
      <c r="T1205" s="2">
        <v>0.34097222222222218</v>
      </c>
      <c r="U1205">
        <v>1</v>
      </c>
      <c r="V1205" t="s">
        <v>17590</v>
      </c>
      <c r="W1205" t="s">
        <v>17591</v>
      </c>
      <c r="X1205" t="s">
        <v>17592</v>
      </c>
      <c r="Y1205" t="s">
        <v>17593</v>
      </c>
      <c r="Z1205" t="s">
        <v>17593</v>
      </c>
      <c r="AA1205" t="s">
        <v>17593</v>
      </c>
      <c r="AB1205" t="s">
        <v>17594</v>
      </c>
      <c r="AC1205" t="s">
        <v>17595</v>
      </c>
      <c r="AD1205" t="s">
        <v>17595</v>
      </c>
    </row>
    <row r="1206" spans="1:30">
      <c r="A1206" t="s">
        <v>17596</v>
      </c>
      <c r="B1206">
        <v>8</v>
      </c>
      <c r="C1206">
        <v>14</v>
      </c>
      <c r="D1206">
        <v>2008</v>
      </c>
      <c r="E1206" s="1">
        <v>39674</v>
      </c>
      <c r="F1206" t="s">
        <v>17597</v>
      </c>
      <c r="G1206">
        <v>1</v>
      </c>
      <c r="H1206">
        <v>0</v>
      </c>
      <c r="I1206">
        <v>1</v>
      </c>
      <c r="J1206">
        <v>0</v>
      </c>
      <c r="L1206" t="s">
        <v>17598</v>
      </c>
      <c r="M1206" t="s">
        <v>17599</v>
      </c>
      <c r="N1206" t="s">
        <v>17600</v>
      </c>
      <c r="O1206" t="s">
        <v>17601</v>
      </c>
      <c r="P1206" t="s">
        <v>17602</v>
      </c>
      <c r="Q1206" t="s">
        <v>17603</v>
      </c>
      <c r="R1206" t="s">
        <v>17604</v>
      </c>
      <c r="S1206" t="s">
        <v>17605</v>
      </c>
      <c r="T1206" s="2">
        <v>0.84722222222222221</v>
      </c>
      <c r="U1206">
        <v>1</v>
      </c>
      <c r="V1206" t="s">
        <v>17606</v>
      </c>
      <c r="W1206" t="s">
        <v>17607</v>
      </c>
      <c r="X1206" t="s">
        <v>17608</v>
      </c>
      <c r="Y1206" t="s">
        <v>17609</v>
      </c>
      <c r="Z1206" t="s">
        <v>17610</v>
      </c>
      <c r="AA1206" t="s">
        <v>17610</v>
      </c>
      <c r="AC1206" t="s">
        <v>17610</v>
      </c>
    </row>
    <row r="1207" spans="1:30">
      <c r="A1207" t="s">
        <v>17611</v>
      </c>
      <c r="B1207">
        <v>8</v>
      </c>
      <c r="C1207">
        <v>11</v>
      </c>
      <c r="D1207">
        <v>2008</v>
      </c>
      <c r="E1207" s="1">
        <v>39671</v>
      </c>
      <c r="F1207" t="s">
        <v>17612</v>
      </c>
      <c r="G1207">
        <v>0</v>
      </c>
      <c r="H1207">
        <v>0</v>
      </c>
      <c r="I1207">
        <v>0</v>
      </c>
      <c r="J1207">
        <v>0</v>
      </c>
      <c r="L1207" t="s">
        <v>17613</v>
      </c>
      <c r="M1207" t="s">
        <v>17614</v>
      </c>
      <c r="N1207" t="s">
        <v>17615</v>
      </c>
      <c r="O1207" t="s">
        <v>17616</v>
      </c>
      <c r="P1207" t="s">
        <v>17617</v>
      </c>
      <c r="Q1207" t="s">
        <v>17618</v>
      </c>
      <c r="R1207" t="s">
        <v>17619</v>
      </c>
      <c r="U1207">
        <v>1</v>
      </c>
      <c r="V1207" t="s">
        <v>17620</v>
      </c>
      <c r="W1207" t="s">
        <v>17621</v>
      </c>
      <c r="X1207" t="s">
        <v>17622</v>
      </c>
      <c r="Y1207" t="s">
        <v>17623</v>
      </c>
      <c r="Z1207" t="s">
        <v>17623</v>
      </c>
      <c r="AA1207" t="s">
        <v>17623</v>
      </c>
      <c r="AB1207" t="s">
        <v>17623</v>
      </c>
      <c r="AC1207" t="s">
        <v>17623</v>
      </c>
    </row>
    <row r="1208" spans="1:30">
      <c r="A1208" t="s">
        <v>17624</v>
      </c>
      <c r="B1208">
        <v>5</v>
      </c>
      <c r="C1208">
        <v>16</v>
      </c>
      <c r="D1208">
        <v>2008</v>
      </c>
      <c r="E1208" s="1">
        <v>39584</v>
      </c>
      <c r="F1208" t="s">
        <v>17625</v>
      </c>
      <c r="G1208">
        <v>0</v>
      </c>
      <c r="H1208">
        <v>0</v>
      </c>
      <c r="I1208">
        <v>0</v>
      </c>
      <c r="J1208">
        <v>1</v>
      </c>
      <c r="L1208" t="s">
        <v>17626</v>
      </c>
      <c r="M1208" t="s">
        <v>17627</v>
      </c>
      <c r="N1208" t="s">
        <v>17628</v>
      </c>
      <c r="O1208" t="s">
        <v>17629</v>
      </c>
      <c r="P1208" t="s">
        <v>17630</v>
      </c>
      <c r="Q1208" t="s">
        <v>17631</v>
      </c>
      <c r="R1208" t="s">
        <v>17632</v>
      </c>
      <c r="U1208">
        <v>1</v>
      </c>
      <c r="V1208" t="s">
        <v>17633</v>
      </c>
      <c r="W1208" t="s">
        <v>17634</v>
      </c>
      <c r="X1208" t="s">
        <v>17635</v>
      </c>
      <c r="Y1208" t="s">
        <v>17636</v>
      </c>
      <c r="Z1208" t="s">
        <v>17636</v>
      </c>
      <c r="AA1208" t="s">
        <v>17636</v>
      </c>
      <c r="AC1208" t="s">
        <v>17636</v>
      </c>
    </row>
    <row r="1209" spans="1:30">
      <c r="A1209" t="s">
        <v>17637</v>
      </c>
      <c r="B1209">
        <v>4</v>
      </c>
      <c r="C1209">
        <v>16</v>
      </c>
      <c r="D1209">
        <v>2008</v>
      </c>
      <c r="E1209" s="1">
        <v>39554</v>
      </c>
      <c r="F1209" t="s">
        <v>17638</v>
      </c>
      <c r="G1209">
        <v>1</v>
      </c>
      <c r="H1209">
        <v>0</v>
      </c>
      <c r="I1209">
        <v>1</v>
      </c>
      <c r="J1209">
        <v>0</v>
      </c>
      <c r="L1209" t="s">
        <v>17639</v>
      </c>
      <c r="M1209" t="s">
        <v>17640</v>
      </c>
      <c r="N1209" t="s">
        <v>17641</v>
      </c>
      <c r="O1209" t="s">
        <v>17642</v>
      </c>
      <c r="P1209" t="s">
        <v>17643</v>
      </c>
      <c r="Q1209" t="s">
        <v>17643</v>
      </c>
      <c r="R1209" t="s">
        <v>17644</v>
      </c>
      <c r="S1209" t="s">
        <v>17645</v>
      </c>
      <c r="T1209" s="2">
        <v>0.49583333333333329</v>
      </c>
      <c r="U1209">
        <v>1</v>
      </c>
      <c r="V1209" t="s">
        <v>17646</v>
      </c>
      <c r="W1209" t="s">
        <v>17647</v>
      </c>
      <c r="X1209" t="s">
        <v>17648</v>
      </c>
      <c r="Y1209" t="s">
        <v>17649</v>
      </c>
      <c r="Z1209" t="s">
        <v>17649</v>
      </c>
      <c r="AA1209" t="s">
        <v>17649</v>
      </c>
      <c r="AB1209" t="s">
        <v>17650</v>
      </c>
      <c r="AC1209" t="s">
        <v>17650</v>
      </c>
      <c r="AD1209" t="s">
        <v>17650</v>
      </c>
    </row>
    <row r="1210" spans="1:30">
      <c r="A1210" t="s">
        <v>17651</v>
      </c>
      <c r="B1210">
        <v>3</v>
      </c>
      <c r="C1210">
        <v>6</v>
      </c>
      <c r="D1210">
        <v>2008</v>
      </c>
      <c r="E1210" s="1">
        <v>39513</v>
      </c>
      <c r="F1210" t="s">
        <v>17652</v>
      </c>
      <c r="G1210">
        <v>0</v>
      </c>
      <c r="H1210">
        <v>0</v>
      </c>
      <c r="I1210">
        <v>0</v>
      </c>
      <c r="J1210">
        <v>1</v>
      </c>
      <c r="L1210" t="s">
        <v>17653</v>
      </c>
      <c r="M1210" t="s">
        <v>17654</v>
      </c>
      <c r="N1210" t="s">
        <v>17655</v>
      </c>
      <c r="O1210" t="s">
        <v>17656</v>
      </c>
      <c r="P1210" t="s">
        <v>17657</v>
      </c>
      <c r="Q1210" t="s">
        <v>17658</v>
      </c>
      <c r="R1210" t="s">
        <v>17659</v>
      </c>
      <c r="S1210" t="s">
        <v>17660</v>
      </c>
      <c r="T1210" s="2">
        <v>0.41666666666666669</v>
      </c>
      <c r="U1210">
        <v>1</v>
      </c>
      <c r="V1210" t="s">
        <v>17661</v>
      </c>
      <c r="W1210" t="s">
        <v>17662</v>
      </c>
      <c r="X1210" t="s">
        <v>17663</v>
      </c>
      <c r="Y1210" t="s">
        <v>17664</v>
      </c>
      <c r="Z1210" t="s">
        <v>17664</v>
      </c>
      <c r="AA1210" t="s">
        <v>17664</v>
      </c>
      <c r="AB1210" t="s">
        <v>17664</v>
      </c>
      <c r="AC1210" t="s">
        <v>17664</v>
      </c>
    </row>
    <row r="1211" spans="1:30">
      <c r="A1211" t="s">
        <v>17665</v>
      </c>
      <c r="B1211">
        <v>2</v>
      </c>
      <c r="C1211">
        <v>12</v>
      </c>
      <c r="D1211">
        <v>2008</v>
      </c>
      <c r="E1211" s="1">
        <v>39490</v>
      </c>
      <c r="F1211" t="s">
        <v>17666</v>
      </c>
      <c r="G1211">
        <v>1</v>
      </c>
      <c r="H1211">
        <v>0</v>
      </c>
      <c r="I1211">
        <v>1</v>
      </c>
      <c r="J1211">
        <v>0</v>
      </c>
      <c r="K1211" t="s">
        <v>17667</v>
      </c>
      <c r="L1211" t="s">
        <v>17668</v>
      </c>
      <c r="M1211" t="s">
        <v>17669</v>
      </c>
      <c r="N1211" t="s">
        <v>17670</v>
      </c>
      <c r="O1211" t="s">
        <v>17671</v>
      </c>
      <c r="P1211" t="s">
        <v>17672</v>
      </c>
      <c r="Q1211" t="s">
        <v>17673</v>
      </c>
      <c r="R1211" t="s">
        <v>17674</v>
      </c>
      <c r="S1211" t="s">
        <v>17675</v>
      </c>
      <c r="T1211" s="2">
        <v>0.34375</v>
      </c>
      <c r="U1211">
        <v>1</v>
      </c>
      <c r="V1211" t="s">
        <v>17676</v>
      </c>
      <c r="W1211" t="s">
        <v>17677</v>
      </c>
      <c r="X1211" t="s">
        <v>17678</v>
      </c>
      <c r="Y1211" t="s">
        <v>17679</v>
      </c>
      <c r="Z1211" t="s">
        <v>17679</v>
      </c>
      <c r="AA1211" t="s">
        <v>17679</v>
      </c>
      <c r="AB1211" t="s">
        <v>17680</v>
      </c>
      <c r="AC1211" t="s">
        <v>17681</v>
      </c>
    </row>
    <row r="1212" spans="1:30">
      <c r="A1212" t="s">
        <v>17682</v>
      </c>
      <c r="B1212">
        <v>2</v>
      </c>
      <c r="C1212">
        <v>11</v>
      </c>
      <c r="D1212">
        <v>2008</v>
      </c>
      <c r="E1212" s="1">
        <v>39489</v>
      </c>
      <c r="F1212" t="s">
        <v>17683</v>
      </c>
      <c r="G1212">
        <v>0</v>
      </c>
      <c r="H1212">
        <v>1</v>
      </c>
      <c r="I1212">
        <v>1</v>
      </c>
      <c r="J1212">
        <v>0</v>
      </c>
      <c r="L1212" t="s">
        <v>17684</v>
      </c>
      <c r="M1212" t="s">
        <v>17685</v>
      </c>
      <c r="N1212" t="s">
        <v>17686</v>
      </c>
      <c r="O1212" t="s">
        <v>17687</v>
      </c>
      <c r="P1212" t="s">
        <v>17688</v>
      </c>
      <c r="Q1212" t="s">
        <v>17689</v>
      </c>
      <c r="R1212" t="s">
        <v>17690</v>
      </c>
      <c r="S1212" t="s">
        <v>17691</v>
      </c>
      <c r="T1212" s="2">
        <v>0.375</v>
      </c>
      <c r="U1212">
        <v>1</v>
      </c>
      <c r="V1212" t="s">
        <v>17692</v>
      </c>
      <c r="W1212" t="s">
        <v>17693</v>
      </c>
      <c r="X1212" t="s">
        <v>17694</v>
      </c>
      <c r="Y1212" t="s">
        <v>17695</v>
      </c>
      <c r="Z1212" t="s">
        <v>17695</v>
      </c>
      <c r="AA1212" t="s">
        <v>17695</v>
      </c>
      <c r="AC1212" t="s">
        <v>17695</v>
      </c>
    </row>
    <row r="1213" spans="1:30">
      <c r="A1213" t="s">
        <v>17696</v>
      </c>
      <c r="B1213">
        <v>2</v>
      </c>
      <c r="C1213">
        <v>4</v>
      </c>
      <c r="D1213">
        <v>2008</v>
      </c>
      <c r="E1213" s="1">
        <v>39482</v>
      </c>
      <c r="F1213" t="s">
        <v>17697</v>
      </c>
      <c r="G1213">
        <v>0</v>
      </c>
      <c r="H1213">
        <v>1</v>
      </c>
      <c r="I1213">
        <v>1</v>
      </c>
      <c r="J1213">
        <v>0</v>
      </c>
      <c r="L1213" t="s">
        <v>17698</v>
      </c>
      <c r="M1213" t="s">
        <v>17699</v>
      </c>
      <c r="N1213" t="s">
        <v>17700</v>
      </c>
      <c r="O1213" t="s">
        <v>17701</v>
      </c>
      <c r="P1213" t="s">
        <v>17702</v>
      </c>
      <c r="Q1213" t="s">
        <v>17703</v>
      </c>
      <c r="R1213" t="s">
        <v>17704</v>
      </c>
      <c r="S1213" t="s">
        <v>17705</v>
      </c>
      <c r="T1213" s="2">
        <v>0.41666666666666669</v>
      </c>
      <c r="U1213">
        <v>1</v>
      </c>
      <c r="V1213" t="s">
        <v>17706</v>
      </c>
      <c r="W1213" t="s">
        <v>17707</v>
      </c>
      <c r="X1213" t="s">
        <v>17708</v>
      </c>
      <c r="Z1213" t="s">
        <v>17709</v>
      </c>
      <c r="AA1213" t="s">
        <v>17709</v>
      </c>
      <c r="AB1213" t="s">
        <v>17709</v>
      </c>
      <c r="AC1213" t="s">
        <v>17709</v>
      </c>
    </row>
    <row r="1214" spans="1:30">
      <c r="A1214" t="s">
        <v>17710</v>
      </c>
      <c r="B1214">
        <v>12</v>
      </c>
      <c r="C1214">
        <v>21</v>
      </c>
      <c r="D1214">
        <v>2007</v>
      </c>
      <c r="E1214" s="1">
        <v>39437</v>
      </c>
      <c r="F1214" t="s">
        <v>17711</v>
      </c>
      <c r="G1214">
        <v>1</v>
      </c>
      <c r="H1214">
        <v>0</v>
      </c>
      <c r="I1214">
        <v>1</v>
      </c>
      <c r="J1214">
        <v>0</v>
      </c>
      <c r="L1214" t="s">
        <v>17712</v>
      </c>
      <c r="M1214" t="s">
        <v>17713</v>
      </c>
      <c r="N1214" t="s">
        <v>17714</v>
      </c>
      <c r="O1214" t="s">
        <v>17715</v>
      </c>
      <c r="P1214" t="s">
        <v>17716</v>
      </c>
      <c r="Q1214" t="s">
        <v>17716</v>
      </c>
      <c r="R1214" t="s">
        <v>17717</v>
      </c>
      <c r="S1214" t="s">
        <v>17718</v>
      </c>
      <c r="T1214" s="2">
        <v>0.63888888888888884</v>
      </c>
      <c r="U1214">
        <v>1</v>
      </c>
      <c r="V1214" t="s">
        <v>17719</v>
      </c>
      <c r="W1214" t="s">
        <v>17720</v>
      </c>
      <c r="X1214" t="s">
        <v>17721</v>
      </c>
      <c r="Y1214" t="s">
        <v>17722</v>
      </c>
      <c r="Z1214" t="s">
        <v>17723</v>
      </c>
      <c r="AA1214" t="s">
        <v>17723</v>
      </c>
      <c r="AB1214" t="s">
        <v>17724</v>
      </c>
      <c r="AC1214" t="s">
        <v>17725</v>
      </c>
    </row>
    <row r="1215" spans="1:30">
      <c r="A1215" t="s">
        <v>17726</v>
      </c>
      <c r="B1215">
        <v>11</v>
      </c>
      <c r="C1215">
        <v>26</v>
      </c>
      <c r="D1215">
        <v>2007</v>
      </c>
      <c r="E1215" s="1">
        <v>39412</v>
      </c>
      <c r="F1215" t="s">
        <v>17727</v>
      </c>
      <c r="G1215">
        <v>0</v>
      </c>
      <c r="H1215">
        <v>0</v>
      </c>
      <c r="I1215">
        <v>0</v>
      </c>
      <c r="J1215">
        <v>0</v>
      </c>
      <c r="L1215" t="s">
        <v>17728</v>
      </c>
      <c r="M1215" t="s">
        <v>17729</v>
      </c>
      <c r="N1215" t="s">
        <v>17730</v>
      </c>
      <c r="O1215" t="s">
        <v>17731</v>
      </c>
      <c r="P1215" t="s">
        <v>17732</v>
      </c>
      <c r="Q1215" t="s">
        <v>17732</v>
      </c>
      <c r="R1215" t="s">
        <v>17733</v>
      </c>
      <c r="S1215" t="s">
        <v>17734</v>
      </c>
      <c r="T1215" s="2">
        <v>0.45833333333333331</v>
      </c>
      <c r="U1215">
        <v>1</v>
      </c>
      <c r="V1215" t="s">
        <v>17735</v>
      </c>
      <c r="W1215" t="s">
        <v>17736</v>
      </c>
      <c r="Y1215" t="s">
        <v>17737</v>
      </c>
      <c r="Z1215" t="s">
        <v>17738</v>
      </c>
      <c r="AA1215" t="s">
        <v>17738</v>
      </c>
    </row>
    <row r="1216" spans="1:30">
      <c r="A1216" t="s">
        <v>17739</v>
      </c>
      <c r="B1216">
        <v>11</v>
      </c>
      <c r="C1216">
        <v>5</v>
      </c>
      <c r="D1216">
        <v>2007</v>
      </c>
      <c r="E1216" s="1">
        <v>39391</v>
      </c>
      <c r="F1216" t="s">
        <v>17740</v>
      </c>
      <c r="G1216">
        <v>0</v>
      </c>
      <c r="H1216">
        <v>0</v>
      </c>
      <c r="I1216">
        <v>0</v>
      </c>
      <c r="J1216">
        <v>1</v>
      </c>
      <c r="L1216" t="s">
        <v>17741</v>
      </c>
      <c r="M1216" t="s">
        <v>17742</v>
      </c>
      <c r="N1216" t="s">
        <v>17743</v>
      </c>
      <c r="O1216" t="s">
        <v>17744</v>
      </c>
      <c r="P1216" t="s">
        <v>17745</v>
      </c>
      <c r="Q1216" t="s">
        <v>17745</v>
      </c>
      <c r="R1216" t="s">
        <v>17746</v>
      </c>
      <c r="S1216" t="s">
        <v>17747</v>
      </c>
      <c r="U1216">
        <v>1</v>
      </c>
      <c r="V1216" t="s">
        <v>17748</v>
      </c>
      <c r="W1216" t="s">
        <v>17749</v>
      </c>
      <c r="X1216" t="s">
        <v>17750</v>
      </c>
      <c r="Y1216" t="s">
        <v>17751</v>
      </c>
      <c r="Z1216" t="s">
        <v>17751</v>
      </c>
      <c r="AA1216" t="s">
        <v>17751</v>
      </c>
    </row>
    <row r="1217" spans="1:30">
      <c r="A1217" t="s">
        <v>17752</v>
      </c>
      <c r="B1217">
        <v>10</v>
      </c>
      <c r="C1217">
        <v>24</v>
      </c>
      <c r="D1217">
        <v>2007</v>
      </c>
      <c r="E1217" s="1">
        <v>39379</v>
      </c>
      <c r="F1217" t="s">
        <v>17753</v>
      </c>
      <c r="G1217">
        <v>0</v>
      </c>
      <c r="H1217">
        <v>1</v>
      </c>
      <c r="I1217">
        <v>1</v>
      </c>
      <c r="J1217">
        <v>0</v>
      </c>
      <c r="L1217" t="s">
        <v>17754</v>
      </c>
      <c r="M1217" t="s">
        <v>17755</v>
      </c>
      <c r="N1217" t="s">
        <v>17756</v>
      </c>
      <c r="O1217" t="s">
        <v>17757</v>
      </c>
      <c r="P1217" t="s">
        <v>17758</v>
      </c>
      <c r="Q1217" t="s">
        <v>17759</v>
      </c>
      <c r="R1217" t="s">
        <v>17760</v>
      </c>
      <c r="S1217" t="s">
        <v>17761</v>
      </c>
      <c r="T1217" s="2">
        <v>0.36458333333333331</v>
      </c>
      <c r="U1217">
        <v>1</v>
      </c>
      <c r="V1217" t="s">
        <v>17762</v>
      </c>
      <c r="W1217" t="s">
        <v>17763</v>
      </c>
      <c r="X1217" t="s">
        <v>17764</v>
      </c>
      <c r="Y1217" t="s">
        <v>17765</v>
      </c>
      <c r="Z1217" t="s">
        <v>17765</v>
      </c>
      <c r="AA1217" t="s">
        <v>17765</v>
      </c>
      <c r="AB1217" t="s">
        <v>17765</v>
      </c>
      <c r="AC1217" t="s">
        <v>17765</v>
      </c>
    </row>
    <row r="1218" spans="1:30">
      <c r="A1218" t="s">
        <v>17766</v>
      </c>
      <c r="B1218">
        <v>10</v>
      </c>
      <c r="C1218">
        <v>10</v>
      </c>
      <c r="D1218">
        <v>2007</v>
      </c>
      <c r="E1218" s="1">
        <v>39365</v>
      </c>
      <c r="F1218" t="s">
        <v>17767</v>
      </c>
      <c r="G1218">
        <v>0</v>
      </c>
      <c r="H1218">
        <v>4</v>
      </c>
      <c r="I1218">
        <v>4</v>
      </c>
      <c r="J1218">
        <v>1</v>
      </c>
      <c r="L1218" t="s">
        <v>17768</v>
      </c>
      <c r="M1218" t="s">
        <v>17769</v>
      </c>
      <c r="N1218" t="s">
        <v>17770</v>
      </c>
      <c r="O1218" t="s">
        <v>17771</v>
      </c>
      <c r="P1218" t="s">
        <v>17772</v>
      </c>
      <c r="Q1218" t="s">
        <v>17773</v>
      </c>
      <c r="R1218" t="s">
        <v>17774</v>
      </c>
      <c r="S1218" t="s">
        <v>17775</v>
      </c>
      <c r="T1218" s="2">
        <v>0.55208333333333326</v>
      </c>
      <c r="V1218" t="s">
        <v>17776</v>
      </c>
      <c r="W1218" t="s">
        <v>17777</v>
      </c>
      <c r="X1218" t="s">
        <v>17778</v>
      </c>
      <c r="Y1218" t="s">
        <v>17779</v>
      </c>
      <c r="Z1218" t="s">
        <v>17779</v>
      </c>
      <c r="AA1218" t="s">
        <v>17779</v>
      </c>
      <c r="AB1218" t="s">
        <v>17780</v>
      </c>
      <c r="AC1218" t="s">
        <v>17781</v>
      </c>
      <c r="AD1218" t="s">
        <v>17782</v>
      </c>
    </row>
    <row r="1219" spans="1:30">
      <c r="A1219" t="s">
        <v>17783</v>
      </c>
      <c r="B1219">
        <v>10</v>
      </c>
      <c r="C1219">
        <v>1</v>
      </c>
      <c r="D1219">
        <v>2007</v>
      </c>
      <c r="E1219" s="1">
        <v>39356</v>
      </c>
      <c r="F1219" t="s">
        <v>17784</v>
      </c>
      <c r="G1219">
        <v>0</v>
      </c>
      <c r="H1219">
        <v>1</v>
      </c>
      <c r="I1219">
        <v>1</v>
      </c>
      <c r="J1219">
        <v>0</v>
      </c>
      <c r="L1219" t="s">
        <v>17785</v>
      </c>
      <c r="M1219" t="s">
        <v>17786</v>
      </c>
      <c r="N1219" t="s">
        <v>17787</v>
      </c>
      <c r="O1219" t="s">
        <v>17788</v>
      </c>
      <c r="P1219" t="s">
        <v>17789</v>
      </c>
      <c r="Q1219" t="s">
        <v>17789</v>
      </c>
      <c r="R1219" t="s">
        <v>17790</v>
      </c>
      <c r="S1219" t="s">
        <v>17791</v>
      </c>
      <c r="T1219" s="2">
        <v>0.57638888888888884</v>
      </c>
      <c r="U1219">
        <v>1</v>
      </c>
      <c r="V1219" t="s">
        <v>17792</v>
      </c>
      <c r="W1219" t="s">
        <v>17793</v>
      </c>
      <c r="X1219" t="s">
        <v>17794</v>
      </c>
      <c r="Y1219" t="s">
        <v>17795</v>
      </c>
      <c r="Z1219" t="s">
        <v>17795</v>
      </c>
      <c r="AA1219" t="s">
        <v>17795</v>
      </c>
    </row>
    <row r="1220" spans="1:30">
      <c r="A1220" t="s">
        <v>17796</v>
      </c>
      <c r="B1220">
        <v>9</v>
      </c>
      <c r="C1220">
        <v>30</v>
      </c>
      <c r="D1220">
        <v>2007</v>
      </c>
      <c r="E1220" s="1">
        <v>39355</v>
      </c>
      <c r="F1220" t="s">
        <v>17797</v>
      </c>
      <c r="G1220">
        <v>0</v>
      </c>
      <c r="H1220">
        <v>2</v>
      </c>
      <c r="I1220">
        <v>2</v>
      </c>
      <c r="J1220">
        <v>0</v>
      </c>
      <c r="L1220" t="s">
        <v>17798</v>
      </c>
      <c r="M1220" t="s">
        <v>17799</v>
      </c>
      <c r="N1220" t="s">
        <v>17800</v>
      </c>
      <c r="O1220" t="s">
        <v>17801</v>
      </c>
      <c r="P1220" t="s">
        <v>17802</v>
      </c>
      <c r="Q1220" t="s">
        <v>17803</v>
      </c>
      <c r="R1220" t="s">
        <v>17804</v>
      </c>
      <c r="S1220" t="s">
        <v>17805</v>
      </c>
      <c r="T1220" s="2">
        <v>0.90069444444444446</v>
      </c>
      <c r="U1220">
        <v>1</v>
      </c>
      <c r="V1220" t="s">
        <v>17806</v>
      </c>
      <c r="W1220" t="s">
        <v>17807</v>
      </c>
      <c r="Z1220" t="s">
        <v>17808</v>
      </c>
      <c r="AA1220" t="s">
        <v>17808</v>
      </c>
      <c r="AD1220" t="s">
        <v>17808</v>
      </c>
    </row>
    <row r="1221" spans="1:30">
      <c r="A1221" t="s">
        <v>17809</v>
      </c>
      <c r="B1221">
        <v>9</v>
      </c>
      <c r="C1221">
        <v>28</v>
      </c>
      <c r="D1221">
        <v>2007</v>
      </c>
      <c r="E1221" s="1">
        <v>39353</v>
      </c>
      <c r="F1221" t="s">
        <v>17810</v>
      </c>
      <c r="G1221">
        <v>0</v>
      </c>
      <c r="H1221">
        <v>0</v>
      </c>
      <c r="I1221">
        <v>0</v>
      </c>
      <c r="J1221">
        <v>0</v>
      </c>
      <c r="L1221" t="s">
        <v>17811</v>
      </c>
      <c r="M1221" t="s">
        <v>17812</v>
      </c>
      <c r="N1221" t="s">
        <v>17813</v>
      </c>
      <c r="O1221" t="s">
        <v>17814</v>
      </c>
      <c r="P1221" t="s">
        <v>17815</v>
      </c>
      <c r="Q1221" t="s">
        <v>17816</v>
      </c>
      <c r="R1221" t="s">
        <v>17817</v>
      </c>
      <c r="S1221" t="s">
        <v>17818</v>
      </c>
      <c r="T1221" s="2">
        <v>0.38541666666666669</v>
      </c>
      <c r="U1221">
        <v>60</v>
      </c>
      <c r="V1221" t="s">
        <v>17819</v>
      </c>
      <c r="W1221" t="s">
        <v>17820</v>
      </c>
      <c r="X1221" t="s">
        <v>17821</v>
      </c>
      <c r="Y1221" t="s">
        <v>17822</v>
      </c>
      <c r="Z1221" t="s">
        <v>17823</v>
      </c>
      <c r="AA1221" t="s">
        <v>17823</v>
      </c>
      <c r="AC1221" t="s">
        <v>17823</v>
      </c>
      <c r="AD1221" t="s">
        <v>17823</v>
      </c>
    </row>
    <row r="1222" spans="1:30">
      <c r="A1222" t="s">
        <v>17824</v>
      </c>
      <c r="B1222">
        <v>8</v>
      </c>
      <c r="C1222">
        <v>4</v>
      </c>
      <c r="D1222">
        <v>2007</v>
      </c>
      <c r="E1222" s="1">
        <v>39298</v>
      </c>
      <c r="F1222" t="s">
        <v>17825</v>
      </c>
      <c r="G1222">
        <v>3</v>
      </c>
      <c r="H1222">
        <v>1</v>
      </c>
      <c r="I1222">
        <v>4</v>
      </c>
      <c r="J1222">
        <v>0</v>
      </c>
      <c r="L1222" t="s">
        <v>17826</v>
      </c>
      <c r="M1222" t="s">
        <v>17827</v>
      </c>
      <c r="N1222" t="s">
        <v>17828</v>
      </c>
      <c r="O1222" t="s">
        <v>17829</v>
      </c>
      <c r="P1222" t="s">
        <v>17830</v>
      </c>
      <c r="Q1222" t="s">
        <v>17831</v>
      </c>
      <c r="R1222" t="s">
        <v>17832</v>
      </c>
      <c r="S1222" t="s">
        <v>17833</v>
      </c>
      <c r="V1222" t="s">
        <v>17834</v>
      </c>
      <c r="W1222" t="s">
        <v>17835</v>
      </c>
      <c r="X1222" t="s">
        <v>17836</v>
      </c>
      <c r="Y1222" t="s">
        <v>17837</v>
      </c>
      <c r="Z1222" t="s">
        <v>17837</v>
      </c>
      <c r="AA1222" t="s">
        <v>17837</v>
      </c>
      <c r="AB1222" t="s">
        <v>17837</v>
      </c>
      <c r="AC1222" t="s">
        <v>17837</v>
      </c>
    </row>
    <row r="1223" spans="1:30">
      <c r="A1223" t="s">
        <v>17838</v>
      </c>
      <c r="B1223">
        <v>7</v>
      </c>
      <c r="C1223">
        <v>9</v>
      </c>
      <c r="D1223">
        <v>2007</v>
      </c>
      <c r="E1223" s="1">
        <v>39272</v>
      </c>
      <c r="F1223" t="s">
        <v>17839</v>
      </c>
      <c r="G1223">
        <v>0</v>
      </c>
      <c r="H1223">
        <v>2</v>
      </c>
      <c r="I1223">
        <v>2</v>
      </c>
      <c r="J1223">
        <v>0</v>
      </c>
      <c r="L1223" t="s">
        <v>17840</v>
      </c>
      <c r="M1223" t="s">
        <v>17841</v>
      </c>
      <c r="N1223" t="s">
        <v>17842</v>
      </c>
      <c r="O1223" t="s">
        <v>17843</v>
      </c>
      <c r="P1223" t="s">
        <v>17844</v>
      </c>
      <c r="Q1223" t="s">
        <v>17845</v>
      </c>
      <c r="R1223" t="s">
        <v>17846</v>
      </c>
      <c r="S1223" t="s">
        <v>17847</v>
      </c>
      <c r="T1223" s="2">
        <v>0.56944444444444442</v>
      </c>
      <c r="U1223">
        <v>1</v>
      </c>
      <c r="V1223" t="s">
        <v>17848</v>
      </c>
      <c r="W1223" t="s">
        <v>17849</v>
      </c>
      <c r="Y1223" t="s">
        <v>17850</v>
      </c>
      <c r="Z1223" t="s">
        <v>17851</v>
      </c>
      <c r="AA1223" t="s">
        <v>17851</v>
      </c>
      <c r="AB1223" t="s">
        <v>17851</v>
      </c>
      <c r="AC1223" t="s">
        <v>17851</v>
      </c>
    </row>
    <row r="1224" spans="1:30">
      <c r="A1224" t="s">
        <v>17852</v>
      </c>
      <c r="B1224">
        <v>6</v>
      </c>
      <c r="C1224">
        <v>28</v>
      </c>
      <c r="D1224">
        <v>2007</v>
      </c>
      <c r="E1224" s="1">
        <v>39261</v>
      </c>
      <c r="F1224" t="s">
        <v>17853</v>
      </c>
      <c r="G1224">
        <v>0</v>
      </c>
      <c r="H1224">
        <v>2</v>
      </c>
      <c r="I1224">
        <v>2</v>
      </c>
      <c r="J1224">
        <v>0</v>
      </c>
      <c r="L1224" t="s">
        <v>17854</v>
      </c>
      <c r="M1224" t="s">
        <v>17855</v>
      </c>
      <c r="N1224" t="s">
        <v>17856</v>
      </c>
      <c r="O1224" t="s">
        <v>17857</v>
      </c>
      <c r="P1224" t="s">
        <v>17858</v>
      </c>
      <c r="Q1224" t="s">
        <v>17859</v>
      </c>
      <c r="R1224" t="s">
        <v>17860</v>
      </c>
      <c r="S1224" t="s">
        <v>17861</v>
      </c>
      <c r="T1224" s="2">
        <v>0.5</v>
      </c>
      <c r="U1224">
        <v>1</v>
      </c>
      <c r="V1224" t="s">
        <v>17862</v>
      </c>
      <c r="W1224" t="s">
        <v>17863</v>
      </c>
      <c r="X1224" t="s">
        <v>17864</v>
      </c>
      <c r="Y1224" t="s">
        <v>17865</v>
      </c>
      <c r="Z1224" t="s">
        <v>17866</v>
      </c>
      <c r="AA1224" t="s">
        <v>17866</v>
      </c>
      <c r="AB1224" t="s">
        <v>17866</v>
      </c>
      <c r="AC1224" t="s">
        <v>17866</v>
      </c>
    </row>
    <row r="1225" spans="1:30">
      <c r="A1225" t="s">
        <v>17867</v>
      </c>
      <c r="B1225">
        <v>6</v>
      </c>
      <c r="C1225">
        <v>17</v>
      </c>
      <c r="D1225">
        <v>2007</v>
      </c>
      <c r="E1225" s="1">
        <v>39250</v>
      </c>
      <c r="F1225" t="s">
        <v>17868</v>
      </c>
      <c r="G1225">
        <v>0</v>
      </c>
      <c r="H1225">
        <v>1</v>
      </c>
      <c r="I1225">
        <v>1</v>
      </c>
      <c r="J1225">
        <v>0</v>
      </c>
      <c r="L1225" t="s">
        <v>17869</v>
      </c>
      <c r="M1225" t="s">
        <v>17870</v>
      </c>
      <c r="N1225" t="s">
        <v>17871</v>
      </c>
      <c r="O1225" t="s">
        <v>17872</v>
      </c>
      <c r="P1225" t="s">
        <v>17873</v>
      </c>
      <c r="Q1225" t="s">
        <v>17873</v>
      </c>
      <c r="R1225" t="s">
        <v>17874</v>
      </c>
      <c r="S1225" t="s">
        <v>17875</v>
      </c>
      <c r="U1225">
        <v>1</v>
      </c>
      <c r="V1225" t="s">
        <v>17876</v>
      </c>
      <c r="W1225" t="s">
        <v>17877</v>
      </c>
      <c r="X1225" t="s">
        <v>17878</v>
      </c>
      <c r="Y1225" t="s">
        <v>17879</v>
      </c>
      <c r="Z1225" t="s">
        <v>17879</v>
      </c>
      <c r="AA1225" t="s">
        <v>17879</v>
      </c>
      <c r="AB1225" t="s">
        <v>17879</v>
      </c>
      <c r="AC1225" t="s">
        <v>17879</v>
      </c>
    </row>
    <row r="1226" spans="1:30">
      <c r="A1226" t="s">
        <v>17880</v>
      </c>
      <c r="B1226">
        <v>5</v>
      </c>
      <c r="C1226">
        <v>31</v>
      </c>
      <c r="D1226">
        <v>2007</v>
      </c>
      <c r="E1226" s="1">
        <v>39233</v>
      </c>
      <c r="F1226" t="s">
        <v>17881</v>
      </c>
      <c r="G1226">
        <v>0</v>
      </c>
      <c r="H1226">
        <v>0</v>
      </c>
      <c r="I1226">
        <v>0</v>
      </c>
      <c r="J1226">
        <v>0</v>
      </c>
      <c r="L1226" t="s">
        <v>17882</v>
      </c>
      <c r="M1226" t="s">
        <v>17883</v>
      </c>
      <c r="N1226" t="s">
        <v>17884</v>
      </c>
      <c r="O1226" t="s">
        <v>17885</v>
      </c>
      <c r="P1226" t="s">
        <v>17886</v>
      </c>
      <c r="Q1226" t="s">
        <v>17886</v>
      </c>
      <c r="R1226" t="s">
        <v>17887</v>
      </c>
      <c r="U1226">
        <v>1</v>
      </c>
      <c r="V1226" t="s">
        <v>17888</v>
      </c>
      <c r="W1226" t="s">
        <v>17889</v>
      </c>
      <c r="Y1226" t="s">
        <v>17890</v>
      </c>
      <c r="Z1226" t="s">
        <v>17890</v>
      </c>
      <c r="AA1226" t="s">
        <v>17890</v>
      </c>
      <c r="AB1226" t="s">
        <v>17890</v>
      </c>
      <c r="AC1226" t="s">
        <v>17890</v>
      </c>
    </row>
    <row r="1227" spans="1:30">
      <c r="A1227" t="s">
        <v>17891</v>
      </c>
      <c r="B1227">
        <v>5</v>
      </c>
      <c r="C1227">
        <v>30</v>
      </c>
      <c r="D1227">
        <v>2007</v>
      </c>
      <c r="E1227" s="1">
        <v>39232</v>
      </c>
      <c r="F1227" t="s">
        <v>17892</v>
      </c>
      <c r="G1227">
        <v>0</v>
      </c>
      <c r="H1227">
        <v>1</v>
      </c>
      <c r="I1227">
        <v>1</v>
      </c>
      <c r="J1227">
        <v>0</v>
      </c>
      <c r="L1227" t="s">
        <v>17893</v>
      </c>
      <c r="M1227" t="s">
        <v>17894</v>
      </c>
      <c r="N1227" t="s">
        <v>17895</v>
      </c>
      <c r="O1227" t="s">
        <v>17896</v>
      </c>
      <c r="P1227" t="s">
        <v>17897</v>
      </c>
      <c r="Q1227" t="s">
        <v>17897</v>
      </c>
      <c r="R1227" t="s">
        <v>17898</v>
      </c>
      <c r="U1227">
        <v>1</v>
      </c>
      <c r="V1227" t="s">
        <v>17899</v>
      </c>
      <c r="W1227" t="s">
        <v>17900</v>
      </c>
      <c r="Y1227" t="s">
        <v>17901</v>
      </c>
      <c r="Z1227" t="s">
        <v>17901</v>
      </c>
      <c r="AA1227" t="s">
        <v>17901</v>
      </c>
      <c r="AB1227" t="s">
        <v>17901</v>
      </c>
      <c r="AC1227" t="s">
        <v>17901</v>
      </c>
    </row>
    <row r="1228" spans="1:30">
      <c r="A1228" t="s">
        <v>17902</v>
      </c>
      <c r="B1228">
        <v>5</v>
      </c>
      <c r="C1228">
        <v>23</v>
      </c>
      <c r="D1228">
        <v>2007</v>
      </c>
      <c r="E1228" s="1">
        <v>39225</v>
      </c>
      <c r="F1228" t="s">
        <v>17903</v>
      </c>
      <c r="G1228">
        <v>0</v>
      </c>
      <c r="H1228">
        <v>1</v>
      </c>
      <c r="I1228">
        <v>1</v>
      </c>
      <c r="J1228">
        <v>0</v>
      </c>
      <c r="L1228" t="s">
        <v>17904</v>
      </c>
      <c r="M1228" t="s">
        <v>17905</v>
      </c>
      <c r="N1228" t="s">
        <v>17906</v>
      </c>
      <c r="O1228" t="s">
        <v>17907</v>
      </c>
      <c r="P1228" t="s">
        <v>17908</v>
      </c>
      <c r="Q1228" t="s">
        <v>17909</v>
      </c>
      <c r="R1228" t="s">
        <v>17910</v>
      </c>
      <c r="S1228" t="s">
        <v>17911</v>
      </c>
      <c r="T1228" s="2">
        <v>0.70347222222222217</v>
      </c>
      <c r="U1228">
        <v>2</v>
      </c>
      <c r="V1228" t="s">
        <v>17912</v>
      </c>
      <c r="W1228" t="s">
        <v>17913</v>
      </c>
      <c r="X1228" t="s">
        <v>17914</v>
      </c>
      <c r="Y1228" t="s">
        <v>17915</v>
      </c>
      <c r="Z1228" t="s">
        <v>17915</v>
      </c>
      <c r="AA1228" t="s">
        <v>17915</v>
      </c>
      <c r="AB1228" t="s">
        <v>17916</v>
      </c>
      <c r="AC1228" t="s">
        <v>17917</v>
      </c>
    </row>
    <row r="1229" spans="1:30">
      <c r="A1229" t="s">
        <v>17918</v>
      </c>
      <c r="B1229">
        <v>5</v>
      </c>
      <c r="C1229">
        <v>15</v>
      </c>
      <c r="D1229">
        <v>2007</v>
      </c>
      <c r="E1229" s="1">
        <v>39217</v>
      </c>
      <c r="F1229" t="s">
        <v>17919</v>
      </c>
      <c r="G1229">
        <v>0</v>
      </c>
      <c r="H1229">
        <v>0</v>
      </c>
      <c r="I1229">
        <v>0</v>
      </c>
      <c r="J1229">
        <v>0</v>
      </c>
      <c r="L1229" t="s">
        <v>17920</v>
      </c>
      <c r="M1229" t="s">
        <v>17921</v>
      </c>
      <c r="N1229" t="s">
        <v>17922</v>
      </c>
      <c r="O1229" t="s">
        <v>17923</v>
      </c>
      <c r="P1229" t="s">
        <v>17924</v>
      </c>
      <c r="Q1229" t="s">
        <v>17925</v>
      </c>
      <c r="R1229" t="s">
        <v>17926</v>
      </c>
      <c r="S1229" t="s">
        <v>17927</v>
      </c>
      <c r="T1229" s="2">
        <v>0.41805555555555557</v>
      </c>
      <c r="U1229">
        <v>240</v>
      </c>
      <c r="V1229" t="s">
        <v>17928</v>
      </c>
      <c r="W1229" t="s">
        <v>17929</v>
      </c>
      <c r="Y1229" t="s">
        <v>17930</v>
      </c>
      <c r="Z1229" t="s">
        <v>17930</v>
      </c>
      <c r="AA1229" t="s">
        <v>17931</v>
      </c>
      <c r="AC1229" t="s">
        <v>17932</v>
      </c>
    </row>
    <row r="1230" spans="1:30">
      <c r="A1230" t="s">
        <v>17933</v>
      </c>
      <c r="B1230">
        <v>5</v>
      </c>
      <c r="C1230">
        <v>12</v>
      </c>
      <c r="D1230">
        <v>2007</v>
      </c>
      <c r="E1230" s="1">
        <v>39214</v>
      </c>
      <c r="F1230" t="s">
        <v>17934</v>
      </c>
      <c r="G1230">
        <v>0</v>
      </c>
      <c r="H1230">
        <v>1</v>
      </c>
      <c r="I1230">
        <v>1</v>
      </c>
      <c r="J1230">
        <v>0</v>
      </c>
      <c r="L1230" t="s">
        <v>17935</v>
      </c>
      <c r="M1230" t="s">
        <v>17936</v>
      </c>
      <c r="N1230" t="s">
        <v>17937</v>
      </c>
      <c r="O1230" t="s">
        <v>17938</v>
      </c>
      <c r="P1230" t="s">
        <v>17939</v>
      </c>
      <c r="Q1230" t="s">
        <v>17940</v>
      </c>
      <c r="R1230" t="s">
        <v>17941</v>
      </c>
      <c r="S1230" t="s">
        <v>17942</v>
      </c>
      <c r="U1230">
        <v>1</v>
      </c>
      <c r="V1230" t="s">
        <v>17943</v>
      </c>
      <c r="W1230" t="s">
        <v>17944</v>
      </c>
      <c r="Y1230" t="s">
        <v>17945</v>
      </c>
      <c r="Z1230" t="s">
        <v>17946</v>
      </c>
      <c r="AA1230" t="s">
        <v>17946</v>
      </c>
      <c r="AB1230" t="s">
        <v>17946</v>
      </c>
      <c r="AC1230" t="s">
        <v>17946</v>
      </c>
    </row>
    <row r="1231" spans="1:30">
      <c r="A1231" t="s">
        <v>17947</v>
      </c>
      <c r="B1231">
        <v>5</v>
      </c>
      <c r="C1231">
        <v>10</v>
      </c>
      <c r="D1231">
        <v>2007</v>
      </c>
      <c r="E1231" s="1">
        <v>39212</v>
      </c>
      <c r="F1231" t="s">
        <v>17948</v>
      </c>
      <c r="G1231">
        <v>0</v>
      </c>
      <c r="H1231">
        <v>2</v>
      </c>
      <c r="I1231">
        <v>2</v>
      </c>
      <c r="J1231">
        <v>0</v>
      </c>
      <c r="L1231" t="s">
        <v>17949</v>
      </c>
      <c r="M1231" t="s">
        <v>17950</v>
      </c>
      <c r="N1231" t="s">
        <v>17951</v>
      </c>
      <c r="O1231" t="s">
        <v>17952</v>
      </c>
      <c r="P1231" t="s">
        <v>17953</v>
      </c>
      <c r="Q1231" t="s">
        <v>17954</v>
      </c>
      <c r="R1231" t="s">
        <v>17955</v>
      </c>
      <c r="U1231">
        <v>1</v>
      </c>
      <c r="V1231" t="s">
        <v>17956</v>
      </c>
      <c r="W1231" t="s">
        <v>17957</v>
      </c>
      <c r="Z1231" t="s">
        <v>17958</v>
      </c>
      <c r="AA1231" t="s">
        <v>17958</v>
      </c>
      <c r="AB1231" t="s">
        <v>17958</v>
      </c>
      <c r="AC1231" t="s">
        <v>17958</v>
      </c>
    </row>
    <row r="1232" spans="1:30">
      <c r="A1232" t="s">
        <v>17959</v>
      </c>
      <c r="B1232">
        <v>5</v>
      </c>
      <c r="C1232">
        <v>4</v>
      </c>
      <c r="D1232">
        <v>2007</v>
      </c>
      <c r="E1232" s="1">
        <v>39206</v>
      </c>
      <c r="F1232" t="s">
        <v>17960</v>
      </c>
      <c r="G1232">
        <v>0</v>
      </c>
      <c r="H1232">
        <v>0</v>
      </c>
      <c r="I1232">
        <v>0</v>
      </c>
      <c r="J1232">
        <v>1</v>
      </c>
      <c r="L1232" t="s">
        <v>17961</v>
      </c>
      <c r="M1232" t="s">
        <v>17962</v>
      </c>
      <c r="N1232" t="s">
        <v>17963</v>
      </c>
      <c r="O1232" t="s">
        <v>17964</v>
      </c>
      <c r="P1232" t="s">
        <v>17965</v>
      </c>
      <c r="Q1232" t="s">
        <v>17966</v>
      </c>
      <c r="R1232" t="s">
        <v>17967</v>
      </c>
      <c r="S1232" t="s">
        <v>17968</v>
      </c>
      <c r="T1232" s="2">
        <v>0.35624999999999996</v>
      </c>
      <c r="U1232">
        <v>1</v>
      </c>
      <c r="V1232" t="s">
        <v>17969</v>
      </c>
      <c r="W1232" t="s">
        <v>17970</v>
      </c>
      <c r="X1232" t="s">
        <v>17971</v>
      </c>
      <c r="Y1232" t="s">
        <v>17972</v>
      </c>
      <c r="Z1232" t="s">
        <v>17972</v>
      </c>
      <c r="AA1232" t="s">
        <v>17972</v>
      </c>
      <c r="AB1232" t="s">
        <v>17972</v>
      </c>
      <c r="AC1232" t="s">
        <v>17972</v>
      </c>
    </row>
    <row r="1233" spans="1:30">
      <c r="A1233" t="s">
        <v>17973</v>
      </c>
      <c r="B1233">
        <v>5</v>
      </c>
      <c r="C1233">
        <v>3</v>
      </c>
      <c r="D1233">
        <v>2007</v>
      </c>
      <c r="E1233" s="1">
        <v>39205</v>
      </c>
      <c r="F1233" t="s">
        <v>17974</v>
      </c>
      <c r="G1233">
        <v>0</v>
      </c>
      <c r="H1233">
        <v>1</v>
      </c>
      <c r="I1233">
        <v>1</v>
      </c>
      <c r="J1233">
        <v>0</v>
      </c>
      <c r="L1233" t="s">
        <v>17975</v>
      </c>
      <c r="M1233" t="s">
        <v>17976</v>
      </c>
      <c r="N1233" t="s">
        <v>17977</v>
      </c>
      <c r="O1233" t="s">
        <v>17978</v>
      </c>
      <c r="P1233" t="s">
        <v>17979</v>
      </c>
      <c r="Q1233" t="s">
        <v>17979</v>
      </c>
      <c r="R1233" t="s">
        <v>17980</v>
      </c>
      <c r="S1233" t="s">
        <v>17981</v>
      </c>
      <c r="T1233" s="2">
        <v>0.40625</v>
      </c>
      <c r="U1233">
        <v>2</v>
      </c>
      <c r="V1233" t="s">
        <v>17982</v>
      </c>
      <c r="W1233" t="s">
        <v>17983</v>
      </c>
      <c r="Y1233" t="s">
        <v>17984</v>
      </c>
      <c r="Z1233" t="s">
        <v>17984</v>
      </c>
      <c r="AA1233" t="s">
        <v>17984</v>
      </c>
      <c r="AB1233" t="s">
        <v>17984</v>
      </c>
      <c r="AC1233" t="s">
        <v>17984</v>
      </c>
    </row>
    <row r="1234" spans="1:30">
      <c r="A1234" t="s">
        <v>17985</v>
      </c>
      <c r="B1234">
        <v>4</v>
      </c>
      <c r="C1234">
        <v>18</v>
      </c>
      <c r="D1234">
        <v>2007</v>
      </c>
      <c r="E1234" s="1">
        <v>39190</v>
      </c>
      <c r="F1234" t="s">
        <v>17986</v>
      </c>
      <c r="G1234">
        <v>0</v>
      </c>
      <c r="H1234">
        <v>0</v>
      </c>
      <c r="I1234">
        <v>0</v>
      </c>
      <c r="J1234">
        <v>1</v>
      </c>
      <c r="L1234" t="s">
        <v>17987</v>
      </c>
      <c r="M1234" t="s">
        <v>17988</v>
      </c>
      <c r="N1234" t="s">
        <v>17989</v>
      </c>
      <c r="O1234" t="s">
        <v>17990</v>
      </c>
      <c r="P1234" t="s">
        <v>17991</v>
      </c>
      <c r="Q1234" t="s">
        <v>17992</v>
      </c>
      <c r="R1234" t="s">
        <v>17993</v>
      </c>
      <c r="V1234" t="s">
        <v>17994</v>
      </c>
      <c r="W1234" t="s">
        <v>17995</v>
      </c>
      <c r="X1234" t="s">
        <v>17996</v>
      </c>
      <c r="Y1234" t="s">
        <v>17997</v>
      </c>
      <c r="Z1234" t="s">
        <v>17997</v>
      </c>
      <c r="AA1234" t="s">
        <v>17997</v>
      </c>
      <c r="AB1234" t="s">
        <v>17997</v>
      </c>
      <c r="AC1234" t="s">
        <v>17997</v>
      </c>
    </row>
    <row r="1235" spans="1:30">
      <c r="A1235" t="s">
        <v>17998</v>
      </c>
      <c r="B1235">
        <v>4</v>
      </c>
      <c r="C1235">
        <v>10</v>
      </c>
      <c r="D1235">
        <v>2007</v>
      </c>
      <c r="E1235" s="1">
        <v>39182</v>
      </c>
      <c r="F1235" t="s">
        <v>17999</v>
      </c>
      <c r="G1235">
        <v>0</v>
      </c>
      <c r="H1235">
        <v>10</v>
      </c>
      <c r="I1235">
        <v>10</v>
      </c>
      <c r="J1235">
        <v>0</v>
      </c>
      <c r="L1235" t="s">
        <v>18000</v>
      </c>
      <c r="M1235" t="s">
        <v>18001</v>
      </c>
      <c r="N1235" t="s">
        <v>18002</v>
      </c>
      <c r="O1235" t="s">
        <v>18003</v>
      </c>
      <c r="P1235" t="s">
        <v>18004</v>
      </c>
      <c r="Q1235" t="s">
        <v>18005</v>
      </c>
      <c r="R1235" t="s">
        <v>18006</v>
      </c>
      <c r="S1235" t="s">
        <v>18007</v>
      </c>
      <c r="T1235" s="2">
        <v>0.59375</v>
      </c>
      <c r="V1235" t="s">
        <v>18008</v>
      </c>
      <c r="W1235" t="s">
        <v>18009</v>
      </c>
      <c r="X1235" t="s">
        <v>18010</v>
      </c>
      <c r="Y1235" t="s">
        <v>18011</v>
      </c>
      <c r="Z1235" t="s">
        <v>18011</v>
      </c>
      <c r="AA1235" t="s">
        <v>18011</v>
      </c>
      <c r="AB1235" t="s">
        <v>18011</v>
      </c>
      <c r="AC1235" t="s">
        <v>18011</v>
      </c>
      <c r="AD1235" t="s">
        <v>18012</v>
      </c>
    </row>
    <row r="1236" spans="1:30">
      <c r="A1236" t="s">
        <v>18013</v>
      </c>
      <c r="B1236">
        <v>4</v>
      </c>
      <c r="C1236">
        <v>10</v>
      </c>
      <c r="D1236">
        <v>2007</v>
      </c>
      <c r="E1236" s="1">
        <v>39182</v>
      </c>
      <c r="F1236" t="s">
        <v>18014</v>
      </c>
      <c r="G1236">
        <v>0</v>
      </c>
      <c r="H1236">
        <v>1</v>
      </c>
      <c r="I1236">
        <v>1</v>
      </c>
      <c r="J1236">
        <v>0</v>
      </c>
      <c r="L1236" t="s">
        <v>18015</v>
      </c>
      <c r="M1236" t="s">
        <v>18016</v>
      </c>
      <c r="N1236" t="s">
        <v>18017</v>
      </c>
      <c r="O1236" t="s">
        <v>18018</v>
      </c>
      <c r="P1236" t="s">
        <v>18019</v>
      </c>
      <c r="Q1236" t="s">
        <v>18020</v>
      </c>
      <c r="R1236" t="s">
        <v>18021</v>
      </c>
      <c r="S1236" t="s">
        <v>18022</v>
      </c>
      <c r="T1236" s="2">
        <v>0.59375</v>
      </c>
      <c r="U1236">
        <v>1</v>
      </c>
      <c r="V1236" t="s">
        <v>18023</v>
      </c>
      <c r="W1236" t="s">
        <v>18024</v>
      </c>
      <c r="X1236" t="s">
        <v>18025</v>
      </c>
      <c r="Y1236" t="s">
        <v>18026</v>
      </c>
      <c r="Z1236" t="s">
        <v>18026</v>
      </c>
      <c r="AA1236" t="s">
        <v>18026</v>
      </c>
      <c r="AB1236" t="s">
        <v>18026</v>
      </c>
      <c r="AC1236" t="s">
        <v>18026</v>
      </c>
    </row>
    <row r="1237" spans="1:30">
      <c r="A1237" t="s">
        <v>18027</v>
      </c>
      <c r="B1237">
        <v>3</v>
      </c>
      <c r="C1237">
        <v>29</v>
      </c>
      <c r="D1237">
        <v>2007</v>
      </c>
      <c r="E1237" s="1">
        <v>39170</v>
      </c>
      <c r="F1237" t="s">
        <v>18028</v>
      </c>
      <c r="G1237">
        <v>0</v>
      </c>
      <c r="H1237">
        <v>0</v>
      </c>
      <c r="I1237">
        <v>0</v>
      </c>
      <c r="J1237">
        <v>0</v>
      </c>
      <c r="L1237" t="s">
        <v>18029</v>
      </c>
      <c r="M1237" t="s">
        <v>18030</v>
      </c>
      <c r="N1237" t="s">
        <v>18031</v>
      </c>
      <c r="O1237" t="s">
        <v>18032</v>
      </c>
      <c r="P1237" t="s">
        <v>18033</v>
      </c>
      <c r="Q1237" t="s">
        <v>18034</v>
      </c>
      <c r="R1237" t="s">
        <v>18035</v>
      </c>
      <c r="U1237">
        <v>1</v>
      </c>
      <c r="V1237" t="s">
        <v>18036</v>
      </c>
      <c r="W1237" t="s">
        <v>18037</v>
      </c>
      <c r="X1237" t="s">
        <v>18038</v>
      </c>
      <c r="Y1237" t="s">
        <v>18039</v>
      </c>
      <c r="Z1237" t="s">
        <v>18039</v>
      </c>
      <c r="AA1237" t="s">
        <v>18039</v>
      </c>
      <c r="AB1237" t="s">
        <v>18039</v>
      </c>
      <c r="AC1237" t="s">
        <v>18039</v>
      </c>
    </row>
    <row r="1238" spans="1:30">
      <c r="A1238" t="s">
        <v>18040</v>
      </c>
      <c r="B1238">
        <v>3</v>
      </c>
      <c r="C1238">
        <v>27</v>
      </c>
      <c r="D1238">
        <v>2007</v>
      </c>
      <c r="E1238" s="1">
        <v>39168</v>
      </c>
      <c r="F1238" t="s">
        <v>18041</v>
      </c>
      <c r="G1238">
        <v>0</v>
      </c>
      <c r="H1238">
        <v>1</v>
      </c>
      <c r="I1238">
        <v>1</v>
      </c>
      <c r="J1238">
        <v>0</v>
      </c>
      <c r="L1238" t="s">
        <v>18042</v>
      </c>
      <c r="M1238" t="s">
        <v>18043</v>
      </c>
      <c r="N1238" t="s">
        <v>18044</v>
      </c>
      <c r="O1238" t="s">
        <v>18045</v>
      </c>
      <c r="P1238" t="s">
        <v>18046</v>
      </c>
      <c r="Q1238" t="s">
        <v>18047</v>
      </c>
      <c r="R1238" t="s">
        <v>18048</v>
      </c>
      <c r="S1238" t="s">
        <v>18049</v>
      </c>
      <c r="T1238" s="2">
        <v>0.77083333333333337</v>
      </c>
      <c r="U1238">
        <v>1</v>
      </c>
      <c r="V1238" t="s">
        <v>18050</v>
      </c>
      <c r="W1238" t="s">
        <v>18051</v>
      </c>
      <c r="X1238" t="s">
        <v>18052</v>
      </c>
      <c r="Y1238" t="s">
        <v>18053</v>
      </c>
      <c r="Z1238" t="s">
        <v>18053</v>
      </c>
      <c r="AA1238" t="s">
        <v>18053</v>
      </c>
      <c r="AB1238" t="s">
        <v>18053</v>
      </c>
      <c r="AC1238" t="s">
        <v>18053</v>
      </c>
    </row>
    <row r="1239" spans="1:30">
      <c r="A1239" t="s">
        <v>18054</v>
      </c>
      <c r="B1239">
        <v>3</v>
      </c>
      <c r="C1239">
        <v>23</v>
      </c>
      <c r="D1239">
        <v>2007</v>
      </c>
      <c r="E1239" s="1">
        <v>39164</v>
      </c>
      <c r="F1239" t="s">
        <v>18055</v>
      </c>
      <c r="G1239">
        <v>0</v>
      </c>
      <c r="H1239">
        <v>1</v>
      </c>
      <c r="I1239">
        <v>1</v>
      </c>
      <c r="J1239">
        <v>0</v>
      </c>
      <c r="L1239" t="s">
        <v>18056</v>
      </c>
      <c r="M1239" t="s">
        <v>18057</v>
      </c>
      <c r="N1239" t="s">
        <v>18058</v>
      </c>
      <c r="O1239" t="s">
        <v>18059</v>
      </c>
      <c r="P1239" t="s">
        <v>18060</v>
      </c>
      <c r="Q1239" t="s">
        <v>18061</v>
      </c>
      <c r="R1239" t="s">
        <v>18062</v>
      </c>
      <c r="S1239" t="s">
        <v>18063</v>
      </c>
      <c r="T1239" s="2">
        <v>0.625</v>
      </c>
      <c r="U1239">
        <v>1</v>
      </c>
      <c r="V1239" t="s">
        <v>18064</v>
      </c>
      <c r="W1239" t="s">
        <v>18065</v>
      </c>
      <c r="X1239" t="s">
        <v>18066</v>
      </c>
      <c r="Y1239" t="s">
        <v>18067</v>
      </c>
      <c r="Z1239" t="s">
        <v>18068</v>
      </c>
      <c r="AA1239" t="s">
        <v>18068</v>
      </c>
      <c r="AB1239" t="s">
        <v>18069</v>
      </c>
      <c r="AC1239" t="s">
        <v>18070</v>
      </c>
    </row>
    <row r="1240" spans="1:30">
      <c r="A1240" t="s">
        <v>18071</v>
      </c>
      <c r="B1240">
        <v>3</v>
      </c>
      <c r="C1240">
        <v>8</v>
      </c>
      <c r="D1240">
        <v>2007</v>
      </c>
      <c r="E1240" s="1">
        <v>39149</v>
      </c>
      <c r="F1240" t="s">
        <v>18072</v>
      </c>
      <c r="G1240">
        <v>0</v>
      </c>
      <c r="H1240">
        <v>0</v>
      </c>
      <c r="I1240">
        <v>0</v>
      </c>
      <c r="J1240">
        <v>0</v>
      </c>
      <c r="L1240" t="s">
        <v>18073</v>
      </c>
      <c r="M1240" t="s">
        <v>18074</v>
      </c>
      <c r="N1240" t="s">
        <v>18075</v>
      </c>
      <c r="O1240" t="s">
        <v>18076</v>
      </c>
      <c r="P1240" t="s">
        <v>18077</v>
      </c>
      <c r="Q1240" t="s">
        <v>18078</v>
      </c>
      <c r="R1240" t="s">
        <v>18079</v>
      </c>
      <c r="S1240" t="s">
        <v>18080</v>
      </c>
      <c r="T1240" s="2">
        <v>0.59722222222222221</v>
      </c>
      <c r="U1240">
        <v>1</v>
      </c>
      <c r="V1240" t="s">
        <v>18081</v>
      </c>
      <c r="W1240" t="s">
        <v>18082</v>
      </c>
      <c r="X1240" t="s">
        <v>18083</v>
      </c>
      <c r="Y1240" t="s">
        <v>18084</v>
      </c>
      <c r="Z1240" t="s">
        <v>18084</v>
      </c>
      <c r="AA1240" t="s">
        <v>18084</v>
      </c>
      <c r="AB1240" t="s">
        <v>18084</v>
      </c>
      <c r="AC1240" t="s">
        <v>18085</v>
      </c>
    </row>
    <row r="1241" spans="1:30">
      <c r="A1241" t="s">
        <v>18086</v>
      </c>
      <c r="B1241">
        <v>3</v>
      </c>
      <c r="C1241">
        <v>7</v>
      </c>
      <c r="D1241">
        <v>2007</v>
      </c>
      <c r="E1241" s="1">
        <v>39148</v>
      </c>
      <c r="F1241" t="s">
        <v>18087</v>
      </c>
      <c r="G1241">
        <v>0</v>
      </c>
      <c r="H1241">
        <v>1</v>
      </c>
      <c r="I1241">
        <v>1</v>
      </c>
      <c r="J1241">
        <v>0</v>
      </c>
      <c r="L1241" t="s">
        <v>18088</v>
      </c>
      <c r="M1241" t="s">
        <v>18089</v>
      </c>
      <c r="N1241" t="s">
        <v>18090</v>
      </c>
      <c r="O1241" t="s">
        <v>18091</v>
      </c>
      <c r="P1241" t="s">
        <v>18092</v>
      </c>
      <c r="Q1241" t="s">
        <v>18093</v>
      </c>
      <c r="R1241" t="s">
        <v>18094</v>
      </c>
      <c r="S1241" t="s">
        <v>18095</v>
      </c>
      <c r="T1241" s="2">
        <v>0.60416666666666674</v>
      </c>
      <c r="U1241">
        <v>1</v>
      </c>
      <c r="V1241" t="s">
        <v>18096</v>
      </c>
      <c r="W1241" t="s">
        <v>18097</v>
      </c>
      <c r="X1241" t="s">
        <v>18098</v>
      </c>
      <c r="Y1241" t="s">
        <v>18099</v>
      </c>
      <c r="Z1241" t="s">
        <v>18100</v>
      </c>
      <c r="AA1241" t="s">
        <v>18100</v>
      </c>
      <c r="AC1241" t="s">
        <v>18100</v>
      </c>
    </row>
    <row r="1242" spans="1:30">
      <c r="A1242" t="s">
        <v>18101</v>
      </c>
      <c r="B1242">
        <v>3</v>
      </c>
      <c r="C1242">
        <v>7</v>
      </c>
      <c r="D1242">
        <v>2007</v>
      </c>
      <c r="E1242" s="1">
        <v>39148</v>
      </c>
      <c r="F1242" t="s">
        <v>18102</v>
      </c>
      <c r="G1242">
        <v>0</v>
      </c>
      <c r="H1242">
        <v>1</v>
      </c>
      <c r="I1242">
        <v>1</v>
      </c>
      <c r="J1242">
        <v>1</v>
      </c>
      <c r="L1242" t="s">
        <v>18103</v>
      </c>
      <c r="M1242" t="s">
        <v>18104</v>
      </c>
      <c r="N1242" t="s">
        <v>18105</v>
      </c>
      <c r="O1242" t="s">
        <v>18106</v>
      </c>
      <c r="P1242" t="s">
        <v>18107</v>
      </c>
      <c r="Q1242" t="s">
        <v>18108</v>
      </c>
      <c r="R1242" t="s">
        <v>18109</v>
      </c>
      <c r="S1242" t="s">
        <v>18110</v>
      </c>
      <c r="T1242" s="2">
        <v>0.45625000000000004</v>
      </c>
      <c r="U1242">
        <v>1</v>
      </c>
      <c r="V1242" t="s">
        <v>18111</v>
      </c>
      <c r="W1242" t="s">
        <v>18112</v>
      </c>
      <c r="X1242" t="s">
        <v>18113</v>
      </c>
      <c r="Y1242" t="s">
        <v>18114</v>
      </c>
      <c r="Z1242" t="s">
        <v>18114</v>
      </c>
      <c r="AA1242" t="s">
        <v>18114</v>
      </c>
      <c r="AB1242" t="s">
        <v>18114</v>
      </c>
      <c r="AC1242" t="s">
        <v>18115</v>
      </c>
    </row>
    <row r="1243" spans="1:30">
      <c r="A1243" t="s">
        <v>18116</v>
      </c>
      <c r="B1243">
        <v>3</v>
      </c>
      <c r="C1243">
        <v>7</v>
      </c>
      <c r="D1243">
        <v>2007</v>
      </c>
      <c r="E1243" s="1">
        <v>39148</v>
      </c>
      <c r="F1243" t="s">
        <v>18117</v>
      </c>
      <c r="G1243">
        <v>0</v>
      </c>
      <c r="H1243">
        <v>0</v>
      </c>
      <c r="I1243">
        <v>0</v>
      </c>
      <c r="J1243">
        <v>1</v>
      </c>
      <c r="L1243" t="s">
        <v>18118</v>
      </c>
      <c r="M1243" t="s">
        <v>18119</v>
      </c>
      <c r="N1243" t="s">
        <v>18120</v>
      </c>
      <c r="O1243" t="s">
        <v>18121</v>
      </c>
      <c r="P1243" t="s">
        <v>18122</v>
      </c>
      <c r="Q1243" t="s">
        <v>18123</v>
      </c>
      <c r="R1243" t="s">
        <v>18124</v>
      </c>
      <c r="S1243" t="s">
        <v>18125</v>
      </c>
      <c r="T1243" s="2">
        <v>0.30208333333333337</v>
      </c>
      <c r="U1243">
        <v>1</v>
      </c>
      <c r="V1243" t="s">
        <v>18126</v>
      </c>
      <c r="W1243" t="s">
        <v>18127</v>
      </c>
      <c r="X1243" t="s">
        <v>18128</v>
      </c>
      <c r="Y1243" t="s">
        <v>18129</v>
      </c>
      <c r="Z1243" t="s">
        <v>18129</v>
      </c>
      <c r="AA1243" t="s">
        <v>18129</v>
      </c>
      <c r="AB1243" t="s">
        <v>18129</v>
      </c>
      <c r="AC1243" t="s">
        <v>18129</v>
      </c>
    </row>
    <row r="1244" spans="1:30">
      <c r="A1244" t="s">
        <v>18130</v>
      </c>
      <c r="B1244">
        <v>2</v>
      </c>
      <c r="C1244">
        <v>27</v>
      </c>
      <c r="D1244">
        <v>2007</v>
      </c>
      <c r="E1244" s="1">
        <v>39140</v>
      </c>
      <c r="F1244" t="s">
        <v>18131</v>
      </c>
      <c r="G1244">
        <v>0</v>
      </c>
      <c r="H1244">
        <v>1</v>
      </c>
      <c r="I1244">
        <v>1</v>
      </c>
      <c r="J1244">
        <v>0</v>
      </c>
      <c r="L1244" t="s">
        <v>18132</v>
      </c>
      <c r="M1244" t="s">
        <v>18133</v>
      </c>
      <c r="N1244" t="s">
        <v>18134</v>
      </c>
      <c r="O1244" t="s">
        <v>18135</v>
      </c>
      <c r="P1244" t="s">
        <v>18136</v>
      </c>
      <c r="Q1244" t="s">
        <v>18137</v>
      </c>
      <c r="R1244" t="s">
        <v>18138</v>
      </c>
      <c r="S1244" t="s">
        <v>18139</v>
      </c>
      <c r="U1244">
        <v>1</v>
      </c>
      <c r="V1244" t="s">
        <v>18140</v>
      </c>
      <c r="W1244" t="s">
        <v>18141</v>
      </c>
      <c r="Y1244" t="s">
        <v>18142</v>
      </c>
      <c r="Z1244" t="s">
        <v>18142</v>
      </c>
      <c r="AA1244" t="s">
        <v>18142</v>
      </c>
      <c r="AB1244" t="s">
        <v>18142</v>
      </c>
      <c r="AC1244" t="s">
        <v>18142</v>
      </c>
    </row>
    <row r="1245" spans="1:30">
      <c r="A1245" t="s">
        <v>18143</v>
      </c>
      <c r="B1245">
        <v>2</v>
      </c>
      <c r="C1245">
        <v>26</v>
      </c>
      <c r="D1245">
        <v>2007</v>
      </c>
      <c r="E1245" s="1">
        <v>39139</v>
      </c>
      <c r="F1245" t="s">
        <v>18144</v>
      </c>
      <c r="G1245">
        <v>0</v>
      </c>
      <c r="H1245">
        <v>2</v>
      </c>
      <c r="I1245">
        <v>2</v>
      </c>
      <c r="J1245">
        <v>0</v>
      </c>
      <c r="L1245" t="s">
        <v>18145</v>
      </c>
      <c r="M1245" t="s">
        <v>18146</v>
      </c>
      <c r="N1245" t="s">
        <v>18147</v>
      </c>
      <c r="O1245" t="s">
        <v>18148</v>
      </c>
      <c r="P1245" t="s">
        <v>18149</v>
      </c>
      <c r="Q1245" t="s">
        <v>18150</v>
      </c>
      <c r="R1245" t="s">
        <v>18151</v>
      </c>
      <c r="S1245" t="s">
        <v>18152</v>
      </c>
      <c r="V1245" t="s">
        <v>18153</v>
      </c>
      <c r="W1245" t="s">
        <v>18154</v>
      </c>
      <c r="Y1245" t="s">
        <v>18155</v>
      </c>
      <c r="Z1245" t="s">
        <v>18155</v>
      </c>
      <c r="AA1245" t="s">
        <v>18155</v>
      </c>
      <c r="AB1245" t="s">
        <v>18155</v>
      </c>
      <c r="AC1245" t="s">
        <v>18155</v>
      </c>
    </row>
    <row r="1246" spans="1:30">
      <c r="A1246" t="s">
        <v>18156</v>
      </c>
      <c r="B1246">
        <v>2</v>
      </c>
      <c r="C1246">
        <v>8</v>
      </c>
      <c r="D1246">
        <v>2007</v>
      </c>
      <c r="E1246" s="1">
        <v>39121</v>
      </c>
      <c r="F1246" t="s">
        <v>18157</v>
      </c>
      <c r="G1246">
        <v>0</v>
      </c>
      <c r="H1246">
        <v>0</v>
      </c>
      <c r="I1246">
        <v>0</v>
      </c>
      <c r="J1246">
        <v>1</v>
      </c>
      <c r="L1246" t="s">
        <v>18158</v>
      </c>
      <c r="M1246" t="s">
        <v>18159</v>
      </c>
      <c r="N1246" t="s">
        <v>18160</v>
      </c>
      <c r="O1246" t="s">
        <v>18161</v>
      </c>
      <c r="P1246" t="s">
        <v>18162</v>
      </c>
      <c r="Q1246" t="s">
        <v>18163</v>
      </c>
      <c r="R1246" t="s">
        <v>18164</v>
      </c>
      <c r="S1246" t="s">
        <v>18165</v>
      </c>
      <c r="T1246" s="2">
        <v>0.60625000000000007</v>
      </c>
      <c r="U1246">
        <v>1</v>
      </c>
      <c r="V1246" t="s">
        <v>18166</v>
      </c>
      <c r="W1246" t="s">
        <v>18167</v>
      </c>
      <c r="X1246" t="s">
        <v>18168</v>
      </c>
      <c r="Y1246" t="s">
        <v>18169</v>
      </c>
      <c r="Z1246" t="s">
        <v>18169</v>
      </c>
      <c r="AA1246" t="s">
        <v>18169</v>
      </c>
      <c r="AB1246" t="s">
        <v>18169</v>
      </c>
      <c r="AC1246" t="s">
        <v>18169</v>
      </c>
    </row>
    <row r="1247" spans="1:30">
      <c r="A1247" t="s">
        <v>18170</v>
      </c>
      <c r="B1247">
        <v>2</v>
      </c>
      <c r="C1247">
        <v>8</v>
      </c>
      <c r="D1247">
        <v>2007</v>
      </c>
      <c r="E1247" s="1">
        <v>39121</v>
      </c>
      <c r="F1247" t="s">
        <v>18171</v>
      </c>
      <c r="G1247">
        <v>0</v>
      </c>
      <c r="H1247">
        <v>0</v>
      </c>
      <c r="I1247">
        <v>0</v>
      </c>
      <c r="J1247">
        <v>0</v>
      </c>
      <c r="L1247" t="s">
        <v>18172</v>
      </c>
      <c r="M1247" t="s">
        <v>18173</v>
      </c>
      <c r="N1247" t="s">
        <v>18174</v>
      </c>
      <c r="O1247" t="s">
        <v>18175</v>
      </c>
      <c r="P1247" t="s">
        <v>18176</v>
      </c>
      <c r="Q1247" t="s">
        <v>18177</v>
      </c>
      <c r="R1247" t="s">
        <v>18178</v>
      </c>
      <c r="U1247">
        <v>1</v>
      </c>
      <c r="V1247" t="s">
        <v>18179</v>
      </c>
      <c r="W1247" t="s">
        <v>18180</v>
      </c>
      <c r="X1247" t="s">
        <v>18181</v>
      </c>
      <c r="Y1247" t="s">
        <v>18182</v>
      </c>
      <c r="Z1247" t="s">
        <v>18182</v>
      </c>
      <c r="AA1247" t="s">
        <v>18182</v>
      </c>
      <c r="AB1247" t="s">
        <v>18182</v>
      </c>
      <c r="AC1247" t="s">
        <v>18182</v>
      </c>
    </row>
    <row r="1248" spans="1:30">
      <c r="A1248" t="s">
        <v>18183</v>
      </c>
      <c r="B1248">
        <v>2</v>
      </c>
      <c r="C1248">
        <v>7</v>
      </c>
      <c r="D1248">
        <v>2007</v>
      </c>
      <c r="E1248" s="1">
        <v>39120</v>
      </c>
      <c r="F1248" t="s">
        <v>18184</v>
      </c>
      <c r="G1248">
        <v>0</v>
      </c>
      <c r="H1248">
        <v>0</v>
      </c>
      <c r="I1248">
        <v>0</v>
      </c>
      <c r="J1248">
        <v>0</v>
      </c>
      <c r="L1248" t="s">
        <v>18185</v>
      </c>
      <c r="M1248" t="s">
        <v>18186</v>
      </c>
      <c r="N1248" t="s">
        <v>18187</v>
      </c>
      <c r="O1248" t="s">
        <v>18188</v>
      </c>
      <c r="P1248" t="s">
        <v>18189</v>
      </c>
      <c r="Q1248" t="s">
        <v>18189</v>
      </c>
      <c r="R1248" t="s">
        <v>18190</v>
      </c>
      <c r="U1248">
        <v>1</v>
      </c>
      <c r="V1248" t="s">
        <v>18191</v>
      </c>
      <c r="W1248" t="s">
        <v>18192</v>
      </c>
      <c r="X1248" t="s">
        <v>18193</v>
      </c>
      <c r="Y1248" t="s">
        <v>18194</v>
      </c>
      <c r="Z1248" t="s">
        <v>18195</v>
      </c>
      <c r="AA1248" t="s">
        <v>18195</v>
      </c>
      <c r="AB1248" t="s">
        <v>18195</v>
      </c>
      <c r="AC1248" t="s">
        <v>18195</v>
      </c>
    </row>
    <row r="1249" spans="1:30">
      <c r="A1249" t="s">
        <v>18196</v>
      </c>
      <c r="B1249">
        <v>1</v>
      </c>
      <c r="C1249">
        <v>31</v>
      </c>
      <c r="D1249">
        <v>2007</v>
      </c>
      <c r="E1249" s="1">
        <v>39113</v>
      </c>
      <c r="F1249" t="s">
        <v>18197</v>
      </c>
      <c r="G1249">
        <v>0</v>
      </c>
      <c r="H1249">
        <v>1</v>
      </c>
      <c r="I1249">
        <v>1</v>
      </c>
      <c r="J1249">
        <v>0</v>
      </c>
      <c r="L1249" t="s">
        <v>18198</v>
      </c>
      <c r="M1249" t="s">
        <v>18199</v>
      </c>
      <c r="N1249" t="s">
        <v>18200</v>
      </c>
      <c r="O1249" t="s">
        <v>18201</v>
      </c>
      <c r="P1249" t="s">
        <v>18202</v>
      </c>
      <c r="Q1249" t="s">
        <v>18203</v>
      </c>
      <c r="R1249" t="s">
        <v>18204</v>
      </c>
      <c r="S1249" t="s">
        <v>18205</v>
      </c>
      <c r="T1249" s="2">
        <v>0.89583333333333337</v>
      </c>
      <c r="U1249">
        <v>1</v>
      </c>
      <c r="V1249" t="s">
        <v>18206</v>
      </c>
      <c r="W1249" t="s">
        <v>18207</v>
      </c>
      <c r="Y1249" t="s">
        <v>18208</v>
      </c>
      <c r="Z1249" t="s">
        <v>18209</v>
      </c>
      <c r="AA1249" t="s">
        <v>18209</v>
      </c>
      <c r="AB1249" t="s">
        <v>18209</v>
      </c>
      <c r="AC1249" t="s">
        <v>18209</v>
      </c>
    </row>
    <row r="1250" spans="1:30">
      <c r="A1250" t="s">
        <v>18210</v>
      </c>
      <c r="B1250">
        <v>1</v>
      </c>
      <c r="C1250">
        <v>24</v>
      </c>
      <c r="D1250">
        <v>2007</v>
      </c>
      <c r="E1250" s="1">
        <v>39106</v>
      </c>
      <c r="F1250" t="s">
        <v>18211</v>
      </c>
      <c r="G1250">
        <v>0</v>
      </c>
      <c r="H1250">
        <v>0</v>
      </c>
      <c r="I1250">
        <v>0</v>
      </c>
      <c r="J1250">
        <v>0</v>
      </c>
      <c r="L1250" t="s">
        <v>18212</v>
      </c>
      <c r="M1250" t="s">
        <v>18213</v>
      </c>
      <c r="N1250" t="s">
        <v>18214</v>
      </c>
      <c r="O1250" t="s">
        <v>18215</v>
      </c>
      <c r="P1250" t="s">
        <v>18216</v>
      </c>
      <c r="Q1250" t="s">
        <v>18217</v>
      </c>
      <c r="R1250" t="s">
        <v>18218</v>
      </c>
      <c r="S1250" t="s">
        <v>18219</v>
      </c>
      <c r="T1250" s="2">
        <v>0.33333333333333331</v>
      </c>
      <c r="U1250">
        <v>1</v>
      </c>
      <c r="V1250" t="s">
        <v>18220</v>
      </c>
      <c r="W1250" t="s">
        <v>18221</v>
      </c>
      <c r="X1250" t="s">
        <v>18222</v>
      </c>
      <c r="Y1250" t="s">
        <v>18223</v>
      </c>
      <c r="Z1250" t="s">
        <v>18223</v>
      </c>
      <c r="AA1250" t="s">
        <v>18223</v>
      </c>
      <c r="AB1250" t="s">
        <v>18223</v>
      </c>
      <c r="AC1250" t="s">
        <v>18223</v>
      </c>
    </row>
    <row r="1251" spans="1:30">
      <c r="A1251" t="s">
        <v>18224</v>
      </c>
      <c r="B1251">
        <v>1</v>
      </c>
      <c r="C1251">
        <v>18</v>
      </c>
      <c r="D1251">
        <v>2007</v>
      </c>
      <c r="E1251" s="1">
        <v>39100</v>
      </c>
      <c r="F1251" t="s">
        <v>18225</v>
      </c>
      <c r="G1251">
        <v>0</v>
      </c>
      <c r="H1251">
        <v>1</v>
      </c>
      <c r="I1251">
        <v>1</v>
      </c>
      <c r="J1251">
        <v>0</v>
      </c>
      <c r="L1251" t="s">
        <v>18226</v>
      </c>
      <c r="M1251" t="s">
        <v>18227</v>
      </c>
      <c r="N1251" t="s">
        <v>18228</v>
      </c>
      <c r="O1251" t="s">
        <v>18229</v>
      </c>
      <c r="P1251" t="s">
        <v>18230</v>
      </c>
      <c r="Q1251" t="s">
        <v>18231</v>
      </c>
      <c r="R1251" t="s">
        <v>18232</v>
      </c>
      <c r="S1251" t="s">
        <v>18233</v>
      </c>
      <c r="T1251" s="2">
        <v>0.35069444444444442</v>
      </c>
      <c r="U1251">
        <v>1</v>
      </c>
      <c r="V1251" t="s">
        <v>18234</v>
      </c>
      <c r="W1251" t="s">
        <v>18235</v>
      </c>
      <c r="X1251" t="s">
        <v>18236</v>
      </c>
      <c r="Y1251" t="s">
        <v>18237</v>
      </c>
      <c r="Z1251" t="s">
        <v>18238</v>
      </c>
      <c r="AA1251" t="s">
        <v>18238</v>
      </c>
      <c r="AB1251" t="s">
        <v>18238</v>
      </c>
      <c r="AC1251" t="s">
        <v>18238</v>
      </c>
    </row>
    <row r="1252" spans="1:30">
      <c r="A1252" t="s">
        <v>18239</v>
      </c>
      <c r="B1252">
        <v>1</v>
      </c>
      <c r="C1252">
        <v>9</v>
      </c>
      <c r="D1252">
        <v>2007</v>
      </c>
      <c r="E1252" s="1">
        <v>39091</v>
      </c>
      <c r="F1252" t="s">
        <v>18240</v>
      </c>
      <c r="G1252">
        <v>0</v>
      </c>
      <c r="H1252">
        <v>2</v>
      </c>
      <c r="I1252">
        <v>2</v>
      </c>
      <c r="J1252">
        <v>0</v>
      </c>
      <c r="L1252" t="s">
        <v>18241</v>
      </c>
      <c r="M1252" t="s">
        <v>18242</v>
      </c>
      <c r="N1252" t="s">
        <v>18243</v>
      </c>
      <c r="O1252" t="s">
        <v>18244</v>
      </c>
      <c r="P1252" t="s">
        <v>18245</v>
      </c>
      <c r="Q1252" t="s">
        <v>18246</v>
      </c>
      <c r="R1252" t="s">
        <v>18247</v>
      </c>
      <c r="S1252" t="s">
        <v>18248</v>
      </c>
      <c r="T1252" s="2">
        <v>0.63541666666666663</v>
      </c>
      <c r="U1252">
        <v>1</v>
      </c>
      <c r="V1252" t="s">
        <v>18249</v>
      </c>
      <c r="W1252" t="s">
        <v>18250</v>
      </c>
      <c r="X1252" t="s">
        <v>18251</v>
      </c>
      <c r="Y1252" t="s">
        <v>18252</v>
      </c>
      <c r="Z1252" t="s">
        <v>18253</v>
      </c>
      <c r="AA1252" t="s">
        <v>18253</v>
      </c>
      <c r="AB1252" t="s">
        <v>18253</v>
      </c>
      <c r="AC1252" t="s">
        <v>18253</v>
      </c>
    </row>
    <row r="1253" spans="1:30">
      <c r="A1253" t="s">
        <v>18254</v>
      </c>
      <c r="B1253">
        <v>1</v>
      </c>
      <c r="C1253">
        <v>9</v>
      </c>
      <c r="D1253">
        <v>2007</v>
      </c>
      <c r="E1253" s="1">
        <v>39091</v>
      </c>
      <c r="F1253" t="s">
        <v>18255</v>
      </c>
      <c r="G1253">
        <v>0</v>
      </c>
      <c r="H1253">
        <v>2</v>
      </c>
      <c r="I1253">
        <v>2</v>
      </c>
      <c r="J1253">
        <v>0</v>
      </c>
      <c r="L1253" t="s">
        <v>18256</v>
      </c>
      <c r="M1253" t="s">
        <v>18257</v>
      </c>
      <c r="N1253" t="s">
        <v>18258</v>
      </c>
      <c r="O1253" t="s">
        <v>18259</v>
      </c>
      <c r="P1253" t="s">
        <v>18260</v>
      </c>
      <c r="Q1253" t="s">
        <v>18261</v>
      </c>
      <c r="R1253" t="s">
        <v>18262</v>
      </c>
      <c r="S1253" t="s">
        <v>18263</v>
      </c>
      <c r="T1253" s="2">
        <v>0.27083333333333331</v>
      </c>
      <c r="U1253">
        <v>1</v>
      </c>
      <c r="V1253" t="s">
        <v>18264</v>
      </c>
      <c r="W1253" t="s">
        <v>18265</v>
      </c>
      <c r="X1253" t="s">
        <v>18266</v>
      </c>
      <c r="Y1253" t="s">
        <v>18267</v>
      </c>
      <c r="Z1253" t="s">
        <v>18267</v>
      </c>
      <c r="AA1253" t="s">
        <v>18267</v>
      </c>
      <c r="AB1253" t="s">
        <v>18267</v>
      </c>
      <c r="AC1253" t="s">
        <v>18267</v>
      </c>
    </row>
    <row r="1254" spans="1:30">
      <c r="A1254" t="s">
        <v>18268</v>
      </c>
      <c r="B1254">
        <v>1</v>
      </c>
      <c r="C1254">
        <v>8</v>
      </c>
      <c r="D1254">
        <v>2007</v>
      </c>
      <c r="E1254" s="1">
        <v>39090</v>
      </c>
      <c r="F1254" t="s">
        <v>18269</v>
      </c>
      <c r="G1254">
        <v>0</v>
      </c>
      <c r="H1254">
        <v>0</v>
      </c>
      <c r="I1254">
        <v>0</v>
      </c>
      <c r="J1254">
        <v>0</v>
      </c>
      <c r="L1254" t="s">
        <v>18270</v>
      </c>
      <c r="M1254" t="s">
        <v>18271</v>
      </c>
      <c r="N1254" t="s">
        <v>18272</v>
      </c>
      <c r="O1254" t="s">
        <v>18273</v>
      </c>
      <c r="P1254" t="s">
        <v>18274</v>
      </c>
      <c r="Q1254" t="s">
        <v>18275</v>
      </c>
      <c r="R1254" t="s">
        <v>18276</v>
      </c>
      <c r="S1254" t="s">
        <v>18277</v>
      </c>
      <c r="T1254" s="2">
        <v>0.44791666666666669</v>
      </c>
      <c r="U1254">
        <v>1</v>
      </c>
      <c r="V1254" t="s">
        <v>18278</v>
      </c>
      <c r="W1254" t="s">
        <v>18279</v>
      </c>
      <c r="Y1254" t="s">
        <v>18280</v>
      </c>
      <c r="Z1254" t="s">
        <v>18280</v>
      </c>
      <c r="AA1254" t="s">
        <v>18280</v>
      </c>
      <c r="AC1254" t="s">
        <v>18280</v>
      </c>
      <c r="AD1254" t="s">
        <v>18281</v>
      </c>
    </row>
    <row r="1255" spans="1:30">
      <c r="A1255" t="s">
        <v>18282</v>
      </c>
      <c r="B1255">
        <v>1</v>
      </c>
      <c r="C1255">
        <v>4</v>
      </c>
      <c r="D1255">
        <v>2007</v>
      </c>
      <c r="E1255" s="1">
        <v>39086</v>
      </c>
      <c r="F1255" t="s">
        <v>18283</v>
      </c>
      <c r="G1255">
        <v>0</v>
      </c>
      <c r="H1255">
        <v>1</v>
      </c>
      <c r="I1255">
        <v>1</v>
      </c>
      <c r="J1255">
        <v>0</v>
      </c>
      <c r="L1255" t="s">
        <v>18284</v>
      </c>
      <c r="M1255" t="s">
        <v>18285</v>
      </c>
      <c r="N1255" t="s">
        <v>18286</v>
      </c>
      <c r="O1255" t="s">
        <v>18287</v>
      </c>
      <c r="P1255" t="s">
        <v>18288</v>
      </c>
      <c r="Q1255" t="s">
        <v>18289</v>
      </c>
      <c r="R1255" t="s">
        <v>18290</v>
      </c>
      <c r="U1255">
        <v>1</v>
      </c>
      <c r="V1255" t="s">
        <v>18291</v>
      </c>
      <c r="W1255" t="s">
        <v>18292</v>
      </c>
      <c r="Y1255" t="s">
        <v>18293</v>
      </c>
      <c r="Z1255" t="s">
        <v>18294</v>
      </c>
      <c r="AA1255" t="s">
        <v>18294</v>
      </c>
      <c r="AB1255" t="s">
        <v>18294</v>
      </c>
      <c r="AC1255" t="s">
        <v>18294</v>
      </c>
    </row>
    <row r="1256" spans="1:30">
      <c r="A1256" t="s">
        <v>18295</v>
      </c>
      <c r="B1256">
        <v>1</v>
      </c>
      <c r="C1256">
        <v>3</v>
      </c>
      <c r="D1256">
        <v>2007</v>
      </c>
      <c r="E1256" s="1">
        <v>39085</v>
      </c>
      <c r="F1256" t="s">
        <v>18296</v>
      </c>
      <c r="G1256">
        <v>1</v>
      </c>
      <c r="H1256">
        <v>0</v>
      </c>
      <c r="I1256">
        <v>1</v>
      </c>
      <c r="J1256">
        <v>0</v>
      </c>
      <c r="L1256" t="s">
        <v>18297</v>
      </c>
      <c r="M1256" t="s">
        <v>18298</v>
      </c>
      <c r="N1256" t="s">
        <v>18299</v>
      </c>
      <c r="O1256" t="s">
        <v>18300</v>
      </c>
      <c r="P1256" t="s">
        <v>18301</v>
      </c>
      <c r="Q1256" t="s">
        <v>18302</v>
      </c>
      <c r="R1256" t="s">
        <v>18303</v>
      </c>
      <c r="S1256" t="s">
        <v>18304</v>
      </c>
      <c r="T1256" s="2">
        <v>0.3125</v>
      </c>
      <c r="U1256">
        <v>1</v>
      </c>
      <c r="V1256" t="s">
        <v>18305</v>
      </c>
      <c r="W1256" t="s">
        <v>18306</v>
      </c>
      <c r="X1256" t="s">
        <v>18307</v>
      </c>
      <c r="Y1256" t="s">
        <v>18308</v>
      </c>
      <c r="Z1256" t="s">
        <v>18308</v>
      </c>
      <c r="AA1256" t="s">
        <v>18308</v>
      </c>
      <c r="AB1256" t="s">
        <v>18308</v>
      </c>
      <c r="AC1256" t="s">
        <v>18308</v>
      </c>
    </row>
    <row r="1257" spans="1:30">
      <c r="A1257" t="s">
        <v>18309</v>
      </c>
      <c r="B1257">
        <v>1</v>
      </c>
      <c r="C1257">
        <v>2</v>
      </c>
      <c r="D1257">
        <v>2007</v>
      </c>
      <c r="E1257" s="1">
        <v>39084</v>
      </c>
      <c r="F1257" t="s">
        <v>18310</v>
      </c>
      <c r="G1257">
        <v>0</v>
      </c>
      <c r="H1257">
        <v>0</v>
      </c>
      <c r="I1257">
        <v>0</v>
      </c>
      <c r="J1257">
        <v>0</v>
      </c>
      <c r="L1257" t="s">
        <v>18311</v>
      </c>
      <c r="M1257" t="s">
        <v>18312</v>
      </c>
      <c r="N1257" t="s">
        <v>18313</v>
      </c>
      <c r="O1257" t="s">
        <v>18314</v>
      </c>
      <c r="P1257" t="s">
        <v>18315</v>
      </c>
      <c r="Q1257" t="s">
        <v>18316</v>
      </c>
      <c r="R1257" t="s">
        <v>18317</v>
      </c>
      <c r="S1257" t="s">
        <v>18318</v>
      </c>
      <c r="T1257" s="2">
        <v>0.62569444444444444</v>
      </c>
      <c r="U1257">
        <v>1</v>
      </c>
      <c r="V1257" t="s">
        <v>18319</v>
      </c>
      <c r="W1257" t="s">
        <v>18320</v>
      </c>
      <c r="X1257" t="s">
        <v>18321</v>
      </c>
      <c r="Y1257" t="s">
        <v>18322</v>
      </c>
      <c r="Z1257" t="s">
        <v>18322</v>
      </c>
      <c r="AA1257" t="s">
        <v>18322</v>
      </c>
      <c r="AC1257" t="s">
        <v>18322</v>
      </c>
    </row>
    <row r="1258" spans="1:30">
      <c r="A1258" t="s">
        <v>18323</v>
      </c>
      <c r="B1258">
        <v>12</v>
      </c>
      <c r="C1258">
        <v>14</v>
      </c>
      <c r="D1258">
        <v>2006</v>
      </c>
      <c r="E1258" s="1">
        <v>39065</v>
      </c>
      <c r="F1258" t="s">
        <v>18324</v>
      </c>
      <c r="G1258">
        <v>0</v>
      </c>
      <c r="H1258">
        <v>0</v>
      </c>
      <c r="I1258">
        <v>0</v>
      </c>
      <c r="J1258">
        <v>1</v>
      </c>
      <c r="L1258" t="s">
        <v>18325</v>
      </c>
      <c r="M1258" t="s">
        <v>18326</v>
      </c>
      <c r="N1258" t="s">
        <v>18327</v>
      </c>
      <c r="O1258" t="s">
        <v>18328</v>
      </c>
      <c r="P1258" t="s">
        <v>18329</v>
      </c>
      <c r="Q1258" t="s">
        <v>18330</v>
      </c>
      <c r="R1258" t="s">
        <v>18331</v>
      </c>
      <c r="S1258" t="s">
        <v>18332</v>
      </c>
      <c r="T1258" s="2">
        <v>0.70833333333333337</v>
      </c>
      <c r="U1258">
        <v>1</v>
      </c>
      <c r="V1258" t="s">
        <v>18333</v>
      </c>
      <c r="W1258" t="s">
        <v>18334</v>
      </c>
      <c r="X1258" t="s">
        <v>18335</v>
      </c>
      <c r="Y1258" t="s">
        <v>18336</v>
      </c>
      <c r="Z1258" t="s">
        <v>18336</v>
      </c>
      <c r="AA1258" t="s">
        <v>18336</v>
      </c>
      <c r="AC1258" t="s">
        <v>18336</v>
      </c>
    </row>
    <row r="1259" spans="1:30">
      <c r="A1259" t="s">
        <v>18337</v>
      </c>
      <c r="B1259">
        <v>12</v>
      </c>
      <c r="C1259">
        <v>13</v>
      </c>
      <c r="D1259">
        <v>2006</v>
      </c>
      <c r="E1259" s="1">
        <v>39064</v>
      </c>
      <c r="F1259" t="s">
        <v>18338</v>
      </c>
      <c r="G1259">
        <v>0</v>
      </c>
      <c r="H1259">
        <v>1</v>
      </c>
      <c r="I1259">
        <v>1</v>
      </c>
      <c r="J1259">
        <v>0</v>
      </c>
      <c r="L1259" t="s">
        <v>18339</v>
      </c>
      <c r="M1259" t="s">
        <v>18340</v>
      </c>
      <c r="N1259" t="s">
        <v>18341</v>
      </c>
      <c r="O1259" t="s">
        <v>18342</v>
      </c>
      <c r="P1259" t="s">
        <v>18343</v>
      </c>
      <c r="Q1259" t="s">
        <v>18344</v>
      </c>
      <c r="R1259" t="s">
        <v>18345</v>
      </c>
      <c r="S1259" t="s">
        <v>18346</v>
      </c>
      <c r="T1259" s="2">
        <v>0.60416666666666674</v>
      </c>
      <c r="U1259">
        <v>1</v>
      </c>
      <c r="V1259" t="s">
        <v>18347</v>
      </c>
      <c r="W1259" t="s">
        <v>18348</v>
      </c>
      <c r="Y1259" t="s">
        <v>18349</v>
      </c>
      <c r="Z1259" t="s">
        <v>18349</v>
      </c>
      <c r="AA1259" t="s">
        <v>18349</v>
      </c>
      <c r="AB1259" t="s">
        <v>18349</v>
      </c>
      <c r="AC1259" t="s">
        <v>18349</v>
      </c>
    </row>
    <row r="1260" spans="1:30">
      <c r="A1260" t="s">
        <v>18350</v>
      </c>
      <c r="B1260">
        <v>12</v>
      </c>
      <c r="C1260">
        <v>12</v>
      </c>
      <c r="D1260">
        <v>2006</v>
      </c>
      <c r="E1260" s="1">
        <v>39063</v>
      </c>
      <c r="F1260" t="s">
        <v>18351</v>
      </c>
      <c r="G1260">
        <v>0</v>
      </c>
      <c r="H1260">
        <v>0</v>
      </c>
      <c r="I1260">
        <v>0</v>
      </c>
      <c r="J1260">
        <v>1</v>
      </c>
      <c r="L1260" t="s">
        <v>18352</v>
      </c>
      <c r="M1260" t="s">
        <v>18353</v>
      </c>
      <c r="N1260" t="s">
        <v>18354</v>
      </c>
      <c r="O1260" t="s">
        <v>18355</v>
      </c>
      <c r="P1260" t="s">
        <v>18356</v>
      </c>
      <c r="Q1260" t="s">
        <v>18357</v>
      </c>
      <c r="R1260" t="s">
        <v>18358</v>
      </c>
      <c r="S1260" t="s">
        <v>18359</v>
      </c>
      <c r="T1260" s="2">
        <v>0.375</v>
      </c>
      <c r="U1260">
        <v>1</v>
      </c>
      <c r="V1260" t="s">
        <v>18360</v>
      </c>
      <c r="W1260" t="s">
        <v>18361</v>
      </c>
      <c r="X1260" t="s">
        <v>18362</v>
      </c>
      <c r="Y1260" t="s">
        <v>18363</v>
      </c>
      <c r="Z1260" t="s">
        <v>18363</v>
      </c>
      <c r="AA1260" t="s">
        <v>18363</v>
      </c>
      <c r="AC1260" t="s">
        <v>18363</v>
      </c>
    </row>
    <row r="1261" spans="1:30">
      <c r="A1261" t="s">
        <v>18364</v>
      </c>
      <c r="B1261">
        <v>12</v>
      </c>
      <c r="C1261">
        <v>11</v>
      </c>
      <c r="D1261">
        <v>2006</v>
      </c>
      <c r="E1261" s="1">
        <v>39062</v>
      </c>
      <c r="F1261" t="s">
        <v>18365</v>
      </c>
      <c r="G1261">
        <v>0</v>
      </c>
      <c r="H1261">
        <v>1</v>
      </c>
      <c r="I1261">
        <v>1</v>
      </c>
      <c r="J1261">
        <v>0</v>
      </c>
      <c r="L1261" t="s">
        <v>18366</v>
      </c>
      <c r="M1261" t="s">
        <v>18367</v>
      </c>
      <c r="N1261" t="s">
        <v>18368</v>
      </c>
      <c r="O1261" t="s">
        <v>18369</v>
      </c>
      <c r="P1261" t="s">
        <v>18370</v>
      </c>
      <c r="Q1261" t="s">
        <v>18371</v>
      </c>
      <c r="R1261" t="s">
        <v>18372</v>
      </c>
      <c r="S1261" t="s">
        <v>18373</v>
      </c>
      <c r="T1261" s="2">
        <v>0.61458333333333337</v>
      </c>
      <c r="U1261">
        <v>1</v>
      </c>
      <c r="V1261" t="s">
        <v>18374</v>
      </c>
      <c r="W1261" t="s">
        <v>18375</v>
      </c>
      <c r="X1261" t="s">
        <v>18376</v>
      </c>
      <c r="Y1261" t="s">
        <v>18377</v>
      </c>
      <c r="Z1261" t="s">
        <v>18378</v>
      </c>
      <c r="AA1261" t="s">
        <v>18378</v>
      </c>
      <c r="AB1261" t="s">
        <v>18378</v>
      </c>
      <c r="AC1261" t="s">
        <v>18378</v>
      </c>
    </row>
    <row r="1262" spans="1:30">
      <c r="A1262" t="s">
        <v>18379</v>
      </c>
      <c r="B1262">
        <v>12</v>
      </c>
      <c r="C1262">
        <v>7</v>
      </c>
      <c r="D1262">
        <v>2006</v>
      </c>
      <c r="E1262" s="1">
        <v>39058</v>
      </c>
      <c r="F1262" t="s">
        <v>18380</v>
      </c>
      <c r="G1262">
        <v>0</v>
      </c>
      <c r="H1262">
        <v>1</v>
      </c>
      <c r="I1262">
        <v>1</v>
      </c>
      <c r="J1262">
        <v>0</v>
      </c>
      <c r="L1262" t="s">
        <v>18381</v>
      </c>
      <c r="M1262" t="s">
        <v>18382</v>
      </c>
      <c r="N1262" t="s">
        <v>18383</v>
      </c>
      <c r="O1262" t="s">
        <v>18384</v>
      </c>
      <c r="P1262" t="s">
        <v>18385</v>
      </c>
      <c r="Q1262" t="s">
        <v>18386</v>
      </c>
      <c r="R1262" t="s">
        <v>18387</v>
      </c>
      <c r="U1262">
        <v>1</v>
      </c>
      <c r="V1262" t="s">
        <v>18388</v>
      </c>
      <c r="W1262" t="s">
        <v>18389</v>
      </c>
      <c r="X1262" t="s">
        <v>18390</v>
      </c>
      <c r="Y1262" t="s">
        <v>18391</v>
      </c>
      <c r="Z1262" t="s">
        <v>18391</v>
      </c>
      <c r="AA1262" t="s">
        <v>18391</v>
      </c>
      <c r="AB1262" t="s">
        <v>18391</v>
      </c>
      <c r="AC1262" t="s">
        <v>18391</v>
      </c>
    </row>
    <row r="1263" spans="1:30">
      <c r="A1263" t="s">
        <v>18392</v>
      </c>
      <c r="B1263">
        <v>12</v>
      </c>
      <c r="C1263">
        <v>1</v>
      </c>
      <c r="D1263">
        <v>2006</v>
      </c>
      <c r="E1263" s="1">
        <v>39052</v>
      </c>
      <c r="F1263" t="s">
        <v>18393</v>
      </c>
      <c r="G1263">
        <v>1</v>
      </c>
      <c r="H1263">
        <v>0</v>
      </c>
      <c r="I1263">
        <v>1</v>
      </c>
      <c r="J1263">
        <v>0</v>
      </c>
      <c r="L1263" t="s">
        <v>18394</v>
      </c>
      <c r="M1263" t="s">
        <v>18395</v>
      </c>
      <c r="N1263" t="s">
        <v>18396</v>
      </c>
      <c r="O1263" t="s">
        <v>18397</v>
      </c>
      <c r="P1263" t="s">
        <v>18398</v>
      </c>
      <c r="Q1263" t="s">
        <v>18399</v>
      </c>
      <c r="R1263" t="s">
        <v>18400</v>
      </c>
      <c r="S1263" t="s">
        <v>18401</v>
      </c>
      <c r="T1263" s="2">
        <v>0.93055555555555547</v>
      </c>
      <c r="U1263">
        <v>1</v>
      </c>
      <c r="V1263" t="s">
        <v>18402</v>
      </c>
      <c r="W1263" t="s">
        <v>18403</v>
      </c>
      <c r="X1263" t="s">
        <v>18404</v>
      </c>
      <c r="Y1263" t="s">
        <v>18405</v>
      </c>
      <c r="Z1263" t="s">
        <v>18405</v>
      </c>
      <c r="AA1263" t="s">
        <v>18405</v>
      </c>
      <c r="AB1263" t="s">
        <v>18405</v>
      </c>
      <c r="AC1263" t="s">
        <v>18405</v>
      </c>
    </row>
    <row r="1264" spans="1:30">
      <c r="A1264" t="s">
        <v>18406</v>
      </c>
      <c r="B1264">
        <v>11</v>
      </c>
      <c r="C1264">
        <v>22</v>
      </c>
      <c r="D1264">
        <v>2006</v>
      </c>
      <c r="E1264" s="1">
        <v>39043</v>
      </c>
      <c r="F1264" t="s">
        <v>18407</v>
      </c>
      <c r="G1264">
        <v>1</v>
      </c>
      <c r="H1264">
        <v>0</v>
      </c>
      <c r="I1264">
        <v>1</v>
      </c>
      <c r="J1264">
        <v>0</v>
      </c>
      <c r="L1264" t="s">
        <v>18408</v>
      </c>
      <c r="M1264" t="s">
        <v>18409</v>
      </c>
      <c r="N1264" t="s">
        <v>18410</v>
      </c>
      <c r="O1264" t="s">
        <v>18411</v>
      </c>
      <c r="P1264" t="s">
        <v>18412</v>
      </c>
      <c r="Q1264" t="s">
        <v>18413</v>
      </c>
      <c r="R1264" t="s">
        <v>18414</v>
      </c>
      <c r="S1264" t="s">
        <v>18415</v>
      </c>
      <c r="T1264" s="2">
        <v>0.73611111111111116</v>
      </c>
      <c r="U1264">
        <v>1</v>
      </c>
      <c r="V1264" t="s">
        <v>18416</v>
      </c>
      <c r="W1264" t="s">
        <v>18417</v>
      </c>
      <c r="X1264" t="s">
        <v>18418</v>
      </c>
      <c r="Y1264" t="s">
        <v>18419</v>
      </c>
      <c r="Z1264" t="s">
        <v>18420</v>
      </c>
      <c r="AA1264" t="s">
        <v>18420</v>
      </c>
      <c r="AB1264" t="s">
        <v>18420</v>
      </c>
      <c r="AC1264" t="s">
        <v>18420</v>
      </c>
    </row>
    <row r="1265" spans="1:30">
      <c r="A1265" t="s">
        <v>18421</v>
      </c>
      <c r="B1265">
        <v>11</v>
      </c>
      <c r="C1265">
        <v>11</v>
      </c>
      <c r="D1265">
        <v>2006</v>
      </c>
      <c r="E1265" s="1">
        <v>39032</v>
      </c>
      <c r="F1265" t="s">
        <v>18422</v>
      </c>
      <c r="G1265">
        <v>1</v>
      </c>
      <c r="H1265">
        <v>1</v>
      </c>
      <c r="I1265">
        <v>2</v>
      </c>
      <c r="J1265">
        <v>0</v>
      </c>
      <c r="L1265" t="s">
        <v>18423</v>
      </c>
      <c r="M1265" t="s">
        <v>18424</v>
      </c>
      <c r="N1265" t="s">
        <v>18425</v>
      </c>
      <c r="O1265" t="s">
        <v>18426</v>
      </c>
      <c r="P1265" t="s">
        <v>18427</v>
      </c>
      <c r="Q1265" t="s">
        <v>18428</v>
      </c>
      <c r="R1265" t="s">
        <v>18429</v>
      </c>
      <c r="S1265" t="s">
        <v>18430</v>
      </c>
      <c r="T1265" s="2">
        <v>0.95833333333333337</v>
      </c>
      <c r="U1265">
        <v>1</v>
      </c>
      <c r="V1265" t="s">
        <v>18431</v>
      </c>
      <c r="W1265" t="s">
        <v>18432</v>
      </c>
      <c r="X1265" t="s">
        <v>18433</v>
      </c>
      <c r="Y1265" t="s">
        <v>18434</v>
      </c>
      <c r="Z1265" t="s">
        <v>18434</v>
      </c>
      <c r="AA1265" t="s">
        <v>18434</v>
      </c>
      <c r="AB1265" t="s">
        <v>18434</v>
      </c>
      <c r="AC1265" t="s">
        <v>18434</v>
      </c>
    </row>
    <row r="1266" spans="1:30">
      <c r="A1266" t="s">
        <v>18435</v>
      </c>
      <c r="B1266">
        <v>10</v>
      </c>
      <c r="C1266">
        <v>31</v>
      </c>
      <c r="D1266">
        <v>2006</v>
      </c>
      <c r="E1266" s="1">
        <v>39021</v>
      </c>
      <c r="F1266" t="s">
        <v>18436</v>
      </c>
      <c r="G1266">
        <v>1</v>
      </c>
      <c r="H1266">
        <v>0</v>
      </c>
      <c r="I1266">
        <v>1</v>
      </c>
      <c r="J1266">
        <v>0</v>
      </c>
      <c r="L1266" t="s">
        <v>18437</v>
      </c>
      <c r="M1266" t="s">
        <v>18438</v>
      </c>
      <c r="N1266" t="s">
        <v>18439</v>
      </c>
      <c r="O1266" t="s">
        <v>18440</v>
      </c>
      <c r="P1266" t="s">
        <v>18441</v>
      </c>
      <c r="Q1266" t="s">
        <v>18442</v>
      </c>
      <c r="R1266" t="s">
        <v>18443</v>
      </c>
      <c r="S1266" t="s">
        <v>18444</v>
      </c>
      <c r="T1266" s="2">
        <v>0.9375</v>
      </c>
      <c r="U1266">
        <v>1</v>
      </c>
      <c r="V1266" t="s">
        <v>18445</v>
      </c>
      <c r="W1266" t="s">
        <v>18446</v>
      </c>
      <c r="X1266" t="s">
        <v>18447</v>
      </c>
      <c r="Y1266" t="s">
        <v>18448</v>
      </c>
      <c r="Z1266" t="s">
        <v>18448</v>
      </c>
      <c r="AA1266" t="s">
        <v>18448</v>
      </c>
      <c r="AB1266" t="s">
        <v>18448</v>
      </c>
      <c r="AC1266" t="s">
        <v>18448</v>
      </c>
    </row>
    <row r="1267" spans="1:30">
      <c r="A1267" t="s">
        <v>18449</v>
      </c>
      <c r="B1267">
        <v>10</v>
      </c>
      <c r="C1267">
        <v>17</v>
      </c>
      <c r="D1267">
        <v>2006</v>
      </c>
      <c r="E1267" s="1">
        <v>39007</v>
      </c>
      <c r="F1267" t="s">
        <v>18450</v>
      </c>
      <c r="G1267">
        <v>0</v>
      </c>
      <c r="H1267">
        <v>0</v>
      </c>
      <c r="I1267">
        <v>0</v>
      </c>
      <c r="J1267">
        <v>1</v>
      </c>
      <c r="L1267" t="s">
        <v>18451</v>
      </c>
      <c r="M1267" t="s">
        <v>18452</v>
      </c>
      <c r="N1267" t="s">
        <v>18453</v>
      </c>
      <c r="O1267" t="s">
        <v>18454</v>
      </c>
      <c r="P1267" t="s">
        <v>18455</v>
      </c>
      <c r="Q1267" t="s">
        <v>18456</v>
      </c>
      <c r="R1267" t="s">
        <v>18457</v>
      </c>
      <c r="S1267" t="s">
        <v>18458</v>
      </c>
      <c r="T1267" s="2">
        <v>0.49652777777777779</v>
      </c>
      <c r="U1267">
        <v>1</v>
      </c>
      <c r="V1267" t="s">
        <v>18459</v>
      </c>
      <c r="W1267" t="s">
        <v>18460</v>
      </c>
      <c r="X1267" t="s">
        <v>18461</v>
      </c>
      <c r="Y1267" t="s">
        <v>18462</v>
      </c>
      <c r="Z1267" t="s">
        <v>18462</v>
      </c>
      <c r="AA1267" t="s">
        <v>18462</v>
      </c>
    </row>
    <row r="1268" spans="1:30">
      <c r="A1268" t="s">
        <v>18463</v>
      </c>
      <c r="B1268">
        <v>10</v>
      </c>
      <c r="C1268">
        <v>12</v>
      </c>
      <c r="D1268">
        <v>2006</v>
      </c>
      <c r="E1268" s="1">
        <v>39002</v>
      </c>
      <c r="F1268" t="s">
        <v>18464</v>
      </c>
      <c r="G1268">
        <v>0</v>
      </c>
      <c r="H1268">
        <v>0</v>
      </c>
      <c r="I1268">
        <v>0</v>
      </c>
      <c r="J1268">
        <v>0</v>
      </c>
      <c r="L1268" t="s">
        <v>18465</v>
      </c>
      <c r="M1268" t="s">
        <v>18466</v>
      </c>
      <c r="N1268" t="s">
        <v>18467</v>
      </c>
      <c r="O1268" t="s">
        <v>18468</v>
      </c>
      <c r="P1268" t="s">
        <v>18469</v>
      </c>
      <c r="Q1268" t="s">
        <v>18470</v>
      </c>
      <c r="R1268" t="s">
        <v>18471</v>
      </c>
      <c r="S1268" t="s">
        <v>18472</v>
      </c>
      <c r="U1268">
        <v>1</v>
      </c>
      <c r="V1268" t="s">
        <v>18473</v>
      </c>
      <c r="W1268" t="s">
        <v>18474</v>
      </c>
      <c r="X1268" t="s">
        <v>18475</v>
      </c>
      <c r="Y1268" t="s">
        <v>18476</v>
      </c>
      <c r="Z1268" t="s">
        <v>18477</v>
      </c>
      <c r="AA1268" t="s">
        <v>18477</v>
      </c>
      <c r="AB1268" t="s">
        <v>18477</v>
      </c>
      <c r="AC1268" t="s">
        <v>18477</v>
      </c>
    </row>
    <row r="1269" spans="1:30">
      <c r="A1269" t="s">
        <v>18478</v>
      </c>
      <c r="B1269">
        <v>10</v>
      </c>
      <c r="C1269">
        <v>10</v>
      </c>
      <c r="D1269">
        <v>2006</v>
      </c>
      <c r="E1269" s="1">
        <v>39000</v>
      </c>
      <c r="F1269" t="s">
        <v>18479</v>
      </c>
      <c r="G1269">
        <v>0</v>
      </c>
      <c r="H1269">
        <v>2</v>
      </c>
      <c r="I1269">
        <v>2</v>
      </c>
      <c r="J1269">
        <v>0</v>
      </c>
      <c r="L1269" t="s">
        <v>18480</v>
      </c>
      <c r="M1269" t="s">
        <v>18481</v>
      </c>
      <c r="N1269" t="s">
        <v>18482</v>
      </c>
      <c r="O1269" t="s">
        <v>18483</v>
      </c>
      <c r="P1269" t="s">
        <v>18484</v>
      </c>
      <c r="Q1269" t="s">
        <v>18484</v>
      </c>
      <c r="R1269" t="s">
        <v>18485</v>
      </c>
      <c r="S1269" t="s">
        <v>18486</v>
      </c>
      <c r="T1269" s="2">
        <v>0.66666666666666663</v>
      </c>
      <c r="U1269">
        <v>1</v>
      </c>
      <c r="V1269" t="s">
        <v>18487</v>
      </c>
      <c r="W1269" t="s">
        <v>18488</v>
      </c>
      <c r="Y1269" t="s">
        <v>18489</v>
      </c>
      <c r="Z1269" t="s">
        <v>18489</v>
      </c>
      <c r="AA1269" t="s">
        <v>18489</v>
      </c>
      <c r="AC1269" t="s">
        <v>18489</v>
      </c>
    </row>
    <row r="1270" spans="1:30">
      <c r="A1270" t="s">
        <v>18490</v>
      </c>
      <c r="B1270">
        <v>10</v>
      </c>
      <c r="C1270">
        <v>9</v>
      </c>
      <c r="D1270">
        <v>2006</v>
      </c>
      <c r="E1270" s="1">
        <v>38999</v>
      </c>
      <c r="F1270" t="s">
        <v>18491</v>
      </c>
      <c r="G1270">
        <v>0</v>
      </c>
      <c r="H1270">
        <v>0</v>
      </c>
      <c r="I1270">
        <v>0</v>
      </c>
      <c r="J1270">
        <v>0</v>
      </c>
      <c r="L1270" t="s">
        <v>18492</v>
      </c>
      <c r="M1270" t="s">
        <v>18493</v>
      </c>
      <c r="N1270" t="s">
        <v>18494</v>
      </c>
      <c r="O1270" t="s">
        <v>18495</v>
      </c>
      <c r="P1270" t="s">
        <v>18496</v>
      </c>
      <c r="Q1270" t="s">
        <v>18497</v>
      </c>
      <c r="R1270" t="s">
        <v>18498</v>
      </c>
      <c r="S1270" t="s">
        <v>18499</v>
      </c>
      <c r="T1270" s="2">
        <v>0.32291666666666669</v>
      </c>
      <c r="U1270">
        <v>1</v>
      </c>
      <c r="V1270" t="s">
        <v>18500</v>
      </c>
      <c r="W1270" t="s">
        <v>18501</v>
      </c>
      <c r="X1270" t="s">
        <v>18502</v>
      </c>
      <c r="Y1270" t="s">
        <v>18503</v>
      </c>
      <c r="Z1270" t="s">
        <v>18503</v>
      </c>
      <c r="AA1270" t="s">
        <v>18503</v>
      </c>
      <c r="AB1270" t="s">
        <v>18503</v>
      </c>
      <c r="AC1270" t="s">
        <v>18503</v>
      </c>
      <c r="AD1270" t="s">
        <v>18504</v>
      </c>
    </row>
    <row r="1271" spans="1:30">
      <c r="A1271" t="s">
        <v>18505</v>
      </c>
      <c r="B1271">
        <v>10</v>
      </c>
      <c r="C1271">
        <v>2</v>
      </c>
      <c r="D1271">
        <v>2006</v>
      </c>
      <c r="E1271" s="1">
        <v>38992</v>
      </c>
      <c r="F1271" t="s">
        <v>18506</v>
      </c>
      <c r="G1271">
        <v>5</v>
      </c>
      <c r="H1271">
        <v>5</v>
      </c>
      <c r="I1271">
        <v>10</v>
      </c>
      <c r="J1271">
        <v>1</v>
      </c>
      <c r="L1271" t="s">
        <v>18507</v>
      </c>
      <c r="M1271" t="s">
        <v>18508</v>
      </c>
      <c r="N1271" t="s">
        <v>18509</v>
      </c>
      <c r="O1271" t="s">
        <v>18510</v>
      </c>
      <c r="P1271" t="s">
        <v>18511</v>
      </c>
      <c r="Q1271" t="s">
        <v>18512</v>
      </c>
      <c r="R1271" t="s">
        <v>18513</v>
      </c>
      <c r="S1271" t="s">
        <v>18514</v>
      </c>
      <c r="T1271" s="2">
        <v>0.46319444444444441</v>
      </c>
      <c r="V1271" t="s">
        <v>18515</v>
      </c>
      <c r="W1271" t="s">
        <v>18516</v>
      </c>
      <c r="X1271" t="s">
        <v>18517</v>
      </c>
      <c r="Y1271" t="s">
        <v>18518</v>
      </c>
      <c r="Z1271" t="s">
        <v>18518</v>
      </c>
      <c r="AA1271" t="s">
        <v>18519</v>
      </c>
      <c r="AB1271" t="s">
        <v>18520</v>
      </c>
      <c r="AC1271" t="s">
        <v>18521</v>
      </c>
      <c r="AD1271" t="s">
        <v>18521</v>
      </c>
    </row>
    <row r="1272" spans="1:30">
      <c r="A1272" t="s">
        <v>18522</v>
      </c>
      <c r="B1272">
        <v>9</v>
      </c>
      <c r="C1272">
        <v>29</v>
      </c>
      <c r="D1272">
        <v>2006</v>
      </c>
      <c r="E1272" s="1">
        <v>38989</v>
      </c>
      <c r="F1272" t="s">
        <v>18523</v>
      </c>
      <c r="G1272">
        <v>1</v>
      </c>
      <c r="H1272">
        <v>0</v>
      </c>
      <c r="I1272">
        <v>1</v>
      </c>
      <c r="J1272">
        <v>0</v>
      </c>
      <c r="L1272" t="s">
        <v>18524</v>
      </c>
      <c r="M1272" t="s">
        <v>18525</v>
      </c>
      <c r="N1272" t="s">
        <v>18526</v>
      </c>
      <c r="O1272" t="s">
        <v>18527</v>
      </c>
      <c r="P1272" t="s">
        <v>18528</v>
      </c>
      <c r="Q1272" t="s">
        <v>18529</v>
      </c>
      <c r="R1272" t="s">
        <v>18530</v>
      </c>
      <c r="S1272" t="s">
        <v>18531</v>
      </c>
      <c r="T1272" s="2">
        <v>0.34027777777777773</v>
      </c>
      <c r="U1272">
        <v>1</v>
      </c>
      <c r="V1272" t="s">
        <v>18532</v>
      </c>
      <c r="W1272" t="s">
        <v>18533</v>
      </c>
      <c r="X1272" t="s">
        <v>18534</v>
      </c>
      <c r="Y1272" t="s">
        <v>18535</v>
      </c>
      <c r="Z1272" t="s">
        <v>18535</v>
      </c>
      <c r="AA1272" t="s">
        <v>18535</v>
      </c>
      <c r="AB1272" t="s">
        <v>18536</v>
      </c>
      <c r="AC1272" t="s">
        <v>18537</v>
      </c>
      <c r="AD1272" t="s">
        <v>18538</v>
      </c>
    </row>
    <row r="1273" spans="1:30">
      <c r="A1273" t="s">
        <v>18539</v>
      </c>
      <c r="B1273">
        <v>9</v>
      </c>
      <c r="C1273">
        <v>27</v>
      </c>
      <c r="D1273">
        <v>2006</v>
      </c>
      <c r="E1273" s="1">
        <v>38987</v>
      </c>
      <c r="F1273" t="s">
        <v>18540</v>
      </c>
      <c r="G1273">
        <v>1</v>
      </c>
      <c r="H1273">
        <v>0</v>
      </c>
      <c r="I1273">
        <v>1</v>
      </c>
      <c r="J1273">
        <v>1</v>
      </c>
      <c r="K1273" t="s">
        <v>18541</v>
      </c>
      <c r="L1273" t="s">
        <v>18542</v>
      </c>
      <c r="M1273" t="s">
        <v>18543</v>
      </c>
      <c r="N1273" t="s">
        <v>18544</v>
      </c>
      <c r="O1273" t="s">
        <v>18545</v>
      </c>
      <c r="P1273" t="s">
        <v>18546</v>
      </c>
      <c r="Q1273" t="s">
        <v>18547</v>
      </c>
      <c r="R1273" t="s">
        <v>18548</v>
      </c>
      <c r="S1273" t="s">
        <v>18549</v>
      </c>
      <c r="T1273" s="2">
        <v>0.4861111111111111</v>
      </c>
      <c r="U1273">
        <v>260</v>
      </c>
      <c r="V1273" t="s">
        <v>18550</v>
      </c>
      <c r="W1273" t="s">
        <v>18551</v>
      </c>
      <c r="X1273" t="s">
        <v>18552</v>
      </c>
      <c r="Y1273" t="s">
        <v>18553</v>
      </c>
      <c r="Z1273" t="s">
        <v>18554</v>
      </c>
      <c r="AA1273" t="s">
        <v>18554</v>
      </c>
      <c r="AB1273" t="s">
        <v>18555</v>
      </c>
      <c r="AC1273" t="s">
        <v>18555</v>
      </c>
      <c r="AD1273" t="s">
        <v>18556</v>
      </c>
    </row>
    <row r="1274" spans="1:30">
      <c r="A1274" t="s">
        <v>18557</v>
      </c>
      <c r="B1274">
        <v>9</v>
      </c>
      <c r="C1274">
        <v>21</v>
      </c>
      <c r="D1274">
        <v>2006</v>
      </c>
      <c r="E1274" s="1">
        <v>38981</v>
      </c>
      <c r="F1274" t="s">
        <v>18558</v>
      </c>
      <c r="G1274">
        <v>0</v>
      </c>
      <c r="H1274">
        <v>1</v>
      </c>
      <c r="I1274">
        <v>1</v>
      </c>
      <c r="J1274">
        <v>0</v>
      </c>
      <c r="L1274" t="s">
        <v>18559</v>
      </c>
      <c r="M1274" t="s">
        <v>18560</v>
      </c>
      <c r="N1274" t="s">
        <v>18561</v>
      </c>
      <c r="O1274" t="s">
        <v>18562</v>
      </c>
      <c r="P1274" t="s">
        <v>18563</v>
      </c>
      <c r="Q1274" t="s">
        <v>18564</v>
      </c>
      <c r="R1274" t="s">
        <v>18565</v>
      </c>
      <c r="S1274" t="s">
        <v>18566</v>
      </c>
      <c r="T1274" s="2">
        <v>0.51041666666666663</v>
      </c>
      <c r="U1274">
        <v>1</v>
      </c>
      <c r="V1274" t="s">
        <v>18567</v>
      </c>
      <c r="W1274" t="s">
        <v>18568</v>
      </c>
      <c r="X1274" t="s">
        <v>18569</v>
      </c>
      <c r="Y1274" t="s">
        <v>18570</v>
      </c>
      <c r="Z1274" t="s">
        <v>18570</v>
      </c>
      <c r="AA1274" t="s">
        <v>18570</v>
      </c>
      <c r="AB1274" t="s">
        <v>18570</v>
      </c>
      <c r="AC1274" t="s">
        <v>18570</v>
      </c>
    </row>
    <row r="1275" spans="1:30">
      <c r="A1275" t="s">
        <v>18571</v>
      </c>
      <c r="B1275">
        <v>9</v>
      </c>
      <c r="C1275">
        <v>13</v>
      </c>
      <c r="D1275">
        <v>2006</v>
      </c>
      <c r="E1275" s="1">
        <v>38973</v>
      </c>
      <c r="F1275" t="s">
        <v>18572</v>
      </c>
      <c r="G1275">
        <v>0</v>
      </c>
      <c r="H1275">
        <v>0</v>
      </c>
      <c r="I1275">
        <v>0</v>
      </c>
      <c r="J1275">
        <v>0</v>
      </c>
      <c r="L1275" t="s">
        <v>18573</v>
      </c>
      <c r="M1275" t="s">
        <v>18574</v>
      </c>
      <c r="N1275" t="s">
        <v>18575</v>
      </c>
      <c r="O1275" t="s">
        <v>18576</v>
      </c>
      <c r="P1275" t="s">
        <v>18577</v>
      </c>
      <c r="Q1275" t="s">
        <v>18578</v>
      </c>
      <c r="R1275" t="s">
        <v>18579</v>
      </c>
      <c r="S1275" t="s">
        <v>18580</v>
      </c>
      <c r="V1275" t="s">
        <v>18581</v>
      </c>
      <c r="W1275" t="s">
        <v>18582</v>
      </c>
      <c r="X1275" t="s">
        <v>18583</v>
      </c>
      <c r="Y1275" t="s">
        <v>18584</v>
      </c>
      <c r="Z1275" t="s">
        <v>18584</v>
      </c>
      <c r="AA1275" t="s">
        <v>18584</v>
      </c>
    </row>
    <row r="1276" spans="1:30">
      <c r="A1276" t="s">
        <v>18585</v>
      </c>
      <c r="B1276">
        <v>9</v>
      </c>
      <c r="C1276">
        <v>8</v>
      </c>
      <c r="D1276">
        <v>2006</v>
      </c>
      <c r="E1276" s="1">
        <v>38968</v>
      </c>
      <c r="F1276" t="s">
        <v>18586</v>
      </c>
      <c r="G1276">
        <v>0</v>
      </c>
      <c r="H1276">
        <v>1</v>
      </c>
      <c r="I1276">
        <v>1</v>
      </c>
      <c r="J1276">
        <v>0</v>
      </c>
      <c r="L1276" t="s">
        <v>18587</v>
      </c>
      <c r="M1276" t="s">
        <v>18588</v>
      </c>
      <c r="N1276" t="s">
        <v>18589</v>
      </c>
      <c r="O1276" t="s">
        <v>18590</v>
      </c>
      <c r="P1276" t="s">
        <v>18591</v>
      </c>
      <c r="Q1276" t="s">
        <v>18592</v>
      </c>
      <c r="R1276" t="s">
        <v>18593</v>
      </c>
      <c r="S1276" t="s">
        <v>18594</v>
      </c>
      <c r="T1276" s="2">
        <v>0.55555555555555547</v>
      </c>
      <c r="U1276">
        <v>1</v>
      </c>
      <c r="V1276" t="s">
        <v>18595</v>
      </c>
      <c r="W1276" t="s">
        <v>18596</v>
      </c>
      <c r="X1276" t="s">
        <v>18597</v>
      </c>
      <c r="Y1276" t="s">
        <v>18598</v>
      </c>
      <c r="Z1276" t="s">
        <v>18598</v>
      </c>
      <c r="AA1276" t="s">
        <v>18598</v>
      </c>
      <c r="AB1276" t="s">
        <v>18599</v>
      </c>
      <c r="AC1276" t="s">
        <v>18599</v>
      </c>
      <c r="AD1276" t="s">
        <v>18599</v>
      </c>
    </row>
    <row r="1277" spans="1:30">
      <c r="A1277" t="s">
        <v>18600</v>
      </c>
      <c r="B1277">
        <v>9</v>
      </c>
      <c r="C1277">
        <v>5</v>
      </c>
      <c r="D1277">
        <v>2006</v>
      </c>
      <c r="E1277" s="1">
        <v>38965</v>
      </c>
      <c r="F1277" t="s">
        <v>18601</v>
      </c>
      <c r="G1277">
        <v>0</v>
      </c>
      <c r="H1277">
        <v>1</v>
      </c>
      <c r="I1277">
        <v>1</v>
      </c>
      <c r="J1277">
        <v>0</v>
      </c>
      <c r="L1277" t="s">
        <v>18602</v>
      </c>
      <c r="M1277" t="s">
        <v>18603</v>
      </c>
      <c r="N1277" t="s">
        <v>18604</v>
      </c>
      <c r="O1277" t="s">
        <v>18605</v>
      </c>
      <c r="P1277" t="s">
        <v>18606</v>
      </c>
      <c r="Q1277" t="s">
        <v>18607</v>
      </c>
      <c r="R1277" t="s">
        <v>18608</v>
      </c>
      <c r="S1277" t="s">
        <v>18609</v>
      </c>
      <c r="U1277">
        <v>1</v>
      </c>
      <c r="V1277" t="s">
        <v>18610</v>
      </c>
      <c r="W1277" t="s">
        <v>18611</v>
      </c>
      <c r="X1277" t="s">
        <v>18612</v>
      </c>
      <c r="Y1277" t="s">
        <v>18613</v>
      </c>
      <c r="Z1277" t="s">
        <v>18613</v>
      </c>
      <c r="AA1277" t="s">
        <v>18613</v>
      </c>
      <c r="AB1277" t="s">
        <v>18613</v>
      </c>
      <c r="AC1277" t="s">
        <v>18613</v>
      </c>
    </row>
    <row r="1278" spans="1:30">
      <c r="A1278" t="s">
        <v>18614</v>
      </c>
      <c r="B1278">
        <v>8</v>
      </c>
      <c r="C1278">
        <v>31</v>
      </c>
      <c r="D1278">
        <v>2006</v>
      </c>
      <c r="E1278" s="1">
        <v>38960</v>
      </c>
      <c r="F1278" t="s">
        <v>18615</v>
      </c>
      <c r="G1278">
        <v>0</v>
      </c>
      <c r="H1278">
        <v>1</v>
      </c>
      <c r="I1278">
        <v>1</v>
      </c>
      <c r="J1278">
        <v>0</v>
      </c>
      <c r="L1278" t="s">
        <v>18616</v>
      </c>
      <c r="M1278" t="s">
        <v>18617</v>
      </c>
      <c r="N1278" t="s">
        <v>18618</v>
      </c>
      <c r="O1278" t="s">
        <v>18619</v>
      </c>
      <c r="P1278" t="s">
        <v>18620</v>
      </c>
      <c r="Q1278" t="s">
        <v>18621</v>
      </c>
      <c r="R1278" t="s">
        <v>18622</v>
      </c>
      <c r="S1278" t="s">
        <v>18623</v>
      </c>
      <c r="T1278" s="2">
        <v>0.90277777777777779</v>
      </c>
      <c r="U1278">
        <v>1</v>
      </c>
      <c r="V1278" t="s">
        <v>18624</v>
      </c>
      <c r="W1278" t="s">
        <v>18625</v>
      </c>
      <c r="X1278" t="s">
        <v>18626</v>
      </c>
      <c r="Y1278" t="s">
        <v>18627</v>
      </c>
      <c r="Z1278" t="s">
        <v>18627</v>
      </c>
      <c r="AA1278" t="s">
        <v>18627</v>
      </c>
      <c r="AB1278" t="s">
        <v>18627</v>
      </c>
      <c r="AC1278" t="s">
        <v>18627</v>
      </c>
    </row>
    <row r="1279" spans="1:30">
      <c r="A1279" t="s">
        <v>18628</v>
      </c>
      <c r="B1279">
        <v>8</v>
      </c>
      <c r="C1279">
        <v>30</v>
      </c>
      <c r="D1279">
        <v>2006</v>
      </c>
      <c r="E1279" s="1">
        <v>38959</v>
      </c>
      <c r="F1279" t="s">
        <v>18629</v>
      </c>
      <c r="G1279">
        <v>0</v>
      </c>
      <c r="H1279">
        <v>2</v>
      </c>
      <c r="I1279">
        <v>2</v>
      </c>
      <c r="J1279">
        <v>0</v>
      </c>
      <c r="L1279" t="s">
        <v>18630</v>
      </c>
      <c r="M1279" t="s">
        <v>18631</v>
      </c>
      <c r="N1279" t="s">
        <v>18632</v>
      </c>
      <c r="O1279" t="s">
        <v>18633</v>
      </c>
      <c r="P1279" t="s">
        <v>18634</v>
      </c>
      <c r="Q1279" t="s">
        <v>18635</v>
      </c>
      <c r="R1279" t="s">
        <v>18636</v>
      </c>
      <c r="S1279" t="s">
        <v>18637</v>
      </c>
      <c r="T1279" s="2">
        <v>0.54166666666666663</v>
      </c>
      <c r="V1279" t="s">
        <v>18638</v>
      </c>
      <c r="W1279" t="s">
        <v>18639</v>
      </c>
      <c r="X1279" t="s">
        <v>18640</v>
      </c>
      <c r="Y1279" t="s">
        <v>18641</v>
      </c>
      <c r="Z1279" t="s">
        <v>18641</v>
      </c>
      <c r="AA1279" t="s">
        <v>18641</v>
      </c>
      <c r="AB1279" t="s">
        <v>18641</v>
      </c>
      <c r="AC1279" t="s">
        <v>18641</v>
      </c>
      <c r="AD1279" t="s">
        <v>18642</v>
      </c>
    </row>
    <row r="1280" spans="1:30">
      <c r="A1280" t="s">
        <v>18643</v>
      </c>
      <c r="B1280">
        <v>8</v>
      </c>
      <c r="C1280">
        <v>29</v>
      </c>
      <c r="D1280">
        <v>2006</v>
      </c>
      <c r="E1280" s="1">
        <v>38958</v>
      </c>
      <c r="F1280" t="s">
        <v>18644</v>
      </c>
      <c r="G1280">
        <v>0</v>
      </c>
      <c r="H1280">
        <v>0</v>
      </c>
      <c r="I1280">
        <v>0</v>
      </c>
      <c r="J1280">
        <v>0</v>
      </c>
      <c r="L1280" t="s">
        <v>18645</v>
      </c>
      <c r="M1280" t="s">
        <v>18646</v>
      </c>
      <c r="N1280" t="s">
        <v>18647</v>
      </c>
      <c r="O1280" t="s">
        <v>18648</v>
      </c>
      <c r="P1280" t="s">
        <v>18649</v>
      </c>
      <c r="Q1280" t="s">
        <v>18650</v>
      </c>
      <c r="R1280" t="s">
        <v>18651</v>
      </c>
      <c r="S1280" t="s">
        <v>18652</v>
      </c>
      <c r="T1280" s="2">
        <v>0.63541666666666663</v>
      </c>
      <c r="U1280">
        <v>1</v>
      </c>
      <c r="V1280" t="s">
        <v>18653</v>
      </c>
      <c r="W1280" t="s">
        <v>18654</v>
      </c>
      <c r="X1280" t="s">
        <v>18655</v>
      </c>
      <c r="Y1280" t="s">
        <v>18656</v>
      </c>
      <c r="Z1280" t="s">
        <v>18656</v>
      </c>
      <c r="AA1280" t="s">
        <v>18656</v>
      </c>
      <c r="AB1280" t="s">
        <v>18656</v>
      </c>
      <c r="AC1280" t="s">
        <v>18656</v>
      </c>
    </row>
    <row r="1281" spans="1:30">
      <c r="A1281" t="s">
        <v>18657</v>
      </c>
      <c r="B1281">
        <v>8</v>
      </c>
      <c r="C1281">
        <v>24</v>
      </c>
      <c r="D1281">
        <v>2006</v>
      </c>
      <c r="E1281" s="1">
        <v>38953</v>
      </c>
      <c r="F1281" t="s">
        <v>18658</v>
      </c>
      <c r="G1281">
        <v>1</v>
      </c>
      <c r="H1281">
        <v>0</v>
      </c>
      <c r="I1281">
        <v>1</v>
      </c>
      <c r="J1281">
        <v>0</v>
      </c>
      <c r="L1281" t="s">
        <v>18659</v>
      </c>
      <c r="M1281" t="s">
        <v>18660</v>
      </c>
      <c r="N1281" t="s">
        <v>18661</v>
      </c>
      <c r="O1281" t="s">
        <v>18662</v>
      </c>
      <c r="P1281" t="s">
        <v>18663</v>
      </c>
      <c r="Q1281" t="s">
        <v>18664</v>
      </c>
      <c r="R1281" t="s">
        <v>18665</v>
      </c>
      <c r="U1281">
        <v>1</v>
      </c>
      <c r="V1281" t="s">
        <v>18666</v>
      </c>
      <c r="W1281" t="s">
        <v>18667</v>
      </c>
      <c r="X1281" t="s">
        <v>18668</v>
      </c>
      <c r="Y1281" t="s">
        <v>18669</v>
      </c>
      <c r="Z1281" t="s">
        <v>18669</v>
      </c>
      <c r="AA1281" t="s">
        <v>18669</v>
      </c>
      <c r="AB1281" t="s">
        <v>18669</v>
      </c>
      <c r="AC1281" t="s">
        <v>18670</v>
      </c>
    </row>
    <row r="1282" spans="1:30">
      <c r="A1282" t="s">
        <v>18671</v>
      </c>
      <c r="B1282">
        <v>8</v>
      </c>
      <c r="C1282">
        <v>21</v>
      </c>
      <c r="D1282">
        <v>2006</v>
      </c>
      <c r="E1282" s="1">
        <v>38950</v>
      </c>
      <c r="F1282" t="s">
        <v>18672</v>
      </c>
      <c r="G1282">
        <v>0</v>
      </c>
      <c r="H1282">
        <v>0</v>
      </c>
      <c r="I1282">
        <v>0</v>
      </c>
      <c r="J1282">
        <v>1</v>
      </c>
      <c r="L1282" t="s">
        <v>18673</v>
      </c>
      <c r="M1282" t="s">
        <v>18674</v>
      </c>
      <c r="N1282" t="s">
        <v>18675</v>
      </c>
      <c r="O1282" t="s">
        <v>18676</v>
      </c>
      <c r="P1282" t="s">
        <v>18677</v>
      </c>
      <c r="Q1282" t="s">
        <v>18678</v>
      </c>
      <c r="R1282" t="s">
        <v>18679</v>
      </c>
      <c r="S1282" t="s">
        <v>18680</v>
      </c>
      <c r="U1282">
        <v>1</v>
      </c>
      <c r="V1282" t="s">
        <v>18681</v>
      </c>
      <c r="W1282" t="s">
        <v>18682</v>
      </c>
      <c r="X1282" t="s">
        <v>18683</v>
      </c>
      <c r="Y1282" t="s">
        <v>18684</v>
      </c>
      <c r="Z1282" t="s">
        <v>18684</v>
      </c>
      <c r="AA1282" t="s">
        <v>18684</v>
      </c>
      <c r="AB1282" t="s">
        <v>18684</v>
      </c>
      <c r="AC1282" t="s">
        <v>18684</v>
      </c>
    </row>
    <row r="1283" spans="1:30">
      <c r="A1283" t="s">
        <v>18685</v>
      </c>
      <c r="B1283">
        <v>8</v>
      </c>
      <c r="C1283">
        <v>20</v>
      </c>
      <c r="D1283">
        <v>2006</v>
      </c>
      <c r="E1283" s="1">
        <v>38949</v>
      </c>
      <c r="F1283" t="s">
        <v>18686</v>
      </c>
      <c r="G1283">
        <v>0</v>
      </c>
      <c r="H1283">
        <v>2</v>
      </c>
      <c r="I1283">
        <v>2</v>
      </c>
      <c r="J1283">
        <v>0</v>
      </c>
      <c r="L1283" t="s">
        <v>18687</v>
      </c>
      <c r="M1283" t="s">
        <v>18688</v>
      </c>
      <c r="N1283" t="s">
        <v>18689</v>
      </c>
      <c r="O1283" t="s">
        <v>18690</v>
      </c>
      <c r="P1283" t="s">
        <v>18691</v>
      </c>
      <c r="Q1283" t="s">
        <v>18692</v>
      </c>
      <c r="R1283" t="s">
        <v>18693</v>
      </c>
      <c r="S1283" t="s">
        <v>18694</v>
      </c>
      <c r="T1283" s="2">
        <v>0.8125</v>
      </c>
      <c r="U1283">
        <v>1</v>
      </c>
      <c r="V1283" t="s">
        <v>18695</v>
      </c>
      <c r="W1283" t="s">
        <v>18696</v>
      </c>
      <c r="X1283" t="s">
        <v>18697</v>
      </c>
      <c r="Y1283" t="s">
        <v>18698</v>
      </c>
      <c r="Z1283" t="s">
        <v>18699</v>
      </c>
      <c r="AA1283" t="s">
        <v>18699</v>
      </c>
      <c r="AB1283" t="s">
        <v>18699</v>
      </c>
      <c r="AC1283" t="s">
        <v>18699</v>
      </c>
    </row>
    <row r="1284" spans="1:30">
      <c r="A1284" t="s">
        <v>18700</v>
      </c>
      <c r="B1284">
        <v>8</v>
      </c>
      <c r="C1284">
        <v>19</v>
      </c>
      <c r="D1284">
        <v>2006</v>
      </c>
      <c r="E1284" s="1">
        <v>38948</v>
      </c>
      <c r="F1284" t="s">
        <v>18701</v>
      </c>
      <c r="G1284">
        <v>1</v>
      </c>
      <c r="H1284">
        <v>0</v>
      </c>
      <c r="I1284">
        <v>1</v>
      </c>
      <c r="J1284">
        <v>0</v>
      </c>
      <c r="L1284" t="s">
        <v>18702</v>
      </c>
      <c r="M1284" t="s">
        <v>18703</v>
      </c>
      <c r="N1284" t="s">
        <v>18704</v>
      </c>
      <c r="O1284" t="s">
        <v>18705</v>
      </c>
      <c r="P1284" t="s">
        <v>18706</v>
      </c>
      <c r="Q1284" t="s">
        <v>18707</v>
      </c>
      <c r="R1284" t="s">
        <v>18708</v>
      </c>
      <c r="S1284" t="s">
        <v>18709</v>
      </c>
      <c r="T1284" s="2">
        <v>0.65625</v>
      </c>
      <c r="U1284">
        <v>1</v>
      </c>
      <c r="V1284" t="s">
        <v>18710</v>
      </c>
      <c r="W1284" t="s">
        <v>18711</v>
      </c>
      <c r="X1284" t="s">
        <v>18712</v>
      </c>
      <c r="Y1284" t="s">
        <v>18713</v>
      </c>
      <c r="Z1284" t="s">
        <v>18713</v>
      </c>
      <c r="AA1284" t="s">
        <v>18713</v>
      </c>
      <c r="AB1284" t="s">
        <v>18713</v>
      </c>
      <c r="AC1284" t="s">
        <v>18713</v>
      </c>
    </row>
    <row r="1285" spans="1:30">
      <c r="A1285" t="s">
        <v>18714</v>
      </c>
      <c r="B1285">
        <v>8</v>
      </c>
      <c r="C1285">
        <v>17</v>
      </c>
      <c r="D1285">
        <v>2006</v>
      </c>
      <c r="E1285" s="1">
        <v>38946</v>
      </c>
      <c r="F1285" t="s">
        <v>18715</v>
      </c>
      <c r="G1285">
        <v>1</v>
      </c>
      <c r="H1285">
        <v>0</v>
      </c>
      <c r="I1285">
        <v>1</v>
      </c>
      <c r="J1285">
        <v>0</v>
      </c>
      <c r="L1285" t="s">
        <v>18716</v>
      </c>
      <c r="M1285" t="s">
        <v>18717</v>
      </c>
      <c r="N1285" t="s">
        <v>18718</v>
      </c>
      <c r="O1285" t="s">
        <v>18719</v>
      </c>
      <c r="P1285" t="s">
        <v>18720</v>
      </c>
      <c r="Q1285" t="s">
        <v>18720</v>
      </c>
      <c r="R1285" t="s">
        <v>18721</v>
      </c>
      <c r="S1285" t="s">
        <v>18722</v>
      </c>
      <c r="T1285" s="2">
        <v>0.83333333333333337</v>
      </c>
      <c r="U1285">
        <v>1</v>
      </c>
      <c r="V1285" t="s">
        <v>18723</v>
      </c>
      <c r="W1285" t="s">
        <v>18724</v>
      </c>
      <c r="X1285" t="s">
        <v>18725</v>
      </c>
      <c r="Y1285" t="s">
        <v>18726</v>
      </c>
      <c r="Z1285" t="s">
        <v>18727</v>
      </c>
      <c r="AA1285" t="s">
        <v>18727</v>
      </c>
      <c r="AB1285" t="s">
        <v>18727</v>
      </c>
      <c r="AC1285" t="s">
        <v>18727</v>
      </c>
    </row>
    <row r="1286" spans="1:30">
      <c r="A1286" t="s">
        <v>18728</v>
      </c>
      <c r="B1286">
        <v>8</v>
      </c>
      <c r="C1286">
        <v>15</v>
      </c>
      <c r="D1286">
        <v>2006</v>
      </c>
      <c r="E1286" s="1">
        <v>38944</v>
      </c>
      <c r="F1286" t="s">
        <v>18729</v>
      </c>
      <c r="G1286">
        <v>0</v>
      </c>
      <c r="H1286">
        <v>0</v>
      </c>
      <c r="I1286">
        <v>0</v>
      </c>
      <c r="J1286">
        <v>0</v>
      </c>
      <c r="L1286" t="s">
        <v>18730</v>
      </c>
      <c r="M1286" t="s">
        <v>18731</v>
      </c>
      <c r="N1286" t="s">
        <v>18732</v>
      </c>
      <c r="O1286" t="s">
        <v>18733</v>
      </c>
      <c r="P1286" t="s">
        <v>18734</v>
      </c>
      <c r="Q1286" t="s">
        <v>18735</v>
      </c>
      <c r="R1286" t="s">
        <v>18736</v>
      </c>
      <c r="U1286">
        <v>1</v>
      </c>
      <c r="V1286" t="s">
        <v>18737</v>
      </c>
      <c r="W1286" t="s">
        <v>18738</v>
      </c>
      <c r="X1286" t="s">
        <v>18739</v>
      </c>
      <c r="Y1286" t="s">
        <v>18740</v>
      </c>
      <c r="Z1286" t="s">
        <v>18740</v>
      </c>
      <c r="AA1286" t="s">
        <v>18740</v>
      </c>
      <c r="AB1286" t="s">
        <v>18740</v>
      </c>
      <c r="AC1286" t="s">
        <v>18740</v>
      </c>
    </row>
    <row r="1287" spans="1:30">
      <c r="A1287" t="s">
        <v>18741</v>
      </c>
      <c r="B1287">
        <v>7</v>
      </c>
      <c r="C1287">
        <v>31</v>
      </c>
      <c r="D1287">
        <v>2006</v>
      </c>
      <c r="E1287" s="1">
        <v>38929</v>
      </c>
      <c r="F1287" t="s">
        <v>18742</v>
      </c>
      <c r="G1287">
        <v>1</v>
      </c>
      <c r="H1287">
        <v>0</v>
      </c>
      <c r="I1287">
        <v>1</v>
      </c>
      <c r="J1287">
        <v>1</v>
      </c>
      <c r="L1287" t="s">
        <v>18743</v>
      </c>
      <c r="M1287" t="s">
        <v>18744</v>
      </c>
      <c r="N1287" t="s">
        <v>18745</v>
      </c>
      <c r="O1287" t="s">
        <v>18746</v>
      </c>
      <c r="P1287" t="s">
        <v>18747</v>
      </c>
      <c r="Q1287" t="s">
        <v>18748</v>
      </c>
      <c r="R1287" t="s">
        <v>18749</v>
      </c>
      <c r="S1287" t="s">
        <v>18750</v>
      </c>
      <c r="T1287" s="2">
        <v>0.2638888888888889</v>
      </c>
      <c r="U1287">
        <v>1</v>
      </c>
      <c r="V1287" t="s">
        <v>18751</v>
      </c>
      <c r="W1287" t="s">
        <v>18752</v>
      </c>
      <c r="X1287" t="s">
        <v>18753</v>
      </c>
      <c r="Y1287" t="s">
        <v>18754</v>
      </c>
      <c r="Z1287" t="s">
        <v>18754</v>
      </c>
      <c r="AA1287" t="s">
        <v>18754</v>
      </c>
      <c r="AB1287" t="s">
        <v>18754</v>
      </c>
      <c r="AC1287" t="s">
        <v>18755</v>
      </c>
    </row>
    <row r="1288" spans="1:30">
      <c r="A1288" t="s">
        <v>18756</v>
      </c>
      <c r="B1288">
        <v>6</v>
      </c>
      <c r="C1288">
        <v>15</v>
      </c>
      <c r="D1288">
        <v>2006</v>
      </c>
      <c r="E1288" s="1">
        <v>38883</v>
      </c>
      <c r="F1288" t="s">
        <v>18757</v>
      </c>
      <c r="G1288">
        <v>0</v>
      </c>
      <c r="H1288">
        <v>1</v>
      </c>
      <c r="I1288">
        <v>1</v>
      </c>
      <c r="J1288">
        <v>0</v>
      </c>
      <c r="L1288" t="s">
        <v>18758</v>
      </c>
      <c r="M1288" t="s">
        <v>18759</v>
      </c>
      <c r="N1288" t="s">
        <v>18760</v>
      </c>
      <c r="O1288" t="s">
        <v>18761</v>
      </c>
      <c r="P1288" t="s">
        <v>18762</v>
      </c>
      <c r="Q1288" t="s">
        <v>18763</v>
      </c>
      <c r="R1288" t="s">
        <v>18764</v>
      </c>
      <c r="S1288" t="s">
        <v>18765</v>
      </c>
      <c r="T1288" s="2">
        <v>0.75347222222222221</v>
      </c>
      <c r="U1288">
        <v>1</v>
      </c>
      <c r="V1288" t="s">
        <v>18766</v>
      </c>
      <c r="W1288" t="s">
        <v>18767</v>
      </c>
      <c r="X1288" t="s">
        <v>18768</v>
      </c>
      <c r="Y1288" t="s">
        <v>18769</v>
      </c>
      <c r="Z1288" t="s">
        <v>18770</v>
      </c>
      <c r="AA1288" t="s">
        <v>18770</v>
      </c>
      <c r="AB1288" t="s">
        <v>18770</v>
      </c>
      <c r="AC1288" t="s">
        <v>18770</v>
      </c>
    </row>
    <row r="1289" spans="1:30">
      <c r="A1289" t="s">
        <v>18771</v>
      </c>
      <c r="B1289">
        <v>6</v>
      </c>
      <c r="C1289">
        <v>6</v>
      </c>
      <c r="D1289">
        <v>2006</v>
      </c>
      <c r="E1289" s="1">
        <v>38874</v>
      </c>
      <c r="F1289" t="s">
        <v>18772</v>
      </c>
      <c r="G1289">
        <v>1</v>
      </c>
      <c r="H1289">
        <v>0</v>
      </c>
      <c r="I1289">
        <v>1</v>
      </c>
      <c r="J1289">
        <v>0</v>
      </c>
      <c r="L1289" t="s">
        <v>18773</v>
      </c>
      <c r="M1289" t="s">
        <v>18774</v>
      </c>
      <c r="N1289" t="s">
        <v>18775</v>
      </c>
      <c r="O1289" t="s">
        <v>18776</v>
      </c>
      <c r="P1289" t="s">
        <v>18777</v>
      </c>
      <c r="Q1289" t="s">
        <v>18778</v>
      </c>
      <c r="R1289" t="s">
        <v>18779</v>
      </c>
      <c r="S1289" t="s">
        <v>18780</v>
      </c>
      <c r="U1289">
        <v>1</v>
      </c>
      <c r="V1289" t="s">
        <v>18781</v>
      </c>
      <c r="W1289" t="s">
        <v>18782</v>
      </c>
      <c r="X1289" t="s">
        <v>18783</v>
      </c>
      <c r="Y1289" t="s">
        <v>18784</v>
      </c>
      <c r="Z1289" t="s">
        <v>18785</v>
      </c>
      <c r="AA1289" t="s">
        <v>18785</v>
      </c>
      <c r="AB1289" t="s">
        <v>18785</v>
      </c>
      <c r="AC1289" t="s">
        <v>18785</v>
      </c>
    </row>
    <row r="1290" spans="1:30">
      <c r="A1290" t="s">
        <v>18786</v>
      </c>
      <c r="B1290">
        <v>6</v>
      </c>
      <c r="C1290">
        <v>5</v>
      </c>
      <c r="D1290">
        <v>2006</v>
      </c>
      <c r="E1290" s="1">
        <v>38873</v>
      </c>
      <c r="F1290" t="s">
        <v>18787</v>
      </c>
      <c r="G1290">
        <v>1</v>
      </c>
      <c r="H1290">
        <v>0</v>
      </c>
      <c r="I1290">
        <v>1</v>
      </c>
      <c r="J1290">
        <v>0</v>
      </c>
      <c r="L1290" t="s">
        <v>18788</v>
      </c>
      <c r="M1290" t="s">
        <v>18789</v>
      </c>
      <c r="N1290" t="s">
        <v>18790</v>
      </c>
      <c r="O1290" t="s">
        <v>18791</v>
      </c>
      <c r="P1290" t="s">
        <v>18792</v>
      </c>
      <c r="Q1290" t="s">
        <v>18793</v>
      </c>
      <c r="R1290" t="s">
        <v>18794</v>
      </c>
      <c r="S1290" t="s">
        <v>18795</v>
      </c>
      <c r="T1290" s="2">
        <v>0.63194444444444442</v>
      </c>
      <c r="U1290">
        <v>1</v>
      </c>
      <c r="V1290" t="s">
        <v>18796</v>
      </c>
      <c r="W1290" t="s">
        <v>18797</v>
      </c>
      <c r="X1290" t="s">
        <v>18798</v>
      </c>
      <c r="Y1290" t="s">
        <v>18799</v>
      </c>
      <c r="Z1290" t="s">
        <v>18800</v>
      </c>
      <c r="AA1290" t="s">
        <v>18800</v>
      </c>
      <c r="AB1290" t="s">
        <v>18800</v>
      </c>
      <c r="AC1290" t="s">
        <v>18800</v>
      </c>
    </row>
    <row r="1291" spans="1:30">
      <c r="A1291" t="s">
        <v>18801</v>
      </c>
      <c r="B1291">
        <v>5</v>
      </c>
      <c r="C1291">
        <v>25</v>
      </c>
      <c r="D1291">
        <v>2006</v>
      </c>
      <c r="E1291" s="1">
        <v>38862</v>
      </c>
      <c r="F1291" t="s">
        <v>18802</v>
      </c>
      <c r="G1291">
        <v>0</v>
      </c>
      <c r="H1291">
        <v>0</v>
      </c>
      <c r="I1291">
        <v>0</v>
      </c>
      <c r="J1291">
        <v>0</v>
      </c>
      <c r="L1291" t="s">
        <v>18803</v>
      </c>
      <c r="M1291" t="s">
        <v>18804</v>
      </c>
      <c r="N1291" t="s">
        <v>18805</v>
      </c>
      <c r="O1291" t="s">
        <v>18806</v>
      </c>
      <c r="P1291" t="s">
        <v>18807</v>
      </c>
      <c r="Q1291" t="s">
        <v>18808</v>
      </c>
      <c r="R1291" t="s">
        <v>18809</v>
      </c>
      <c r="S1291" t="s">
        <v>18810</v>
      </c>
      <c r="T1291" s="2">
        <v>0.3263888888888889</v>
      </c>
      <c r="U1291">
        <v>40</v>
      </c>
      <c r="V1291" t="s">
        <v>18811</v>
      </c>
      <c r="W1291" t="s">
        <v>18812</v>
      </c>
      <c r="Y1291" t="s">
        <v>18813</v>
      </c>
      <c r="Z1291" t="s">
        <v>18813</v>
      </c>
      <c r="AA1291" t="s">
        <v>18813</v>
      </c>
      <c r="AC1291" t="s">
        <v>18813</v>
      </c>
      <c r="AD1291" t="s">
        <v>18814</v>
      </c>
    </row>
    <row r="1292" spans="1:30">
      <c r="A1292" t="s">
        <v>18815</v>
      </c>
      <c r="B1292">
        <v>5</v>
      </c>
      <c r="C1292">
        <v>22</v>
      </c>
      <c r="D1292">
        <v>2006</v>
      </c>
      <c r="E1292" s="1">
        <v>38859</v>
      </c>
      <c r="F1292" t="s">
        <v>18816</v>
      </c>
      <c r="G1292">
        <v>0</v>
      </c>
      <c r="H1292">
        <v>0</v>
      </c>
      <c r="I1292">
        <v>0</v>
      </c>
      <c r="J1292">
        <v>0</v>
      </c>
      <c r="L1292" t="s">
        <v>18817</v>
      </c>
      <c r="M1292" t="s">
        <v>18818</v>
      </c>
      <c r="N1292" t="s">
        <v>18819</v>
      </c>
      <c r="O1292" t="s">
        <v>18820</v>
      </c>
      <c r="P1292" t="s">
        <v>18821</v>
      </c>
      <c r="Q1292" t="s">
        <v>18822</v>
      </c>
      <c r="R1292" t="s">
        <v>18823</v>
      </c>
      <c r="S1292" t="s">
        <v>18824</v>
      </c>
      <c r="T1292" s="2">
        <v>0.41666666666666669</v>
      </c>
      <c r="U1292">
        <v>1</v>
      </c>
      <c r="V1292" t="s">
        <v>18825</v>
      </c>
      <c r="W1292" t="s">
        <v>18826</v>
      </c>
      <c r="X1292" t="s">
        <v>18827</v>
      </c>
      <c r="Y1292" t="s">
        <v>18828</v>
      </c>
      <c r="Z1292" t="s">
        <v>18828</v>
      </c>
      <c r="AA1292" t="s">
        <v>18828</v>
      </c>
      <c r="AB1292" t="s">
        <v>18828</v>
      </c>
      <c r="AC1292" t="s">
        <v>18829</v>
      </c>
    </row>
    <row r="1293" spans="1:30">
      <c r="A1293" t="s">
        <v>18830</v>
      </c>
      <c r="B1293">
        <v>5</v>
      </c>
      <c r="C1293">
        <v>5</v>
      </c>
      <c r="D1293">
        <v>2006</v>
      </c>
      <c r="E1293" s="1">
        <v>38842</v>
      </c>
      <c r="F1293" t="s">
        <v>18831</v>
      </c>
      <c r="G1293">
        <v>1</v>
      </c>
      <c r="H1293">
        <v>0</v>
      </c>
      <c r="I1293">
        <v>1</v>
      </c>
      <c r="J1293">
        <v>0</v>
      </c>
      <c r="L1293" t="s">
        <v>18832</v>
      </c>
      <c r="M1293" t="s">
        <v>18833</v>
      </c>
      <c r="N1293" t="s">
        <v>18834</v>
      </c>
      <c r="O1293" t="s">
        <v>18835</v>
      </c>
      <c r="P1293" t="s">
        <v>18836</v>
      </c>
      <c r="Q1293" t="s">
        <v>18837</v>
      </c>
      <c r="R1293" t="s">
        <v>18838</v>
      </c>
      <c r="S1293" t="s">
        <v>18839</v>
      </c>
      <c r="T1293" s="2">
        <v>0.98263888888888895</v>
      </c>
      <c r="U1293">
        <v>1</v>
      </c>
      <c r="V1293" t="s">
        <v>18840</v>
      </c>
      <c r="W1293" t="s">
        <v>18841</v>
      </c>
      <c r="X1293" t="s">
        <v>18842</v>
      </c>
      <c r="Y1293" t="s">
        <v>18843</v>
      </c>
      <c r="Z1293" t="s">
        <v>18844</v>
      </c>
      <c r="AA1293" t="s">
        <v>18844</v>
      </c>
      <c r="AB1293" t="s">
        <v>18844</v>
      </c>
      <c r="AC1293" t="s">
        <v>18844</v>
      </c>
    </row>
    <row r="1294" spans="1:30">
      <c r="A1294" t="s">
        <v>18845</v>
      </c>
      <c r="B1294">
        <v>4</v>
      </c>
      <c r="C1294">
        <v>24</v>
      </c>
      <c r="D1294">
        <v>2006</v>
      </c>
      <c r="E1294" s="1">
        <v>38831</v>
      </c>
      <c r="F1294" t="s">
        <v>18846</v>
      </c>
      <c r="G1294">
        <v>0</v>
      </c>
      <c r="H1294">
        <v>0</v>
      </c>
      <c r="I1294">
        <v>0</v>
      </c>
      <c r="J1294">
        <v>0</v>
      </c>
      <c r="L1294" t="s">
        <v>18847</v>
      </c>
      <c r="M1294" t="s">
        <v>18848</v>
      </c>
      <c r="N1294" t="s">
        <v>18849</v>
      </c>
      <c r="O1294" t="s">
        <v>18850</v>
      </c>
      <c r="P1294" t="s">
        <v>18851</v>
      </c>
      <c r="Q1294" t="s">
        <v>18852</v>
      </c>
      <c r="R1294" t="s">
        <v>18853</v>
      </c>
      <c r="S1294" t="s">
        <v>18854</v>
      </c>
      <c r="T1294" s="2">
        <v>0.70833333333333337</v>
      </c>
      <c r="U1294">
        <v>135</v>
      </c>
      <c r="V1294" t="s">
        <v>18855</v>
      </c>
      <c r="W1294" t="s">
        <v>18856</v>
      </c>
      <c r="X1294" t="s">
        <v>18857</v>
      </c>
      <c r="Y1294" t="s">
        <v>18858</v>
      </c>
      <c r="Z1294" t="s">
        <v>18859</v>
      </c>
      <c r="AA1294" t="s">
        <v>18860</v>
      </c>
      <c r="AB1294" t="s">
        <v>18860</v>
      </c>
      <c r="AC1294" t="s">
        <v>18860</v>
      </c>
      <c r="AD1294" t="s">
        <v>18861</v>
      </c>
    </row>
    <row r="1295" spans="1:30">
      <c r="A1295" t="s">
        <v>18862</v>
      </c>
      <c r="B1295">
        <v>4</v>
      </c>
      <c r="C1295">
        <v>18</v>
      </c>
      <c r="D1295">
        <v>2006</v>
      </c>
      <c r="E1295" s="1">
        <v>38825</v>
      </c>
      <c r="F1295" t="s">
        <v>18863</v>
      </c>
      <c r="G1295">
        <v>0</v>
      </c>
      <c r="H1295">
        <v>2</v>
      </c>
      <c r="I1295">
        <v>2</v>
      </c>
      <c r="J1295">
        <v>0</v>
      </c>
      <c r="L1295" t="s">
        <v>18864</v>
      </c>
      <c r="M1295" t="s">
        <v>18865</v>
      </c>
      <c r="N1295" t="s">
        <v>18866</v>
      </c>
      <c r="O1295" t="s">
        <v>18867</v>
      </c>
      <c r="P1295" t="s">
        <v>18868</v>
      </c>
      <c r="Q1295" t="s">
        <v>18868</v>
      </c>
      <c r="R1295" t="s">
        <v>18869</v>
      </c>
      <c r="S1295" t="s">
        <v>18870</v>
      </c>
      <c r="T1295" s="2">
        <v>0.70833333333333337</v>
      </c>
      <c r="U1295">
        <v>1</v>
      </c>
      <c r="V1295" t="s">
        <v>18871</v>
      </c>
      <c r="W1295" t="s">
        <v>18872</v>
      </c>
      <c r="X1295" t="s">
        <v>18873</v>
      </c>
      <c r="Y1295" t="s">
        <v>18874</v>
      </c>
      <c r="Z1295" t="s">
        <v>18874</v>
      </c>
      <c r="AA1295" t="s">
        <v>18874</v>
      </c>
      <c r="AB1295" t="s">
        <v>18874</v>
      </c>
      <c r="AC1295" t="s">
        <v>18874</v>
      </c>
    </row>
    <row r="1296" spans="1:30">
      <c r="A1296" t="s">
        <v>18875</v>
      </c>
      <c r="B1296">
        <v>4</v>
      </c>
      <c r="C1296">
        <v>5</v>
      </c>
      <c r="D1296">
        <v>2006</v>
      </c>
      <c r="E1296" s="1">
        <v>38812</v>
      </c>
      <c r="F1296" t="s">
        <v>18876</v>
      </c>
      <c r="G1296">
        <v>0</v>
      </c>
      <c r="H1296">
        <v>2</v>
      </c>
      <c r="I1296">
        <v>2</v>
      </c>
      <c r="J1296">
        <v>0</v>
      </c>
      <c r="L1296" t="s">
        <v>18877</v>
      </c>
      <c r="M1296" t="s">
        <v>18878</v>
      </c>
      <c r="N1296" t="s">
        <v>18879</v>
      </c>
      <c r="O1296" t="s">
        <v>18880</v>
      </c>
      <c r="P1296" t="s">
        <v>18881</v>
      </c>
      <c r="Q1296" t="s">
        <v>18882</v>
      </c>
      <c r="R1296" t="s">
        <v>18883</v>
      </c>
      <c r="S1296" t="s">
        <v>18884</v>
      </c>
      <c r="T1296" s="2">
        <v>0.38541666666666669</v>
      </c>
      <c r="U1296">
        <v>1</v>
      </c>
      <c r="V1296" t="s">
        <v>18885</v>
      </c>
      <c r="W1296" t="s">
        <v>18886</v>
      </c>
      <c r="X1296" t="s">
        <v>18887</v>
      </c>
      <c r="Y1296" t="s">
        <v>18888</v>
      </c>
      <c r="Z1296" t="s">
        <v>18889</v>
      </c>
      <c r="AA1296" t="s">
        <v>18889</v>
      </c>
      <c r="AB1296" t="s">
        <v>18889</v>
      </c>
      <c r="AC1296" t="s">
        <v>18889</v>
      </c>
    </row>
    <row r="1297" spans="1:30">
      <c r="A1297" t="s">
        <v>18890</v>
      </c>
      <c r="B1297">
        <v>3</v>
      </c>
      <c r="C1297">
        <v>14</v>
      </c>
      <c r="D1297">
        <v>2006</v>
      </c>
      <c r="E1297" s="1">
        <v>38790</v>
      </c>
      <c r="F1297" t="s">
        <v>18891</v>
      </c>
      <c r="G1297">
        <v>0</v>
      </c>
      <c r="H1297">
        <v>2</v>
      </c>
      <c r="I1297">
        <v>2</v>
      </c>
      <c r="J1297">
        <v>0</v>
      </c>
      <c r="L1297" t="s">
        <v>18892</v>
      </c>
      <c r="M1297" t="s">
        <v>18893</v>
      </c>
      <c r="N1297" t="s">
        <v>18894</v>
      </c>
      <c r="O1297" t="s">
        <v>18895</v>
      </c>
      <c r="P1297" t="s">
        <v>18896</v>
      </c>
      <c r="Q1297" t="s">
        <v>18897</v>
      </c>
      <c r="R1297" t="s">
        <v>18898</v>
      </c>
      <c r="S1297" t="s">
        <v>18899</v>
      </c>
      <c r="T1297" s="2">
        <v>0.375</v>
      </c>
      <c r="U1297">
        <v>1</v>
      </c>
      <c r="V1297" t="s">
        <v>18900</v>
      </c>
      <c r="W1297" t="s">
        <v>18901</v>
      </c>
      <c r="X1297" t="s">
        <v>18902</v>
      </c>
      <c r="Y1297" t="s">
        <v>18903</v>
      </c>
      <c r="Z1297" t="s">
        <v>18903</v>
      </c>
      <c r="AA1297" t="s">
        <v>18903</v>
      </c>
      <c r="AB1297" t="s">
        <v>18904</v>
      </c>
      <c r="AC1297" t="s">
        <v>18905</v>
      </c>
      <c r="AD1297" t="s">
        <v>18906</v>
      </c>
    </row>
    <row r="1298" spans="1:30">
      <c r="A1298" t="s">
        <v>18907</v>
      </c>
      <c r="B1298">
        <v>3</v>
      </c>
      <c r="C1298">
        <v>10</v>
      </c>
      <c r="D1298">
        <v>2006</v>
      </c>
      <c r="E1298" s="1">
        <v>38786</v>
      </c>
      <c r="F1298" t="s">
        <v>18908</v>
      </c>
      <c r="G1298">
        <v>0</v>
      </c>
      <c r="H1298">
        <v>2</v>
      </c>
      <c r="I1298">
        <v>2</v>
      </c>
      <c r="J1298">
        <v>0</v>
      </c>
      <c r="L1298" t="s">
        <v>18909</v>
      </c>
      <c r="M1298" t="s">
        <v>18910</v>
      </c>
      <c r="N1298" t="s">
        <v>18911</v>
      </c>
      <c r="O1298" t="s">
        <v>18912</v>
      </c>
      <c r="P1298" t="s">
        <v>18913</v>
      </c>
      <c r="Q1298" t="s">
        <v>18914</v>
      </c>
      <c r="R1298" t="s">
        <v>18915</v>
      </c>
      <c r="S1298" t="s">
        <v>18916</v>
      </c>
      <c r="T1298" s="2">
        <v>0.34722222222222221</v>
      </c>
      <c r="U1298">
        <v>1</v>
      </c>
      <c r="V1298" t="s">
        <v>18917</v>
      </c>
      <c r="W1298" t="s">
        <v>18918</v>
      </c>
      <c r="X1298" t="s">
        <v>18919</v>
      </c>
      <c r="Y1298" t="s">
        <v>18920</v>
      </c>
      <c r="Z1298" t="s">
        <v>18920</v>
      </c>
      <c r="AA1298" t="s">
        <v>18920</v>
      </c>
      <c r="AB1298" t="s">
        <v>18920</v>
      </c>
      <c r="AC1298" t="s">
        <v>18920</v>
      </c>
    </row>
    <row r="1299" spans="1:30">
      <c r="A1299" t="s">
        <v>18921</v>
      </c>
      <c r="B1299">
        <v>2</v>
      </c>
      <c r="C1299">
        <v>23</v>
      </c>
      <c r="D1299">
        <v>2006</v>
      </c>
      <c r="E1299" s="1">
        <v>38771</v>
      </c>
      <c r="F1299" t="s">
        <v>18922</v>
      </c>
      <c r="G1299">
        <v>0</v>
      </c>
      <c r="H1299">
        <v>1</v>
      </c>
      <c r="I1299">
        <v>1</v>
      </c>
      <c r="J1299">
        <v>0</v>
      </c>
      <c r="L1299" t="s">
        <v>18923</v>
      </c>
      <c r="M1299" t="s">
        <v>18924</v>
      </c>
      <c r="N1299" t="s">
        <v>18925</v>
      </c>
      <c r="O1299" t="s">
        <v>18926</v>
      </c>
      <c r="P1299" t="s">
        <v>18927</v>
      </c>
      <c r="Q1299" t="s">
        <v>18928</v>
      </c>
      <c r="R1299" t="s">
        <v>18929</v>
      </c>
      <c r="S1299" t="s">
        <v>18930</v>
      </c>
      <c r="T1299" s="2">
        <v>0.32291666666666669</v>
      </c>
      <c r="U1299">
        <v>1</v>
      </c>
      <c r="V1299" t="s">
        <v>18931</v>
      </c>
      <c r="W1299" t="s">
        <v>18932</v>
      </c>
      <c r="X1299" t="s">
        <v>18933</v>
      </c>
      <c r="Y1299" t="s">
        <v>18934</v>
      </c>
      <c r="Z1299" t="s">
        <v>18934</v>
      </c>
      <c r="AA1299" t="s">
        <v>18934</v>
      </c>
      <c r="AB1299" t="s">
        <v>18935</v>
      </c>
      <c r="AC1299" t="s">
        <v>18936</v>
      </c>
      <c r="AD1299" t="s">
        <v>18937</v>
      </c>
    </row>
    <row r="1300" spans="1:30">
      <c r="A1300" t="s">
        <v>18938</v>
      </c>
      <c r="B1300">
        <v>2</v>
      </c>
      <c r="C1300">
        <v>21</v>
      </c>
      <c r="D1300">
        <v>2006</v>
      </c>
      <c r="E1300" s="1">
        <v>38769</v>
      </c>
      <c r="F1300" t="s">
        <v>18939</v>
      </c>
      <c r="G1300">
        <v>0</v>
      </c>
      <c r="H1300">
        <v>1</v>
      </c>
      <c r="I1300">
        <v>1</v>
      </c>
      <c r="J1300">
        <v>0</v>
      </c>
      <c r="L1300" t="s">
        <v>18940</v>
      </c>
      <c r="M1300" t="s">
        <v>18941</v>
      </c>
      <c r="N1300" t="s">
        <v>18942</v>
      </c>
      <c r="O1300" t="s">
        <v>18943</v>
      </c>
      <c r="P1300" t="s">
        <v>18944</v>
      </c>
      <c r="Q1300" t="s">
        <v>18945</v>
      </c>
      <c r="R1300" t="s">
        <v>18946</v>
      </c>
      <c r="S1300" t="s">
        <v>18947</v>
      </c>
      <c r="T1300" s="2">
        <v>0.32291666666666669</v>
      </c>
      <c r="U1300">
        <v>1</v>
      </c>
      <c r="V1300" t="s">
        <v>18948</v>
      </c>
      <c r="W1300" t="s">
        <v>18949</v>
      </c>
      <c r="X1300" t="s">
        <v>18950</v>
      </c>
      <c r="Y1300" t="s">
        <v>18951</v>
      </c>
      <c r="Z1300" t="s">
        <v>18952</v>
      </c>
      <c r="AA1300" t="s">
        <v>18952</v>
      </c>
      <c r="AB1300" t="s">
        <v>18952</v>
      </c>
      <c r="AC1300" t="s">
        <v>18952</v>
      </c>
    </row>
    <row r="1301" spans="1:30">
      <c r="A1301" t="s">
        <v>18953</v>
      </c>
      <c r="B1301">
        <v>2</v>
      </c>
      <c r="C1301">
        <v>15</v>
      </c>
      <c r="D1301">
        <v>2006</v>
      </c>
      <c r="E1301" s="1">
        <v>38763</v>
      </c>
      <c r="F1301" t="s">
        <v>18954</v>
      </c>
      <c r="G1301">
        <v>0</v>
      </c>
      <c r="H1301">
        <v>0</v>
      </c>
      <c r="I1301">
        <v>0</v>
      </c>
      <c r="J1301">
        <v>1</v>
      </c>
      <c r="L1301" t="s">
        <v>18955</v>
      </c>
      <c r="M1301" t="s">
        <v>18956</v>
      </c>
      <c r="N1301" t="s">
        <v>18957</v>
      </c>
      <c r="O1301" t="s">
        <v>18958</v>
      </c>
      <c r="P1301" t="s">
        <v>18959</v>
      </c>
      <c r="Q1301" t="s">
        <v>18960</v>
      </c>
      <c r="R1301" t="s">
        <v>18961</v>
      </c>
      <c r="S1301" t="s">
        <v>18962</v>
      </c>
      <c r="U1301">
        <v>1</v>
      </c>
      <c r="V1301" t="s">
        <v>18963</v>
      </c>
      <c r="W1301" t="s">
        <v>18964</v>
      </c>
      <c r="X1301" t="s">
        <v>18965</v>
      </c>
      <c r="Y1301" t="s">
        <v>18966</v>
      </c>
      <c r="Z1301" t="s">
        <v>18966</v>
      </c>
      <c r="AA1301" t="s">
        <v>18966</v>
      </c>
      <c r="AB1301" t="s">
        <v>18966</v>
      </c>
      <c r="AC1301" t="s">
        <v>18966</v>
      </c>
    </row>
    <row r="1302" spans="1:30">
      <c r="A1302" t="s">
        <v>18967</v>
      </c>
      <c r="B1302">
        <v>2</v>
      </c>
      <c r="C1302">
        <v>9</v>
      </c>
      <c r="D1302">
        <v>2006</v>
      </c>
      <c r="E1302" s="1">
        <v>38757</v>
      </c>
      <c r="F1302" t="s">
        <v>18968</v>
      </c>
      <c r="G1302">
        <v>0</v>
      </c>
      <c r="H1302">
        <v>1</v>
      </c>
      <c r="I1302">
        <v>1</v>
      </c>
      <c r="J1302">
        <v>0</v>
      </c>
      <c r="L1302" t="s">
        <v>18969</v>
      </c>
      <c r="M1302" t="s">
        <v>18970</v>
      </c>
      <c r="N1302" t="s">
        <v>18971</v>
      </c>
      <c r="O1302" t="s">
        <v>18972</v>
      </c>
      <c r="P1302" t="s">
        <v>18973</v>
      </c>
      <c r="Q1302" t="s">
        <v>18974</v>
      </c>
      <c r="R1302" t="s">
        <v>18975</v>
      </c>
      <c r="S1302" t="s">
        <v>18976</v>
      </c>
      <c r="T1302" s="2">
        <v>0.86805555555555558</v>
      </c>
      <c r="U1302">
        <v>1</v>
      </c>
      <c r="V1302" t="s">
        <v>18977</v>
      </c>
      <c r="W1302" t="s">
        <v>18978</v>
      </c>
      <c r="X1302" t="s">
        <v>18979</v>
      </c>
      <c r="Y1302" t="s">
        <v>18980</v>
      </c>
      <c r="Z1302" t="s">
        <v>18981</v>
      </c>
      <c r="AA1302" t="s">
        <v>18981</v>
      </c>
      <c r="AB1302" t="s">
        <v>18981</v>
      </c>
      <c r="AC1302" t="s">
        <v>18981</v>
      </c>
    </row>
    <row r="1303" spans="1:30">
      <c r="A1303" t="s">
        <v>18982</v>
      </c>
      <c r="B1303">
        <v>2</v>
      </c>
      <c r="C1303">
        <v>3</v>
      </c>
      <c r="D1303">
        <v>2006</v>
      </c>
      <c r="E1303" s="1">
        <v>38751</v>
      </c>
      <c r="F1303" t="s">
        <v>18983</v>
      </c>
      <c r="G1303">
        <v>0</v>
      </c>
      <c r="H1303">
        <v>1</v>
      </c>
      <c r="I1303">
        <v>1</v>
      </c>
      <c r="J1303">
        <v>0</v>
      </c>
      <c r="L1303" t="s">
        <v>18984</v>
      </c>
      <c r="M1303" t="s">
        <v>18985</v>
      </c>
      <c r="N1303" t="s">
        <v>18986</v>
      </c>
      <c r="O1303" t="s">
        <v>18987</v>
      </c>
      <c r="P1303" t="s">
        <v>18988</v>
      </c>
      <c r="Q1303" t="s">
        <v>18988</v>
      </c>
      <c r="R1303" t="s">
        <v>18989</v>
      </c>
      <c r="S1303" t="s">
        <v>18990</v>
      </c>
      <c r="T1303" s="2">
        <v>0.34722222222222221</v>
      </c>
      <c r="U1303">
        <v>1</v>
      </c>
      <c r="V1303" t="s">
        <v>18991</v>
      </c>
      <c r="W1303" t="s">
        <v>18992</v>
      </c>
      <c r="X1303" t="s">
        <v>18993</v>
      </c>
      <c r="Y1303" t="s">
        <v>18994</v>
      </c>
      <c r="Z1303" t="s">
        <v>18994</v>
      </c>
      <c r="AA1303" t="s">
        <v>18994</v>
      </c>
      <c r="AB1303" t="s">
        <v>18994</v>
      </c>
      <c r="AC1303" t="s">
        <v>18994</v>
      </c>
    </row>
    <row r="1304" spans="1:30">
      <c r="A1304" t="s">
        <v>18995</v>
      </c>
      <c r="B1304">
        <v>1</v>
      </c>
      <c r="C1304">
        <v>30</v>
      </c>
      <c r="D1304">
        <v>2006</v>
      </c>
      <c r="E1304" s="1">
        <v>38747</v>
      </c>
      <c r="F1304" t="s">
        <v>18996</v>
      </c>
      <c r="G1304">
        <v>0</v>
      </c>
      <c r="H1304">
        <v>0</v>
      </c>
      <c r="I1304">
        <v>0</v>
      </c>
      <c r="J1304">
        <v>1</v>
      </c>
      <c r="L1304" t="s">
        <v>18997</v>
      </c>
      <c r="M1304" t="s">
        <v>18998</v>
      </c>
      <c r="N1304" t="s">
        <v>18999</v>
      </c>
      <c r="O1304" t="s">
        <v>19000</v>
      </c>
      <c r="P1304" t="s">
        <v>19001</v>
      </c>
      <c r="Q1304" t="s">
        <v>19002</v>
      </c>
      <c r="R1304" t="s">
        <v>19003</v>
      </c>
      <c r="S1304" t="s">
        <v>19004</v>
      </c>
      <c r="T1304" s="2">
        <v>0.33333333333333331</v>
      </c>
      <c r="U1304">
        <v>1</v>
      </c>
      <c r="V1304" t="s">
        <v>19005</v>
      </c>
      <c r="W1304" t="s">
        <v>19006</v>
      </c>
      <c r="X1304" t="s">
        <v>19007</v>
      </c>
      <c r="Y1304" t="s">
        <v>19008</v>
      </c>
      <c r="Z1304" t="s">
        <v>19008</v>
      </c>
      <c r="AA1304" t="s">
        <v>19008</v>
      </c>
      <c r="AC1304" t="s">
        <v>19008</v>
      </c>
    </row>
    <row r="1305" spans="1:30">
      <c r="A1305" t="s">
        <v>19009</v>
      </c>
      <c r="B1305">
        <v>1</v>
      </c>
      <c r="C1305">
        <v>27</v>
      </c>
      <c r="D1305">
        <v>2006</v>
      </c>
      <c r="E1305" s="1">
        <v>38744</v>
      </c>
      <c r="F1305" t="s">
        <v>19010</v>
      </c>
      <c r="G1305">
        <v>0</v>
      </c>
      <c r="H1305">
        <v>2</v>
      </c>
      <c r="I1305">
        <v>2</v>
      </c>
      <c r="J1305">
        <v>0</v>
      </c>
      <c r="L1305" t="s">
        <v>19011</v>
      </c>
      <c r="M1305" t="s">
        <v>19012</v>
      </c>
      <c r="N1305" t="s">
        <v>19013</v>
      </c>
      <c r="O1305" t="s">
        <v>19014</v>
      </c>
      <c r="P1305" t="s">
        <v>19015</v>
      </c>
      <c r="Q1305" t="s">
        <v>19016</v>
      </c>
      <c r="R1305" t="s">
        <v>19017</v>
      </c>
      <c r="U1305">
        <v>1</v>
      </c>
      <c r="V1305" t="s">
        <v>19018</v>
      </c>
      <c r="W1305" t="s">
        <v>19019</v>
      </c>
      <c r="X1305" t="s">
        <v>19020</v>
      </c>
      <c r="Y1305" t="s">
        <v>19021</v>
      </c>
      <c r="Z1305" t="s">
        <v>19021</v>
      </c>
      <c r="AA1305" t="s">
        <v>19021</v>
      </c>
      <c r="AB1305" t="s">
        <v>19021</v>
      </c>
      <c r="AC1305" t="s">
        <v>19021</v>
      </c>
    </row>
    <row r="1306" spans="1:30">
      <c r="A1306" t="s">
        <v>19022</v>
      </c>
      <c r="B1306">
        <v>1</v>
      </c>
      <c r="C1306">
        <v>23</v>
      </c>
      <c r="D1306">
        <v>2006</v>
      </c>
      <c r="E1306" s="1">
        <v>38740</v>
      </c>
      <c r="F1306" t="s">
        <v>19023</v>
      </c>
      <c r="G1306">
        <v>0</v>
      </c>
      <c r="H1306">
        <v>1</v>
      </c>
      <c r="I1306">
        <v>1</v>
      </c>
      <c r="J1306">
        <v>0</v>
      </c>
      <c r="L1306" t="s">
        <v>19024</v>
      </c>
      <c r="M1306" t="s">
        <v>19025</v>
      </c>
      <c r="N1306" t="s">
        <v>19026</v>
      </c>
      <c r="O1306" t="s">
        <v>19027</v>
      </c>
      <c r="P1306" t="s">
        <v>19028</v>
      </c>
      <c r="Q1306" t="s">
        <v>19029</v>
      </c>
      <c r="R1306" t="s">
        <v>19030</v>
      </c>
      <c r="S1306" t="s">
        <v>19031</v>
      </c>
      <c r="T1306" s="2">
        <v>0.40625</v>
      </c>
      <c r="U1306">
        <v>1</v>
      </c>
      <c r="V1306" t="s">
        <v>19032</v>
      </c>
      <c r="W1306" t="s">
        <v>19033</v>
      </c>
      <c r="X1306" t="s">
        <v>19034</v>
      </c>
      <c r="Y1306" t="s">
        <v>19035</v>
      </c>
      <c r="Z1306" t="s">
        <v>19035</v>
      </c>
      <c r="AA1306" t="s">
        <v>19035</v>
      </c>
      <c r="AB1306" t="s">
        <v>19035</v>
      </c>
      <c r="AC1306" t="s">
        <v>19035</v>
      </c>
    </row>
    <row r="1307" spans="1:30">
      <c r="A1307" t="s">
        <v>19036</v>
      </c>
      <c r="B1307">
        <v>1</v>
      </c>
      <c r="C1307">
        <v>19</v>
      </c>
      <c r="D1307">
        <v>2006</v>
      </c>
      <c r="E1307" s="1">
        <v>38736</v>
      </c>
      <c r="F1307" t="s">
        <v>19037</v>
      </c>
      <c r="G1307">
        <v>0</v>
      </c>
      <c r="H1307">
        <v>2</v>
      </c>
      <c r="I1307">
        <v>2</v>
      </c>
      <c r="J1307">
        <v>0</v>
      </c>
      <c r="L1307" t="s">
        <v>19038</v>
      </c>
      <c r="M1307" t="s">
        <v>19039</v>
      </c>
      <c r="N1307" t="s">
        <v>19040</v>
      </c>
      <c r="O1307" t="s">
        <v>19041</v>
      </c>
      <c r="P1307" t="s">
        <v>19042</v>
      </c>
      <c r="Q1307" t="s">
        <v>19043</v>
      </c>
      <c r="R1307" t="s">
        <v>19044</v>
      </c>
      <c r="S1307" t="s">
        <v>19045</v>
      </c>
      <c r="T1307" s="2">
        <v>0.83333333333333337</v>
      </c>
      <c r="U1307">
        <v>1</v>
      </c>
      <c r="V1307" t="s">
        <v>19046</v>
      </c>
      <c r="W1307" t="s">
        <v>19047</v>
      </c>
      <c r="X1307" t="s">
        <v>19048</v>
      </c>
      <c r="Y1307" t="s">
        <v>19049</v>
      </c>
      <c r="Z1307" t="s">
        <v>19049</v>
      </c>
      <c r="AA1307" t="s">
        <v>19049</v>
      </c>
      <c r="AB1307" t="s">
        <v>19049</v>
      </c>
      <c r="AC1307" t="s">
        <v>19049</v>
      </c>
    </row>
    <row r="1308" spans="1:30">
      <c r="A1308" t="s">
        <v>19050</v>
      </c>
      <c r="B1308">
        <v>1</v>
      </c>
      <c r="C1308">
        <v>18</v>
      </c>
      <c r="D1308">
        <v>2006</v>
      </c>
      <c r="E1308" s="1">
        <v>38735</v>
      </c>
      <c r="F1308" t="s">
        <v>19051</v>
      </c>
      <c r="G1308">
        <v>0</v>
      </c>
      <c r="H1308">
        <v>1</v>
      </c>
      <c r="I1308">
        <v>1</v>
      </c>
      <c r="J1308">
        <v>0</v>
      </c>
      <c r="L1308" t="s">
        <v>19052</v>
      </c>
      <c r="M1308" t="s">
        <v>19053</v>
      </c>
      <c r="N1308" t="s">
        <v>19054</v>
      </c>
      <c r="O1308" t="s">
        <v>19055</v>
      </c>
      <c r="P1308" t="s">
        <v>19056</v>
      </c>
      <c r="Q1308" t="s">
        <v>19057</v>
      </c>
      <c r="R1308" t="s">
        <v>19058</v>
      </c>
      <c r="S1308" t="s">
        <v>19059</v>
      </c>
      <c r="U1308">
        <v>1</v>
      </c>
      <c r="V1308" t="s">
        <v>19060</v>
      </c>
      <c r="W1308" t="s">
        <v>19061</v>
      </c>
      <c r="X1308" t="s">
        <v>19062</v>
      </c>
      <c r="Y1308" t="s">
        <v>19063</v>
      </c>
      <c r="Z1308" t="s">
        <v>19063</v>
      </c>
      <c r="AA1308" t="s">
        <v>19063</v>
      </c>
      <c r="AB1308" t="s">
        <v>19063</v>
      </c>
    </row>
    <row r="1309" spans="1:30">
      <c r="A1309" t="s">
        <v>19064</v>
      </c>
      <c r="B1309">
        <v>1</v>
      </c>
      <c r="C1309">
        <v>18</v>
      </c>
      <c r="D1309">
        <v>2006</v>
      </c>
      <c r="E1309" s="1">
        <v>38735</v>
      </c>
      <c r="F1309" t="s">
        <v>19065</v>
      </c>
      <c r="G1309">
        <v>0</v>
      </c>
      <c r="H1309">
        <v>0</v>
      </c>
      <c r="I1309">
        <v>0</v>
      </c>
      <c r="J1309">
        <v>0</v>
      </c>
      <c r="L1309" t="s">
        <v>19066</v>
      </c>
      <c r="M1309" t="s">
        <v>19067</v>
      </c>
      <c r="N1309" t="s">
        <v>19068</v>
      </c>
      <c r="O1309" t="s">
        <v>19069</v>
      </c>
      <c r="P1309" t="s">
        <v>19070</v>
      </c>
      <c r="Q1309" t="s">
        <v>19071</v>
      </c>
      <c r="R1309" t="s">
        <v>19072</v>
      </c>
      <c r="S1309" t="s">
        <v>19073</v>
      </c>
      <c r="T1309" s="2">
        <v>0.45833333333333331</v>
      </c>
      <c r="U1309">
        <v>1</v>
      </c>
      <c r="V1309" t="s">
        <v>19074</v>
      </c>
      <c r="W1309" t="s">
        <v>19075</v>
      </c>
      <c r="X1309" t="s">
        <v>19076</v>
      </c>
      <c r="Y1309" t="s">
        <v>19077</v>
      </c>
      <c r="Z1309" t="s">
        <v>19077</v>
      </c>
      <c r="AA1309" t="s">
        <v>19077</v>
      </c>
      <c r="AB1309" t="s">
        <v>19077</v>
      </c>
      <c r="AC1309" t="s">
        <v>19077</v>
      </c>
    </row>
    <row r="1310" spans="1:30">
      <c r="A1310" t="s">
        <v>19078</v>
      </c>
      <c r="B1310">
        <v>1</v>
      </c>
      <c r="C1310">
        <v>18</v>
      </c>
      <c r="D1310">
        <v>2006</v>
      </c>
      <c r="E1310" s="1">
        <v>38735</v>
      </c>
      <c r="F1310" t="s">
        <v>19079</v>
      </c>
      <c r="G1310">
        <v>0</v>
      </c>
      <c r="H1310">
        <v>1</v>
      </c>
      <c r="I1310">
        <v>1</v>
      </c>
      <c r="J1310">
        <v>0</v>
      </c>
      <c r="L1310" t="s">
        <v>19080</v>
      </c>
      <c r="M1310" t="s">
        <v>19081</v>
      </c>
      <c r="N1310" t="s">
        <v>19082</v>
      </c>
      <c r="O1310" t="s">
        <v>19083</v>
      </c>
      <c r="P1310" t="s">
        <v>19084</v>
      </c>
      <c r="Q1310" t="s">
        <v>19085</v>
      </c>
      <c r="R1310" t="s">
        <v>19086</v>
      </c>
      <c r="S1310" t="s">
        <v>19087</v>
      </c>
      <c r="T1310" s="2">
        <v>0.49652777777777779</v>
      </c>
      <c r="U1310">
        <v>1</v>
      </c>
      <c r="V1310" t="s">
        <v>19088</v>
      </c>
      <c r="W1310" t="s">
        <v>19089</v>
      </c>
      <c r="X1310" t="s">
        <v>19090</v>
      </c>
      <c r="Y1310" t="s">
        <v>19091</v>
      </c>
      <c r="Z1310" t="s">
        <v>19091</v>
      </c>
      <c r="AA1310" t="s">
        <v>19091</v>
      </c>
      <c r="AB1310" t="s">
        <v>19091</v>
      </c>
      <c r="AC1310" t="s">
        <v>19091</v>
      </c>
    </row>
    <row r="1311" spans="1:30">
      <c r="A1311" t="s">
        <v>19092</v>
      </c>
      <c r="B1311">
        <v>1</v>
      </c>
      <c r="C1311">
        <v>13</v>
      </c>
      <c r="D1311">
        <v>2006</v>
      </c>
      <c r="E1311" s="1">
        <v>38730</v>
      </c>
      <c r="F1311" t="s">
        <v>19093</v>
      </c>
      <c r="G1311">
        <v>0</v>
      </c>
      <c r="H1311">
        <v>0</v>
      </c>
      <c r="I1311">
        <v>0</v>
      </c>
      <c r="J1311">
        <v>0</v>
      </c>
      <c r="L1311" t="s">
        <v>19094</v>
      </c>
      <c r="M1311" t="s">
        <v>19095</v>
      </c>
      <c r="N1311" t="s">
        <v>19096</v>
      </c>
      <c r="O1311" t="s">
        <v>19097</v>
      </c>
      <c r="P1311" t="s">
        <v>19098</v>
      </c>
      <c r="Q1311" t="s">
        <v>19099</v>
      </c>
      <c r="R1311" t="s">
        <v>19100</v>
      </c>
      <c r="S1311" t="s">
        <v>19101</v>
      </c>
      <c r="T1311" s="2">
        <v>0.5</v>
      </c>
      <c r="U1311">
        <v>1</v>
      </c>
      <c r="V1311" t="s">
        <v>19102</v>
      </c>
      <c r="W1311" t="s">
        <v>19103</v>
      </c>
      <c r="X1311" t="s">
        <v>19104</v>
      </c>
      <c r="Y1311" t="s">
        <v>19105</v>
      </c>
      <c r="Z1311" t="s">
        <v>19105</v>
      </c>
      <c r="AA1311" t="s">
        <v>19105</v>
      </c>
      <c r="AB1311" t="s">
        <v>19105</v>
      </c>
      <c r="AC1311" t="s">
        <v>19105</v>
      </c>
    </row>
    <row r="1312" spans="1:30">
      <c r="A1312" t="s">
        <v>19106</v>
      </c>
      <c r="B1312">
        <v>1</v>
      </c>
      <c r="C1312">
        <v>13</v>
      </c>
      <c r="D1312">
        <v>2006</v>
      </c>
      <c r="E1312" s="1">
        <v>38730</v>
      </c>
      <c r="F1312" t="s">
        <v>19107</v>
      </c>
      <c r="G1312">
        <v>0</v>
      </c>
      <c r="H1312">
        <v>0</v>
      </c>
      <c r="I1312">
        <v>0</v>
      </c>
      <c r="J1312">
        <v>1</v>
      </c>
      <c r="L1312" t="s">
        <v>19108</v>
      </c>
      <c r="M1312" t="s">
        <v>19109</v>
      </c>
      <c r="N1312" t="s">
        <v>19110</v>
      </c>
      <c r="O1312" t="s">
        <v>19111</v>
      </c>
      <c r="P1312" t="s">
        <v>19112</v>
      </c>
      <c r="Q1312" t="s">
        <v>19113</v>
      </c>
      <c r="R1312" t="s">
        <v>19114</v>
      </c>
      <c r="S1312" t="s">
        <v>19115</v>
      </c>
      <c r="T1312" s="2">
        <v>0.39583333333333331</v>
      </c>
      <c r="U1312">
        <v>1</v>
      </c>
      <c r="V1312" t="s">
        <v>19116</v>
      </c>
      <c r="W1312" t="s">
        <v>19117</v>
      </c>
      <c r="X1312" t="s">
        <v>19118</v>
      </c>
      <c r="Y1312" t="s">
        <v>19119</v>
      </c>
      <c r="Z1312" t="s">
        <v>19119</v>
      </c>
      <c r="AA1312" t="s">
        <v>19119</v>
      </c>
      <c r="AB1312" t="s">
        <v>19119</v>
      </c>
      <c r="AC1312" t="s">
        <v>19119</v>
      </c>
    </row>
    <row r="1313" spans="1:30">
      <c r="A1313" t="s">
        <v>19120</v>
      </c>
      <c r="B1313">
        <v>1</v>
      </c>
      <c r="C1313">
        <v>13</v>
      </c>
      <c r="D1313">
        <v>2006</v>
      </c>
      <c r="E1313" s="1">
        <v>38730</v>
      </c>
      <c r="F1313" t="s">
        <v>19121</v>
      </c>
      <c r="G1313">
        <v>0</v>
      </c>
      <c r="H1313">
        <v>1</v>
      </c>
      <c r="I1313">
        <v>1</v>
      </c>
      <c r="J1313">
        <v>0</v>
      </c>
      <c r="L1313" t="s">
        <v>19122</v>
      </c>
      <c r="M1313" t="s">
        <v>19123</v>
      </c>
      <c r="N1313" t="s">
        <v>19124</v>
      </c>
      <c r="O1313" t="s">
        <v>19125</v>
      </c>
      <c r="P1313" t="s">
        <v>19126</v>
      </c>
      <c r="Q1313" t="s">
        <v>19127</v>
      </c>
      <c r="R1313" t="s">
        <v>19128</v>
      </c>
      <c r="S1313" t="s">
        <v>19129</v>
      </c>
      <c r="T1313" s="2">
        <v>0.95694444444444438</v>
      </c>
      <c r="U1313">
        <v>1</v>
      </c>
      <c r="V1313" t="s">
        <v>19130</v>
      </c>
      <c r="W1313" t="s">
        <v>19131</v>
      </c>
      <c r="X1313" t="s">
        <v>19132</v>
      </c>
      <c r="Y1313" t="s">
        <v>19133</v>
      </c>
      <c r="Z1313" t="s">
        <v>19133</v>
      </c>
      <c r="AA1313" t="s">
        <v>19133</v>
      </c>
      <c r="AB1313" t="s">
        <v>19133</v>
      </c>
      <c r="AC1313" t="s">
        <v>19133</v>
      </c>
    </row>
    <row r="1314" spans="1:30">
      <c r="A1314" t="s">
        <v>19134</v>
      </c>
      <c r="B1314">
        <v>1</v>
      </c>
      <c r="C1314">
        <v>11</v>
      </c>
      <c r="D1314">
        <v>2006</v>
      </c>
      <c r="E1314" s="1">
        <v>38728</v>
      </c>
      <c r="F1314" t="s">
        <v>19135</v>
      </c>
      <c r="G1314">
        <v>0</v>
      </c>
      <c r="H1314">
        <v>1</v>
      </c>
      <c r="I1314">
        <v>1</v>
      </c>
      <c r="J1314">
        <v>0</v>
      </c>
      <c r="L1314" t="s">
        <v>19136</v>
      </c>
      <c r="M1314" t="s">
        <v>19137</v>
      </c>
      <c r="N1314" t="s">
        <v>19138</v>
      </c>
      <c r="O1314" t="s">
        <v>19139</v>
      </c>
      <c r="P1314" t="s">
        <v>19140</v>
      </c>
      <c r="Q1314" t="s">
        <v>19141</v>
      </c>
      <c r="R1314" t="s">
        <v>19142</v>
      </c>
      <c r="S1314" t="s">
        <v>19143</v>
      </c>
      <c r="T1314" s="2">
        <v>0.52083333333333337</v>
      </c>
      <c r="U1314">
        <v>1</v>
      </c>
      <c r="V1314" t="s">
        <v>19144</v>
      </c>
      <c r="W1314" t="s">
        <v>19145</v>
      </c>
      <c r="X1314" t="s">
        <v>19146</v>
      </c>
      <c r="Y1314" t="s">
        <v>19147</v>
      </c>
      <c r="Z1314" t="s">
        <v>19148</v>
      </c>
      <c r="AA1314" t="s">
        <v>19148</v>
      </c>
      <c r="AB1314" t="s">
        <v>19148</v>
      </c>
      <c r="AC1314" t="s">
        <v>19148</v>
      </c>
    </row>
    <row r="1315" spans="1:30">
      <c r="A1315" t="s">
        <v>19149</v>
      </c>
      <c r="B1315">
        <v>1</v>
      </c>
      <c r="C1315">
        <v>10</v>
      </c>
      <c r="D1315">
        <v>2006</v>
      </c>
      <c r="E1315" s="1">
        <v>38727</v>
      </c>
      <c r="F1315" t="s">
        <v>19150</v>
      </c>
      <c r="G1315">
        <v>0</v>
      </c>
      <c r="H1315">
        <v>1</v>
      </c>
      <c r="I1315">
        <v>1</v>
      </c>
      <c r="J1315">
        <v>0</v>
      </c>
      <c r="L1315" t="s">
        <v>19151</v>
      </c>
      <c r="M1315" t="s">
        <v>19152</v>
      </c>
      <c r="N1315" t="s">
        <v>19153</v>
      </c>
      <c r="O1315" t="s">
        <v>19154</v>
      </c>
      <c r="P1315" t="s">
        <v>19155</v>
      </c>
      <c r="Q1315" t="s">
        <v>19156</v>
      </c>
      <c r="R1315" t="s">
        <v>19157</v>
      </c>
      <c r="S1315" t="s">
        <v>19158</v>
      </c>
      <c r="U1315">
        <v>1</v>
      </c>
      <c r="V1315" t="s">
        <v>19159</v>
      </c>
      <c r="W1315" t="s">
        <v>19160</v>
      </c>
      <c r="X1315" t="s">
        <v>19161</v>
      </c>
      <c r="Y1315" t="s">
        <v>19162</v>
      </c>
      <c r="Z1315" t="s">
        <v>19163</v>
      </c>
      <c r="AA1315" t="s">
        <v>19163</v>
      </c>
      <c r="AB1315" t="s">
        <v>19163</v>
      </c>
      <c r="AC1315" t="s">
        <v>19163</v>
      </c>
    </row>
    <row r="1316" spans="1:30">
      <c r="A1316" t="s">
        <v>19164</v>
      </c>
      <c r="B1316">
        <v>1</v>
      </c>
      <c r="C1316">
        <v>3</v>
      </c>
      <c r="D1316">
        <v>2006</v>
      </c>
      <c r="E1316" s="1">
        <v>38720</v>
      </c>
      <c r="F1316" t="s">
        <v>19165</v>
      </c>
      <c r="G1316">
        <v>0</v>
      </c>
      <c r="H1316">
        <v>2</v>
      </c>
      <c r="I1316">
        <v>2</v>
      </c>
      <c r="J1316">
        <v>0</v>
      </c>
      <c r="L1316" t="s">
        <v>19166</v>
      </c>
      <c r="M1316" t="s">
        <v>19167</v>
      </c>
      <c r="N1316" t="s">
        <v>19168</v>
      </c>
      <c r="O1316" t="s">
        <v>19169</v>
      </c>
      <c r="P1316" t="s">
        <v>19170</v>
      </c>
      <c r="Q1316" t="s">
        <v>19171</v>
      </c>
      <c r="R1316" t="s">
        <v>19172</v>
      </c>
      <c r="S1316" t="s">
        <v>19173</v>
      </c>
      <c r="T1316" s="2">
        <v>0.63888888888888884</v>
      </c>
      <c r="U1316">
        <v>1</v>
      </c>
      <c r="V1316" t="s">
        <v>19174</v>
      </c>
      <c r="W1316" t="s">
        <v>19175</v>
      </c>
      <c r="Y1316" t="s">
        <v>19176</v>
      </c>
      <c r="Z1316" t="s">
        <v>19177</v>
      </c>
      <c r="AA1316" t="s">
        <v>19177</v>
      </c>
      <c r="AB1316" t="s">
        <v>19177</v>
      </c>
      <c r="AC1316" t="s">
        <v>19177</v>
      </c>
    </row>
    <row r="1317" spans="1:30">
      <c r="A1317" t="s">
        <v>19178</v>
      </c>
      <c r="B1317">
        <v>12</v>
      </c>
      <c r="C1317">
        <v>6</v>
      </c>
      <c r="D1317">
        <v>2005</v>
      </c>
      <c r="E1317" s="1">
        <v>38692</v>
      </c>
      <c r="F1317" t="s">
        <v>19179</v>
      </c>
      <c r="G1317">
        <v>1</v>
      </c>
      <c r="H1317">
        <v>0</v>
      </c>
      <c r="I1317">
        <v>1</v>
      </c>
      <c r="J1317">
        <v>0</v>
      </c>
      <c r="L1317" t="s">
        <v>19180</v>
      </c>
      <c r="M1317" t="s">
        <v>19181</v>
      </c>
      <c r="N1317" t="s">
        <v>19182</v>
      </c>
      <c r="O1317" t="s">
        <v>19183</v>
      </c>
      <c r="P1317" t="s">
        <v>19184</v>
      </c>
      <c r="Q1317" t="s">
        <v>19185</v>
      </c>
      <c r="R1317" t="s">
        <v>19186</v>
      </c>
      <c r="S1317" t="s">
        <v>19187</v>
      </c>
      <c r="T1317" s="2">
        <v>0.625</v>
      </c>
      <c r="U1317">
        <v>1</v>
      </c>
      <c r="V1317" t="s">
        <v>19188</v>
      </c>
      <c r="W1317" t="s">
        <v>19189</v>
      </c>
      <c r="X1317" t="s">
        <v>19190</v>
      </c>
      <c r="Y1317" t="s">
        <v>19191</v>
      </c>
      <c r="Z1317" t="s">
        <v>19192</v>
      </c>
      <c r="AA1317" t="s">
        <v>19192</v>
      </c>
      <c r="AB1317" t="s">
        <v>19192</v>
      </c>
      <c r="AC1317" t="s">
        <v>19192</v>
      </c>
    </row>
    <row r="1318" spans="1:30">
      <c r="A1318" t="s">
        <v>19193</v>
      </c>
      <c r="B1318">
        <v>12</v>
      </c>
      <c r="C1318">
        <v>6</v>
      </c>
      <c r="D1318">
        <v>2005</v>
      </c>
      <c r="E1318" s="1">
        <v>38692</v>
      </c>
      <c r="F1318" t="s">
        <v>19194</v>
      </c>
      <c r="G1318">
        <v>0</v>
      </c>
      <c r="H1318">
        <v>1</v>
      </c>
      <c r="I1318">
        <v>1</v>
      </c>
      <c r="J1318">
        <v>0</v>
      </c>
      <c r="L1318" t="s">
        <v>19195</v>
      </c>
      <c r="M1318" t="s">
        <v>19196</v>
      </c>
      <c r="N1318" t="s">
        <v>19197</v>
      </c>
      <c r="O1318" t="s">
        <v>19198</v>
      </c>
      <c r="P1318" t="s">
        <v>19199</v>
      </c>
      <c r="Q1318" t="s">
        <v>19200</v>
      </c>
      <c r="R1318" t="s">
        <v>19201</v>
      </c>
      <c r="S1318" t="s">
        <v>19202</v>
      </c>
      <c r="T1318" s="2">
        <v>0.5625</v>
      </c>
      <c r="U1318">
        <v>1</v>
      </c>
      <c r="V1318" t="s">
        <v>19203</v>
      </c>
      <c r="W1318" t="s">
        <v>19204</v>
      </c>
      <c r="X1318" t="s">
        <v>19205</v>
      </c>
      <c r="Y1318" t="s">
        <v>19206</v>
      </c>
      <c r="Z1318" t="s">
        <v>19206</v>
      </c>
      <c r="AA1318" t="s">
        <v>19206</v>
      </c>
      <c r="AB1318" t="s">
        <v>19206</v>
      </c>
      <c r="AC1318" t="s">
        <v>19206</v>
      </c>
    </row>
    <row r="1319" spans="1:30">
      <c r="A1319" t="s">
        <v>19207</v>
      </c>
      <c r="B1319">
        <v>12</v>
      </c>
      <c r="C1319">
        <v>5</v>
      </c>
      <c r="D1319">
        <v>2005</v>
      </c>
      <c r="E1319" s="1">
        <v>38691</v>
      </c>
      <c r="F1319" t="s">
        <v>19208</v>
      </c>
      <c r="G1319">
        <v>0</v>
      </c>
      <c r="H1319">
        <v>0</v>
      </c>
      <c r="I1319">
        <v>0</v>
      </c>
      <c r="J1319">
        <v>0</v>
      </c>
      <c r="L1319" t="s">
        <v>19209</v>
      </c>
      <c r="M1319" t="s">
        <v>19210</v>
      </c>
      <c r="N1319" t="s">
        <v>19211</v>
      </c>
      <c r="O1319" t="s">
        <v>19212</v>
      </c>
      <c r="P1319" t="s">
        <v>19213</v>
      </c>
      <c r="Q1319" t="s">
        <v>19214</v>
      </c>
      <c r="R1319" t="s">
        <v>19215</v>
      </c>
      <c r="S1319" t="s">
        <v>19216</v>
      </c>
      <c r="T1319" s="2">
        <v>0.59722222222222221</v>
      </c>
      <c r="U1319">
        <v>1</v>
      </c>
      <c r="V1319" t="s">
        <v>19217</v>
      </c>
      <c r="W1319" t="s">
        <v>19218</v>
      </c>
      <c r="X1319" t="s">
        <v>19219</v>
      </c>
      <c r="Y1319" t="s">
        <v>19220</v>
      </c>
      <c r="Z1319" t="s">
        <v>19220</v>
      </c>
      <c r="AA1319" t="s">
        <v>19220</v>
      </c>
      <c r="AB1319" t="s">
        <v>19220</v>
      </c>
      <c r="AC1319" t="s">
        <v>19220</v>
      </c>
    </row>
    <row r="1320" spans="1:30">
      <c r="A1320" t="s">
        <v>19221</v>
      </c>
      <c r="B1320">
        <v>11</v>
      </c>
      <c r="C1320">
        <v>16</v>
      </c>
      <c r="D1320">
        <v>2005</v>
      </c>
      <c r="E1320" s="1">
        <v>38672</v>
      </c>
      <c r="F1320" t="s">
        <v>19222</v>
      </c>
      <c r="G1320">
        <v>1</v>
      </c>
      <c r="H1320">
        <v>0</v>
      </c>
      <c r="I1320">
        <v>1</v>
      </c>
      <c r="J1320">
        <v>0</v>
      </c>
      <c r="L1320" t="s">
        <v>19223</v>
      </c>
      <c r="M1320" t="s">
        <v>19224</v>
      </c>
      <c r="N1320" t="s">
        <v>19225</v>
      </c>
      <c r="O1320" t="s">
        <v>19226</v>
      </c>
      <c r="P1320" t="s">
        <v>19227</v>
      </c>
      <c r="Q1320" t="s">
        <v>19228</v>
      </c>
      <c r="R1320" t="s">
        <v>19229</v>
      </c>
      <c r="U1320">
        <v>1</v>
      </c>
      <c r="V1320" t="s">
        <v>19230</v>
      </c>
      <c r="W1320" t="s">
        <v>19231</v>
      </c>
      <c r="X1320" t="s">
        <v>19232</v>
      </c>
      <c r="Y1320" t="s">
        <v>19233</v>
      </c>
      <c r="Z1320" t="s">
        <v>19233</v>
      </c>
      <c r="AA1320" t="s">
        <v>19233</v>
      </c>
    </row>
    <row r="1321" spans="1:30">
      <c r="A1321" t="s">
        <v>19234</v>
      </c>
      <c r="B1321">
        <v>11</v>
      </c>
      <c r="C1321">
        <v>15</v>
      </c>
      <c r="D1321">
        <v>2005</v>
      </c>
      <c r="E1321" s="1">
        <v>38671</v>
      </c>
      <c r="F1321" t="s">
        <v>19235</v>
      </c>
      <c r="G1321">
        <v>0</v>
      </c>
      <c r="H1321">
        <v>1</v>
      </c>
      <c r="I1321">
        <v>1</v>
      </c>
      <c r="J1321">
        <v>0</v>
      </c>
      <c r="L1321" t="s">
        <v>19236</v>
      </c>
      <c r="M1321" t="s">
        <v>19237</v>
      </c>
      <c r="N1321" t="s">
        <v>19238</v>
      </c>
      <c r="O1321" t="s">
        <v>19239</v>
      </c>
      <c r="P1321" t="s">
        <v>19240</v>
      </c>
      <c r="Q1321" t="s">
        <v>19240</v>
      </c>
      <c r="R1321" t="s">
        <v>19241</v>
      </c>
      <c r="S1321" t="s">
        <v>19242</v>
      </c>
      <c r="T1321" s="2">
        <v>0.32291666666666669</v>
      </c>
      <c r="U1321">
        <v>1</v>
      </c>
      <c r="V1321" t="s">
        <v>19243</v>
      </c>
      <c r="W1321" t="s">
        <v>19244</v>
      </c>
      <c r="X1321" t="s">
        <v>19245</v>
      </c>
      <c r="Y1321" t="s">
        <v>19246</v>
      </c>
      <c r="Z1321" t="s">
        <v>19246</v>
      </c>
      <c r="AA1321" t="s">
        <v>19246</v>
      </c>
      <c r="AB1321" t="s">
        <v>19246</v>
      </c>
      <c r="AC1321" t="s">
        <v>19246</v>
      </c>
    </row>
    <row r="1322" spans="1:30">
      <c r="A1322" t="s">
        <v>19247</v>
      </c>
      <c r="B1322">
        <v>11</v>
      </c>
      <c r="C1322">
        <v>8</v>
      </c>
      <c r="D1322">
        <v>2005</v>
      </c>
      <c r="E1322" s="1">
        <v>38664</v>
      </c>
      <c r="F1322" t="s">
        <v>19248</v>
      </c>
      <c r="G1322">
        <v>1</v>
      </c>
      <c r="H1322">
        <v>2</v>
      </c>
      <c r="I1322">
        <v>3</v>
      </c>
      <c r="J1322">
        <v>0</v>
      </c>
      <c r="K1322" t="s">
        <v>19249</v>
      </c>
      <c r="L1322" t="s">
        <v>19250</v>
      </c>
      <c r="M1322" t="s">
        <v>19251</v>
      </c>
      <c r="N1322" t="s">
        <v>19252</v>
      </c>
      <c r="O1322" t="s">
        <v>19253</v>
      </c>
      <c r="P1322" t="s">
        <v>19254</v>
      </c>
      <c r="Q1322" t="s">
        <v>19255</v>
      </c>
      <c r="R1322" t="s">
        <v>19256</v>
      </c>
      <c r="S1322" t="s">
        <v>19257</v>
      </c>
      <c r="T1322" s="2">
        <v>0.58333333333333337</v>
      </c>
      <c r="U1322">
        <v>1</v>
      </c>
      <c r="V1322" t="s">
        <v>19258</v>
      </c>
      <c r="W1322" t="s">
        <v>19259</v>
      </c>
      <c r="X1322" t="s">
        <v>19260</v>
      </c>
      <c r="Y1322" t="s">
        <v>19261</v>
      </c>
      <c r="Z1322" t="s">
        <v>19261</v>
      </c>
      <c r="AA1322" t="s">
        <v>19261</v>
      </c>
      <c r="AB1322" t="s">
        <v>19261</v>
      </c>
      <c r="AC1322" t="s">
        <v>19261</v>
      </c>
      <c r="AD1322" t="s">
        <v>19262</v>
      </c>
    </row>
    <row r="1323" spans="1:30">
      <c r="A1323" t="s">
        <v>19263</v>
      </c>
      <c r="B1323">
        <v>10</v>
      </c>
      <c r="C1323">
        <v>28</v>
      </c>
      <c r="D1323">
        <v>2005</v>
      </c>
      <c r="E1323" s="1">
        <v>38653</v>
      </c>
      <c r="F1323" t="s">
        <v>19264</v>
      </c>
      <c r="G1323">
        <v>0</v>
      </c>
      <c r="H1323">
        <v>0</v>
      </c>
      <c r="I1323">
        <v>0</v>
      </c>
      <c r="J1323">
        <v>0</v>
      </c>
      <c r="L1323" t="s">
        <v>19265</v>
      </c>
      <c r="M1323" t="s">
        <v>19266</v>
      </c>
      <c r="N1323" t="s">
        <v>19267</v>
      </c>
      <c r="O1323" t="s">
        <v>19268</v>
      </c>
      <c r="P1323" t="s">
        <v>19269</v>
      </c>
      <c r="Q1323" t="s">
        <v>19270</v>
      </c>
      <c r="R1323" t="s">
        <v>19271</v>
      </c>
      <c r="S1323" t="s">
        <v>19272</v>
      </c>
      <c r="T1323" s="2">
        <v>0.82291666666666663</v>
      </c>
      <c r="U1323">
        <v>1</v>
      </c>
      <c r="V1323" t="s">
        <v>19273</v>
      </c>
      <c r="W1323" t="s">
        <v>19274</v>
      </c>
      <c r="X1323" t="s">
        <v>19275</v>
      </c>
      <c r="Y1323" t="s">
        <v>19276</v>
      </c>
      <c r="Z1323" t="s">
        <v>19277</v>
      </c>
      <c r="AA1323" t="s">
        <v>19277</v>
      </c>
      <c r="AB1323" t="s">
        <v>19277</v>
      </c>
      <c r="AC1323" t="s">
        <v>19277</v>
      </c>
    </row>
    <row r="1324" spans="1:30">
      <c r="A1324" t="s">
        <v>19278</v>
      </c>
      <c r="B1324">
        <v>10</v>
      </c>
      <c r="C1324">
        <v>28</v>
      </c>
      <c r="D1324">
        <v>2005</v>
      </c>
      <c r="E1324" s="1">
        <v>38653</v>
      </c>
      <c r="F1324" t="s">
        <v>19279</v>
      </c>
      <c r="G1324">
        <v>0</v>
      </c>
      <c r="H1324">
        <v>1</v>
      </c>
      <c r="I1324">
        <v>1</v>
      </c>
      <c r="J1324">
        <v>0</v>
      </c>
      <c r="L1324" t="s">
        <v>19280</v>
      </c>
      <c r="M1324" t="s">
        <v>19281</v>
      </c>
      <c r="N1324" t="s">
        <v>19282</v>
      </c>
      <c r="O1324" t="s">
        <v>19283</v>
      </c>
      <c r="P1324" t="s">
        <v>19284</v>
      </c>
      <c r="Q1324" t="s">
        <v>19285</v>
      </c>
      <c r="R1324" t="s">
        <v>19286</v>
      </c>
      <c r="S1324" t="s">
        <v>19287</v>
      </c>
      <c r="T1324" s="2">
        <v>0.85416666666666674</v>
      </c>
      <c r="U1324">
        <v>1</v>
      </c>
      <c r="V1324" t="s">
        <v>19288</v>
      </c>
      <c r="W1324" t="s">
        <v>19289</v>
      </c>
      <c r="X1324" t="s">
        <v>19290</v>
      </c>
      <c r="Y1324" t="s">
        <v>19291</v>
      </c>
      <c r="Z1324" t="s">
        <v>19291</v>
      </c>
      <c r="AA1324" t="s">
        <v>19291</v>
      </c>
      <c r="AB1324" t="s">
        <v>19291</v>
      </c>
      <c r="AC1324" t="s">
        <v>19291</v>
      </c>
    </row>
    <row r="1325" spans="1:30">
      <c r="A1325" t="s">
        <v>19292</v>
      </c>
      <c r="B1325">
        <v>10</v>
      </c>
      <c r="C1325">
        <v>27</v>
      </c>
      <c r="D1325">
        <v>2005</v>
      </c>
      <c r="E1325" s="1">
        <v>38652</v>
      </c>
      <c r="F1325" t="s">
        <v>19293</v>
      </c>
      <c r="G1325">
        <v>1</v>
      </c>
      <c r="H1325">
        <v>0</v>
      </c>
      <c r="I1325">
        <v>1</v>
      </c>
      <c r="J1325">
        <v>0</v>
      </c>
      <c r="L1325" t="s">
        <v>19294</v>
      </c>
      <c r="M1325" t="s">
        <v>19295</v>
      </c>
      <c r="N1325" t="s">
        <v>19296</v>
      </c>
      <c r="O1325" t="s">
        <v>19297</v>
      </c>
      <c r="P1325" t="s">
        <v>19298</v>
      </c>
      <c r="Q1325" t="s">
        <v>19299</v>
      </c>
      <c r="R1325" t="s">
        <v>19300</v>
      </c>
      <c r="U1325">
        <v>1</v>
      </c>
      <c r="V1325" t="s">
        <v>19301</v>
      </c>
      <c r="W1325" t="s">
        <v>19302</v>
      </c>
      <c r="X1325" t="s">
        <v>19303</v>
      </c>
      <c r="Y1325" t="s">
        <v>19304</v>
      </c>
      <c r="Z1325" t="s">
        <v>19304</v>
      </c>
      <c r="AA1325" t="s">
        <v>19304</v>
      </c>
      <c r="AB1325" t="s">
        <v>19304</v>
      </c>
      <c r="AC1325" t="s">
        <v>19304</v>
      </c>
    </row>
    <row r="1326" spans="1:30">
      <c r="A1326" t="s">
        <v>19305</v>
      </c>
      <c r="B1326">
        <v>10</v>
      </c>
      <c r="C1326">
        <v>20</v>
      </c>
      <c r="D1326">
        <v>2005</v>
      </c>
      <c r="E1326" s="1">
        <v>38645</v>
      </c>
      <c r="F1326" t="s">
        <v>19306</v>
      </c>
      <c r="G1326">
        <v>0</v>
      </c>
      <c r="H1326">
        <v>1</v>
      </c>
      <c r="I1326">
        <v>1</v>
      </c>
      <c r="J1326">
        <v>0</v>
      </c>
      <c r="L1326" t="s">
        <v>19307</v>
      </c>
      <c r="M1326" t="s">
        <v>19308</v>
      </c>
      <c r="N1326" t="s">
        <v>19309</v>
      </c>
      <c r="O1326" t="s">
        <v>19310</v>
      </c>
      <c r="P1326" t="s">
        <v>19311</v>
      </c>
      <c r="Q1326" t="s">
        <v>19312</v>
      </c>
      <c r="R1326" t="s">
        <v>19313</v>
      </c>
      <c r="S1326" t="s">
        <v>19314</v>
      </c>
      <c r="T1326" s="2">
        <v>0.5</v>
      </c>
      <c r="U1326">
        <v>1</v>
      </c>
      <c r="V1326" t="s">
        <v>19315</v>
      </c>
      <c r="W1326" t="s">
        <v>19316</v>
      </c>
      <c r="X1326" t="s">
        <v>19317</v>
      </c>
      <c r="Y1326" t="s">
        <v>19318</v>
      </c>
      <c r="Z1326" t="s">
        <v>19318</v>
      </c>
      <c r="AA1326" t="s">
        <v>19318</v>
      </c>
      <c r="AC1326" t="s">
        <v>19318</v>
      </c>
    </row>
    <row r="1327" spans="1:30">
      <c r="A1327" t="s">
        <v>19319</v>
      </c>
      <c r="B1327">
        <v>10</v>
      </c>
      <c r="C1327">
        <v>19</v>
      </c>
      <c r="D1327">
        <v>2005</v>
      </c>
      <c r="E1327" s="1">
        <v>38644</v>
      </c>
      <c r="F1327" t="s">
        <v>19320</v>
      </c>
      <c r="G1327">
        <v>0</v>
      </c>
      <c r="H1327">
        <v>1</v>
      </c>
      <c r="I1327">
        <v>1</v>
      </c>
      <c r="J1327">
        <v>0</v>
      </c>
      <c r="L1327" t="s">
        <v>19321</v>
      </c>
      <c r="M1327" t="s">
        <v>19322</v>
      </c>
      <c r="N1327" t="s">
        <v>19323</v>
      </c>
      <c r="O1327" t="s">
        <v>19324</v>
      </c>
      <c r="P1327" t="s">
        <v>19325</v>
      </c>
      <c r="Q1327" t="s">
        <v>19326</v>
      </c>
      <c r="R1327" t="s">
        <v>19327</v>
      </c>
      <c r="S1327" t="s">
        <v>19328</v>
      </c>
      <c r="T1327" s="2">
        <v>0.31944444444444448</v>
      </c>
      <c r="U1327">
        <v>1</v>
      </c>
      <c r="V1327" t="s">
        <v>19329</v>
      </c>
      <c r="W1327" t="s">
        <v>19330</v>
      </c>
      <c r="X1327" t="s">
        <v>19331</v>
      </c>
      <c r="Y1327" t="s">
        <v>19332</v>
      </c>
      <c r="Z1327" t="s">
        <v>19333</v>
      </c>
      <c r="AA1327" t="s">
        <v>19333</v>
      </c>
      <c r="AB1327" t="s">
        <v>19333</v>
      </c>
      <c r="AC1327" t="s">
        <v>19333</v>
      </c>
    </row>
    <row r="1328" spans="1:30">
      <c r="A1328" t="s">
        <v>19334</v>
      </c>
      <c r="B1328">
        <v>10</v>
      </c>
      <c r="C1328">
        <v>14</v>
      </c>
      <c r="D1328">
        <v>2005</v>
      </c>
      <c r="E1328" s="1">
        <v>38639</v>
      </c>
      <c r="F1328" t="s">
        <v>19335</v>
      </c>
      <c r="G1328">
        <v>0</v>
      </c>
      <c r="H1328">
        <v>1</v>
      </c>
      <c r="I1328">
        <v>1</v>
      </c>
      <c r="J1328">
        <v>0</v>
      </c>
      <c r="L1328" t="s">
        <v>19336</v>
      </c>
      <c r="M1328" t="s">
        <v>19337</v>
      </c>
      <c r="N1328" t="s">
        <v>19338</v>
      </c>
      <c r="O1328" t="s">
        <v>19339</v>
      </c>
      <c r="P1328" t="s">
        <v>19340</v>
      </c>
      <c r="Q1328" t="s">
        <v>19341</v>
      </c>
      <c r="R1328" t="s">
        <v>19342</v>
      </c>
      <c r="S1328" t="s">
        <v>19343</v>
      </c>
      <c r="T1328" s="2">
        <v>0.38541666666666669</v>
      </c>
      <c r="U1328">
        <v>1</v>
      </c>
      <c r="V1328" t="s">
        <v>19344</v>
      </c>
      <c r="W1328" t="s">
        <v>19345</v>
      </c>
      <c r="X1328" t="s">
        <v>19346</v>
      </c>
      <c r="Y1328" t="s">
        <v>19347</v>
      </c>
      <c r="Z1328" t="s">
        <v>19348</v>
      </c>
      <c r="AA1328" t="s">
        <v>19348</v>
      </c>
      <c r="AB1328" t="s">
        <v>19348</v>
      </c>
      <c r="AC1328" t="s">
        <v>19348</v>
      </c>
    </row>
    <row r="1329" spans="1:30">
      <c r="A1329" t="s">
        <v>19349</v>
      </c>
      <c r="B1329">
        <v>10</v>
      </c>
      <c r="C1329">
        <v>11</v>
      </c>
      <c r="D1329">
        <v>2005</v>
      </c>
      <c r="E1329" s="1">
        <v>38636</v>
      </c>
      <c r="F1329" t="s">
        <v>19350</v>
      </c>
      <c r="G1329">
        <v>0</v>
      </c>
      <c r="H1329">
        <v>0</v>
      </c>
      <c r="I1329">
        <v>0</v>
      </c>
      <c r="J1329">
        <v>0</v>
      </c>
      <c r="L1329" t="s">
        <v>19351</v>
      </c>
      <c r="M1329" t="s">
        <v>19352</v>
      </c>
      <c r="N1329" t="s">
        <v>19353</v>
      </c>
      <c r="O1329" t="s">
        <v>19354</v>
      </c>
      <c r="P1329" t="s">
        <v>19355</v>
      </c>
      <c r="Q1329" t="s">
        <v>19356</v>
      </c>
      <c r="R1329" t="s">
        <v>19357</v>
      </c>
      <c r="S1329" t="s">
        <v>19358</v>
      </c>
      <c r="T1329" s="2">
        <v>0.33333333333333331</v>
      </c>
      <c r="U1329">
        <v>1</v>
      </c>
      <c r="V1329" t="s">
        <v>19359</v>
      </c>
      <c r="W1329" t="s">
        <v>19360</v>
      </c>
      <c r="X1329" t="s">
        <v>19361</v>
      </c>
      <c r="Y1329" t="s">
        <v>19362</v>
      </c>
      <c r="Z1329" t="s">
        <v>19362</v>
      </c>
      <c r="AA1329" t="s">
        <v>19362</v>
      </c>
      <c r="AD1329" t="s">
        <v>19363</v>
      </c>
    </row>
    <row r="1330" spans="1:30">
      <c r="A1330" t="s">
        <v>19364</v>
      </c>
      <c r="B1330">
        <v>9</v>
      </c>
      <c r="C1330">
        <v>24</v>
      </c>
      <c r="D1330">
        <v>2005</v>
      </c>
      <c r="E1330" s="1">
        <v>38619</v>
      </c>
      <c r="F1330" t="s">
        <v>19365</v>
      </c>
      <c r="G1330">
        <v>0</v>
      </c>
      <c r="H1330">
        <v>2</v>
      </c>
      <c r="I1330">
        <v>2</v>
      </c>
      <c r="J1330">
        <v>0</v>
      </c>
      <c r="L1330" t="s">
        <v>19366</v>
      </c>
      <c r="M1330" t="s">
        <v>19367</v>
      </c>
      <c r="N1330" t="s">
        <v>19368</v>
      </c>
      <c r="O1330" t="s">
        <v>19369</v>
      </c>
      <c r="P1330" t="s">
        <v>19370</v>
      </c>
      <c r="Q1330" t="s">
        <v>19371</v>
      </c>
      <c r="R1330" t="s">
        <v>19372</v>
      </c>
      <c r="S1330" t="s">
        <v>19373</v>
      </c>
      <c r="T1330" s="2">
        <v>0.97916666666666674</v>
      </c>
      <c r="U1330">
        <v>1</v>
      </c>
      <c r="V1330" t="s">
        <v>19374</v>
      </c>
      <c r="W1330" t="s">
        <v>19375</v>
      </c>
      <c r="Y1330" t="s">
        <v>19376</v>
      </c>
      <c r="Z1330" t="s">
        <v>19376</v>
      </c>
      <c r="AA1330" t="s">
        <v>19376</v>
      </c>
      <c r="AB1330" t="s">
        <v>19376</v>
      </c>
      <c r="AC1330" t="s">
        <v>19376</v>
      </c>
    </row>
    <row r="1331" spans="1:30">
      <c r="A1331" t="s">
        <v>19377</v>
      </c>
      <c r="B1331">
        <v>9</v>
      </c>
      <c r="C1331">
        <v>13</v>
      </c>
      <c r="D1331">
        <v>2005</v>
      </c>
      <c r="E1331" s="1">
        <v>38608</v>
      </c>
      <c r="F1331" t="s">
        <v>19378</v>
      </c>
      <c r="G1331">
        <v>0</v>
      </c>
      <c r="H1331">
        <v>1</v>
      </c>
      <c r="I1331">
        <v>1</v>
      </c>
      <c r="J1331">
        <v>0</v>
      </c>
      <c r="L1331" t="s">
        <v>19379</v>
      </c>
      <c r="M1331" t="s">
        <v>19380</v>
      </c>
      <c r="N1331" t="s">
        <v>19381</v>
      </c>
      <c r="O1331" t="s">
        <v>19382</v>
      </c>
      <c r="P1331" t="s">
        <v>19383</v>
      </c>
      <c r="Q1331" t="s">
        <v>19384</v>
      </c>
      <c r="R1331" t="s">
        <v>19385</v>
      </c>
      <c r="S1331" t="s">
        <v>19386</v>
      </c>
      <c r="T1331" s="2">
        <v>0.59722222222222221</v>
      </c>
      <c r="U1331">
        <v>1</v>
      </c>
      <c r="V1331" t="s">
        <v>19387</v>
      </c>
      <c r="W1331" t="s">
        <v>19388</v>
      </c>
      <c r="X1331" t="s">
        <v>19389</v>
      </c>
      <c r="Y1331" t="s">
        <v>19390</v>
      </c>
      <c r="Z1331" t="s">
        <v>19390</v>
      </c>
      <c r="AA1331" t="s">
        <v>19390</v>
      </c>
      <c r="AC1331" t="s">
        <v>19390</v>
      </c>
    </row>
    <row r="1332" spans="1:30">
      <c r="A1332" t="s">
        <v>19391</v>
      </c>
      <c r="B1332">
        <v>9</v>
      </c>
      <c r="C1332">
        <v>2</v>
      </c>
      <c r="D1332">
        <v>2005</v>
      </c>
      <c r="E1332" s="1">
        <v>38597</v>
      </c>
      <c r="F1332" t="s">
        <v>19392</v>
      </c>
      <c r="G1332">
        <v>0</v>
      </c>
      <c r="H1332">
        <v>1</v>
      </c>
      <c r="I1332">
        <v>1</v>
      </c>
      <c r="J1332">
        <v>0</v>
      </c>
      <c r="L1332" t="s">
        <v>19393</v>
      </c>
      <c r="M1332" t="s">
        <v>19394</v>
      </c>
      <c r="N1332" t="s">
        <v>19395</v>
      </c>
      <c r="O1332" t="s">
        <v>19396</v>
      </c>
      <c r="P1332" t="s">
        <v>19397</v>
      </c>
      <c r="Q1332" t="s">
        <v>19398</v>
      </c>
      <c r="R1332" t="s">
        <v>19399</v>
      </c>
      <c r="S1332" t="s">
        <v>19400</v>
      </c>
      <c r="T1332" s="2">
        <v>0.53472222222222221</v>
      </c>
      <c r="U1332">
        <v>1</v>
      </c>
      <c r="V1332" t="s">
        <v>19401</v>
      </c>
      <c r="W1332" t="s">
        <v>19402</v>
      </c>
      <c r="X1332" t="s">
        <v>19403</v>
      </c>
      <c r="Y1332" t="s">
        <v>19404</v>
      </c>
      <c r="Z1332" t="s">
        <v>19405</v>
      </c>
      <c r="AA1332" t="s">
        <v>19405</v>
      </c>
      <c r="AC1332" t="s">
        <v>19405</v>
      </c>
    </row>
    <row r="1333" spans="1:30">
      <c r="A1333" t="s">
        <v>19406</v>
      </c>
      <c r="B1333">
        <v>9</v>
      </c>
      <c r="C1333">
        <v>1</v>
      </c>
      <c r="D1333">
        <v>2005</v>
      </c>
      <c r="E1333" s="1">
        <v>38596</v>
      </c>
      <c r="F1333" t="s">
        <v>19407</v>
      </c>
      <c r="G1333">
        <v>0</v>
      </c>
      <c r="H1333">
        <v>0</v>
      </c>
      <c r="I1333">
        <v>0</v>
      </c>
      <c r="J1333">
        <v>0</v>
      </c>
      <c r="L1333" t="s">
        <v>19408</v>
      </c>
      <c r="M1333" t="s">
        <v>19409</v>
      </c>
      <c r="N1333" t="s">
        <v>19410</v>
      </c>
      <c r="O1333" t="s">
        <v>19411</v>
      </c>
      <c r="P1333" t="s">
        <v>19412</v>
      </c>
      <c r="Q1333" t="s">
        <v>19413</v>
      </c>
      <c r="R1333" t="s">
        <v>19414</v>
      </c>
      <c r="S1333" t="s">
        <v>19415</v>
      </c>
      <c r="T1333" s="2">
        <v>0.70833333333333337</v>
      </c>
      <c r="U1333">
        <v>1</v>
      </c>
      <c r="V1333" t="s">
        <v>19416</v>
      </c>
      <c r="W1333" t="s">
        <v>19417</v>
      </c>
      <c r="X1333" t="s">
        <v>19418</v>
      </c>
      <c r="Y1333" t="s">
        <v>19419</v>
      </c>
      <c r="Z1333" t="s">
        <v>19419</v>
      </c>
      <c r="AA1333" t="s">
        <v>19419</v>
      </c>
      <c r="AB1333" t="s">
        <v>19419</v>
      </c>
      <c r="AC1333" t="s">
        <v>19419</v>
      </c>
    </row>
    <row r="1334" spans="1:30">
      <c r="A1334" t="s">
        <v>19420</v>
      </c>
      <c r="B1334">
        <v>8</v>
      </c>
      <c r="C1334">
        <v>25</v>
      </c>
      <c r="D1334">
        <v>2005</v>
      </c>
      <c r="E1334" s="1">
        <v>38589</v>
      </c>
      <c r="F1334" t="s">
        <v>19421</v>
      </c>
      <c r="G1334">
        <v>0</v>
      </c>
      <c r="H1334">
        <v>1</v>
      </c>
      <c r="I1334">
        <v>1</v>
      </c>
      <c r="J1334">
        <v>0</v>
      </c>
      <c r="L1334" t="s">
        <v>19422</v>
      </c>
      <c r="M1334" t="s">
        <v>19423</v>
      </c>
      <c r="N1334" t="s">
        <v>19424</v>
      </c>
      <c r="O1334" t="s">
        <v>19425</v>
      </c>
      <c r="P1334" t="s">
        <v>19426</v>
      </c>
      <c r="Q1334" t="s">
        <v>19427</v>
      </c>
      <c r="R1334" t="s">
        <v>19428</v>
      </c>
      <c r="S1334" t="s">
        <v>19429</v>
      </c>
      <c r="T1334" s="2">
        <v>0.39583333333333331</v>
      </c>
      <c r="U1334">
        <v>1</v>
      </c>
      <c r="V1334" t="s">
        <v>19430</v>
      </c>
      <c r="W1334" t="s">
        <v>19431</v>
      </c>
      <c r="X1334" t="s">
        <v>19432</v>
      </c>
      <c r="Y1334" t="s">
        <v>19433</v>
      </c>
      <c r="Z1334" t="s">
        <v>19433</v>
      </c>
      <c r="AA1334" t="s">
        <v>19433</v>
      </c>
      <c r="AB1334" t="s">
        <v>19433</v>
      </c>
      <c r="AC1334" t="s">
        <v>19433</v>
      </c>
    </row>
    <row r="1335" spans="1:30">
      <c r="A1335" t="s">
        <v>19434</v>
      </c>
      <c r="B1335">
        <v>8</v>
      </c>
      <c r="C1335">
        <v>19</v>
      </c>
      <c r="D1335">
        <v>2005</v>
      </c>
      <c r="E1335" s="1">
        <v>38583</v>
      </c>
      <c r="F1335" t="s">
        <v>19435</v>
      </c>
      <c r="G1335">
        <v>0</v>
      </c>
      <c r="H1335">
        <v>2</v>
      </c>
      <c r="I1335">
        <v>2</v>
      </c>
      <c r="J1335">
        <v>0</v>
      </c>
      <c r="L1335" t="s">
        <v>19436</v>
      </c>
      <c r="M1335" t="s">
        <v>19437</v>
      </c>
      <c r="N1335" t="s">
        <v>19438</v>
      </c>
      <c r="O1335" t="s">
        <v>19439</v>
      </c>
      <c r="P1335" t="s">
        <v>19440</v>
      </c>
      <c r="Q1335" t="s">
        <v>19441</v>
      </c>
      <c r="R1335" t="s">
        <v>19442</v>
      </c>
      <c r="S1335" t="s">
        <v>19443</v>
      </c>
      <c r="T1335" s="2">
        <v>0.45833333333333331</v>
      </c>
      <c r="U1335">
        <v>1</v>
      </c>
      <c r="V1335" t="s">
        <v>19444</v>
      </c>
      <c r="W1335" t="s">
        <v>19445</v>
      </c>
      <c r="X1335" t="s">
        <v>19446</v>
      </c>
      <c r="Y1335" t="s">
        <v>19447</v>
      </c>
      <c r="Z1335" t="s">
        <v>19447</v>
      </c>
      <c r="AA1335" t="s">
        <v>19447</v>
      </c>
      <c r="AB1335" t="s">
        <v>19447</v>
      </c>
      <c r="AC1335" t="s">
        <v>19447</v>
      </c>
    </row>
    <row r="1336" spans="1:30">
      <c r="A1336" t="s">
        <v>19448</v>
      </c>
      <c r="B1336">
        <v>8</v>
      </c>
      <c r="C1336">
        <v>17</v>
      </c>
      <c r="D1336">
        <v>2005</v>
      </c>
      <c r="E1336" s="1">
        <v>38581</v>
      </c>
      <c r="F1336" t="s">
        <v>19449</v>
      </c>
      <c r="G1336">
        <v>1</v>
      </c>
      <c r="H1336">
        <v>0</v>
      </c>
      <c r="I1336">
        <v>1</v>
      </c>
      <c r="J1336">
        <v>0</v>
      </c>
      <c r="L1336" t="s">
        <v>19450</v>
      </c>
      <c r="M1336" t="s">
        <v>19451</v>
      </c>
      <c r="N1336" t="s">
        <v>19452</v>
      </c>
      <c r="O1336" t="s">
        <v>19453</v>
      </c>
      <c r="P1336" t="s">
        <v>19454</v>
      </c>
      <c r="Q1336" t="s">
        <v>19455</v>
      </c>
      <c r="R1336" t="s">
        <v>19456</v>
      </c>
      <c r="S1336" t="s">
        <v>19457</v>
      </c>
      <c r="T1336" s="2">
        <v>0.75</v>
      </c>
      <c r="U1336">
        <v>1</v>
      </c>
      <c r="V1336" t="s">
        <v>19458</v>
      </c>
      <c r="W1336" t="s">
        <v>19459</v>
      </c>
      <c r="X1336" t="s">
        <v>19460</v>
      </c>
      <c r="Y1336" t="s">
        <v>19461</v>
      </c>
      <c r="Z1336" t="s">
        <v>19461</v>
      </c>
      <c r="AA1336" t="s">
        <v>19461</v>
      </c>
      <c r="AB1336" t="s">
        <v>19461</v>
      </c>
      <c r="AC1336" t="s">
        <v>19461</v>
      </c>
    </row>
    <row r="1337" spans="1:30">
      <c r="A1337" t="s">
        <v>19462</v>
      </c>
      <c r="B1337">
        <v>8</v>
      </c>
      <c r="C1337">
        <v>16</v>
      </c>
      <c r="D1337">
        <v>2005</v>
      </c>
      <c r="E1337" s="1">
        <v>38580</v>
      </c>
      <c r="F1337" t="s">
        <v>19463</v>
      </c>
      <c r="G1337">
        <v>0</v>
      </c>
      <c r="H1337">
        <v>1</v>
      </c>
      <c r="I1337">
        <v>1</v>
      </c>
      <c r="J1337">
        <v>0</v>
      </c>
      <c r="L1337" t="s">
        <v>19464</v>
      </c>
      <c r="M1337" t="s">
        <v>19465</v>
      </c>
      <c r="N1337" t="s">
        <v>19466</v>
      </c>
      <c r="O1337" t="s">
        <v>19467</v>
      </c>
      <c r="P1337" t="s">
        <v>19468</v>
      </c>
      <c r="Q1337" t="s">
        <v>19469</v>
      </c>
      <c r="R1337" t="s">
        <v>19470</v>
      </c>
      <c r="S1337" t="s">
        <v>19471</v>
      </c>
      <c r="T1337" s="2">
        <v>0.3125</v>
      </c>
      <c r="U1337">
        <v>1</v>
      </c>
      <c r="V1337" t="s">
        <v>19472</v>
      </c>
      <c r="W1337" t="s">
        <v>19473</v>
      </c>
      <c r="X1337" t="s">
        <v>19474</v>
      </c>
      <c r="Y1337" t="s">
        <v>19475</v>
      </c>
      <c r="Z1337" t="s">
        <v>19475</v>
      </c>
      <c r="AA1337" t="s">
        <v>19475</v>
      </c>
      <c r="AB1337" t="s">
        <v>19475</v>
      </c>
      <c r="AC1337" t="s">
        <v>19475</v>
      </c>
    </row>
    <row r="1338" spans="1:30">
      <c r="A1338" t="s">
        <v>19476</v>
      </c>
      <c r="B1338">
        <v>7</v>
      </c>
      <c r="C1338">
        <v>18</v>
      </c>
      <c r="D1338">
        <v>2005</v>
      </c>
      <c r="E1338" s="1">
        <v>38551</v>
      </c>
      <c r="F1338" t="s">
        <v>19477</v>
      </c>
      <c r="G1338">
        <v>2</v>
      </c>
      <c r="H1338">
        <v>0</v>
      </c>
      <c r="I1338">
        <v>2</v>
      </c>
      <c r="J1338">
        <v>0</v>
      </c>
      <c r="L1338" t="s">
        <v>19478</v>
      </c>
      <c r="M1338" t="s">
        <v>19479</v>
      </c>
      <c r="N1338" t="s">
        <v>19480</v>
      </c>
      <c r="O1338" t="s">
        <v>19481</v>
      </c>
      <c r="P1338" t="s">
        <v>19482</v>
      </c>
      <c r="Q1338" t="s">
        <v>19483</v>
      </c>
      <c r="R1338" t="s">
        <v>19484</v>
      </c>
      <c r="S1338" t="s">
        <v>19485</v>
      </c>
      <c r="T1338" s="2">
        <v>0.5625</v>
      </c>
      <c r="U1338">
        <v>1</v>
      </c>
      <c r="V1338" t="s">
        <v>19486</v>
      </c>
      <c r="W1338" t="s">
        <v>19487</v>
      </c>
      <c r="X1338" t="s">
        <v>19488</v>
      </c>
      <c r="Y1338" t="s">
        <v>19489</v>
      </c>
      <c r="Z1338" t="s">
        <v>19490</v>
      </c>
      <c r="AA1338" t="s">
        <v>19490</v>
      </c>
      <c r="AB1338" t="s">
        <v>19490</v>
      </c>
      <c r="AC1338" t="s">
        <v>19490</v>
      </c>
    </row>
    <row r="1339" spans="1:30">
      <c r="A1339" t="s">
        <v>19491</v>
      </c>
      <c r="B1339">
        <v>6</v>
      </c>
      <c r="C1339">
        <v>12</v>
      </c>
      <c r="D1339">
        <v>2005</v>
      </c>
      <c r="E1339" s="1">
        <v>38515</v>
      </c>
      <c r="F1339" t="s">
        <v>19492</v>
      </c>
      <c r="G1339">
        <v>0</v>
      </c>
      <c r="H1339">
        <v>3</v>
      </c>
      <c r="I1339">
        <v>3</v>
      </c>
      <c r="J1339">
        <v>0</v>
      </c>
      <c r="L1339" t="s">
        <v>19493</v>
      </c>
      <c r="M1339" t="s">
        <v>19494</v>
      </c>
      <c r="N1339" t="s">
        <v>19495</v>
      </c>
      <c r="O1339" t="s">
        <v>19496</v>
      </c>
      <c r="P1339" t="s">
        <v>19497</v>
      </c>
      <c r="Q1339" t="s">
        <v>19498</v>
      </c>
      <c r="R1339" t="s">
        <v>19499</v>
      </c>
      <c r="S1339" t="s">
        <v>19500</v>
      </c>
      <c r="T1339" s="2">
        <v>0.89583333333333337</v>
      </c>
      <c r="U1339">
        <v>1</v>
      </c>
      <c r="V1339" t="s">
        <v>19501</v>
      </c>
      <c r="W1339" t="s">
        <v>19502</v>
      </c>
      <c r="Y1339" t="s">
        <v>19503</v>
      </c>
      <c r="Z1339" t="s">
        <v>19504</v>
      </c>
      <c r="AA1339" t="s">
        <v>19504</v>
      </c>
      <c r="AB1339" t="s">
        <v>19504</v>
      </c>
      <c r="AC1339" t="s">
        <v>19504</v>
      </c>
    </row>
    <row r="1340" spans="1:30">
      <c r="A1340" t="s">
        <v>19505</v>
      </c>
      <c r="B1340">
        <v>6</v>
      </c>
      <c r="C1340">
        <v>8</v>
      </c>
      <c r="D1340">
        <v>2005</v>
      </c>
      <c r="E1340" s="1">
        <v>38511</v>
      </c>
      <c r="F1340" t="s">
        <v>19506</v>
      </c>
      <c r="G1340">
        <v>0</v>
      </c>
      <c r="H1340">
        <v>2</v>
      </c>
      <c r="I1340">
        <v>2</v>
      </c>
      <c r="J1340">
        <v>0</v>
      </c>
      <c r="L1340" t="s">
        <v>19507</v>
      </c>
      <c r="M1340" t="s">
        <v>19508</v>
      </c>
      <c r="N1340" t="s">
        <v>19509</v>
      </c>
      <c r="O1340" t="s">
        <v>19510</v>
      </c>
      <c r="P1340" t="s">
        <v>19511</v>
      </c>
      <c r="Q1340" t="s">
        <v>19512</v>
      </c>
      <c r="R1340" t="s">
        <v>19513</v>
      </c>
      <c r="S1340" t="s">
        <v>19514</v>
      </c>
      <c r="T1340" s="2">
        <v>0.60555555555555562</v>
      </c>
      <c r="U1340">
        <v>1</v>
      </c>
      <c r="V1340" t="s">
        <v>19515</v>
      </c>
      <c r="W1340" t="s">
        <v>19516</v>
      </c>
      <c r="Y1340" t="s">
        <v>19517</v>
      </c>
      <c r="Z1340" t="s">
        <v>19518</v>
      </c>
      <c r="AA1340" t="s">
        <v>19518</v>
      </c>
      <c r="AB1340" t="s">
        <v>19518</v>
      </c>
      <c r="AC1340" t="s">
        <v>19518</v>
      </c>
    </row>
    <row r="1341" spans="1:30">
      <c r="A1341" t="s">
        <v>19519</v>
      </c>
      <c r="B1341">
        <v>5</v>
      </c>
      <c r="C1341">
        <v>24</v>
      </c>
      <c r="D1341">
        <v>2005</v>
      </c>
      <c r="E1341" s="1">
        <v>38496</v>
      </c>
      <c r="F1341" t="s">
        <v>19520</v>
      </c>
      <c r="G1341">
        <v>0</v>
      </c>
      <c r="H1341">
        <v>2</v>
      </c>
      <c r="I1341">
        <v>2</v>
      </c>
      <c r="J1341">
        <v>0</v>
      </c>
      <c r="L1341" t="s">
        <v>19521</v>
      </c>
      <c r="M1341" t="s">
        <v>19522</v>
      </c>
      <c r="N1341" t="s">
        <v>19523</v>
      </c>
      <c r="O1341" t="s">
        <v>19524</v>
      </c>
      <c r="P1341" t="s">
        <v>19525</v>
      </c>
      <c r="Q1341" t="s">
        <v>19526</v>
      </c>
      <c r="R1341" t="s">
        <v>19527</v>
      </c>
      <c r="S1341" t="s">
        <v>19528</v>
      </c>
      <c r="T1341" s="2">
        <v>0.54166666666666663</v>
      </c>
      <c r="U1341">
        <v>1</v>
      </c>
      <c r="V1341" t="s">
        <v>19529</v>
      </c>
      <c r="W1341" t="s">
        <v>19530</v>
      </c>
      <c r="X1341" t="s">
        <v>19531</v>
      </c>
      <c r="Y1341" t="s">
        <v>19532</v>
      </c>
      <c r="Z1341" t="s">
        <v>19532</v>
      </c>
      <c r="AA1341" t="s">
        <v>19532</v>
      </c>
      <c r="AB1341" t="s">
        <v>19532</v>
      </c>
      <c r="AC1341" t="s">
        <v>19532</v>
      </c>
    </row>
    <row r="1342" spans="1:30">
      <c r="A1342" t="s">
        <v>19533</v>
      </c>
      <c r="B1342">
        <v>5</v>
      </c>
      <c r="C1342">
        <v>24</v>
      </c>
      <c r="D1342">
        <v>2005</v>
      </c>
      <c r="E1342" s="1">
        <v>38496</v>
      </c>
      <c r="F1342" t="s">
        <v>19534</v>
      </c>
      <c r="G1342">
        <v>0</v>
      </c>
      <c r="H1342">
        <v>0</v>
      </c>
      <c r="I1342">
        <v>0</v>
      </c>
      <c r="J1342">
        <v>0</v>
      </c>
      <c r="L1342" t="s">
        <v>19535</v>
      </c>
      <c r="M1342" t="s">
        <v>19536</v>
      </c>
      <c r="N1342" t="s">
        <v>19537</v>
      </c>
      <c r="O1342" t="s">
        <v>19538</v>
      </c>
      <c r="P1342" t="s">
        <v>19539</v>
      </c>
      <c r="Q1342" t="s">
        <v>19540</v>
      </c>
      <c r="R1342" t="s">
        <v>19541</v>
      </c>
      <c r="S1342" t="s">
        <v>19542</v>
      </c>
      <c r="T1342" s="2">
        <v>0.57986111111111105</v>
      </c>
      <c r="U1342">
        <v>1</v>
      </c>
      <c r="V1342" t="s">
        <v>19543</v>
      </c>
      <c r="W1342" t="s">
        <v>19544</v>
      </c>
      <c r="X1342" t="s">
        <v>19545</v>
      </c>
      <c r="Y1342" t="s">
        <v>19546</v>
      </c>
      <c r="Z1342" t="s">
        <v>19546</v>
      </c>
      <c r="AA1342" t="s">
        <v>19546</v>
      </c>
      <c r="AB1342" t="s">
        <v>19546</v>
      </c>
      <c r="AC1342" t="s">
        <v>19546</v>
      </c>
    </row>
    <row r="1343" spans="1:30">
      <c r="A1343" t="s">
        <v>19547</v>
      </c>
      <c r="B1343">
        <v>5</v>
      </c>
      <c r="C1343">
        <v>20</v>
      </c>
      <c r="D1343">
        <v>2005</v>
      </c>
      <c r="E1343" s="1">
        <v>38492</v>
      </c>
      <c r="F1343" t="s">
        <v>19548</v>
      </c>
      <c r="G1343">
        <v>0</v>
      </c>
      <c r="H1343">
        <v>2</v>
      </c>
      <c r="I1343">
        <v>2</v>
      </c>
      <c r="J1343">
        <v>0</v>
      </c>
      <c r="L1343" t="s">
        <v>19549</v>
      </c>
      <c r="M1343" t="s">
        <v>19550</v>
      </c>
      <c r="N1343" t="s">
        <v>19551</v>
      </c>
      <c r="O1343" t="s">
        <v>19552</v>
      </c>
      <c r="P1343" t="s">
        <v>19553</v>
      </c>
      <c r="Q1343" t="s">
        <v>19554</v>
      </c>
      <c r="R1343" t="s">
        <v>19555</v>
      </c>
      <c r="S1343" t="s">
        <v>19556</v>
      </c>
      <c r="T1343" s="2">
        <v>0.625</v>
      </c>
      <c r="U1343">
        <v>1</v>
      </c>
      <c r="V1343" t="s">
        <v>19557</v>
      </c>
      <c r="W1343" t="s">
        <v>19558</v>
      </c>
      <c r="X1343" t="s">
        <v>19559</v>
      </c>
      <c r="Y1343" t="s">
        <v>19560</v>
      </c>
      <c r="Z1343" t="s">
        <v>19560</v>
      </c>
      <c r="AA1343" t="s">
        <v>19560</v>
      </c>
      <c r="AB1343" t="s">
        <v>19560</v>
      </c>
      <c r="AC1343" t="s">
        <v>19560</v>
      </c>
    </row>
    <row r="1344" spans="1:30">
      <c r="A1344" t="s">
        <v>19561</v>
      </c>
      <c r="B1344">
        <v>5</v>
      </c>
      <c r="C1344">
        <v>17</v>
      </c>
      <c r="D1344">
        <v>2005</v>
      </c>
      <c r="E1344" s="1">
        <v>38489</v>
      </c>
      <c r="F1344" t="s">
        <v>19562</v>
      </c>
      <c r="G1344">
        <v>1</v>
      </c>
      <c r="H1344">
        <v>0</v>
      </c>
      <c r="I1344">
        <v>1</v>
      </c>
      <c r="J1344">
        <v>1</v>
      </c>
      <c r="L1344" t="s">
        <v>19563</v>
      </c>
      <c r="M1344" t="s">
        <v>19564</v>
      </c>
      <c r="N1344" t="s">
        <v>19565</v>
      </c>
      <c r="O1344" t="s">
        <v>19566</v>
      </c>
      <c r="P1344" t="s">
        <v>19567</v>
      </c>
      <c r="Q1344" t="s">
        <v>19568</v>
      </c>
      <c r="R1344" t="s">
        <v>19569</v>
      </c>
      <c r="S1344" t="s">
        <v>19570</v>
      </c>
      <c r="T1344" s="2">
        <v>0.625</v>
      </c>
      <c r="U1344">
        <v>1</v>
      </c>
      <c r="V1344" t="s">
        <v>19571</v>
      </c>
      <c r="W1344" t="s">
        <v>19572</v>
      </c>
      <c r="X1344" t="s">
        <v>19573</v>
      </c>
      <c r="Y1344" t="s">
        <v>19574</v>
      </c>
      <c r="Z1344" t="s">
        <v>19574</v>
      </c>
      <c r="AA1344" t="s">
        <v>19574</v>
      </c>
      <c r="AB1344" t="s">
        <v>19574</v>
      </c>
      <c r="AC1344" t="s">
        <v>19575</v>
      </c>
    </row>
    <row r="1345" spans="1:30">
      <c r="A1345" t="s">
        <v>19576</v>
      </c>
      <c r="B1345">
        <v>5</v>
      </c>
      <c r="C1345">
        <v>14</v>
      </c>
      <c r="D1345">
        <v>2005</v>
      </c>
      <c r="E1345" s="1">
        <v>38486</v>
      </c>
      <c r="F1345" t="s">
        <v>19577</v>
      </c>
      <c r="G1345">
        <v>0</v>
      </c>
      <c r="H1345">
        <v>1</v>
      </c>
      <c r="I1345">
        <v>1</v>
      </c>
      <c r="J1345">
        <v>0</v>
      </c>
      <c r="L1345" t="s">
        <v>19578</v>
      </c>
      <c r="M1345" t="s">
        <v>19579</v>
      </c>
      <c r="N1345" t="s">
        <v>19580</v>
      </c>
      <c r="O1345" t="s">
        <v>19581</v>
      </c>
      <c r="P1345" t="s">
        <v>19582</v>
      </c>
      <c r="Q1345" t="s">
        <v>19583</v>
      </c>
      <c r="R1345" t="s">
        <v>19584</v>
      </c>
      <c r="S1345" t="s">
        <v>19585</v>
      </c>
      <c r="T1345" s="2">
        <v>0.8125</v>
      </c>
      <c r="U1345">
        <v>1</v>
      </c>
      <c r="V1345" t="s">
        <v>19586</v>
      </c>
      <c r="W1345" t="s">
        <v>19587</v>
      </c>
      <c r="X1345" t="s">
        <v>19588</v>
      </c>
      <c r="Y1345" t="s">
        <v>19589</v>
      </c>
      <c r="Z1345" t="s">
        <v>19590</v>
      </c>
      <c r="AA1345" t="s">
        <v>19590</v>
      </c>
      <c r="AB1345" t="s">
        <v>19590</v>
      </c>
      <c r="AC1345" t="s">
        <v>19590</v>
      </c>
    </row>
    <row r="1346" spans="1:30">
      <c r="A1346" t="s">
        <v>19591</v>
      </c>
      <c r="B1346">
        <v>4</v>
      </c>
      <c r="C1346">
        <v>29</v>
      </c>
      <c r="D1346">
        <v>2005</v>
      </c>
      <c r="E1346" s="1">
        <v>38471</v>
      </c>
      <c r="F1346" t="s">
        <v>19592</v>
      </c>
      <c r="G1346">
        <v>0</v>
      </c>
      <c r="H1346">
        <v>1</v>
      </c>
      <c r="I1346">
        <v>1</v>
      </c>
      <c r="J1346">
        <v>0</v>
      </c>
      <c r="L1346" t="s">
        <v>19593</v>
      </c>
      <c r="M1346" t="s">
        <v>19594</v>
      </c>
      <c r="N1346" t="s">
        <v>19595</v>
      </c>
      <c r="O1346" t="s">
        <v>19596</v>
      </c>
      <c r="P1346" t="s">
        <v>19597</v>
      </c>
      <c r="Q1346" t="s">
        <v>19598</v>
      </c>
      <c r="U1346">
        <v>1</v>
      </c>
      <c r="V1346" t="s">
        <v>19599</v>
      </c>
      <c r="W1346" t="s">
        <v>19600</v>
      </c>
      <c r="Y1346" t="s">
        <v>19601</v>
      </c>
      <c r="Z1346" t="s">
        <v>19601</v>
      </c>
      <c r="AA1346" t="s">
        <v>19601</v>
      </c>
      <c r="AB1346" t="s">
        <v>19601</v>
      </c>
      <c r="AC1346" t="s">
        <v>19601</v>
      </c>
    </row>
    <row r="1347" spans="1:30">
      <c r="A1347" t="s">
        <v>19602</v>
      </c>
      <c r="B1347">
        <v>4</v>
      </c>
      <c r="C1347">
        <v>27</v>
      </c>
      <c r="D1347">
        <v>2005</v>
      </c>
      <c r="E1347" s="1">
        <v>38469</v>
      </c>
      <c r="F1347" t="s">
        <v>19603</v>
      </c>
      <c r="G1347">
        <v>0</v>
      </c>
      <c r="H1347">
        <v>0</v>
      </c>
      <c r="I1347">
        <v>0</v>
      </c>
      <c r="J1347">
        <v>0</v>
      </c>
      <c r="L1347" t="s">
        <v>19604</v>
      </c>
      <c r="M1347" t="s">
        <v>19605</v>
      </c>
      <c r="N1347" t="s">
        <v>19606</v>
      </c>
      <c r="O1347" t="s">
        <v>19607</v>
      </c>
      <c r="P1347" t="s">
        <v>19608</v>
      </c>
      <c r="Q1347" t="s">
        <v>19609</v>
      </c>
      <c r="R1347" t="s">
        <v>19610</v>
      </c>
      <c r="S1347" t="s">
        <v>19611</v>
      </c>
      <c r="T1347" s="2">
        <v>0.41666666666666669</v>
      </c>
      <c r="U1347">
        <v>1</v>
      </c>
      <c r="V1347" t="s">
        <v>19612</v>
      </c>
      <c r="W1347" t="s">
        <v>19613</v>
      </c>
      <c r="X1347" t="s">
        <v>19614</v>
      </c>
      <c r="Y1347" t="s">
        <v>19615</v>
      </c>
      <c r="Z1347" t="s">
        <v>19616</v>
      </c>
      <c r="AA1347" t="s">
        <v>19616</v>
      </c>
      <c r="AB1347" t="s">
        <v>19616</v>
      </c>
      <c r="AC1347" t="s">
        <v>19616</v>
      </c>
    </row>
    <row r="1348" spans="1:30">
      <c r="A1348" t="s">
        <v>19617</v>
      </c>
      <c r="B1348">
        <v>4</v>
      </c>
      <c r="C1348">
        <v>7</v>
      </c>
      <c r="D1348">
        <v>2005</v>
      </c>
      <c r="E1348" s="1">
        <v>38449</v>
      </c>
      <c r="F1348" t="s">
        <v>19618</v>
      </c>
      <c r="G1348">
        <v>0</v>
      </c>
      <c r="H1348">
        <v>1</v>
      </c>
      <c r="I1348">
        <v>1</v>
      </c>
      <c r="J1348">
        <v>0</v>
      </c>
      <c r="L1348" t="s">
        <v>19619</v>
      </c>
      <c r="M1348" t="s">
        <v>19620</v>
      </c>
      <c r="N1348" t="s">
        <v>19621</v>
      </c>
      <c r="O1348" t="s">
        <v>19622</v>
      </c>
      <c r="P1348" t="s">
        <v>19623</v>
      </c>
      <c r="Q1348" t="s">
        <v>19624</v>
      </c>
      <c r="R1348" t="s">
        <v>19625</v>
      </c>
      <c r="S1348" t="s">
        <v>19626</v>
      </c>
      <c r="T1348" s="2">
        <v>0.38541666666666669</v>
      </c>
      <c r="U1348">
        <v>1</v>
      </c>
      <c r="V1348" t="s">
        <v>19627</v>
      </c>
      <c r="W1348" t="s">
        <v>19628</v>
      </c>
      <c r="X1348" t="s">
        <v>19629</v>
      </c>
      <c r="Y1348" t="s">
        <v>19630</v>
      </c>
      <c r="Z1348" t="s">
        <v>19630</v>
      </c>
      <c r="AA1348" t="s">
        <v>19630</v>
      </c>
      <c r="AB1348" t="s">
        <v>19630</v>
      </c>
      <c r="AC1348" t="s">
        <v>19630</v>
      </c>
    </row>
    <row r="1349" spans="1:30">
      <c r="A1349" t="s">
        <v>19631</v>
      </c>
      <c r="B1349">
        <v>3</v>
      </c>
      <c r="C1349">
        <v>30</v>
      </c>
      <c r="D1349">
        <v>2005</v>
      </c>
      <c r="E1349" s="1">
        <v>38441</v>
      </c>
      <c r="F1349" t="s">
        <v>19632</v>
      </c>
      <c r="G1349">
        <v>0</v>
      </c>
      <c r="H1349">
        <v>0</v>
      </c>
      <c r="I1349">
        <v>0</v>
      </c>
      <c r="J1349">
        <v>0</v>
      </c>
      <c r="L1349" t="s">
        <v>19633</v>
      </c>
      <c r="M1349" t="s">
        <v>19634</v>
      </c>
      <c r="N1349" t="s">
        <v>19635</v>
      </c>
      <c r="O1349" t="s">
        <v>19636</v>
      </c>
      <c r="P1349" t="s">
        <v>19637</v>
      </c>
      <c r="Q1349" t="s">
        <v>19638</v>
      </c>
      <c r="R1349" t="s">
        <v>19639</v>
      </c>
      <c r="S1349" t="s">
        <v>19640</v>
      </c>
      <c r="T1349" s="2">
        <v>0.45833333333333331</v>
      </c>
      <c r="U1349">
        <v>1</v>
      </c>
      <c r="V1349" t="s">
        <v>19641</v>
      </c>
      <c r="W1349" t="s">
        <v>19642</v>
      </c>
      <c r="X1349" t="s">
        <v>19643</v>
      </c>
      <c r="Y1349" t="s">
        <v>19644</v>
      </c>
      <c r="Z1349" t="s">
        <v>19644</v>
      </c>
      <c r="AA1349" t="s">
        <v>19644</v>
      </c>
      <c r="AB1349" t="s">
        <v>19644</v>
      </c>
      <c r="AC1349" t="s">
        <v>19644</v>
      </c>
    </row>
    <row r="1350" spans="1:30">
      <c r="A1350" t="s">
        <v>19645</v>
      </c>
      <c r="B1350">
        <v>3</v>
      </c>
      <c r="C1350">
        <v>24</v>
      </c>
      <c r="D1350">
        <v>2005</v>
      </c>
      <c r="E1350" s="1">
        <v>38435</v>
      </c>
      <c r="F1350" t="s">
        <v>19646</v>
      </c>
      <c r="G1350">
        <v>0</v>
      </c>
      <c r="H1350">
        <v>0</v>
      </c>
      <c r="I1350">
        <v>0</v>
      </c>
      <c r="J1350">
        <v>0</v>
      </c>
      <c r="L1350" t="s">
        <v>19647</v>
      </c>
      <c r="M1350" t="s">
        <v>19648</v>
      </c>
      <c r="N1350" t="s">
        <v>19649</v>
      </c>
      <c r="O1350" t="s">
        <v>19650</v>
      </c>
      <c r="P1350" t="s">
        <v>19651</v>
      </c>
      <c r="Q1350" t="s">
        <v>19651</v>
      </c>
      <c r="R1350" t="s">
        <v>19652</v>
      </c>
      <c r="U1350">
        <v>1</v>
      </c>
      <c r="V1350" t="s">
        <v>19653</v>
      </c>
      <c r="W1350" t="s">
        <v>19654</v>
      </c>
      <c r="X1350" t="s">
        <v>19655</v>
      </c>
      <c r="Y1350" t="s">
        <v>19656</v>
      </c>
      <c r="Z1350" t="s">
        <v>19656</v>
      </c>
      <c r="AA1350" t="s">
        <v>19656</v>
      </c>
      <c r="AB1350" t="s">
        <v>19656</v>
      </c>
      <c r="AC1350" t="s">
        <v>19656</v>
      </c>
    </row>
    <row r="1351" spans="1:30">
      <c r="A1351" t="s">
        <v>19657</v>
      </c>
      <c r="B1351">
        <v>3</v>
      </c>
      <c r="C1351">
        <v>21</v>
      </c>
      <c r="D1351">
        <v>2005</v>
      </c>
      <c r="E1351" s="1">
        <v>38432</v>
      </c>
      <c r="F1351" t="s">
        <v>19658</v>
      </c>
      <c r="G1351">
        <v>8</v>
      </c>
      <c r="H1351">
        <v>5</v>
      </c>
      <c r="I1351">
        <v>13</v>
      </c>
      <c r="J1351">
        <v>1</v>
      </c>
      <c r="L1351" t="s">
        <v>19659</v>
      </c>
      <c r="M1351" t="s">
        <v>19660</v>
      </c>
      <c r="N1351" t="s">
        <v>19661</v>
      </c>
      <c r="O1351" t="s">
        <v>19662</v>
      </c>
      <c r="P1351" t="s">
        <v>19663</v>
      </c>
      <c r="Q1351" t="s">
        <v>19664</v>
      </c>
      <c r="R1351" t="s">
        <v>19665</v>
      </c>
      <c r="S1351" t="s">
        <v>19666</v>
      </c>
      <c r="T1351" s="2">
        <v>0.61736111111111114</v>
      </c>
      <c r="V1351" t="s">
        <v>19667</v>
      </c>
      <c r="W1351" t="s">
        <v>19668</v>
      </c>
      <c r="X1351" t="s">
        <v>19669</v>
      </c>
      <c r="Y1351" t="s">
        <v>19670</v>
      </c>
      <c r="Z1351" t="s">
        <v>19670</v>
      </c>
      <c r="AA1351" t="s">
        <v>19670</v>
      </c>
      <c r="AB1351" t="s">
        <v>19671</v>
      </c>
      <c r="AC1351" t="s">
        <v>19672</v>
      </c>
      <c r="AD1351" t="s">
        <v>19673</v>
      </c>
    </row>
    <row r="1352" spans="1:30">
      <c r="A1352" t="s">
        <v>19674</v>
      </c>
      <c r="B1352">
        <v>3</v>
      </c>
      <c r="C1352">
        <v>21</v>
      </c>
      <c r="D1352">
        <v>2005</v>
      </c>
      <c r="E1352" s="1">
        <v>38432</v>
      </c>
      <c r="F1352" t="s">
        <v>19675</v>
      </c>
      <c r="G1352">
        <v>0</v>
      </c>
      <c r="H1352">
        <v>0</v>
      </c>
      <c r="I1352">
        <v>0</v>
      </c>
      <c r="J1352">
        <v>0</v>
      </c>
      <c r="K1352" t="s">
        <v>19676</v>
      </c>
      <c r="L1352" t="s">
        <v>19677</v>
      </c>
      <c r="M1352" t="s">
        <v>19678</v>
      </c>
      <c r="N1352" t="s">
        <v>19679</v>
      </c>
      <c r="O1352" t="s">
        <v>19680</v>
      </c>
      <c r="P1352" t="s">
        <v>19681</v>
      </c>
      <c r="Q1352" t="s">
        <v>19682</v>
      </c>
      <c r="R1352" t="s">
        <v>19683</v>
      </c>
      <c r="S1352" t="s">
        <v>19684</v>
      </c>
      <c r="T1352" s="2">
        <v>0.5</v>
      </c>
      <c r="U1352">
        <v>1</v>
      </c>
      <c r="V1352" t="s">
        <v>19685</v>
      </c>
      <c r="W1352" t="s">
        <v>19686</v>
      </c>
      <c r="X1352" t="s">
        <v>19687</v>
      </c>
      <c r="Y1352" t="s">
        <v>19688</v>
      </c>
      <c r="Z1352" t="s">
        <v>19688</v>
      </c>
      <c r="AA1352" t="s">
        <v>19688</v>
      </c>
      <c r="AB1352" t="s">
        <v>19688</v>
      </c>
      <c r="AC1352" t="s">
        <v>19688</v>
      </c>
    </row>
    <row r="1353" spans="1:30">
      <c r="A1353" t="s">
        <v>19689</v>
      </c>
      <c r="B1353">
        <v>3</v>
      </c>
      <c r="C1353">
        <v>17</v>
      </c>
      <c r="D1353">
        <v>2005</v>
      </c>
      <c r="E1353" s="1">
        <v>38428</v>
      </c>
      <c r="F1353" t="s">
        <v>19690</v>
      </c>
      <c r="G1353">
        <v>0</v>
      </c>
      <c r="H1353">
        <v>1</v>
      </c>
      <c r="I1353">
        <v>1</v>
      </c>
      <c r="J1353">
        <v>0</v>
      </c>
      <c r="L1353" t="s">
        <v>19691</v>
      </c>
      <c r="M1353" t="s">
        <v>19692</v>
      </c>
      <c r="N1353" t="s">
        <v>19693</v>
      </c>
      <c r="O1353" t="s">
        <v>19694</v>
      </c>
      <c r="P1353" t="s">
        <v>19695</v>
      </c>
      <c r="Q1353" t="s">
        <v>19696</v>
      </c>
      <c r="R1353" t="s">
        <v>19697</v>
      </c>
      <c r="S1353" t="s">
        <v>19698</v>
      </c>
      <c r="U1353">
        <v>1</v>
      </c>
      <c r="V1353" t="s">
        <v>19699</v>
      </c>
      <c r="W1353" t="s">
        <v>19700</v>
      </c>
      <c r="X1353" t="s">
        <v>19701</v>
      </c>
      <c r="Y1353" t="s">
        <v>19702</v>
      </c>
      <c r="Z1353" t="s">
        <v>19703</v>
      </c>
      <c r="AA1353" t="s">
        <v>19703</v>
      </c>
      <c r="AB1353" t="s">
        <v>19703</v>
      </c>
      <c r="AC1353" t="s">
        <v>19703</v>
      </c>
    </row>
    <row r="1354" spans="1:30">
      <c r="A1354" t="s">
        <v>19704</v>
      </c>
      <c r="B1354">
        <v>3</v>
      </c>
      <c r="C1354">
        <v>17</v>
      </c>
      <c r="D1354">
        <v>2005</v>
      </c>
      <c r="E1354" s="1">
        <v>38428</v>
      </c>
      <c r="F1354" t="s">
        <v>19705</v>
      </c>
      <c r="G1354">
        <v>1</v>
      </c>
      <c r="H1354">
        <v>0</v>
      </c>
      <c r="I1354">
        <v>1</v>
      </c>
      <c r="J1354">
        <v>0</v>
      </c>
      <c r="L1354" t="s">
        <v>19706</v>
      </c>
      <c r="M1354" t="s">
        <v>19707</v>
      </c>
      <c r="N1354" t="s">
        <v>19708</v>
      </c>
      <c r="O1354" t="s">
        <v>19709</v>
      </c>
      <c r="P1354" t="s">
        <v>19710</v>
      </c>
      <c r="Q1354" t="s">
        <v>19711</v>
      </c>
      <c r="R1354" t="s">
        <v>19712</v>
      </c>
      <c r="S1354" t="s">
        <v>19713</v>
      </c>
      <c r="T1354" s="2">
        <v>0.625</v>
      </c>
      <c r="U1354">
        <v>1</v>
      </c>
      <c r="V1354" t="s">
        <v>19714</v>
      </c>
      <c r="W1354" t="s">
        <v>19715</v>
      </c>
      <c r="Y1354" t="s">
        <v>19716</v>
      </c>
      <c r="Z1354" t="s">
        <v>19716</v>
      </c>
      <c r="AA1354" t="s">
        <v>19716</v>
      </c>
      <c r="AB1354" t="s">
        <v>19716</v>
      </c>
      <c r="AC1354" t="s">
        <v>19716</v>
      </c>
    </row>
    <row r="1355" spans="1:30">
      <c r="A1355" t="s">
        <v>19717</v>
      </c>
      <c r="B1355">
        <v>3</v>
      </c>
      <c r="C1355">
        <v>16</v>
      </c>
      <c r="D1355">
        <v>2005</v>
      </c>
      <c r="E1355" s="1">
        <v>38427</v>
      </c>
      <c r="F1355" t="s">
        <v>19718</v>
      </c>
      <c r="G1355">
        <v>1</v>
      </c>
      <c r="H1355">
        <v>2</v>
      </c>
      <c r="I1355">
        <v>3</v>
      </c>
      <c r="J1355">
        <v>0</v>
      </c>
      <c r="L1355" t="s">
        <v>19719</v>
      </c>
      <c r="M1355" t="s">
        <v>19720</v>
      </c>
      <c r="N1355" t="s">
        <v>19721</v>
      </c>
      <c r="O1355" t="s">
        <v>19722</v>
      </c>
      <c r="P1355" t="s">
        <v>19723</v>
      </c>
      <c r="Q1355" t="s">
        <v>19724</v>
      </c>
      <c r="R1355" t="s">
        <v>19725</v>
      </c>
      <c r="S1355" t="s">
        <v>19726</v>
      </c>
      <c r="T1355" s="2">
        <v>0.58194444444444438</v>
      </c>
      <c r="U1355">
        <v>1</v>
      </c>
      <c r="V1355" t="s">
        <v>19727</v>
      </c>
      <c r="W1355" t="s">
        <v>19728</v>
      </c>
      <c r="X1355" t="s">
        <v>19729</v>
      </c>
      <c r="Y1355" t="s">
        <v>19730</v>
      </c>
      <c r="Z1355" t="s">
        <v>19731</v>
      </c>
      <c r="AA1355" t="s">
        <v>19731</v>
      </c>
      <c r="AB1355" t="s">
        <v>19731</v>
      </c>
      <c r="AC1355" t="s">
        <v>19731</v>
      </c>
    </row>
    <row r="1356" spans="1:30">
      <c r="A1356" t="s">
        <v>19732</v>
      </c>
      <c r="B1356">
        <v>3</v>
      </c>
      <c r="C1356">
        <v>14</v>
      </c>
      <c r="D1356">
        <v>2005</v>
      </c>
      <c r="E1356" s="1">
        <v>38425</v>
      </c>
      <c r="F1356" t="s">
        <v>19733</v>
      </c>
      <c r="G1356">
        <v>0</v>
      </c>
      <c r="H1356">
        <v>1</v>
      </c>
      <c r="I1356">
        <v>1</v>
      </c>
      <c r="J1356">
        <v>0</v>
      </c>
      <c r="L1356" t="s">
        <v>19734</v>
      </c>
      <c r="M1356" t="s">
        <v>19735</v>
      </c>
      <c r="N1356" t="s">
        <v>19736</v>
      </c>
      <c r="O1356" t="s">
        <v>19737</v>
      </c>
      <c r="P1356" t="s">
        <v>19738</v>
      </c>
      <c r="Q1356" t="s">
        <v>19739</v>
      </c>
      <c r="R1356" t="s">
        <v>19740</v>
      </c>
      <c r="S1356" t="s">
        <v>19741</v>
      </c>
      <c r="T1356" s="2">
        <v>0.375</v>
      </c>
      <c r="U1356">
        <v>1</v>
      </c>
      <c r="V1356" t="s">
        <v>19742</v>
      </c>
      <c r="W1356" t="s">
        <v>19743</v>
      </c>
      <c r="X1356" t="s">
        <v>19744</v>
      </c>
      <c r="Y1356" t="s">
        <v>19745</v>
      </c>
      <c r="Z1356" t="s">
        <v>19745</v>
      </c>
      <c r="AA1356" t="s">
        <v>19745</v>
      </c>
      <c r="AB1356" t="s">
        <v>19745</v>
      </c>
      <c r="AC1356" t="s">
        <v>19745</v>
      </c>
    </row>
    <row r="1357" spans="1:30">
      <c r="A1357" t="s">
        <v>19746</v>
      </c>
      <c r="B1357">
        <v>3</v>
      </c>
      <c r="C1357">
        <v>10</v>
      </c>
      <c r="D1357">
        <v>2005</v>
      </c>
      <c r="E1357" s="1">
        <v>38421</v>
      </c>
      <c r="F1357" t="s">
        <v>19747</v>
      </c>
      <c r="G1357">
        <v>0</v>
      </c>
      <c r="H1357">
        <v>1</v>
      </c>
      <c r="I1357">
        <v>1</v>
      </c>
      <c r="J1357">
        <v>0</v>
      </c>
      <c r="L1357" t="s">
        <v>19748</v>
      </c>
      <c r="M1357" t="s">
        <v>19749</v>
      </c>
      <c r="N1357" t="s">
        <v>19750</v>
      </c>
      <c r="O1357" t="s">
        <v>19751</v>
      </c>
      <c r="P1357" t="s">
        <v>19752</v>
      </c>
      <c r="Q1357" t="s">
        <v>19753</v>
      </c>
      <c r="R1357" t="s">
        <v>19754</v>
      </c>
      <c r="S1357" t="s">
        <v>19755</v>
      </c>
      <c r="T1357" s="2">
        <v>0.77083333333333337</v>
      </c>
      <c r="U1357">
        <v>1</v>
      </c>
      <c r="V1357" t="s">
        <v>19756</v>
      </c>
      <c r="W1357" t="s">
        <v>19757</v>
      </c>
      <c r="Y1357" t="s">
        <v>19758</v>
      </c>
      <c r="Z1357" t="s">
        <v>19758</v>
      </c>
      <c r="AA1357" t="s">
        <v>19758</v>
      </c>
      <c r="AB1357" t="s">
        <v>19758</v>
      </c>
      <c r="AC1357" t="s">
        <v>19758</v>
      </c>
    </row>
    <row r="1358" spans="1:30">
      <c r="A1358" t="s">
        <v>19759</v>
      </c>
      <c r="B1358">
        <v>3</v>
      </c>
      <c r="C1358">
        <v>9</v>
      </c>
      <c r="D1358">
        <v>2005</v>
      </c>
      <c r="E1358" s="1">
        <v>38420</v>
      </c>
      <c r="F1358" t="s">
        <v>19760</v>
      </c>
      <c r="G1358">
        <v>0</v>
      </c>
      <c r="H1358">
        <v>1</v>
      </c>
      <c r="I1358">
        <v>1</v>
      </c>
      <c r="J1358">
        <v>0</v>
      </c>
      <c r="L1358" t="s">
        <v>19761</v>
      </c>
      <c r="M1358" t="s">
        <v>19762</v>
      </c>
      <c r="N1358" t="s">
        <v>19763</v>
      </c>
      <c r="O1358" t="s">
        <v>19764</v>
      </c>
      <c r="P1358" t="s">
        <v>19765</v>
      </c>
      <c r="Q1358" t="s">
        <v>19766</v>
      </c>
      <c r="R1358" t="s">
        <v>19767</v>
      </c>
      <c r="S1358" t="s">
        <v>19768</v>
      </c>
      <c r="T1358" s="2">
        <v>0.58333333333333337</v>
      </c>
      <c r="U1358">
        <v>1</v>
      </c>
      <c r="V1358" t="s">
        <v>19769</v>
      </c>
      <c r="W1358" t="s">
        <v>19770</v>
      </c>
      <c r="X1358" t="s">
        <v>19771</v>
      </c>
      <c r="Y1358" t="s">
        <v>19772</v>
      </c>
      <c r="Z1358" t="s">
        <v>19772</v>
      </c>
      <c r="AA1358" t="s">
        <v>19772</v>
      </c>
      <c r="AB1358" t="s">
        <v>19772</v>
      </c>
      <c r="AC1358" t="s">
        <v>19772</v>
      </c>
    </row>
    <row r="1359" spans="1:30">
      <c r="A1359" t="s">
        <v>19773</v>
      </c>
      <c r="B1359">
        <v>3</v>
      </c>
      <c r="C1359">
        <v>2</v>
      </c>
      <c r="D1359">
        <v>2005</v>
      </c>
      <c r="E1359" s="1">
        <v>38413</v>
      </c>
      <c r="F1359" t="s">
        <v>19774</v>
      </c>
      <c r="G1359">
        <v>1</v>
      </c>
      <c r="H1359">
        <v>0</v>
      </c>
      <c r="I1359">
        <v>1</v>
      </c>
      <c r="J1359">
        <v>0</v>
      </c>
      <c r="L1359" t="s">
        <v>19775</v>
      </c>
      <c r="M1359" t="s">
        <v>19776</v>
      </c>
      <c r="N1359" t="s">
        <v>19777</v>
      </c>
      <c r="O1359" t="s">
        <v>19778</v>
      </c>
      <c r="P1359" t="s">
        <v>19779</v>
      </c>
      <c r="Q1359" t="s">
        <v>19779</v>
      </c>
      <c r="R1359" t="s">
        <v>19780</v>
      </c>
      <c r="S1359" t="s">
        <v>19781</v>
      </c>
      <c r="T1359" s="2">
        <v>0.26041666666666669</v>
      </c>
      <c r="U1359">
        <v>1</v>
      </c>
      <c r="V1359" t="s">
        <v>19782</v>
      </c>
      <c r="W1359" t="s">
        <v>19783</v>
      </c>
      <c r="X1359" t="s">
        <v>19784</v>
      </c>
      <c r="Y1359" t="s">
        <v>19785</v>
      </c>
      <c r="Z1359" t="s">
        <v>19785</v>
      </c>
      <c r="AA1359" t="s">
        <v>19785</v>
      </c>
      <c r="AB1359" t="s">
        <v>19785</v>
      </c>
      <c r="AC1359" t="s">
        <v>19785</v>
      </c>
    </row>
    <row r="1360" spans="1:30">
      <c r="A1360" t="s">
        <v>19786</v>
      </c>
      <c r="B1360">
        <v>2</v>
      </c>
      <c r="C1360">
        <v>8</v>
      </c>
      <c r="D1360">
        <v>2005</v>
      </c>
      <c r="E1360" s="1">
        <v>38391</v>
      </c>
      <c r="F1360" t="s">
        <v>19787</v>
      </c>
      <c r="G1360">
        <v>0</v>
      </c>
      <c r="H1360">
        <v>1</v>
      </c>
      <c r="I1360">
        <v>1</v>
      </c>
      <c r="J1360">
        <v>0</v>
      </c>
      <c r="L1360" t="s">
        <v>19788</v>
      </c>
      <c r="M1360" t="s">
        <v>19789</v>
      </c>
      <c r="N1360" t="s">
        <v>19790</v>
      </c>
      <c r="O1360" t="s">
        <v>19791</v>
      </c>
      <c r="P1360" t="s">
        <v>19792</v>
      </c>
      <c r="Q1360" t="s">
        <v>19793</v>
      </c>
      <c r="R1360" t="s">
        <v>19794</v>
      </c>
      <c r="S1360" t="s">
        <v>19795</v>
      </c>
      <c r="T1360" s="2">
        <v>0.60555555555555562</v>
      </c>
      <c r="U1360">
        <v>1</v>
      </c>
      <c r="V1360" t="s">
        <v>19796</v>
      </c>
      <c r="W1360" t="s">
        <v>19797</v>
      </c>
      <c r="Y1360" t="s">
        <v>19798</v>
      </c>
      <c r="Z1360" t="s">
        <v>19798</v>
      </c>
      <c r="AA1360" t="s">
        <v>19798</v>
      </c>
      <c r="AC1360" t="s">
        <v>19798</v>
      </c>
    </row>
    <row r="1361" spans="1:29">
      <c r="A1361" t="s">
        <v>19799</v>
      </c>
      <c r="B1361">
        <v>2</v>
      </c>
      <c r="C1361">
        <v>4</v>
      </c>
      <c r="D1361">
        <v>2005</v>
      </c>
      <c r="E1361" s="1">
        <v>38387</v>
      </c>
      <c r="F1361" t="s">
        <v>19800</v>
      </c>
      <c r="G1361">
        <v>0</v>
      </c>
      <c r="H1361">
        <v>1</v>
      </c>
      <c r="I1361">
        <v>1</v>
      </c>
      <c r="J1361">
        <v>0</v>
      </c>
      <c r="L1361" t="s">
        <v>19801</v>
      </c>
      <c r="M1361" t="s">
        <v>19802</v>
      </c>
      <c r="N1361" t="s">
        <v>19803</v>
      </c>
      <c r="O1361" t="s">
        <v>19804</v>
      </c>
      <c r="P1361" t="s">
        <v>19805</v>
      </c>
      <c r="Q1361" t="s">
        <v>19805</v>
      </c>
      <c r="U1361">
        <v>1</v>
      </c>
      <c r="V1361" t="s">
        <v>19806</v>
      </c>
      <c r="W1361" t="s">
        <v>19807</v>
      </c>
      <c r="X1361" t="s">
        <v>19808</v>
      </c>
      <c r="Y1361" t="s">
        <v>19809</v>
      </c>
      <c r="Z1361" t="s">
        <v>19809</v>
      </c>
      <c r="AA1361" t="s">
        <v>19809</v>
      </c>
      <c r="AB1361" t="s">
        <v>19809</v>
      </c>
      <c r="AC1361" t="s">
        <v>19809</v>
      </c>
    </row>
    <row r="1362" spans="1:29">
      <c r="A1362" t="s">
        <v>19810</v>
      </c>
      <c r="B1362">
        <v>1</v>
      </c>
      <c r="C1362">
        <v>26</v>
      </c>
      <c r="D1362">
        <v>2005</v>
      </c>
      <c r="E1362" s="1">
        <v>38378</v>
      </c>
      <c r="F1362" t="s">
        <v>19811</v>
      </c>
      <c r="G1362">
        <v>0</v>
      </c>
      <c r="H1362">
        <v>0</v>
      </c>
      <c r="I1362">
        <v>0</v>
      </c>
      <c r="J1362">
        <v>0</v>
      </c>
      <c r="L1362" t="s">
        <v>19812</v>
      </c>
      <c r="M1362" t="s">
        <v>19813</v>
      </c>
      <c r="N1362" t="s">
        <v>19814</v>
      </c>
      <c r="O1362" t="s">
        <v>19815</v>
      </c>
      <c r="P1362" t="s">
        <v>19816</v>
      </c>
      <c r="Q1362" t="s">
        <v>19817</v>
      </c>
      <c r="R1362" t="s">
        <v>19818</v>
      </c>
      <c r="S1362" t="s">
        <v>19819</v>
      </c>
      <c r="U1362">
        <v>1</v>
      </c>
      <c r="V1362" t="s">
        <v>19820</v>
      </c>
      <c r="W1362" t="s">
        <v>19821</v>
      </c>
      <c r="X1362" t="s">
        <v>19822</v>
      </c>
      <c r="Y1362" t="s">
        <v>19823</v>
      </c>
      <c r="Z1362" t="s">
        <v>19823</v>
      </c>
      <c r="AA1362" t="s">
        <v>19823</v>
      </c>
      <c r="AB1362" t="s">
        <v>19823</v>
      </c>
      <c r="AC1362" t="s">
        <v>19823</v>
      </c>
    </row>
    <row r="1363" spans="1:29">
      <c r="A1363" t="s">
        <v>19824</v>
      </c>
      <c r="B1363">
        <v>1</v>
      </c>
      <c r="C1363">
        <v>5</v>
      </c>
      <c r="D1363">
        <v>2005</v>
      </c>
      <c r="E1363" s="1">
        <v>38357</v>
      </c>
      <c r="F1363" t="s">
        <v>19825</v>
      </c>
      <c r="G1363">
        <v>1</v>
      </c>
      <c r="H1363">
        <v>0</v>
      </c>
      <c r="I1363">
        <v>1</v>
      </c>
      <c r="J1363">
        <v>0</v>
      </c>
      <c r="L1363" t="s">
        <v>19826</v>
      </c>
      <c r="M1363" t="s">
        <v>19827</v>
      </c>
      <c r="N1363" t="s">
        <v>19828</v>
      </c>
      <c r="O1363" t="s">
        <v>19829</v>
      </c>
      <c r="P1363" t="s">
        <v>19830</v>
      </c>
      <c r="Q1363" t="s">
        <v>19831</v>
      </c>
      <c r="R1363" t="s">
        <v>19832</v>
      </c>
      <c r="S1363" t="s">
        <v>19833</v>
      </c>
      <c r="T1363" s="2">
        <v>0.6166666666666667</v>
      </c>
      <c r="U1363">
        <v>1</v>
      </c>
      <c r="V1363" t="s">
        <v>19834</v>
      </c>
      <c r="W1363" t="s">
        <v>19835</v>
      </c>
      <c r="X1363" t="s">
        <v>19836</v>
      </c>
      <c r="Y1363" t="s">
        <v>19837</v>
      </c>
      <c r="Z1363" t="s">
        <v>19838</v>
      </c>
      <c r="AA1363" t="s">
        <v>19838</v>
      </c>
      <c r="AB1363" t="s">
        <v>19838</v>
      </c>
      <c r="AC1363" t="s">
        <v>19838</v>
      </c>
    </row>
    <row r="1364" spans="1:29">
      <c r="A1364" t="s">
        <v>19839</v>
      </c>
      <c r="B1364">
        <v>12</v>
      </c>
      <c r="C1364">
        <v>31</v>
      </c>
      <c r="D1364">
        <v>2004</v>
      </c>
      <c r="E1364" s="1">
        <v>38352</v>
      </c>
      <c r="F1364" t="s">
        <v>19840</v>
      </c>
      <c r="G1364">
        <v>0</v>
      </c>
      <c r="H1364">
        <v>1</v>
      </c>
      <c r="I1364">
        <v>1</v>
      </c>
      <c r="J1364">
        <v>1</v>
      </c>
      <c r="L1364" t="s">
        <v>19841</v>
      </c>
      <c r="M1364" t="s">
        <v>19842</v>
      </c>
      <c r="N1364" t="s">
        <v>19843</v>
      </c>
      <c r="O1364" t="s">
        <v>19844</v>
      </c>
      <c r="P1364" t="s">
        <v>19845</v>
      </c>
      <c r="Q1364" t="s">
        <v>19846</v>
      </c>
      <c r="R1364" t="s">
        <v>19847</v>
      </c>
      <c r="S1364" t="s">
        <v>19848</v>
      </c>
      <c r="T1364" s="2">
        <v>0.75</v>
      </c>
      <c r="U1364">
        <v>1</v>
      </c>
      <c r="V1364" t="s">
        <v>19849</v>
      </c>
      <c r="W1364" t="s">
        <v>19850</v>
      </c>
      <c r="X1364" t="s">
        <v>19851</v>
      </c>
      <c r="Y1364" t="s">
        <v>19852</v>
      </c>
      <c r="Z1364" t="s">
        <v>19852</v>
      </c>
      <c r="AA1364" t="s">
        <v>19852</v>
      </c>
      <c r="AB1364" t="s">
        <v>19852</v>
      </c>
    </row>
    <row r="1365" spans="1:29">
      <c r="A1365" t="s">
        <v>19853</v>
      </c>
      <c r="B1365">
        <v>12</v>
      </c>
      <c r="C1365">
        <v>13</v>
      </c>
      <c r="D1365">
        <v>2004</v>
      </c>
      <c r="E1365" s="1">
        <v>38334</v>
      </c>
      <c r="F1365" t="s">
        <v>19854</v>
      </c>
      <c r="G1365">
        <v>0</v>
      </c>
      <c r="H1365">
        <v>1</v>
      </c>
      <c r="I1365">
        <v>1</v>
      </c>
      <c r="J1365">
        <v>0</v>
      </c>
      <c r="L1365" t="s">
        <v>19855</v>
      </c>
      <c r="M1365" t="s">
        <v>19856</v>
      </c>
      <c r="N1365" t="s">
        <v>19857</v>
      </c>
      <c r="O1365" t="s">
        <v>19858</v>
      </c>
      <c r="P1365" t="s">
        <v>19859</v>
      </c>
      <c r="Q1365" t="s">
        <v>19860</v>
      </c>
      <c r="R1365" t="s">
        <v>19861</v>
      </c>
      <c r="S1365" t="s">
        <v>19862</v>
      </c>
      <c r="T1365" s="2">
        <v>0.52083333333333337</v>
      </c>
      <c r="U1365">
        <v>1</v>
      </c>
      <c r="V1365" t="s">
        <v>19863</v>
      </c>
      <c r="W1365" t="s">
        <v>19864</v>
      </c>
      <c r="X1365" t="s">
        <v>19865</v>
      </c>
      <c r="Y1365" t="s">
        <v>19866</v>
      </c>
      <c r="Z1365" t="s">
        <v>19866</v>
      </c>
      <c r="AA1365" t="s">
        <v>19866</v>
      </c>
      <c r="AB1365" t="s">
        <v>19866</v>
      </c>
      <c r="AC1365" t="s">
        <v>19866</v>
      </c>
    </row>
    <row r="1366" spans="1:29">
      <c r="A1366" t="s">
        <v>19867</v>
      </c>
      <c r="B1366">
        <v>12</v>
      </c>
      <c r="C1366">
        <v>9</v>
      </c>
      <c r="D1366">
        <v>2004</v>
      </c>
      <c r="E1366" s="1">
        <v>38330</v>
      </c>
      <c r="F1366" t="s">
        <v>19868</v>
      </c>
      <c r="G1366">
        <v>0</v>
      </c>
      <c r="H1366">
        <v>0</v>
      </c>
      <c r="I1366">
        <v>0</v>
      </c>
      <c r="J1366">
        <v>1</v>
      </c>
      <c r="L1366" t="s">
        <v>19869</v>
      </c>
      <c r="M1366" t="s">
        <v>19870</v>
      </c>
      <c r="N1366" t="s">
        <v>19871</v>
      </c>
      <c r="O1366" t="s">
        <v>19872</v>
      </c>
      <c r="P1366" t="s">
        <v>19873</v>
      </c>
      <c r="Q1366" t="s">
        <v>19874</v>
      </c>
      <c r="R1366" t="s">
        <v>19875</v>
      </c>
      <c r="S1366" t="s">
        <v>19876</v>
      </c>
      <c r="T1366" s="2">
        <v>0.55555555555555547</v>
      </c>
      <c r="U1366">
        <v>1</v>
      </c>
      <c r="V1366" t="s">
        <v>19877</v>
      </c>
      <c r="W1366" t="s">
        <v>19878</v>
      </c>
      <c r="X1366" t="s">
        <v>19879</v>
      </c>
      <c r="Y1366" t="s">
        <v>19880</v>
      </c>
      <c r="Z1366" t="s">
        <v>19880</v>
      </c>
      <c r="AA1366" t="s">
        <v>19880</v>
      </c>
      <c r="AB1366" t="s">
        <v>19881</v>
      </c>
      <c r="AC1366" t="s">
        <v>19882</v>
      </c>
    </row>
    <row r="1367" spans="1:29">
      <c r="A1367" t="s">
        <v>19883</v>
      </c>
      <c r="B1367">
        <v>11</v>
      </c>
      <c r="C1367">
        <v>19</v>
      </c>
      <c r="D1367">
        <v>2004</v>
      </c>
      <c r="E1367" s="1">
        <v>38310</v>
      </c>
      <c r="F1367" t="s">
        <v>19884</v>
      </c>
      <c r="G1367">
        <v>0</v>
      </c>
      <c r="H1367">
        <v>1</v>
      </c>
      <c r="I1367">
        <v>1</v>
      </c>
      <c r="J1367">
        <v>0</v>
      </c>
      <c r="L1367" t="s">
        <v>19885</v>
      </c>
      <c r="M1367" t="s">
        <v>19886</v>
      </c>
      <c r="N1367" t="s">
        <v>19887</v>
      </c>
      <c r="O1367" t="s">
        <v>19888</v>
      </c>
      <c r="P1367" t="s">
        <v>19889</v>
      </c>
      <c r="Q1367" t="s">
        <v>19890</v>
      </c>
      <c r="R1367" t="s">
        <v>19891</v>
      </c>
      <c r="S1367" t="s">
        <v>19892</v>
      </c>
      <c r="T1367" s="2">
        <v>0.28125</v>
      </c>
      <c r="U1367">
        <v>1</v>
      </c>
      <c r="V1367" t="s">
        <v>19893</v>
      </c>
      <c r="W1367" t="s">
        <v>19894</v>
      </c>
      <c r="X1367" t="s">
        <v>19895</v>
      </c>
      <c r="Y1367" t="s">
        <v>19896</v>
      </c>
      <c r="Z1367" t="s">
        <v>19897</v>
      </c>
      <c r="AA1367" t="s">
        <v>19897</v>
      </c>
      <c r="AB1367" t="s">
        <v>19897</v>
      </c>
      <c r="AC1367" t="s">
        <v>19897</v>
      </c>
    </row>
    <row r="1368" spans="1:29">
      <c r="A1368" t="s">
        <v>19898</v>
      </c>
      <c r="B1368">
        <v>11</v>
      </c>
      <c r="C1368">
        <v>17</v>
      </c>
      <c r="D1368">
        <v>2004</v>
      </c>
      <c r="E1368" s="1">
        <v>38308</v>
      </c>
      <c r="F1368" t="s">
        <v>19899</v>
      </c>
      <c r="G1368">
        <v>0</v>
      </c>
      <c r="H1368">
        <v>0</v>
      </c>
      <c r="I1368">
        <v>0</v>
      </c>
      <c r="J1368">
        <v>0</v>
      </c>
      <c r="L1368" t="s">
        <v>19900</v>
      </c>
      <c r="M1368" t="s">
        <v>19901</v>
      </c>
      <c r="N1368" t="s">
        <v>19902</v>
      </c>
      <c r="O1368" t="s">
        <v>19903</v>
      </c>
      <c r="P1368" t="s">
        <v>19904</v>
      </c>
      <c r="Q1368" t="s">
        <v>19905</v>
      </c>
      <c r="R1368" t="s">
        <v>19906</v>
      </c>
      <c r="U1368">
        <v>1</v>
      </c>
      <c r="V1368" t="s">
        <v>19907</v>
      </c>
      <c r="W1368" t="s">
        <v>19908</v>
      </c>
      <c r="X1368" t="s">
        <v>19909</v>
      </c>
      <c r="Y1368" t="s">
        <v>19910</v>
      </c>
      <c r="Z1368" t="s">
        <v>19910</v>
      </c>
      <c r="AA1368" t="s">
        <v>19910</v>
      </c>
      <c r="AB1368" t="s">
        <v>19910</v>
      </c>
      <c r="AC1368" t="s">
        <v>19910</v>
      </c>
    </row>
    <row r="1369" spans="1:29">
      <c r="A1369" t="s">
        <v>19911</v>
      </c>
      <c r="B1369">
        <v>11</v>
      </c>
      <c r="C1369">
        <v>16</v>
      </c>
      <c r="D1369">
        <v>2004</v>
      </c>
      <c r="E1369" s="1">
        <v>38307</v>
      </c>
      <c r="F1369" t="s">
        <v>19912</v>
      </c>
      <c r="G1369">
        <v>0</v>
      </c>
      <c r="H1369">
        <v>1</v>
      </c>
      <c r="I1369">
        <v>1</v>
      </c>
      <c r="J1369">
        <v>0</v>
      </c>
      <c r="L1369" t="s">
        <v>19913</v>
      </c>
      <c r="M1369" t="s">
        <v>19914</v>
      </c>
      <c r="N1369" t="s">
        <v>19915</v>
      </c>
      <c r="O1369" t="s">
        <v>19916</v>
      </c>
      <c r="P1369" t="s">
        <v>19917</v>
      </c>
      <c r="Q1369" t="s">
        <v>19918</v>
      </c>
      <c r="R1369" t="s">
        <v>19919</v>
      </c>
      <c r="S1369" t="s">
        <v>19920</v>
      </c>
      <c r="T1369" s="2">
        <v>0.77083333333333337</v>
      </c>
      <c r="U1369">
        <v>1</v>
      </c>
      <c r="V1369" t="s">
        <v>19921</v>
      </c>
      <c r="W1369" t="s">
        <v>19922</v>
      </c>
      <c r="X1369" t="s">
        <v>19923</v>
      </c>
      <c r="Y1369" t="s">
        <v>19924</v>
      </c>
      <c r="Z1369" t="s">
        <v>19924</v>
      </c>
      <c r="AA1369" t="s">
        <v>19924</v>
      </c>
      <c r="AB1369" t="s">
        <v>19924</v>
      </c>
      <c r="AC1369" t="s">
        <v>19924</v>
      </c>
    </row>
    <row r="1370" spans="1:29">
      <c r="A1370" t="s">
        <v>19925</v>
      </c>
      <c r="B1370">
        <v>11</v>
      </c>
      <c r="C1370">
        <v>15</v>
      </c>
      <c r="D1370">
        <v>2004</v>
      </c>
      <c r="E1370" s="1">
        <v>38306</v>
      </c>
      <c r="F1370" t="s">
        <v>19926</v>
      </c>
      <c r="G1370">
        <v>0</v>
      </c>
      <c r="H1370">
        <v>1</v>
      </c>
      <c r="I1370">
        <v>1</v>
      </c>
      <c r="J1370">
        <v>0</v>
      </c>
      <c r="L1370" t="s">
        <v>19927</v>
      </c>
      <c r="M1370" t="s">
        <v>19928</v>
      </c>
      <c r="N1370" t="s">
        <v>19929</v>
      </c>
      <c r="O1370" t="s">
        <v>19930</v>
      </c>
      <c r="P1370" t="s">
        <v>19931</v>
      </c>
      <c r="Q1370" t="s">
        <v>19932</v>
      </c>
      <c r="R1370" t="s">
        <v>19933</v>
      </c>
      <c r="S1370" t="s">
        <v>19934</v>
      </c>
      <c r="U1370">
        <v>1</v>
      </c>
      <c r="V1370" t="s">
        <v>19935</v>
      </c>
      <c r="W1370" t="s">
        <v>19936</v>
      </c>
      <c r="X1370" t="s">
        <v>19937</v>
      </c>
      <c r="Y1370" t="s">
        <v>19938</v>
      </c>
      <c r="Z1370" t="s">
        <v>19938</v>
      </c>
      <c r="AA1370" t="s">
        <v>19938</v>
      </c>
      <c r="AB1370" t="s">
        <v>19938</v>
      </c>
      <c r="AC1370" t="s">
        <v>19938</v>
      </c>
    </row>
    <row r="1371" spans="1:29">
      <c r="A1371" t="s">
        <v>19939</v>
      </c>
      <c r="B1371">
        <v>11</v>
      </c>
      <c r="C1371">
        <v>15</v>
      </c>
      <c r="D1371">
        <v>2004</v>
      </c>
      <c r="E1371" s="1">
        <v>38306</v>
      </c>
      <c r="F1371" t="s">
        <v>19940</v>
      </c>
      <c r="G1371">
        <v>0</v>
      </c>
      <c r="H1371">
        <v>1</v>
      </c>
      <c r="I1371">
        <v>1</v>
      </c>
      <c r="J1371">
        <v>0</v>
      </c>
      <c r="L1371" t="s">
        <v>19941</v>
      </c>
      <c r="M1371" t="s">
        <v>19942</v>
      </c>
      <c r="N1371" t="s">
        <v>19943</v>
      </c>
      <c r="O1371" t="s">
        <v>19944</v>
      </c>
      <c r="P1371" t="s">
        <v>19945</v>
      </c>
      <c r="Q1371" t="s">
        <v>19946</v>
      </c>
      <c r="R1371" t="s">
        <v>19947</v>
      </c>
      <c r="S1371" t="s">
        <v>19948</v>
      </c>
      <c r="T1371" s="2">
        <v>0.875</v>
      </c>
      <c r="U1371">
        <v>1</v>
      </c>
      <c r="V1371" t="s">
        <v>19949</v>
      </c>
      <c r="W1371" t="s">
        <v>19950</v>
      </c>
      <c r="X1371" t="s">
        <v>19951</v>
      </c>
      <c r="Y1371" t="s">
        <v>19952</v>
      </c>
      <c r="Z1371" t="s">
        <v>19953</v>
      </c>
      <c r="AA1371" t="s">
        <v>19953</v>
      </c>
      <c r="AB1371" t="s">
        <v>19953</v>
      </c>
      <c r="AC1371" t="s">
        <v>19953</v>
      </c>
    </row>
    <row r="1372" spans="1:29">
      <c r="A1372" t="s">
        <v>19954</v>
      </c>
      <c r="B1372">
        <v>10</v>
      </c>
      <c r="C1372">
        <v>22</v>
      </c>
      <c r="D1372">
        <v>2004</v>
      </c>
      <c r="E1372" s="1">
        <v>38282</v>
      </c>
      <c r="F1372" t="s">
        <v>19955</v>
      </c>
      <c r="G1372">
        <v>1</v>
      </c>
      <c r="H1372">
        <v>0</v>
      </c>
      <c r="I1372">
        <v>1</v>
      </c>
      <c r="J1372">
        <v>0</v>
      </c>
      <c r="L1372" t="s">
        <v>19956</v>
      </c>
      <c r="M1372" t="s">
        <v>19957</v>
      </c>
      <c r="N1372" t="s">
        <v>19958</v>
      </c>
      <c r="O1372" t="s">
        <v>19959</v>
      </c>
      <c r="P1372" t="s">
        <v>19960</v>
      </c>
      <c r="Q1372" t="s">
        <v>19961</v>
      </c>
      <c r="R1372" t="s">
        <v>19962</v>
      </c>
      <c r="S1372" t="s">
        <v>19963</v>
      </c>
      <c r="T1372" s="2">
        <v>0.91319444444444442</v>
      </c>
      <c r="U1372">
        <v>1</v>
      </c>
      <c r="V1372" t="s">
        <v>19964</v>
      </c>
      <c r="W1372" t="s">
        <v>19965</v>
      </c>
      <c r="X1372" t="s">
        <v>19966</v>
      </c>
      <c r="Y1372" t="s">
        <v>19967</v>
      </c>
      <c r="Z1372" t="s">
        <v>19968</v>
      </c>
      <c r="AA1372" t="s">
        <v>19968</v>
      </c>
      <c r="AB1372" t="s">
        <v>19968</v>
      </c>
      <c r="AC1372" t="s">
        <v>19968</v>
      </c>
    </row>
    <row r="1373" spans="1:29">
      <c r="A1373" t="s">
        <v>19969</v>
      </c>
      <c r="B1373">
        <v>10</v>
      </c>
      <c r="C1373">
        <v>21</v>
      </c>
      <c r="D1373">
        <v>2004</v>
      </c>
      <c r="E1373" s="1">
        <v>38281</v>
      </c>
      <c r="F1373" t="s">
        <v>19970</v>
      </c>
      <c r="G1373">
        <v>0</v>
      </c>
      <c r="H1373">
        <v>2</v>
      </c>
      <c r="I1373">
        <v>2</v>
      </c>
      <c r="J1373">
        <v>0</v>
      </c>
      <c r="L1373" t="s">
        <v>19971</v>
      </c>
      <c r="M1373" t="s">
        <v>19972</v>
      </c>
      <c r="N1373" t="s">
        <v>19973</v>
      </c>
      <c r="O1373" t="s">
        <v>19974</v>
      </c>
      <c r="P1373" t="s">
        <v>19975</v>
      </c>
      <c r="Q1373" t="s">
        <v>19976</v>
      </c>
      <c r="R1373" t="s">
        <v>19977</v>
      </c>
      <c r="S1373" t="s">
        <v>19978</v>
      </c>
      <c r="T1373" s="2">
        <v>0.66666666666666663</v>
      </c>
      <c r="U1373">
        <v>1</v>
      </c>
      <c r="V1373" t="s">
        <v>19979</v>
      </c>
      <c r="W1373" t="s">
        <v>19980</v>
      </c>
      <c r="X1373" t="s">
        <v>19981</v>
      </c>
      <c r="Y1373" t="s">
        <v>19982</v>
      </c>
      <c r="Z1373" t="s">
        <v>19982</v>
      </c>
      <c r="AA1373" t="s">
        <v>19982</v>
      </c>
      <c r="AB1373" t="s">
        <v>19982</v>
      </c>
      <c r="AC1373" t="s">
        <v>19982</v>
      </c>
    </row>
    <row r="1374" spans="1:29">
      <c r="A1374" t="s">
        <v>19983</v>
      </c>
      <c r="B1374">
        <v>10</v>
      </c>
      <c r="C1374">
        <v>15</v>
      </c>
      <c r="D1374">
        <v>2004</v>
      </c>
      <c r="E1374" s="1">
        <v>38275</v>
      </c>
      <c r="F1374" t="s">
        <v>19984</v>
      </c>
      <c r="G1374">
        <v>0</v>
      </c>
      <c r="H1374">
        <v>1</v>
      </c>
      <c r="I1374">
        <v>1</v>
      </c>
      <c r="J1374">
        <v>0</v>
      </c>
      <c r="L1374" t="s">
        <v>19985</v>
      </c>
      <c r="M1374" t="s">
        <v>19986</v>
      </c>
      <c r="N1374" t="s">
        <v>19987</v>
      </c>
      <c r="O1374" t="s">
        <v>19988</v>
      </c>
      <c r="P1374" t="s">
        <v>19989</v>
      </c>
      <c r="Q1374" t="s">
        <v>19990</v>
      </c>
      <c r="R1374" t="s">
        <v>19991</v>
      </c>
      <c r="S1374" t="s">
        <v>19992</v>
      </c>
      <c r="T1374" s="2">
        <v>0.86319444444444449</v>
      </c>
      <c r="U1374">
        <v>1</v>
      </c>
      <c r="V1374" t="s">
        <v>19993</v>
      </c>
      <c r="W1374" t="s">
        <v>19994</v>
      </c>
      <c r="X1374" t="s">
        <v>19995</v>
      </c>
      <c r="Y1374" t="s">
        <v>19996</v>
      </c>
      <c r="Z1374" t="s">
        <v>19996</v>
      </c>
      <c r="AA1374" t="s">
        <v>19996</v>
      </c>
      <c r="AB1374" t="s">
        <v>19996</v>
      </c>
      <c r="AC1374" t="s">
        <v>19996</v>
      </c>
    </row>
    <row r="1375" spans="1:29">
      <c r="A1375" t="s">
        <v>19997</v>
      </c>
      <c r="B1375">
        <v>10</v>
      </c>
      <c r="C1375">
        <v>12</v>
      </c>
      <c r="D1375">
        <v>2004</v>
      </c>
      <c r="E1375" s="1">
        <v>38272</v>
      </c>
      <c r="F1375" t="s">
        <v>19998</v>
      </c>
      <c r="G1375">
        <v>0</v>
      </c>
      <c r="H1375">
        <v>0</v>
      </c>
      <c r="I1375">
        <v>0</v>
      </c>
      <c r="J1375">
        <v>2</v>
      </c>
      <c r="L1375" t="s">
        <v>19999</v>
      </c>
      <c r="M1375" t="s">
        <v>20000</v>
      </c>
      <c r="N1375" t="s">
        <v>20001</v>
      </c>
      <c r="O1375" t="s">
        <v>20002</v>
      </c>
      <c r="P1375" t="s">
        <v>20003</v>
      </c>
      <c r="Q1375" t="s">
        <v>20004</v>
      </c>
      <c r="U1375">
        <v>1</v>
      </c>
      <c r="V1375" t="s">
        <v>20005</v>
      </c>
      <c r="W1375" t="s">
        <v>20006</v>
      </c>
      <c r="X1375" t="s">
        <v>20007</v>
      </c>
      <c r="Y1375" t="s">
        <v>20008</v>
      </c>
      <c r="Z1375" t="s">
        <v>20008</v>
      </c>
      <c r="AA1375" t="s">
        <v>20008</v>
      </c>
      <c r="AB1375" t="s">
        <v>20008</v>
      </c>
      <c r="AC1375" t="s">
        <v>20009</v>
      </c>
    </row>
    <row r="1376" spans="1:29">
      <c r="A1376" t="s">
        <v>20010</v>
      </c>
      <c r="B1376">
        <v>10</v>
      </c>
      <c r="C1376">
        <v>7</v>
      </c>
      <c r="D1376">
        <v>2004</v>
      </c>
      <c r="E1376" s="1">
        <v>38267</v>
      </c>
      <c r="F1376" t="s">
        <v>20011</v>
      </c>
      <c r="G1376">
        <v>0</v>
      </c>
      <c r="H1376">
        <v>0</v>
      </c>
      <c r="I1376">
        <v>0</v>
      </c>
      <c r="J1376">
        <v>1</v>
      </c>
      <c r="L1376" t="s">
        <v>20012</v>
      </c>
      <c r="M1376" t="s">
        <v>20013</v>
      </c>
      <c r="N1376" t="s">
        <v>20014</v>
      </c>
      <c r="O1376" t="s">
        <v>20015</v>
      </c>
      <c r="P1376" t="s">
        <v>20016</v>
      </c>
      <c r="Q1376" t="s">
        <v>20017</v>
      </c>
      <c r="R1376" t="s">
        <v>20018</v>
      </c>
      <c r="S1376" t="s">
        <v>20019</v>
      </c>
      <c r="T1376" s="2">
        <v>0.95833333333333337</v>
      </c>
      <c r="U1376">
        <v>1</v>
      </c>
      <c r="V1376" t="s">
        <v>20020</v>
      </c>
      <c r="W1376" t="s">
        <v>20021</v>
      </c>
      <c r="X1376" t="s">
        <v>20022</v>
      </c>
      <c r="Y1376" t="s">
        <v>20023</v>
      </c>
      <c r="Z1376" t="s">
        <v>20023</v>
      </c>
      <c r="AA1376" t="s">
        <v>20023</v>
      </c>
      <c r="AB1376" t="s">
        <v>20023</v>
      </c>
      <c r="AC1376" t="s">
        <v>20024</v>
      </c>
    </row>
    <row r="1377" spans="1:29">
      <c r="A1377" t="s">
        <v>20025</v>
      </c>
      <c r="B1377">
        <v>10</v>
      </c>
      <c r="C1377">
        <v>2</v>
      </c>
      <c r="D1377">
        <v>2004</v>
      </c>
      <c r="E1377" s="1">
        <v>38262</v>
      </c>
      <c r="F1377" t="s">
        <v>20026</v>
      </c>
      <c r="G1377">
        <v>0</v>
      </c>
      <c r="H1377">
        <v>1</v>
      </c>
      <c r="I1377">
        <v>1</v>
      </c>
      <c r="J1377">
        <v>0</v>
      </c>
      <c r="L1377" t="s">
        <v>20027</v>
      </c>
      <c r="M1377" t="s">
        <v>20028</v>
      </c>
      <c r="N1377" t="s">
        <v>20029</v>
      </c>
      <c r="O1377" t="s">
        <v>20030</v>
      </c>
      <c r="P1377" t="s">
        <v>20031</v>
      </c>
      <c r="Q1377" t="s">
        <v>20032</v>
      </c>
      <c r="R1377" t="s">
        <v>20033</v>
      </c>
      <c r="S1377" t="s">
        <v>20034</v>
      </c>
      <c r="T1377" s="2">
        <v>0.27083333333333331</v>
      </c>
      <c r="U1377">
        <v>1</v>
      </c>
      <c r="V1377" t="s">
        <v>20035</v>
      </c>
      <c r="W1377" t="s">
        <v>20036</v>
      </c>
      <c r="X1377" t="s">
        <v>20037</v>
      </c>
      <c r="Y1377" t="s">
        <v>20038</v>
      </c>
      <c r="Z1377" t="s">
        <v>20038</v>
      </c>
      <c r="AA1377" t="s">
        <v>20038</v>
      </c>
      <c r="AB1377" t="s">
        <v>20038</v>
      </c>
      <c r="AC1377" t="s">
        <v>20039</v>
      </c>
    </row>
    <row r="1378" spans="1:29">
      <c r="A1378" t="s">
        <v>20040</v>
      </c>
      <c r="B1378">
        <v>9</v>
      </c>
      <c r="C1378">
        <v>15</v>
      </c>
      <c r="D1378">
        <v>2004</v>
      </c>
      <c r="E1378" s="1">
        <v>38245</v>
      </c>
      <c r="F1378" t="s">
        <v>20041</v>
      </c>
      <c r="G1378">
        <v>0</v>
      </c>
      <c r="H1378">
        <v>0</v>
      </c>
      <c r="I1378">
        <v>0</v>
      </c>
      <c r="J1378">
        <v>0</v>
      </c>
      <c r="L1378" t="s">
        <v>20042</v>
      </c>
      <c r="M1378" t="s">
        <v>20043</v>
      </c>
      <c r="N1378" t="s">
        <v>20044</v>
      </c>
      <c r="O1378" t="s">
        <v>20045</v>
      </c>
      <c r="P1378" t="s">
        <v>20046</v>
      </c>
      <c r="Q1378" t="s">
        <v>20047</v>
      </c>
      <c r="R1378" t="s">
        <v>20048</v>
      </c>
      <c r="S1378" t="s">
        <v>20049</v>
      </c>
      <c r="U1378">
        <v>1</v>
      </c>
      <c r="V1378" t="s">
        <v>20050</v>
      </c>
      <c r="W1378" t="s">
        <v>20051</v>
      </c>
      <c r="X1378" t="s">
        <v>20052</v>
      </c>
      <c r="Y1378" t="s">
        <v>20053</v>
      </c>
      <c r="Z1378" t="s">
        <v>20054</v>
      </c>
      <c r="AA1378" t="s">
        <v>20054</v>
      </c>
      <c r="AB1378" t="s">
        <v>20054</v>
      </c>
      <c r="AC1378" t="s">
        <v>20054</v>
      </c>
    </row>
    <row r="1379" spans="1:29">
      <c r="A1379" t="s">
        <v>20055</v>
      </c>
      <c r="B1379">
        <v>9</v>
      </c>
      <c r="C1379">
        <v>12</v>
      </c>
      <c r="D1379">
        <v>2004</v>
      </c>
      <c r="E1379" s="1">
        <v>38242</v>
      </c>
      <c r="F1379" t="s">
        <v>20056</v>
      </c>
      <c r="G1379">
        <v>0</v>
      </c>
      <c r="H1379">
        <v>1</v>
      </c>
      <c r="I1379">
        <v>1</v>
      </c>
      <c r="J1379">
        <v>0</v>
      </c>
      <c r="L1379" t="s">
        <v>20057</v>
      </c>
      <c r="M1379" t="s">
        <v>20058</v>
      </c>
      <c r="N1379" t="s">
        <v>20059</v>
      </c>
      <c r="O1379" t="s">
        <v>20060</v>
      </c>
      <c r="P1379" t="s">
        <v>20061</v>
      </c>
      <c r="Q1379" t="s">
        <v>20062</v>
      </c>
      <c r="R1379" t="s">
        <v>20063</v>
      </c>
      <c r="S1379" t="s">
        <v>20064</v>
      </c>
      <c r="T1379" s="2">
        <v>0.5</v>
      </c>
      <c r="U1379">
        <v>1</v>
      </c>
      <c r="V1379" t="s">
        <v>20065</v>
      </c>
      <c r="W1379" t="s">
        <v>20066</v>
      </c>
      <c r="X1379" t="s">
        <v>20067</v>
      </c>
      <c r="Y1379" t="s">
        <v>20068</v>
      </c>
      <c r="Z1379" t="s">
        <v>20068</v>
      </c>
      <c r="AA1379" t="s">
        <v>20068</v>
      </c>
      <c r="AB1379" t="s">
        <v>20068</v>
      </c>
      <c r="AC1379" t="s">
        <v>20068</v>
      </c>
    </row>
    <row r="1380" spans="1:29">
      <c r="A1380" t="s">
        <v>20069</v>
      </c>
      <c r="B1380">
        <v>8</v>
      </c>
      <c r="C1380">
        <v>30</v>
      </c>
      <c r="D1380">
        <v>2004</v>
      </c>
      <c r="E1380" s="1">
        <v>38229</v>
      </c>
      <c r="F1380" t="s">
        <v>20070</v>
      </c>
      <c r="G1380">
        <v>1</v>
      </c>
      <c r="H1380">
        <v>0</v>
      </c>
      <c r="I1380">
        <v>1</v>
      </c>
      <c r="J1380">
        <v>0</v>
      </c>
      <c r="L1380" t="s">
        <v>20071</v>
      </c>
      <c r="M1380" t="s">
        <v>20072</v>
      </c>
      <c r="N1380" t="s">
        <v>20073</v>
      </c>
      <c r="O1380" t="s">
        <v>20074</v>
      </c>
      <c r="P1380" t="s">
        <v>20075</v>
      </c>
      <c r="Q1380" t="s">
        <v>20076</v>
      </c>
      <c r="R1380" t="s">
        <v>20077</v>
      </c>
      <c r="S1380" t="s">
        <v>20078</v>
      </c>
      <c r="T1380" s="2">
        <v>0.60416666666666674</v>
      </c>
      <c r="U1380">
        <v>1</v>
      </c>
      <c r="V1380" t="s">
        <v>20079</v>
      </c>
      <c r="W1380" t="s">
        <v>20080</v>
      </c>
      <c r="X1380" t="s">
        <v>20081</v>
      </c>
      <c r="Y1380" t="s">
        <v>20082</v>
      </c>
      <c r="Z1380" t="s">
        <v>20082</v>
      </c>
      <c r="AA1380" t="s">
        <v>20082</v>
      </c>
      <c r="AB1380" t="s">
        <v>20082</v>
      </c>
      <c r="AC1380" t="s">
        <v>20082</v>
      </c>
    </row>
    <row r="1381" spans="1:29">
      <c r="A1381" t="s">
        <v>20083</v>
      </c>
      <c r="B1381">
        <v>8</v>
      </c>
      <c r="C1381">
        <v>24</v>
      </c>
      <c r="D1381">
        <v>2004</v>
      </c>
      <c r="E1381" s="1">
        <v>38223</v>
      </c>
      <c r="F1381" t="s">
        <v>20084</v>
      </c>
      <c r="G1381">
        <v>0</v>
      </c>
      <c r="H1381">
        <v>0</v>
      </c>
      <c r="I1381">
        <v>0</v>
      </c>
      <c r="J1381">
        <v>0</v>
      </c>
      <c r="L1381" t="s">
        <v>20085</v>
      </c>
      <c r="M1381" t="s">
        <v>20086</v>
      </c>
      <c r="N1381" t="s">
        <v>20087</v>
      </c>
      <c r="O1381" t="s">
        <v>20088</v>
      </c>
      <c r="P1381" t="s">
        <v>20089</v>
      </c>
      <c r="Q1381" t="s">
        <v>20090</v>
      </c>
      <c r="R1381" t="s">
        <v>20091</v>
      </c>
      <c r="U1381">
        <v>1</v>
      </c>
      <c r="V1381" t="s">
        <v>20092</v>
      </c>
      <c r="W1381" t="s">
        <v>20093</v>
      </c>
      <c r="X1381" t="s">
        <v>20094</v>
      </c>
      <c r="Y1381" t="s">
        <v>20095</v>
      </c>
      <c r="Z1381" t="s">
        <v>20095</v>
      </c>
      <c r="AA1381" t="s">
        <v>20095</v>
      </c>
      <c r="AB1381" t="s">
        <v>20095</v>
      </c>
      <c r="AC1381" t="s">
        <v>20095</v>
      </c>
    </row>
    <row r="1382" spans="1:29">
      <c r="A1382" t="s">
        <v>20096</v>
      </c>
      <c r="B1382">
        <v>8</v>
      </c>
      <c r="C1382">
        <v>3</v>
      </c>
      <c r="D1382">
        <v>2004</v>
      </c>
      <c r="E1382" s="1">
        <v>38202</v>
      </c>
      <c r="F1382" t="s">
        <v>20097</v>
      </c>
      <c r="G1382">
        <v>0</v>
      </c>
      <c r="H1382">
        <v>1</v>
      </c>
      <c r="I1382">
        <v>1</v>
      </c>
      <c r="J1382">
        <v>0</v>
      </c>
      <c r="L1382" t="s">
        <v>20098</v>
      </c>
      <c r="M1382" t="s">
        <v>20099</v>
      </c>
      <c r="N1382" t="s">
        <v>20100</v>
      </c>
      <c r="O1382" t="s">
        <v>20101</v>
      </c>
      <c r="P1382" t="s">
        <v>20102</v>
      </c>
      <c r="Q1382" t="s">
        <v>20103</v>
      </c>
      <c r="R1382" t="s">
        <v>20104</v>
      </c>
      <c r="S1382" t="s">
        <v>20105</v>
      </c>
      <c r="T1382" s="2">
        <v>0.36458333333333331</v>
      </c>
      <c r="U1382">
        <v>1</v>
      </c>
      <c r="V1382" t="s">
        <v>20106</v>
      </c>
      <c r="W1382" t="s">
        <v>20107</v>
      </c>
      <c r="X1382" t="s">
        <v>20108</v>
      </c>
      <c r="Y1382" t="s">
        <v>20109</v>
      </c>
      <c r="Z1382" t="s">
        <v>20109</v>
      </c>
      <c r="AA1382" t="s">
        <v>20109</v>
      </c>
      <c r="AB1382" t="s">
        <v>20109</v>
      </c>
      <c r="AC1382" t="s">
        <v>20109</v>
      </c>
    </row>
    <row r="1383" spans="1:29">
      <c r="A1383" t="s">
        <v>20110</v>
      </c>
      <c r="B1383">
        <v>6</v>
      </c>
      <c r="C1383">
        <v>9</v>
      </c>
      <c r="D1383">
        <v>2004</v>
      </c>
      <c r="E1383" s="1">
        <v>38147</v>
      </c>
      <c r="F1383" t="s">
        <v>20111</v>
      </c>
      <c r="G1383">
        <v>0</v>
      </c>
      <c r="H1383">
        <v>2</v>
      </c>
      <c r="I1383">
        <v>2</v>
      </c>
      <c r="J1383">
        <v>0</v>
      </c>
      <c r="L1383" t="s">
        <v>20112</v>
      </c>
      <c r="M1383" t="s">
        <v>20113</v>
      </c>
      <c r="N1383" t="s">
        <v>20114</v>
      </c>
      <c r="O1383" t="s">
        <v>20115</v>
      </c>
      <c r="P1383" t="s">
        <v>20116</v>
      </c>
      <c r="Q1383" t="s">
        <v>20117</v>
      </c>
      <c r="R1383" t="s">
        <v>20118</v>
      </c>
      <c r="S1383" t="s">
        <v>20119</v>
      </c>
      <c r="T1383" s="2">
        <v>0.51527777777777772</v>
      </c>
      <c r="U1383">
        <v>1</v>
      </c>
      <c r="V1383" t="s">
        <v>20120</v>
      </c>
      <c r="W1383" t="s">
        <v>20121</v>
      </c>
      <c r="X1383" t="s">
        <v>20122</v>
      </c>
      <c r="Y1383" t="s">
        <v>20123</v>
      </c>
      <c r="Z1383" t="s">
        <v>20124</v>
      </c>
      <c r="AA1383" t="s">
        <v>20124</v>
      </c>
      <c r="AB1383" t="s">
        <v>20124</v>
      </c>
      <c r="AC1383" t="s">
        <v>20124</v>
      </c>
    </row>
    <row r="1384" spans="1:29">
      <c r="A1384" t="s">
        <v>20125</v>
      </c>
      <c r="B1384">
        <v>5</v>
      </c>
      <c r="C1384">
        <v>24</v>
      </c>
      <c r="D1384">
        <v>2004</v>
      </c>
      <c r="E1384" s="1">
        <v>38131</v>
      </c>
      <c r="F1384" t="s">
        <v>20126</v>
      </c>
      <c r="G1384">
        <v>1</v>
      </c>
      <c r="H1384">
        <v>0</v>
      </c>
      <c r="I1384">
        <v>1</v>
      </c>
      <c r="J1384">
        <v>1</v>
      </c>
      <c r="L1384" t="s">
        <v>20127</v>
      </c>
      <c r="M1384" t="s">
        <v>20128</v>
      </c>
      <c r="N1384" t="s">
        <v>20129</v>
      </c>
      <c r="O1384" t="s">
        <v>20130</v>
      </c>
      <c r="P1384" t="s">
        <v>20131</v>
      </c>
      <c r="Q1384" t="s">
        <v>20132</v>
      </c>
      <c r="R1384" t="s">
        <v>20133</v>
      </c>
      <c r="S1384" t="s">
        <v>20134</v>
      </c>
      <c r="T1384" s="2">
        <v>0.25</v>
      </c>
      <c r="U1384">
        <v>1</v>
      </c>
      <c r="V1384" t="s">
        <v>20135</v>
      </c>
      <c r="W1384" t="s">
        <v>20136</v>
      </c>
      <c r="X1384" t="s">
        <v>20137</v>
      </c>
      <c r="Y1384" t="s">
        <v>20138</v>
      </c>
      <c r="Z1384" t="s">
        <v>20138</v>
      </c>
      <c r="AA1384" t="s">
        <v>20138</v>
      </c>
      <c r="AB1384" t="s">
        <v>20138</v>
      </c>
      <c r="AC1384" t="s">
        <v>20139</v>
      </c>
    </row>
    <row r="1385" spans="1:29">
      <c r="A1385" t="s">
        <v>20140</v>
      </c>
      <c r="B1385">
        <v>5</v>
      </c>
      <c r="C1385">
        <v>12</v>
      </c>
      <c r="D1385">
        <v>2004</v>
      </c>
      <c r="E1385" s="1">
        <v>38119</v>
      </c>
      <c r="F1385" t="s">
        <v>20141</v>
      </c>
      <c r="G1385">
        <v>0</v>
      </c>
      <c r="H1385">
        <v>2</v>
      </c>
      <c r="I1385">
        <v>2</v>
      </c>
      <c r="J1385">
        <v>0</v>
      </c>
      <c r="L1385" t="s">
        <v>20142</v>
      </c>
      <c r="M1385" t="s">
        <v>20143</v>
      </c>
      <c r="N1385" t="s">
        <v>20144</v>
      </c>
      <c r="O1385" t="s">
        <v>20145</v>
      </c>
      <c r="P1385" t="s">
        <v>20146</v>
      </c>
      <c r="Q1385" t="s">
        <v>20147</v>
      </c>
      <c r="R1385" t="s">
        <v>20148</v>
      </c>
      <c r="S1385" t="s">
        <v>20149</v>
      </c>
      <c r="T1385" s="2">
        <v>0.72569444444444453</v>
      </c>
      <c r="U1385">
        <v>1</v>
      </c>
      <c r="V1385" t="s">
        <v>20150</v>
      </c>
      <c r="W1385" t="s">
        <v>20151</v>
      </c>
      <c r="X1385" t="s">
        <v>20152</v>
      </c>
      <c r="Y1385" t="s">
        <v>20153</v>
      </c>
      <c r="Z1385" t="s">
        <v>20154</v>
      </c>
      <c r="AA1385" t="s">
        <v>20154</v>
      </c>
      <c r="AB1385" t="s">
        <v>20154</v>
      </c>
      <c r="AC1385" t="s">
        <v>20154</v>
      </c>
    </row>
    <row r="1386" spans="1:29">
      <c r="A1386" t="s">
        <v>20155</v>
      </c>
      <c r="B1386">
        <v>5</v>
      </c>
      <c r="C1386">
        <v>7</v>
      </c>
      <c r="D1386">
        <v>2004</v>
      </c>
      <c r="E1386" s="1">
        <v>38114</v>
      </c>
      <c r="F1386" t="s">
        <v>20156</v>
      </c>
      <c r="G1386">
        <v>0</v>
      </c>
      <c r="H1386">
        <v>4</v>
      </c>
      <c r="I1386">
        <v>4</v>
      </c>
      <c r="J1386">
        <v>0</v>
      </c>
      <c r="L1386" t="s">
        <v>20157</v>
      </c>
      <c r="M1386" t="s">
        <v>20158</v>
      </c>
      <c r="N1386" t="s">
        <v>20159</v>
      </c>
      <c r="O1386" t="s">
        <v>20160</v>
      </c>
      <c r="P1386" t="s">
        <v>20161</v>
      </c>
      <c r="Q1386" t="s">
        <v>20162</v>
      </c>
      <c r="R1386" t="s">
        <v>20163</v>
      </c>
      <c r="S1386" t="s">
        <v>20164</v>
      </c>
      <c r="T1386" s="2">
        <v>0.6875</v>
      </c>
      <c r="U1386">
        <v>1</v>
      </c>
      <c r="V1386" t="s">
        <v>20165</v>
      </c>
      <c r="W1386" t="s">
        <v>20166</v>
      </c>
      <c r="X1386" t="s">
        <v>20167</v>
      </c>
      <c r="Y1386" t="s">
        <v>20168</v>
      </c>
      <c r="Z1386" t="s">
        <v>20169</v>
      </c>
      <c r="AA1386" t="s">
        <v>20169</v>
      </c>
      <c r="AB1386" t="s">
        <v>20169</v>
      </c>
      <c r="AC1386" t="s">
        <v>20169</v>
      </c>
    </row>
    <row r="1387" spans="1:29">
      <c r="A1387" t="s">
        <v>20170</v>
      </c>
      <c r="B1387">
        <v>5</v>
      </c>
      <c r="C1387">
        <v>4</v>
      </c>
      <c r="D1387">
        <v>2004</v>
      </c>
      <c r="E1387" s="1">
        <v>38111</v>
      </c>
      <c r="F1387" t="s">
        <v>20171</v>
      </c>
      <c r="G1387">
        <v>0</v>
      </c>
      <c r="H1387">
        <v>0</v>
      </c>
      <c r="I1387">
        <v>0</v>
      </c>
      <c r="J1387">
        <v>0</v>
      </c>
      <c r="L1387" t="s">
        <v>20172</v>
      </c>
      <c r="M1387" t="s">
        <v>20173</v>
      </c>
      <c r="N1387" t="s">
        <v>20174</v>
      </c>
      <c r="O1387" t="s">
        <v>20175</v>
      </c>
      <c r="P1387" t="s">
        <v>20176</v>
      </c>
      <c r="Q1387" t="s">
        <v>20177</v>
      </c>
      <c r="R1387" t="s">
        <v>20178</v>
      </c>
      <c r="S1387" t="s">
        <v>20179</v>
      </c>
      <c r="T1387" s="2">
        <v>0.33333333333333331</v>
      </c>
      <c r="U1387">
        <v>1</v>
      </c>
      <c r="V1387" t="s">
        <v>20180</v>
      </c>
      <c r="W1387" t="s">
        <v>20181</v>
      </c>
      <c r="Y1387" t="s">
        <v>20182</v>
      </c>
      <c r="Z1387" t="s">
        <v>20182</v>
      </c>
      <c r="AA1387" t="s">
        <v>20182</v>
      </c>
    </row>
    <row r="1388" spans="1:29">
      <c r="A1388" t="s">
        <v>20183</v>
      </c>
      <c r="B1388">
        <v>3</v>
      </c>
      <c r="C1388">
        <v>17</v>
      </c>
      <c r="D1388">
        <v>2004</v>
      </c>
      <c r="E1388" s="1">
        <v>38063</v>
      </c>
      <c r="F1388" t="s">
        <v>20184</v>
      </c>
      <c r="G1388">
        <v>0</v>
      </c>
      <c r="H1388">
        <v>0</v>
      </c>
      <c r="I1388">
        <v>0</v>
      </c>
      <c r="J1388">
        <v>1</v>
      </c>
      <c r="L1388" t="s">
        <v>20185</v>
      </c>
      <c r="M1388" t="s">
        <v>20186</v>
      </c>
      <c r="N1388" t="s">
        <v>20187</v>
      </c>
      <c r="O1388" t="s">
        <v>20188</v>
      </c>
      <c r="P1388" t="s">
        <v>20189</v>
      </c>
      <c r="Q1388" t="s">
        <v>20190</v>
      </c>
      <c r="R1388" t="s">
        <v>20191</v>
      </c>
      <c r="S1388" t="s">
        <v>20192</v>
      </c>
      <c r="T1388" s="2">
        <v>0.41666666666666669</v>
      </c>
      <c r="U1388">
        <v>1</v>
      </c>
      <c r="V1388" t="s">
        <v>20193</v>
      </c>
      <c r="W1388" t="s">
        <v>20194</v>
      </c>
      <c r="X1388" t="s">
        <v>20195</v>
      </c>
      <c r="Y1388" t="s">
        <v>20196</v>
      </c>
      <c r="Z1388" t="s">
        <v>20196</v>
      </c>
      <c r="AA1388" t="s">
        <v>20196</v>
      </c>
      <c r="AB1388" t="s">
        <v>20196</v>
      </c>
      <c r="AC1388" t="s">
        <v>20196</v>
      </c>
    </row>
    <row r="1389" spans="1:29">
      <c r="A1389" t="s">
        <v>20197</v>
      </c>
      <c r="B1389">
        <v>3</v>
      </c>
      <c r="C1389">
        <v>5</v>
      </c>
      <c r="D1389">
        <v>2004</v>
      </c>
      <c r="E1389" s="1">
        <v>38051</v>
      </c>
      <c r="F1389" t="s">
        <v>20198</v>
      </c>
      <c r="G1389">
        <v>0</v>
      </c>
      <c r="H1389">
        <v>2</v>
      </c>
      <c r="I1389">
        <v>2</v>
      </c>
      <c r="J1389">
        <v>0</v>
      </c>
      <c r="L1389" t="s">
        <v>20199</v>
      </c>
      <c r="M1389" t="s">
        <v>20200</v>
      </c>
      <c r="N1389" t="s">
        <v>20201</v>
      </c>
      <c r="O1389" t="s">
        <v>20202</v>
      </c>
      <c r="P1389" t="s">
        <v>20203</v>
      </c>
      <c r="Q1389" t="s">
        <v>20204</v>
      </c>
      <c r="R1389" t="s">
        <v>20205</v>
      </c>
      <c r="S1389" t="s">
        <v>20206</v>
      </c>
      <c r="T1389" s="2">
        <v>0.31597222222222227</v>
      </c>
      <c r="U1389">
        <v>1</v>
      </c>
      <c r="V1389" t="s">
        <v>20207</v>
      </c>
      <c r="W1389" t="s">
        <v>20208</v>
      </c>
      <c r="X1389" t="s">
        <v>20209</v>
      </c>
      <c r="Y1389" t="s">
        <v>20210</v>
      </c>
      <c r="Z1389" t="s">
        <v>20211</v>
      </c>
      <c r="AA1389" t="s">
        <v>20211</v>
      </c>
      <c r="AB1389" t="s">
        <v>20211</v>
      </c>
      <c r="AC1389" t="s">
        <v>20211</v>
      </c>
    </row>
    <row r="1390" spans="1:29">
      <c r="A1390" t="s">
        <v>20212</v>
      </c>
      <c r="B1390">
        <v>2</v>
      </c>
      <c r="C1390">
        <v>20</v>
      </c>
      <c r="D1390">
        <v>2004</v>
      </c>
      <c r="E1390" s="1">
        <v>38037</v>
      </c>
      <c r="F1390" t="s">
        <v>20213</v>
      </c>
      <c r="G1390">
        <v>1</v>
      </c>
      <c r="H1390">
        <v>0</v>
      </c>
      <c r="I1390">
        <v>1</v>
      </c>
      <c r="J1390">
        <v>1</v>
      </c>
      <c r="L1390" t="s">
        <v>20214</v>
      </c>
      <c r="M1390" t="s">
        <v>20215</v>
      </c>
      <c r="N1390" t="s">
        <v>20216</v>
      </c>
      <c r="O1390" t="s">
        <v>20217</v>
      </c>
      <c r="P1390" t="s">
        <v>20218</v>
      </c>
      <c r="Q1390" t="s">
        <v>20219</v>
      </c>
      <c r="R1390" t="s">
        <v>20220</v>
      </c>
      <c r="S1390" t="s">
        <v>20221</v>
      </c>
      <c r="T1390" s="2">
        <v>0.46875</v>
      </c>
      <c r="U1390">
        <v>1</v>
      </c>
      <c r="V1390" t="s">
        <v>20222</v>
      </c>
      <c r="W1390" t="s">
        <v>20223</v>
      </c>
      <c r="X1390" t="s">
        <v>20224</v>
      </c>
      <c r="Y1390" t="s">
        <v>20225</v>
      </c>
      <c r="Z1390" t="s">
        <v>20225</v>
      </c>
      <c r="AA1390" t="s">
        <v>20225</v>
      </c>
      <c r="AB1390" t="s">
        <v>20225</v>
      </c>
      <c r="AC1390" t="s">
        <v>20226</v>
      </c>
    </row>
    <row r="1391" spans="1:29">
      <c r="A1391" t="s">
        <v>20227</v>
      </c>
      <c r="B1391">
        <v>2</v>
      </c>
      <c r="C1391">
        <v>13</v>
      </c>
      <c r="D1391">
        <v>2004</v>
      </c>
      <c r="E1391" s="1">
        <v>38030</v>
      </c>
      <c r="F1391" t="s">
        <v>20228</v>
      </c>
      <c r="G1391">
        <v>0</v>
      </c>
      <c r="H1391">
        <v>1</v>
      </c>
      <c r="I1391">
        <v>1</v>
      </c>
      <c r="J1391">
        <v>0</v>
      </c>
      <c r="L1391" t="s">
        <v>20229</v>
      </c>
      <c r="M1391" t="s">
        <v>20230</v>
      </c>
      <c r="N1391" t="s">
        <v>20231</v>
      </c>
      <c r="O1391" t="s">
        <v>20232</v>
      </c>
      <c r="P1391" t="s">
        <v>20233</v>
      </c>
      <c r="Q1391" t="s">
        <v>20234</v>
      </c>
      <c r="R1391" t="s">
        <v>20235</v>
      </c>
      <c r="S1391" t="s">
        <v>20236</v>
      </c>
      <c r="T1391" s="2">
        <v>0.54166666666666663</v>
      </c>
      <c r="U1391">
        <v>1</v>
      </c>
      <c r="V1391" t="s">
        <v>20237</v>
      </c>
      <c r="W1391" t="s">
        <v>20238</v>
      </c>
      <c r="X1391" t="s">
        <v>20239</v>
      </c>
      <c r="Y1391" t="s">
        <v>20240</v>
      </c>
      <c r="Z1391" t="s">
        <v>20241</v>
      </c>
      <c r="AA1391" t="s">
        <v>20241</v>
      </c>
      <c r="AB1391" t="s">
        <v>20241</v>
      </c>
      <c r="AC1391" t="s">
        <v>20241</v>
      </c>
    </row>
    <row r="1392" spans="1:29">
      <c r="A1392" t="s">
        <v>20242</v>
      </c>
      <c r="B1392">
        <v>2</v>
      </c>
      <c r="C1392">
        <v>11</v>
      </c>
      <c r="D1392">
        <v>2004</v>
      </c>
      <c r="E1392" s="1">
        <v>38028</v>
      </c>
      <c r="F1392" t="s">
        <v>20243</v>
      </c>
      <c r="G1392">
        <v>1</v>
      </c>
      <c r="H1392">
        <v>1</v>
      </c>
      <c r="I1392">
        <v>2</v>
      </c>
      <c r="J1392">
        <v>0</v>
      </c>
      <c r="L1392" t="s">
        <v>20244</v>
      </c>
      <c r="M1392" t="s">
        <v>20245</v>
      </c>
      <c r="N1392" t="s">
        <v>20246</v>
      </c>
      <c r="O1392" t="s">
        <v>20247</v>
      </c>
      <c r="P1392" t="s">
        <v>20248</v>
      </c>
      <c r="Q1392" t="s">
        <v>20249</v>
      </c>
      <c r="R1392" t="s">
        <v>20250</v>
      </c>
      <c r="S1392" t="s">
        <v>20251</v>
      </c>
      <c r="T1392" s="2">
        <v>0.35416666666666663</v>
      </c>
      <c r="U1392">
        <v>1</v>
      </c>
      <c r="V1392" t="s">
        <v>20252</v>
      </c>
      <c r="W1392" t="s">
        <v>20253</v>
      </c>
      <c r="X1392" t="s">
        <v>20254</v>
      </c>
      <c r="Y1392" t="s">
        <v>20255</v>
      </c>
      <c r="Z1392" t="s">
        <v>20255</v>
      </c>
      <c r="AA1392" t="s">
        <v>20255</v>
      </c>
      <c r="AB1392" t="s">
        <v>20255</v>
      </c>
      <c r="AC1392" t="s">
        <v>20255</v>
      </c>
    </row>
    <row r="1393" spans="1:30">
      <c r="A1393" t="s">
        <v>20256</v>
      </c>
      <c r="B1393">
        <v>2</v>
      </c>
      <c r="C1393">
        <v>9</v>
      </c>
      <c r="D1393">
        <v>2004</v>
      </c>
      <c r="E1393" s="1">
        <v>38026</v>
      </c>
      <c r="F1393" t="s">
        <v>20257</v>
      </c>
      <c r="G1393">
        <v>0</v>
      </c>
      <c r="H1393">
        <v>1</v>
      </c>
      <c r="I1393">
        <v>1</v>
      </c>
      <c r="J1393">
        <v>0</v>
      </c>
      <c r="L1393" t="s">
        <v>20258</v>
      </c>
      <c r="M1393" t="s">
        <v>20259</v>
      </c>
      <c r="N1393" t="s">
        <v>20260</v>
      </c>
      <c r="O1393" t="s">
        <v>20261</v>
      </c>
      <c r="P1393" t="s">
        <v>20262</v>
      </c>
      <c r="Q1393" t="s">
        <v>20263</v>
      </c>
      <c r="R1393" t="s">
        <v>20264</v>
      </c>
      <c r="S1393" t="s">
        <v>20265</v>
      </c>
      <c r="T1393" s="2">
        <v>0.4375</v>
      </c>
      <c r="U1393">
        <v>1</v>
      </c>
      <c r="V1393" t="s">
        <v>20266</v>
      </c>
      <c r="W1393" t="s">
        <v>20267</v>
      </c>
      <c r="Y1393" t="s">
        <v>20268</v>
      </c>
      <c r="Z1393" t="s">
        <v>20268</v>
      </c>
      <c r="AA1393" t="s">
        <v>20268</v>
      </c>
      <c r="AB1393" t="s">
        <v>20268</v>
      </c>
      <c r="AC1393" t="s">
        <v>20268</v>
      </c>
      <c r="AD1393" t="s">
        <v>20269</v>
      </c>
    </row>
    <row r="1394" spans="1:30">
      <c r="A1394" t="s">
        <v>20270</v>
      </c>
      <c r="B1394">
        <v>2</v>
      </c>
      <c r="C1394">
        <v>6</v>
      </c>
      <c r="D1394">
        <v>2004</v>
      </c>
      <c r="E1394" s="1">
        <v>38023</v>
      </c>
      <c r="F1394" t="s">
        <v>20271</v>
      </c>
      <c r="G1394">
        <v>0</v>
      </c>
      <c r="H1394">
        <v>0</v>
      </c>
      <c r="I1394">
        <v>0</v>
      </c>
      <c r="J1394">
        <v>0</v>
      </c>
      <c r="L1394" t="s">
        <v>20272</v>
      </c>
      <c r="M1394" t="s">
        <v>20273</v>
      </c>
      <c r="N1394" t="s">
        <v>20274</v>
      </c>
      <c r="O1394" t="s">
        <v>20275</v>
      </c>
      <c r="P1394" t="s">
        <v>20276</v>
      </c>
      <c r="Q1394" t="s">
        <v>20277</v>
      </c>
      <c r="R1394" t="s">
        <v>20278</v>
      </c>
      <c r="U1394">
        <v>1</v>
      </c>
      <c r="V1394" t="s">
        <v>20279</v>
      </c>
      <c r="W1394" t="s">
        <v>20280</v>
      </c>
      <c r="X1394" t="s">
        <v>20281</v>
      </c>
      <c r="Y1394" t="s">
        <v>20282</v>
      </c>
      <c r="Z1394" t="s">
        <v>20282</v>
      </c>
      <c r="AA1394" t="s">
        <v>20282</v>
      </c>
      <c r="AB1394" t="s">
        <v>20283</v>
      </c>
      <c r="AC1394" t="s">
        <v>20283</v>
      </c>
      <c r="AD1394" t="s">
        <v>20283</v>
      </c>
    </row>
    <row r="1395" spans="1:30">
      <c r="A1395" t="s">
        <v>20284</v>
      </c>
      <c r="B1395">
        <v>2</v>
      </c>
      <c r="C1395">
        <v>3</v>
      </c>
      <c r="D1395">
        <v>2004</v>
      </c>
      <c r="E1395" s="1">
        <v>38020</v>
      </c>
      <c r="F1395" t="s">
        <v>20285</v>
      </c>
      <c r="G1395">
        <v>0</v>
      </c>
      <c r="H1395">
        <v>0</v>
      </c>
      <c r="I1395">
        <v>0</v>
      </c>
      <c r="J1395">
        <v>0</v>
      </c>
      <c r="L1395" t="s">
        <v>20286</v>
      </c>
      <c r="M1395" t="s">
        <v>20287</v>
      </c>
      <c r="N1395" t="s">
        <v>20288</v>
      </c>
      <c r="O1395" t="s">
        <v>20289</v>
      </c>
      <c r="P1395" t="s">
        <v>20290</v>
      </c>
      <c r="Q1395" t="s">
        <v>20291</v>
      </c>
      <c r="R1395" t="s">
        <v>20292</v>
      </c>
      <c r="S1395" t="s">
        <v>20293</v>
      </c>
      <c r="T1395" s="2">
        <v>0.4375</v>
      </c>
      <c r="U1395">
        <v>1</v>
      </c>
      <c r="V1395" t="s">
        <v>20294</v>
      </c>
      <c r="W1395" t="s">
        <v>20295</v>
      </c>
      <c r="X1395" t="s">
        <v>20296</v>
      </c>
      <c r="Y1395" t="s">
        <v>20297</v>
      </c>
      <c r="Z1395" t="s">
        <v>20297</v>
      </c>
      <c r="AA1395" t="s">
        <v>20297</v>
      </c>
      <c r="AB1395" t="s">
        <v>20297</v>
      </c>
      <c r="AC1395" t="s">
        <v>20297</v>
      </c>
    </row>
    <row r="1396" spans="1:30">
      <c r="A1396" t="s">
        <v>20298</v>
      </c>
      <c r="B1396">
        <v>2</v>
      </c>
      <c r="C1396">
        <v>2</v>
      </c>
      <c r="D1396">
        <v>2004</v>
      </c>
      <c r="E1396" s="1">
        <v>38019</v>
      </c>
      <c r="F1396" t="s">
        <v>20299</v>
      </c>
      <c r="G1396">
        <v>1</v>
      </c>
      <c r="H1396">
        <v>0</v>
      </c>
      <c r="I1396">
        <v>1</v>
      </c>
      <c r="J1396">
        <v>0</v>
      </c>
      <c r="L1396" t="s">
        <v>20300</v>
      </c>
      <c r="M1396" t="s">
        <v>20301</v>
      </c>
      <c r="N1396" t="s">
        <v>20302</v>
      </c>
      <c r="O1396" t="s">
        <v>20303</v>
      </c>
      <c r="P1396" t="s">
        <v>20304</v>
      </c>
      <c r="Q1396" t="s">
        <v>20305</v>
      </c>
      <c r="R1396" t="s">
        <v>20306</v>
      </c>
      <c r="S1396" t="s">
        <v>20307</v>
      </c>
      <c r="T1396" s="2">
        <v>0.4375</v>
      </c>
      <c r="U1396">
        <v>1</v>
      </c>
      <c r="V1396" t="s">
        <v>20308</v>
      </c>
      <c r="W1396" t="s">
        <v>20309</v>
      </c>
      <c r="X1396" t="s">
        <v>20310</v>
      </c>
      <c r="Y1396" t="s">
        <v>20311</v>
      </c>
      <c r="Z1396" t="s">
        <v>20311</v>
      </c>
      <c r="AA1396" t="s">
        <v>20311</v>
      </c>
      <c r="AB1396" t="s">
        <v>20311</v>
      </c>
      <c r="AC1396" t="s">
        <v>20311</v>
      </c>
    </row>
    <row r="1397" spans="1:30">
      <c r="A1397" t="s">
        <v>20312</v>
      </c>
      <c r="B1397">
        <v>1</v>
      </c>
      <c r="C1397">
        <v>21</v>
      </c>
      <c r="D1397">
        <v>2004</v>
      </c>
      <c r="E1397" s="1">
        <v>38007</v>
      </c>
      <c r="F1397" t="s">
        <v>20313</v>
      </c>
      <c r="G1397">
        <v>1</v>
      </c>
      <c r="H1397">
        <v>0</v>
      </c>
      <c r="I1397">
        <v>1</v>
      </c>
      <c r="J1397">
        <v>1</v>
      </c>
      <c r="K1397" t="s">
        <v>20314</v>
      </c>
      <c r="L1397" t="s">
        <v>20315</v>
      </c>
      <c r="M1397" t="s">
        <v>20316</v>
      </c>
      <c r="N1397" t="s">
        <v>20317</v>
      </c>
      <c r="O1397" t="s">
        <v>20318</v>
      </c>
      <c r="P1397" t="s">
        <v>20319</v>
      </c>
      <c r="Q1397" t="s">
        <v>20320</v>
      </c>
      <c r="R1397" t="s">
        <v>20321</v>
      </c>
      <c r="S1397" t="s">
        <v>20322</v>
      </c>
      <c r="T1397" s="2">
        <v>0.70138888888888884</v>
      </c>
      <c r="U1397">
        <v>20</v>
      </c>
      <c r="V1397" t="s">
        <v>20323</v>
      </c>
      <c r="W1397" t="s">
        <v>20324</v>
      </c>
      <c r="X1397" t="s">
        <v>20325</v>
      </c>
      <c r="Y1397" t="s">
        <v>20326</v>
      </c>
      <c r="Z1397" t="s">
        <v>20327</v>
      </c>
      <c r="AA1397" t="s">
        <v>20328</v>
      </c>
      <c r="AB1397" t="s">
        <v>20328</v>
      </c>
      <c r="AC1397" t="s">
        <v>20329</v>
      </c>
      <c r="AD1397" t="s">
        <v>20329</v>
      </c>
    </row>
    <row r="1398" spans="1:30">
      <c r="A1398" t="s">
        <v>20330</v>
      </c>
      <c r="B1398">
        <v>1</v>
      </c>
      <c r="C1398">
        <v>15</v>
      </c>
      <c r="D1398">
        <v>2004</v>
      </c>
      <c r="E1398" s="1">
        <v>38001</v>
      </c>
      <c r="F1398" t="s">
        <v>20331</v>
      </c>
      <c r="G1398">
        <v>0</v>
      </c>
      <c r="H1398">
        <v>1</v>
      </c>
      <c r="I1398">
        <v>1</v>
      </c>
      <c r="J1398">
        <v>0</v>
      </c>
      <c r="L1398" t="s">
        <v>20332</v>
      </c>
      <c r="M1398" t="s">
        <v>20333</v>
      </c>
      <c r="N1398" t="s">
        <v>20334</v>
      </c>
      <c r="O1398" t="s">
        <v>20335</v>
      </c>
      <c r="P1398" t="s">
        <v>20336</v>
      </c>
      <c r="Q1398" t="s">
        <v>20337</v>
      </c>
      <c r="R1398" t="s">
        <v>20338</v>
      </c>
      <c r="S1398" t="s">
        <v>20339</v>
      </c>
      <c r="U1398">
        <v>1</v>
      </c>
      <c r="V1398" t="s">
        <v>20340</v>
      </c>
      <c r="W1398" t="s">
        <v>20341</v>
      </c>
      <c r="X1398" t="s">
        <v>20342</v>
      </c>
      <c r="Y1398" t="s">
        <v>20343</v>
      </c>
      <c r="Z1398" t="s">
        <v>20344</v>
      </c>
      <c r="AA1398" t="s">
        <v>20344</v>
      </c>
      <c r="AB1398" t="s">
        <v>20344</v>
      </c>
      <c r="AC1398" t="s">
        <v>20344</v>
      </c>
    </row>
    <row r="1399" spans="1:30">
      <c r="A1399" t="s">
        <v>20345</v>
      </c>
      <c r="B1399">
        <v>12</v>
      </c>
      <c r="C1399">
        <v>29</v>
      </c>
      <c r="D1399">
        <v>2003</v>
      </c>
      <c r="E1399" s="1">
        <v>37984</v>
      </c>
      <c r="F1399" t="s">
        <v>20346</v>
      </c>
      <c r="G1399">
        <v>1</v>
      </c>
      <c r="H1399">
        <v>1</v>
      </c>
      <c r="I1399">
        <v>2</v>
      </c>
      <c r="J1399">
        <v>0</v>
      </c>
      <c r="L1399" t="s">
        <v>20347</v>
      </c>
      <c r="M1399" t="s">
        <v>20348</v>
      </c>
      <c r="N1399" t="s">
        <v>20349</v>
      </c>
      <c r="O1399" t="s">
        <v>20350</v>
      </c>
      <c r="P1399" t="s">
        <v>20351</v>
      </c>
      <c r="Q1399" t="s">
        <v>20352</v>
      </c>
      <c r="R1399" t="s">
        <v>20353</v>
      </c>
      <c r="S1399" t="s">
        <v>20354</v>
      </c>
      <c r="T1399" s="2">
        <v>0.16666666666666666</v>
      </c>
      <c r="U1399">
        <v>1</v>
      </c>
      <c r="V1399" t="s">
        <v>20355</v>
      </c>
      <c r="W1399" t="s">
        <v>20356</v>
      </c>
      <c r="X1399" t="s">
        <v>20357</v>
      </c>
      <c r="Y1399" t="s">
        <v>20358</v>
      </c>
      <c r="Z1399" t="s">
        <v>20359</v>
      </c>
      <c r="AA1399" t="s">
        <v>20359</v>
      </c>
      <c r="AB1399" t="s">
        <v>20359</v>
      </c>
      <c r="AC1399" t="s">
        <v>20359</v>
      </c>
    </row>
    <row r="1400" spans="1:30">
      <c r="A1400" t="s">
        <v>20360</v>
      </c>
      <c r="B1400">
        <v>12</v>
      </c>
      <c r="C1400">
        <v>22</v>
      </c>
      <c r="D1400">
        <v>2003</v>
      </c>
      <c r="E1400" s="1">
        <v>37977</v>
      </c>
      <c r="F1400" t="s">
        <v>20361</v>
      </c>
      <c r="G1400">
        <v>0</v>
      </c>
      <c r="H1400">
        <v>1</v>
      </c>
      <c r="I1400">
        <v>1</v>
      </c>
      <c r="J1400">
        <v>0</v>
      </c>
      <c r="L1400" t="s">
        <v>20362</v>
      </c>
      <c r="M1400" t="s">
        <v>20363</v>
      </c>
      <c r="N1400" t="s">
        <v>20364</v>
      </c>
      <c r="O1400" t="s">
        <v>20365</v>
      </c>
      <c r="P1400" t="s">
        <v>20366</v>
      </c>
      <c r="Q1400" t="s">
        <v>20367</v>
      </c>
      <c r="R1400" t="s">
        <v>20368</v>
      </c>
      <c r="S1400" t="s">
        <v>20369</v>
      </c>
      <c r="T1400" s="2">
        <v>0.91666666666666663</v>
      </c>
      <c r="U1400">
        <v>1</v>
      </c>
      <c r="V1400" t="s">
        <v>20370</v>
      </c>
      <c r="W1400" t="s">
        <v>20371</v>
      </c>
      <c r="X1400" t="s">
        <v>20372</v>
      </c>
      <c r="Y1400" t="s">
        <v>20373</v>
      </c>
      <c r="Z1400" t="s">
        <v>20374</v>
      </c>
      <c r="AA1400" t="s">
        <v>20374</v>
      </c>
      <c r="AB1400" t="s">
        <v>20374</v>
      </c>
      <c r="AC1400" t="s">
        <v>20374</v>
      </c>
    </row>
    <row r="1401" spans="1:30">
      <c r="A1401" t="s">
        <v>20375</v>
      </c>
      <c r="B1401">
        <v>12</v>
      </c>
      <c r="C1401">
        <v>17</v>
      </c>
      <c r="D1401">
        <v>2003</v>
      </c>
      <c r="E1401" s="1">
        <v>37972</v>
      </c>
      <c r="F1401" t="s">
        <v>20376</v>
      </c>
      <c r="G1401">
        <v>0</v>
      </c>
      <c r="H1401">
        <v>0</v>
      </c>
      <c r="I1401">
        <v>0</v>
      </c>
      <c r="J1401">
        <v>0</v>
      </c>
      <c r="L1401" t="s">
        <v>20377</v>
      </c>
      <c r="M1401" t="s">
        <v>20378</v>
      </c>
      <c r="N1401" t="s">
        <v>20379</v>
      </c>
      <c r="O1401" t="s">
        <v>20380</v>
      </c>
      <c r="P1401" t="s">
        <v>20381</v>
      </c>
      <c r="Q1401" t="s">
        <v>20382</v>
      </c>
      <c r="R1401" t="s">
        <v>20383</v>
      </c>
      <c r="S1401" t="s">
        <v>20384</v>
      </c>
      <c r="U1401">
        <v>1</v>
      </c>
      <c r="V1401" t="s">
        <v>20385</v>
      </c>
      <c r="W1401" t="s">
        <v>20386</v>
      </c>
      <c r="Y1401" t="s">
        <v>20387</v>
      </c>
      <c r="Z1401" t="s">
        <v>20387</v>
      </c>
      <c r="AA1401" t="s">
        <v>20387</v>
      </c>
    </row>
    <row r="1402" spans="1:30">
      <c r="A1402" t="s">
        <v>20388</v>
      </c>
      <c r="B1402">
        <v>12</v>
      </c>
      <c r="C1402">
        <v>5</v>
      </c>
      <c r="D1402">
        <v>2003</v>
      </c>
      <c r="E1402" s="1">
        <v>37960</v>
      </c>
      <c r="F1402" t="s">
        <v>20389</v>
      </c>
      <c r="G1402">
        <v>0</v>
      </c>
      <c r="H1402">
        <v>1</v>
      </c>
      <c r="I1402">
        <v>1</v>
      </c>
      <c r="J1402">
        <v>0</v>
      </c>
      <c r="L1402" t="s">
        <v>20390</v>
      </c>
      <c r="M1402" t="s">
        <v>20391</v>
      </c>
      <c r="N1402" t="s">
        <v>20392</v>
      </c>
      <c r="O1402" t="s">
        <v>20393</v>
      </c>
      <c r="P1402" t="s">
        <v>20394</v>
      </c>
      <c r="Q1402" t="s">
        <v>20395</v>
      </c>
      <c r="R1402" t="s">
        <v>20396</v>
      </c>
      <c r="S1402" t="s">
        <v>20397</v>
      </c>
      <c r="U1402">
        <v>1</v>
      </c>
      <c r="V1402" t="s">
        <v>20398</v>
      </c>
      <c r="W1402" t="s">
        <v>20399</v>
      </c>
      <c r="X1402" t="s">
        <v>20400</v>
      </c>
      <c r="Y1402" t="s">
        <v>20401</v>
      </c>
      <c r="Z1402" t="s">
        <v>20401</v>
      </c>
      <c r="AA1402" t="s">
        <v>20401</v>
      </c>
      <c r="AB1402" t="s">
        <v>20401</v>
      </c>
      <c r="AC1402" t="s">
        <v>20401</v>
      </c>
    </row>
    <row r="1403" spans="1:30">
      <c r="A1403" t="s">
        <v>20402</v>
      </c>
      <c r="B1403">
        <v>12</v>
      </c>
      <c r="C1403">
        <v>4</v>
      </c>
      <c r="D1403">
        <v>2003</v>
      </c>
      <c r="E1403" s="1">
        <v>37959</v>
      </c>
      <c r="F1403" t="s">
        <v>20403</v>
      </c>
      <c r="G1403">
        <v>0</v>
      </c>
      <c r="H1403">
        <v>1</v>
      </c>
      <c r="I1403">
        <v>1</v>
      </c>
      <c r="J1403">
        <v>0</v>
      </c>
      <c r="L1403" t="s">
        <v>20404</v>
      </c>
      <c r="M1403" t="s">
        <v>20405</v>
      </c>
      <c r="N1403" t="s">
        <v>20406</v>
      </c>
      <c r="O1403" t="s">
        <v>20407</v>
      </c>
      <c r="P1403" t="s">
        <v>20408</v>
      </c>
      <c r="Q1403" t="s">
        <v>20409</v>
      </c>
      <c r="R1403" t="s">
        <v>20410</v>
      </c>
      <c r="S1403" t="s">
        <v>20411</v>
      </c>
      <c r="T1403" s="2">
        <v>0.59027777777777779</v>
      </c>
      <c r="U1403">
        <v>1</v>
      </c>
      <c r="V1403" t="s">
        <v>20412</v>
      </c>
      <c r="W1403" t="s">
        <v>20413</v>
      </c>
      <c r="X1403" t="s">
        <v>20414</v>
      </c>
      <c r="Y1403" t="s">
        <v>20415</v>
      </c>
      <c r="Z1403" t="s">
        <v>20415</v>
      </c>
      <c r="AA1403" t="s">
        <v>20415</v>
      </c>
      <c r="AB1403" t="s">
        <v>20415</v>
      </c>
      <c r="AC1403" t="s">
        <v>20415</v>
      </c>
    </row>
    <row r="1404" spans="1:30">
      <c r="A1404" t="s">
        <v>20416</v>
      </c>
      <c r="B1404">
        <v>12</v>
      </c>
      <c r="C1404">
        <v>2</v>
      </c>
      <c r="D1404">
        <v>2003</v>
      </c>
      <c r="E1404" s="1">
        <v>37957</v>
      </c>
      <c r="F1404" t="s">
        <v>20417</v>
      </c>
      <c r="G1404">
        <v>0</v>
      </c>
      <c r="H1404">
        <v>0</v>
      </c>
      <c r="I1404">
        <v>0</v>
      </c>
      <c r="J1404">
        <v>1</v>
      </c>
      <c r="L1404" t="s">
        <v>20418</v>
      </c>
      <c r="M1404" t="s">
        <v>20419</v>
      </c>
      <c r="N1404" t="s">
        <v>20420</v>
      </c>
      <c r="O1404" t="s">
        <v>20421</v>
      </c>
      <c r="P1404" t="s">
        <v>20422</v>
      </c>
      <c r="Q1404" t="s">
        <v>20423</v>
      </c>
      <c r="R1404" t="s">
        <v>20424</v>
      </c>
      <c r="S1404" t="s">
        <v>20425</v>
      </c>
      <c r="T1404" s="2">
        <v>0.90277777777777779</v>
      </c>
      <c r="U1404">
        <v>1</v>
      </c>
      <c r="V1404" t="s">
        <v>20426</v>
      </c>
      <c r="W1404" t="s">
        <v>20427</v>
      </c>
      <c r="X1404" t="s">
        <v>20428</v>
      </c>
      <c r="Y1404" t="s">
        <v>20429</v>
      </c>
      <c r="Z1404" t="s">
        <v>20429</v>
      </c>
      <c r="AA1404" t="s">
        <v>20429</v>
      </c>
      <c r="AB1404" t="s">
        <v>20429</v>
      </c>
      <c r="AC1404" t="s">
        <v>20429</v>
      </c>
    </row>
    <row r="1405" spans="1:30">
      <c r="A1405" t="s">
        <v>20430</v>
      </c>
      <c r="B1405">
        <v>11</v>
      </c>
      <c r="C1405">
        <v>13</v>
      </c>
      <c r="D1405">
        <v>2003</v>
      </c>
      <c r="E1405" s="1">
        <v>37938</v>
      </c>
      <c r="F1405" t="s">
        <v>20431</v>
      </c>
      <c r="G1405">
        <v>0</v>
      </c>
      <c r="H1405">
        <v>2</v>
      </c>
      <c r="I1405">
        <v>2</v>
      </c>
      <c r="J1405">
        <v>0</v>
      </c>
      <c r="L1405" t="s">
        <v>20432</v>
      </c>
      <c r="M1405" t="s">
        <v>20433</v>
      </c>
      <c r="N1405" t="s">
        <v>20434</v>
      </c>
      <c r="O1405" t="s">
        <v>20435</v>
      </c>
      <c r="P1405" t="s">
        <v>20436</v>
      </c>
      <c r="Q1405" t="s">
        <v>20437</v>
      </c>
      <c r="R1405" t="s">
        <v>20438</v>
      </c>
      <c r="S1405" t="s">
        <v>20439</v>
      </c>
      <c r="T1405" s="2">
        <v>0.48958333333333331</v>
      </c>
      <c r="U1405">
        <v>1</v>
      </c>
      <c r="V1405" t="s">
        <v>20440</v>
      </c>
      <c r="W1405" t="s">
        <v>20441</v>
      </c>
      <c r="X1405" t="s">
        <v>20442</v>
      </c>
      <c r="Y1405" t="s">
        <v>20443</v>
      </c>
      <c r="Z1405" t="s">
        <v>20443</v>
      </c>
      <c r="AA1405" t="s">
        <v>20443</v>
      </c>
      <c r="AB1405" t="s">
        <v>20443</v>
      </c>
      <c r="AC1405" t="s">
        <v>20443</v>
      </c>
    </row>
    <row r="1406" spans="1:30">
      <c r="A1406" t="s">
        <v>20444</v>
      </c>
      <c r="B1406">
        <v>11</v>
      </c>
      <c r="C1406">
        <v>8</v>
      </c>
      <c r="D1406">
        <v>2003</v>
      </c>
      <c r="E1406" s="1">
        <v>37933</v>
      </c>
      <c r="F1406" t="s">
        <v>20445</v>
      </c>
      <c r="G1406">
        <v>1</v>
      </c>
      <c r="H1406">
        <v>0</v>
      </c>
      <c r="I1406">
        <v>1</v>
      </c>
      <c r="J1406">
        <v>0</v>
      </c>
      <c r="L1406" t="s">
        <v>20446</v>
      </c>
      <c r="M1406" t="s">
        <v>20447</v>
      </c>
      <c r="N1406" t="s">
        <v>20448</v>
      </c>
      <c r="O1406" t="s">
        <v>20449</v>
      </c>
      <c r="P1406" t="s">
        <v>20450</v>
      </c>
      <c r="Q1406" t="s">
        <v>20451</v>
      </c>
      <c r="R1406" t="s">
        <v>20452</v>
      </c>
      <c r="S1406" t="s">
        <v>20453</v>
      </c>
      <c r="T1406" s="2">
        <v>0.88888888888888884</v>
      </c>
      <c r="U1406">
        <v>1</v>
      </c>
      <c r="V1406" t="s">
        <v>20454</v>
      </c>
      <c r="W1406" t="s">
        <v>20455</v>
      </c>
      <c r="X1406" t="s">
        <v>20456</v>
      </c>
      <c r="Y1406" t="s">
        <v>20457</v>
      </c>
      <c r="Z1406" t="s">
        <v>20457</v>
      </c>
      <c r="AA1406" t="s">
        <v>20457</v>
      </c>
      <c r="AB1406" t="s">
        <v>20457</v>
      </c>
      <c r="AC1406" t="s">
        <v>20457</v>
      </c>
    </row>
    <row r="1407" spans="1:30">
      <c r="A1407" t="s">
        <v>20458</v>
      </c>
      <c r="B1407">
        <v>10</v>
      </c>
      <c r="C1407">
        <v>30</v>
      </c>
      <c r="D1407">
        <v>2003</v>
      </c>
      <c r="E1407" s="1">
        <v>37924</v>
      </c>
      <c r="F1407" t="s">
        <v>20459</v>
      </c>
      <c r="G1407">
        <v>1</v>
      </c>
      <c r="H1407">
        <v>1</v>
      </c>
      <c r="I1407">
        <v>2</v>
      </c>
      <c r="J1407">
        <v>0</v>
      </c>
      <c r="L1407" t="s">
        <v>20460</v>
      </c>
      <c r="M1407" t="s">
        <v>20461</v>
      </c>
      <c r="N1407" t="s">
        <v>20462</v>
      </c>
      <c r="O1407" t="s">
        <v>20463</v>
      </c>
      <c r="P1407" t="s">
        <v>20464</v>
      </c>
      <c r="Q1407" t="s">
        <v>20465</v>
      </c>
      <c r="R1407" t="s">
        <v>20466</v>
      </c>
      <c r="S1407" t="s">
        <v>20467</v>
      </c>
      <c r="T1407" s="2">
        <v>0.63541666666666663</v>
      </c>
      <c r="U1407">
        <v>1</v>
      </c>
      <c r="V1407" t="s">
        <v>20468</v>
      </c>
      <c r="W1407" t="s">
        <v>20469</v>
      </c>
      <c r="X1407" t="s">
        <v>20470</v>
      </c>
      <c r="Y1407" t="s">
        <v>20471</v>
      </c>
      <c r="Z1407" t="s">
        <v>20471</v>
      </c>
      <c r="AA1407" t="s">
        <v>20471</v>
      </c>
      <c r="AB1407" t="s">
        <v>20471</v>
      </c>
      <c r="AC1407" t="s">
        <v>20471</v>
      </c>
    </row>
    <row r="1408" spans="1:30">
      <c r="A1408" t="s">
        <v>20472</v>
      </c>
      <c r="B1408">
        <v>10</v>
      </c>
      <c r="C1408">
        <v>29</v>
      </c>
      <c r="D1408">
        <v>2003</v>
      </c>
      <c r="E1408" s="1">
        <v>37923</v>
      </c>
      <c r="F1408" t="s">
        <v>20473</v>
      </c>
      <c r="G1408">
        <v>0</v>
      </c>
      <c r="H1408">
        <v>0</v>
      </c>
      <c r="I1408">
        <v>0</v>
      </c>
      <c r="J1408">
        <v>0</v>
      </c>
      <c r="L1408" t="s">
        <v>20474</v>
      </c>
      <c r="M1408" t="s">
        <v>20475</v>
      </c>
      <c r="N1408" t="s">
        <v>20476</v>
      </c>
      <c r="O1408" t="s">
        <v>20477</v>
      </c>
      <c r="P1408" t="s">
        <v>20478</v>
      </c>
      <c r="Q1408" t="s">
        <v>20479</v>
      </c>
      <c r="R1408" t="s">
        <v>20480</v>
      </c>
      <c r="S1408" t="s">
        <v>20481</v>
      </c>
      <c r="T1408" s="2">
        <v>0.32986111111111116</v>
      </c>
      <c r="V1408" t="s">
        <v>20482</v>
      </c>
      <c r="W1408" t="s">
        <v>20483</v>
      </c>
      <c r="Y1408" t="s">
        <v>20484</v>
      </c>
      <c r="Z1408" t="s">
        <v>20485</v>
      </c>
      <c r="AA1408" t="s">
        <v>20486</v>
      </c>
      <c r="AB1408" t="s">
        <v>20486</v>
      </c>
      <c r="AC1408" t="s">
        <v>20486</v>
      </c>
      <c r="AD1408" t="s">
        <v>20487</v>
      </c>
    </row>
    <row r="1409" spans="1:30">
      <c r="A1409" t="s">
        <v>20488</v>
      </c>
      <c r="B1409">
        <v>10</v>
      </c>
      <c r="C1409">
        <v>7</v>
      </c>
      <c r="D1409">
        <v>2003</v>
      </c>
      <c r="E1409" s="1">
        <v>37901</v>
      </c>
      <c r="F1409" t="s">
        <v>20489</v>
      </c>
      <c r="G1409">
        <v>0</v>
      </c>
      <c r="H1409">
        <v>1</v>
      </c>
      <c r="I1409">
        <v>1</v>
      </c>
      <c r="J1409">
        <v>0</v>
      </c>
      <c r="L1409" t="s">
        <v>20490</v>
      </c>
      <c r="M1409" t="s">
        <v>20491</v>
      </c>
      <c r="N1409" t="s">
        <v>20492</v>
      </c>
      <c r="O1409" t="s">
        <v>20493</v>
      </c>
      <c r="P1409" t="s">
        <v>20494</v>
      </c>
      <c r="Q1409" t="s">
        <v>20495</v>
      </c>
      <c r="R1409" t="s">
        <v>20496</v>
      </c>
      <c r="S1409" t="s">
        <v>20497</v>
      </c>
      <c r="U1409">
        <v>1</v>
      </c>
      <c r="V1409" t="s">
        <v>20498</v>
      </c>
      <c r="W1409" t="s">
        <v>20499</v>
      </c>
      <c r="X1409" t="s">
        <v>20500</v>
      </c>
      <c r="Y1409" t="s">
        <v>20501</v>
      </c>
      <c r="Z1409" t="s">
        <v>20501</v>
      </c>
      <c r="AA1409" t="s">
        <v>20501</v>
      </c>
      <c r="AB1409" t="s">
        <v>20501</v>
      </c>
      <c r="AC1409" t="s">
        <v>20501</v>
      </c>
    </row>
    <row r="1410" spans="1:30">
      <c r="A1410" t="s">
        <v>20502</v>
      </c>
      <c r="B1410">
        <v>10</v>
      </c>
      <c r="C1410">
        <v>1</v>
      </c>
      <c r="D1410">
        <v>2003</v>
      </c>
      <c r="E1410" s="1">
        <v>37895</v>
      </c>
      <c r="F1410" t="s">
        <v>20503</v>
      </c>
      <c r="G1410">
        <v>0</v>
      </c>
      <c r="H1410">
        <v>1</v>
      </c>
      <c r="I1410">
        <v>1</v>
      </c>
      <c r="J1410">
        <v>0</v>
      </c>
      <c r="L1410" t="s">
        <v>20504</v>
      </c>
      <c r="M1410" t="s">
        <v>20505</v>
      </c>
      <c r="N1410" t="s">
        <v>20506</v>
      </c>
      <c r="O1410" t="s">
        <v>20507</v>
      </c>
      <c r="P1410" t="s">
        <v>20508</v>
      </c>
      <c r="Q1410" t="s">
        <v>20509</v>
      </c>
      <c r="R1410" t="s">
        <v>20510</v>
      </c>
      <c r="S1410" t="s">
        <v>20511</v>
      </c>
      <c r="T1410" s="2">
        <v>0.375</v>
      </c>
      <c r="V1410" t="s">
        <v>20512</v>
      </c>
      <c r="W1410" t="s">
        <v>20513</v>
      </c>
      <c r="X1410" t="s">
        <v>20514</v>
      </c>
      <c r="Y1410" t="s">
        <v>20515</v>
      </c>
      <c r="Z1410" t="s">
        <v>20515</v>
      </c>
      <c r="AA1410" t="s">
        <v>20515</v>
      </c>
      <c r="AB1410" t="s">
        <v>20515</v>
      </c>
      <c r="AC1410" t="s">
        <v>20516</v>
      </c>
    </row>
    <row r="1411" spans="1:30">
      <c r="A1411" t="s">
        <v>20517</v>
      </c>
      <c r="B1411">
        <v>9</v>
      </c>
      <c r="C1411">
        <v>25</v>
      </c>
      <c r="D1411">
        <v>2003</v>
      </c>
      <c r="E1411" s="1">
        <v>37889</v>
      </c>
      <c r="F1411" t="s">
        <v>20518</v>
      </c>
      <c r="G1411">
        <v>0</v>
      </c>
      <c r="H1411">
        <v>0</v>
      </c>
      <c r="I1411">
        <v>0</v>
      </c>
      <c r="J1411">
        <v>0</v>
      </c>
      <c r="L1411" t="s">
        <v>20519</v>
      </c>
      <c r="M1411" t="s">
        <v>20520</v>
      </c>
      <c r="N1411" t="s">
        <v>20521</v>
      </c>
      <c r="O1411" t="s">
        <v>20522</v>
      </c>
      <c r="P1411" t="s">
        <v>20523</v>
      </c>
      <c r="Q1411" t="s">
        <v>20524</v>
      </c>
      <c r="R1411" t="s">
        <v>20525</v>
      </c>
      <c r="S1411" t="s">
        <v>20526</v>
      </c>
      <c r="T1411" s="2">
        <v>0.33333333333333331</v>
      </c>
      <c r="U1411">
        <v>1</v>
      </c>
      <c r="V1411" t="s">
        <v>20527</v>
      </c>
      <c r="W1411" t="s">
        <v>20528</v>
      </c>
      <c r="X1411" t="s">
        <v>20529</v>
      </c>
      <c r="Y1411" t="s">
        <v>20530</v>
      </c>
      <c r="Z1411" t="s">
        <v>20530</v>
      </c>
      <c r="AA1411" t="s">
        <v>20530</v>
      </c>
      <c r="AB1411" t="s">
        <v>20530</v>
      </c>
      <c r="AD1411" t="s">
        <v>20531</v>
      </c>
    </row>
    <row r="1412" spans="1:30">
      <c r="A1412" t="s">
        <v>20532</v>
      </c>
      <c r="B1412">
        <v>9</v>
      </c>
      <c r="C1412">
        <v>24</v>
      </c>
      <c r="D1412">
        <v>2003</v>
      </c>
      <c r="E1412" s="1">
        <v>37888</v>
      </c>
      <c r="F1412" t="s">
        <v>20533</v>
      </c>
      <c r="G1412">
        <v>2</v>
      </c>
      <c r="H1412">
        <v>0</v>
      </c>
      <c r="I1412">
        <v>2</v>
      </c>
      <c r="J1412">
        <v>0</v>
      </c>
      <c r="L1412" t="s">
        <v>20534</v>
      </c>
      <c r="M1412" t="s">
        <v>20535</v>
      </c>
      <c r="N1412" t="s">
        <v>20536</v>
      </c>
      <c r="O1412" t="s">
        <v>20537</v>
      </c>
      <c r="P1412" t="s">
        <v>20538</v>
      </c>
      <c r="Q1412" t="s">
        <v>20539</v>
      </c>
      <c r="R1412" t="s">
        <v>20540</v>
      </c>
      <c r="S1412" t="s">
        <v>20541</v>
      </c>
      <c r="T1412" s="2">
        <v>0.48472222222222222</v>
      </c>
      <c r="U1412">
        <v>2</v>
      </c>
      <c r="V1412" t="s">
        <v>20542</v>
      </c>
      <c r="W1412" t="s">
        <v>20543</v>
      </c>
      <c r="X1412" t="s">
        <v>20544</v>
      </c>
      <c r="Y1412" t="s">
        <v>20545</v>
      </c>
      <c r="Z1412" t="s">
        <v>20545</v>
      </c>
      <c r="AA1412" t="s">
        <v>20545</v>
      </c>
      <c r="AB1412" t="s">
        <v>20546</v>
      </c>
      <c r="AC1412" t="s">
        <v>20547</v>
      </c>
      <c r="AD1412" t="s">
        <v>20548</v>
      </c>
    </row>
    <row r="1413" spans="1:30">
      <c r="A1413" t="s">
        <v>20549</v>
      </c>
      <c r="B1413">
        <v>9</v>
      </c>
      <c r="C1413">
        <v>22</v>
      </c>
      <c r="D1413">
        <v>2003</v>
      </c>
      <c r="E1413" s="1">
        <v>37886</v>
      </c>
      <c r="F1413" t="s">
        <v>20550</v>
      </c>
      <c r="G1413">
        <v>0</v>
      </c>
      <c r="H1413">
        <v>1</v>
      </c>
      <c r="I1413">
        <v>1</v>
      </c>
      <c r="J1413">
        <v>0</v>
      </c>
      <c r="L1413" t="s">
        <v>20551</v>
      </c>
      <c r="M1413" t="s">
        <v>20552</v>
      </c>
      <c r="N1413" t="s">
        <v>20553</v>
      </c>
      <c r="O1413" t="s">
        <v>20554</v>
      </c>
      <c r="P1413" t="s">
        <v>20555</v>
      </c>
      <c r="Q1413" t="s">
        <v>20556</v>
      </c>
      <c r="R1413" t="s">
        <v>20557</v>
      </c>
      <c r="S1413" t="s">
        <v>20558</v>
      </c>
      <c r="T1413" s="2">
        <v>0.46527777777777773</v>
      </c>
      <c r="U1413">
        <v>95</v>
      </c>
      <c r="V1413" t="s">
        <v>20559</v>
      </c>
      <c r="W1413" t="s">
        <v>20560</v>
      </c>
      <c r="Y1413" t="s">
        <v>20561</v>
      </c>
      <c r="Z1413" t="s">
        <v>20562</v>
      </c>
      <c r="AA1413" t="s">
        <v>20562</v>
      </c>
      <c r="AC1413" t="s">
        <v>20563</v>
      </c>
      <c r="AD1413" t="s">
        <v>20564</v>
      </c>
    </row>
    <row r="1414" spans="1:30">
      <c r="A1414" t="s">
        <v>20565</v>
      </c>
      <c r="B1414">
        <v>9</v>
      </c>
      <c r="C1414">
        <v>17</v>
      </c>
      <c r="D1414">
        <v>2003</v>
      </c>
      <c r="E1414" s="1">
        <v>37881</v>
      </c>
      <c r="F1414" t="s">
        <v>20566</v>
      </c>
      <c r="G1414">
        <v>0</v>
      </c>
      <c r="H1414">
        <v>2</v>
      </c>
      <c r="I1414">
        <v>2</v>
      </c>
      <c r="J1414">
        <v>0</v>
      </c>
      <c r="L1414" t="s">
        <v>20567</v>
      </c>
      <c r="M1414" t="s">
        <v>20568</v>
      </c>
      <c r="N1414" t="s">
        <v>20569</v>
      </c>
      <c r="O1414" t="s">
        <v>20570</v>
      </c>
      <c r="P1414" t="s">
        <v>20571</v>
      </c>
      <c r="Q1414" t="s">
        <v>20572</v>
      </c>
      <c r="R1414" t="s">
        <v>20573</v>
      </c>
      <c r="S1414" t="s">
        <v>20574</v>
      </c>
      <c r="T1414" s="2">
        <v>0.58333333333333337</v>
      </c>
      <c r="U1414">
        <v>1</v>
      </c>
      <c r="V1414" t="s">
        <v>20575</v>
      </c>
      <c r="W1414" t="s">
        <v>20576</v>
      </c>
      <c r="X1414" t="s">
        <v>20577</v>
      </c>
      <c r="Y1414" t="s">
        <v>20578</v>
      </c>
      <c r="Z1414" t="s">
        <v>20578</v>
      </c>
      <c r="AA1414" t="s">
        <v>20578</v>
      </c>
      <c r="AB1414" t="s">
        <v>20578</v>
      </c>
      <c r="AC1414" t="s">
        <v>20578</v>
      </c>
    </row>
    <row r="1415" spans="1:30">
      <c r="A1415" t="s">
        <v>20579</v>
      </c>
      <c r="B1415">
        <v>9</v>
      </c>
      <c r="C1415">
        <v>17</v>
      </c>
      <c r="D1415">
        <v>2003</v>
      </c>
      <c r="E1415" s="1">
        <v>37881</v>
      </c>
      <c r="F1415" t="s">
        <v>20580</v>
      </c>
      <c r="G1415">
        <v>0</v>
      </c>
      <c r="H1415">
        <v>0</v>
      </c>
      <c r="I1415">
        <v>0</v>
      </c>
      <c r="J1415">
        <v>0</v>
      </c>
      <c r="L1415" t="s">
        <v>20581</v>
      </c>
      <c r="M1415" t="s">
        <v>20582</v>
      </c>
      <c r="N1415" t="s">
        <v>20583</v>
      </c>
      <c r="O1415" t="s">
        <v>20584</v>
      </c>
      <c r="P1415" t="s">
        <v>20585</v>
      </c>
      <c r="Q1415" t="s">
        <v>20586</v>
      </c>
      <c r="R1415" t="s">
        <v>20587</v>
      </c>
      <c r="S1415" t="s">
        <v>20588</v>
      </c>
      <c r="T1415" s="2">
        <v>0.41666666666666669</v>
      </c>
      <c r="U1415">
        <v>1</v>
      </c>
      <c r="V1415" t="s">
        <v>20589</v>
      </c>
      <c r="W1415" t="s">
        <v>20590</v>
      </c>
      <c r="Y1415" t="s">
        <v>20591</v>
      </c>
      <c r="Z1415" t="s">
        <v>20591</v>
      </c>
      <c r="AA1415" t="s">
        <v>20591</v>
      </c>
      <c r="AB1415" t="s">
        <v>20591</v>
      </c>
      <c r="AC1415" t="s">
        <v>20591</v>
      </c>
    </row>
    <row r="1416" spans="1:30">
      <c r="A1416" t="s">
        <v>20592</v>
      </c>
      <c r="B1416">
        <v>9</v>
      </c>
      <c r="C1416">
        <v>10</v>
      </c>
      <c r="D1416">
        <v>2003</v>
      </c>
      <c r="E1416" s="1">
        <v>37874</v>
      </c>
      <c r="F1416" t="s">
        <v>20593</v>
      </c>
      <c r="G1416">
        <v>1</v>
      </c>
      <c r="H1416">
        <v>0</v>
      </c>
      <c r="I1416">
        <v>1</v>
      </c>
      <c r="J1416">
        <v>0</v>
      </c>
      <c r="L1416" t="s">
        <v>20594</v>
      </c>
      <c r="M1416" t="s">
        <v>20595</v>
      </c>
      <c r="N1416" t="s">
        <v>20596</v>
      </c>
      <c r="O1416" t="s">
        <v>20597</v>
      </c>
      <c r="P1416" t="s">
        <v>20598</v>
      </c>
      <c r="Q1416" t="s">
        <v>20599</v>
      </c>
      <c r="R1416" t="s">
        <v>20600</v>
      </c>
      <c r="S1416" t="s">
        <v>20601</v>
      </c>
      <c r="T1416" s="2">
        <v>0.60416666666666674</v>
      </c>
      <c r="U1416">
        <v>1</v>
      </c>
      <c r="V1416" t="s">
        <v>20602</v>
      </c>
      <c r="W1416" t="s">
        <v>20603</v>
      </c>
      <c r="X1416" t="s">
        <v>20604</v>
      </c>
      <c r="Y1416" t="s">
        <v>20605</v>
      </c>
      <c r="Z1416" t="s">
        <v>20605</v>
      </c>
      <c r="AA1416" t="s">
        <v>20605</v>
      </c>
      <c r="AB1416" t="s">
        <v>20605</v>
      </c>
      <c r="AC1416" t="s">
        <v>20605</v>
      </c>
    </row>
    <row r="1417" spans="1:30">
      <c r="A1417" t="s">
        <v>20606</v>
      </c>
      <c r="B1417">
        <v>6</v>
      </c>
      <c r="C1417">
        <v>4</v>
      </c>
      <c r="D1417">
        <v>2003</v>
      </c>
      <c r="E1417" s="1">
        <v>37776</v>
      </c>
      <c r="F1417" t="s">
        <v>20607</v>
      </c>
      <c r="G1417">
        <v>0</v>
      </c>
      <c r="H1417">
        <v>0</v>
      </c>
      <c r="I1417">
        <v>0</v>
      </c>
      <c r="J1417">
        <v>1</v>
      </c>
      <c r="L1417" t="s">
        <v>20608</v>
      </c>
      <c r="M1417" t="s">
        <v>20609</v>
      </c>
      <c r="N1417" t="s">
        <v>20610</v>
      </c>
      <c r="O1417" t="s">
        <v>20611</v>
      </c>
      <c r="P1417" t="s">
        <v>20612</v>
      </c>
      <c r="Q1417" t="s">
        <v>20613</v>
      </c>
      <c r="R1417" t="s">
        <v>20614</v>
      </c>
      <c r="S1417" t="s">
        <v>20615</v>
      </c>
      <c r="T1417" s="2">
        <v>0.34513888888888888</v>
      </c>
      <c r="U1417">
        <v>1</v>
      </c>
      <c r="V1417" t="s">
        <v>20616</v>
      </c>
      <c r="W1417" t="s">
        <v>20617</v>
      </c>
      <c r="Y1417" t="s">
        <v>20618</v>
      </c>
      <c r="Z1417" t="s">
        <v>20619</v>
      </c>
      <c r="AA1417" t="s">
        <v>20619</v>
      </c>
      <c r="AB1417" t="s">
        <v>20619</v>
      </c>
      <c r="AC1417" t="s">
        <v>20619</v>
      </c>
      <c r="AD1417" t="s">
        <v>20620</v>
      </c>
    </row>
    <row r="1418" spans="1:30">
      <c r="A1418" t="s">
        <v>20621</v>
      </c>
      <c r="B1418">
        <v>5</v>
      </c>
      <c r="C1418">
        <v>13</v>
      </c>
      <c r="D1418">
        <v>2003</v>
      </c>
      <c r="E1418" s="1">
        <v>37754</v>
      </c>
      <c r="F1418" t="s">
        <v>20622</v>
      </c>
      <c r="G1418">
        <v>0</v>
      </c>
      <c r="H1418">
        <v>0</v>
      </c>
      <c r="I1418">
        <v>0</v>
      </c>
      <c r="J1418">
        <v>1</v>
      </c>
      <c r="L1418" t="s">
        <v>20623</v>
      </c>
      <c r="M1418" t="s">
        <v>20624</v>
      </c>
      <c r="N1418" t="s">
        <v>20625</v>
      </c>
      <c r="O1418" t="s">
        <v>20626</v>
      </c>
      <c r="P1418" t="s">
        <v>20627</v>
      </c>
      <c r="Q1418" t="s">
        <v>20628</v>
      </c>
      <c r="R1418" t="s">
        <v>20629</v>
      </c>
      <c r="S1418" t="s">
        <v>20630</v>
      </c>
      <c r="U1418">
        <v>1</v>
      </c>
      <c r="V1418" t="s">
        <v>20631</v>
      </c>
      <c r="W1418" t="s">
        <v>20632</v>
      </c>
      <c r="X1418" t="s">
        <v>20633</v>
      </c>
      <c r="Y1418" t="s">
        <v>20634</v>
      </c>
      <c r="Z1418" t="s">
        <v>20634</v>
      </c>
      <c r="AA1418" t="s">
        <v>20634</v>
      </c>
      <c r="AB1418" t="s">
        <v>20634</v>
      </c>
      <c r="AC1418" t="s">
        <v>20634</v>
      </c>
    </row>
    <row r="1419" spans="1:30">
      <c r="A1419" t="s">
        <v>20635</v>
      </c>
      <c r="B1419">
        <v>4</v>
      </c>
      <c r="C1419">
        <v>24</v>
      </c>
      <c r="D1419">
        <v>2003</v>
      </c>
      <c r="E1419" s="1">
        <v>37735</v>
      </c>
      <c r="F1419" t="s">
        <v>20636</v>
      </c>
      <c r="G1419">
        <v>1</v>
      </c>
      <c r="H1419">
        <v>0</v>
      </c>
      <c r="I1419">
        <v>1</v>
      </c>
      <c r="J1419">
        <v>1</v>
      </c>
      <c r="L1419" t="s">
        <v>20637</v>
      </c>
      <c r="M1419" t="s">
        <v>20638</v>
      </c>
      <c r="N1419" t="s">
        <v>20639</v>
      </c>
      <c r="O1419" t="s">
        <v>20640</v>
      </c>
      <c r="P1419" t="s">
        <v>20641</v>
      </c>
      <c r="Q1419" t="s">
        <v>20642</v>
      </c>
      <c r="R1419" t="s">
        <v>20643</v>
      </c>
      <c r="S1419" t="s">
        <v>20644</v>
      </c>
      <c r="T1419" s="2">
        <v>0.31527777777777777</v>
      </c>
      <c r="U1419">
        <v>1</v>
      </c>
      <c r="V1419" t="s">
        <v>20645</v>
      </c>
      <c r="W1419" t="s">
        <v>20646</v>
      </c>
      <c r="X1419" t="s">
        <v>20647</v>
      </c>
      <c r="Y1419" t="s">
        <v>20648</v>
      </c>
      <c r="Z1419" t="s">
        <v>20648</v>
      </c>
      <c r="AA1419" t="s">
        <v>20648</v>
      </c>
      <c r="AB1419" t="s">
        <v>20648</v>
      </c>
      <c r="AC1419" t="s">
        <v>20648</v>
      </c>
      <c r="AD1419" t="s">
        <v>20649</v>
      </c>
    </row>
    <row r="1420" spans="1:30">
      <c r="A1420" t="s">
        <v>20650</v>
      </c>
      <c r="B1420">
        <v>4</v>
      </c>
      <c r="C1420">
        <v>16</v>
      </c>
      <c r="D1420">
        <v>2003</v>
      </c>
      <c r="E1420" s="1">
        <v>37727</v>
      </c>
      <c r="F1420" t="s">
        <v>20651</v>
      </c>
      <c r="G1420">
        <v>0</v>
      </c>
      <c r="H1420">
        <v>0</v>
      </c>
      <c r="I1420">
        <v>0</v>
      </c>
      <c r="J1420">
        <v>1</v>
      </c>
      <c r="L1420" t="s">
        <v>20652</v>
      </c>
      <c r="M1420" t="s">
        <v>20653</v>
      </c>
      <c r="N1420" t="s">
        <v>20654</v>
      </c>
      <c r="O1420" t="s">
        <v>20655</v>
      </c>
      <c r="P1420" t="s">
        <v>20656</v>
      </c>
      <c r="Q1420" t="s">
        <v>20657</v>
      </c>
      <c r="R1420" t="s">
        <v>20658</v>
      </c>
      <c r="S1420" t="s">
        <v>20659</v>
      </c>
      <c r="T1420" s="2">
        <v>0.63194444444444442</v>
      </c>
      <c r="U1420">
        <v>1</v>
      </c>
      <c r="V1420" t="s">
        <v>20660</v>
      </c>
      <c r="W1420" t="s">
        <v>20661</v>
      </c>
      <c r="X1420" t="s">
        <v>20662</v>
      </c>
      <c r="Y1420" t="s">
        <v>20663</v>
      </c>
      <c r="Z1420" t="s">
        <v>20663</v>
      </c>
      <c r="AA1420" t="s">
        <v>20663</v>
      </c>
      <c r="AC1420" t="s">
        <v>20663</v>
      </c>
    </row>
    <row r="1421" spans="1:30">
      <c r="A1421" t="s">
        <v>20664</v>
      </c>
      <c r="B1421">
        <v>4</v>
      </c>
      <c r="C1421">
        <v>14</v>
      </c>
      <c r="D1421">
        <v>2003</v>
      </c>
      <c r="E1421" s="1">
        <v>37725</v>
      </c>
      <c r="F1421" t="s">
        <v>20665</v>
      </c>
      <c r="G1421">
        <v>1</v>
      </c>
      <c r="H1421">
        <v>4</v>
      </c>
      <c r="I1421">
        <v>5</v>
      </c>
      <c r="J1421">
        <v>0</v>
      </c>
      <c r="L1421" t="s">
        <v>20666</v>
      </c>
      <c r="M1421" t="s">
        <v>20667</v>
      </c>
      <c r="N1421" t="s">
        <v>20668</v>
      </c>
      <c r="O1421" t="s">
        <v>20669</v>
      </c>
      <c r="P1421" t="s">
        <v>20670</v>
      </c>
      <c r="Q1421" t="s">
        <v>20671</v>
      </c>
      <c r="R1421" t="s">
        <v>20672</v>
      </c>
      <c r="S1421" t="s">
        <v>20673</v>
      </c>
      <c r="T1421" s="2">
        <v>0.42708333333333337</v>
      </c>
      <c r="U1421">
        <v>1</v>
      </c>
      <c r="V1421" t="s">
        <v>20674</v>
      </c>
      <c r="W1421" t="s">
        <v>20675</v>
      </c>
      <c r="X1421" t="s">
        <v>20676</v>
      </c>
      <c r="Y1421" t="s">
        <v>20677</v>
      </c>
      <c r="Z1421" t="s">
        <v>20678</v>
      </c>
      <c r="AA1421" t="s">
        <v>20678</v>
      </c>
      <c r="AB1421" t="s">
        <v>20678</v>
      </c>
      <c r="AC1421" t="s">
        <v>20678</v>
      </c>
      <c r="AD1421" t="s">
        <v>20679</v>
      </c>
    </row>
    <row r="1422" spans="1:30">
      <c r="A1422" t="s">
        <v>20680</v>
      </c>
      <c r="B1422">
        <v>4</v>
      </c>
      <c r="C1422">
        <v>14</v>
      </c>
      <c r="D1422">
        <v>2003</v>
      </c>
      <c r="E1422" s="1">
        <v>37725</v>
      </c>
      <c r="F1422" t="s">
        <v>20681</v>
      </c>
      <c r="G1422">
        <v>0</v>
      </c>
      <c r="H1422">
        <v>1</v>
      </c>
      <c r="I1422">
        <v>1</v>
      </c>
      <c r="J1422">
        <v>0</v>
      </c>
      <c r="L1422" t="s">
        <v>20682</v>
      </c>
      <c r="M1422" t="s">
        <v>20683</v>
      </c>
      <c r="N1422" t="s">
        <v>20684</v>
      </c>
      <c r="O1422" t="s">
        <v>20685</v>
      </c>
      <c r="P1422" t="s">
        <v>20686</v>
      </c>
      <c r="Q1422" t="s">
        <v>20687</v>
      </c>
      <c r="R1422" t="s">
        <v>20688</v>
      </c>
      <c r="S1422" t="s">
        <v>20689</v>
      </c>
      <c r="T1422" s="2">
        <v>0.4375</v>
      </c>
      <c r="U1422">
        <v>1</v>
      </c>
      <c r="V1422" t="s">
        <v>20690</v>
      </c>
      <c r="W1422" t="s">
        <v>20691</v>
      </c>
      <c r="X1422" t="s">
        <v>20692</v>
      </c>
      <c r="Y1422" t="s">
        <v>20693</v>
      </c>
      <c r="Z1422" t="s">
        <v>20693</v>
      </c>
      <c r="AA1422" t="s">
        <v>20693</v>
      </c>
      <c r="AB1422" t="s">
        <v>20693</v>
      </c>
      <c r="AC1422" t="s">
        <v>20693</v>
      </c>
    </row>
    <row r="1423" spans="1:30">
      <c r="A1423" t="s">
        <v>20694</v>
      </c>
      <c r="B1423">
        <v>4</v>
      </c>
      <c r="C1423">
        <v>10</v>
      </c>
      <c r="D1423">
        <v>2003</v>
      </c>
      <c r="E1423" s="1">
        <v>37721</v>
      </c>
      <c r="F1423" t="s">
        <v>20695</v>
      </c>
      <c r="G1423">
        <v>0</v>
      </c>
      <c r="H1423">
        <v>0</v>
      </c>
      <c r="I1423">
        <v>0</v>
      </c>
      <c r="J1423">
        <v>1</v>
      </c>
      <c r="K1423" t="s">
        <v>20696</v>
      </c>
      <c r="L1423" t="s">
        <v>20697</v>
      </c>
      <c r="M1423" t="s">
        <v>20698</v>
      </c>
      <c r="N1423" t="s">
        <v>20699</v>
      </c>
      <c r="O1423" t="s">
        <v>20700</v>
      </c>
      <c r="P1423" t="s">
        <v>20701</v>
      </c>
      <c r="Q1423" t="s">
        <v>20702</v>
      </c>
      <c r="R1423" t="s">
        <v>20703</v>
      </c>
      <c r="S1423" t="s">
        <v>20704</v>
      </c>
      <c r="T1423" s="2">
        <v>0.50694444444444442</v>
      </c>
      <c r="U1423">
        <v>1</v>
      </c>
      <c r="V1423" t="s">
        <v>20705</v>
      </c>
      <c r="W1423" t="s">
        <v>20706</v>
      </c>
      <c r="X1423" t="s">
        <v>20707</v>
      </c>
      <c r="Y1423" t="s">
        <v>20708</v>
      </c>
      <c r="Z1423" t="s">
        <v>20708</v>
      </c>
      <c r="AA1423" t="s">
        <v>20708</v>
      </c>
      <c r="AB1423" t="s">
        <v>20708</v>
      </c>
      <c r="AC1423" t="s">
        <v>20708</v>
      </c>
      <c r="AD1423" t="s">
        <v>20708</v>
      </c>
    </row>
    <row r="1424" spans="1:30">
      <c r="A1424" t="s">
        <v>20709</v>
      </c>
      <c r="B1424">
        <v>4</v>
      </c>
      <c r="C1424">
        <v>1</v>
      </c>
      <c r="D1424">
        <v>2003</v>
      </c>
      <c r="E1424" s="1">
        <v>37712</v>
      </c>
      <c r="F1424" t="s">
        <v>20710</v>
      </c>
      <c r="G1424">
        <v>0</v>
      </c>
      <c r="H1424">
        <v>1</v>
      </c>
      <c r="I1424">
        <v>1</v>
      </c>
      <c r="J1424">
        <v>0</v>
      </c>
      <c r="L1424" t="s">
        <v>20711</v>
      </c>
      <c r="M1424" t="s">
        <v>20712</v>
      </c>
      <c r="N1424" t="s">
        <v>20713</v>
      </c>
      <c r="O1424" t="s">
        <v>20714</v>
      </c>
      <c r="P1424" t="s">
        <v>20715</v>
      </c>
      <c r="Q1424" t="s">
        <v>20716</v>
      </c>
      <c r="R1424" t="s">
        <v>20717</v>
      </c>
      <c r="S1424" t="s">
        <v>20718</v>
      </c>
      <c r="T1424" s="2">
        <v>0.51041666666666663</v>
      </c>
      <c r="U1424">
        <v>1</v>
      </c>
      <c r="V1424" t="s">
        <v>20719</v>
      </c>
      <c r="W1424" t="s">
        <v>20720</v>
      </c>
      <c r="X1424" t="s">
        <v>20721</v>
      </c>
      <c r="Y1424" t="s">
        <v>20722</v>
      </c>
      <c r="Z1424" t="s">
        <v>20722</v>
      </c>
      <c r="AA1424" t="s">
        <v>20722</v>
      </c>
      <c r="AB1424" t="s">
        <v>20722</v>
      </c>
      <c r="AC1424" t="s">
        <v>20722</v>
      </c>
    </row>
    <row r="1425" spans="1:30">
      <c r="A1425" t="s">
        <v>20723</v>
      </c>
      <c r="B1425">
        <v>3</v>
      </c>
      <c r="C1425">
        <v>30</v>
      </c>
      <c r="D1425">
        <v>2003</v>
      </c>
      <c r="E1425" s="1">
        <v>37710</v>
      </c>
      <c r="F1425" t="s">
        <v>20724</v>
      </c>
      <c r="G1425">
        <v>1</v>
      </c>
      <c r="H1425">
        <v>0</v>
      </c>
      <c r="I1425">
        <v>1</v>
      </c>
      <c r="J1425">
        <v>0</v>
      </c>
      <c r="L1425" t="s">
        <v>20725</v>
      </c>
      <c r="M1425" t="s">
        <v>20726</v>
      </c>
      <c r="N1425" t="s">
        <v>20727</v>
      </c>
      <c r="O1425" t="s">
        <v>20728</v>
      </c>
      <c r="P1425" t="s">
        <v>20729</v>
      </c>
      <c r="Q1425" t="s">
        <v>20730</v>
      </c>
      <c r="R1425" t="s">
        <v>20731</v>
      </c>
      <c r="S1425" t="s">
        <v>20732</v>
      </c>
      <c r="T1425" s="2">
        <v>0.77777777777777779</v>
      </c>
      <c r="U1425">
        <v>1</v>
      </c>
      <c r="V1425" t="s">
        <v>20733</v>
      </c>
      <c r="W1425" t="s">
        <v>20734</v>
      </c>
      <c r="X1425" t="s">
        <v>20735</v>
      </c>
      <c r="Y1425" t="s">
        <v>20736</v>
      </c>
      <c r="Z1425" t="s">
        <v>20736</v>
      </c>
      <c r="AA1425" t="s">
        <v>20736</v>
      </c>
      <c r="AB1425" t="s">
        <v>20736</v>
      </c>
      <c r="AC1425" t="s">
        <v>20736</v>
      </c>
    </row>
    <row r="1426" spans="1:30">
      <c r="A1426" t="s">
        <v>20737</v>
      </c>
      <c r="B1426">
        <v>3</v>
      </c>
      <c r="C1426">
        <v>21</v>
      </c>
      <c r="D1426">
        <v>2003</v>
      </c>
      <c r="E1426" s="1">
        <v>37701</v>
      </c>
      <c r="F1426" t="s">
        <v>20738</v>
      </c>
      <c r="G1426">
        <v>0</v>
      </c>
      <c r="H1426">
        <v>0</v>
      </c>
      <c r="I1426">
        <v>0</v>
      </c>
      <c r="J1426">
        <v>1</v>
      </c>
      <c r="L1426" t="s">
        <v>20739</v>
      </c>
      <c r="M1426" t="s">
        <v>20740</v>
      </c>
      <c r="N1426" t="s">
        <v>20741</v>
      </c>
      <c r="O1426" t="s">
        <v>20742</v>
      </c>
      <c r="P1426" t="s">
        <v>20743</v>
      </c>
      <c r="Q1426" t="s">
        <v>20744</v>
      </c>
      <c r="R1426" t="s">
        <v>20745</v>
      </c>
      <c r="S1426" t="s">
        <v>20746</v>
      </c>
      <c r="T1426" s="2">
        <v>0.33333333333333331</v>
      </c>
      <c r="U1426">
        <v>1</v>
      </c>
      <c r="V1426" t="s">
        <v>20747</v>
      </c>
      <c r="W1426" t="s">
        <v>20748</v>
      </c>
      <c r="X1426" t="s">
        <v>20749</v>
      </c>
      <c r="Y1426" t="s">
        <v>20750</v>
      </c>
      <c r="Z1426" t="s">
        <v>20750</v>
      </c>
      <c r="AA1426" t="s">
        <v>20750</v>
      </c>
      <c r="AC1426" t="s">
        <v>20750</v>
      </c>
    </row>
    <row r="1427" spans="1:30">
      <c r="A1427" t="s">
        <v>20751</v>
      </c>
      <c r="B1427">
        <v>3</v>
      </c>
      <c r="C1427">
        <v>18</v>
      </c>
      <c r="D1427">
        <v>2003</v>
      </c>
      <c r="E1427" s="1">
        <v>37698</v>
      </c>
      <c r="F1427" t="s">
        <v>20752</v>
      </c>
      <c r="G1427">
        <v>0</v>
      </c>
      <c r="H1427">
        <v>0</v>
      </c>
      <c r="I1427">
        <v>0</v>
      </c>
      <c r="J1427">
        <v>0</v>
      </c>
      <c r="L1427" t="s">
        <v>20753</v>
      </c>
      <c r="M1427" t="s">
        <v>20754</v>
      </c>
      <c r="N1427" t="s">
        <v>20755</v>
      </c>
      <c r="O1427" t="s">
        <v>20756</v>
      </c>
      <c r="P1427" t="s">
        <v>20757</v>
      </c>
      <c r="Q1427" t="s">
        <v>20758</v>
      </c>
      <c r="R1427" t="s">
        <v>20759</v>
      </c>
      <c r="S1427" t="s">
        <v>20760</v>
      </c>
      <c r="U1427">
        <v>1</v>
      </c>
      <c r="V1427" t="s">
        <v>20761</v>
      </c>
      <c r="W1427" t="s">
        <v>20762</v>
      </c>
      <c r="X1427" t="s">
        <v>20763</v>
      </c>
      <c r="Y1427" t="s">
        <v>20764</v>
      </c>
      <c r="Z1427" t="s">
        <v>20764</v>
      </c>
      <c r="AA1427" t="s">
        <v>20764</v>
      </c>
      <c r="AB1427" t="s">
        <v>20764</v>
      </c>
      <c r="AC1427" t="s">
        <v>20764</v>
      </c>
    </row>
    <row r="1428" spans="1:30">
      <c r="A1428" t="s">
        <v>20765</v>
      </c>
      <c r="B1428">
        <v>2</v>
      </c>
      <c r="C1428">
        <v>5</v>
      </c>
      <c r="D1428">
        <v>2003</v>
      </c>
      <c r="E1428" s="1">
        <v>37657</v>
      </c>
      <c r="F1428" t="s">
        <v>20766</v>
      </c>
      <c r="G1428">
        <v>0</v>
      </c>
      <c r="H1428">
        <v>0</v>
      </c>
      <c r="I1428">
        <v>0</v>
      </c>
      <c r="J1428">
        <v>0</v>
      </c>
      <c r="L1428" t="s">
        <v>20767</v>
      </c>
      <c r="M1428" t="s">
        <v>20768</v>
      </c>
      <c r="N1428" t="s">
        <v>20769</v>
      </c>
      <c r="O1428" t="s">
        <v>20770</v>
      </c>
      <c r="P1428" t="s">
        <v>20771</v>
      </c>
      <c r="Q1428" t="s">
        <v>20771</v>
      </c>
      <c r="R1428" t="s">
        <v>20772</v>
      </c>
      <c r="S1428" t="s">
        <v>20773</v>
      </c>
      <c r="T1428" s="2">
        <v>0.3611111111111111</v>
      </c>
      <c r="U1428">
        <v>1</v>
      </c>
      <c r="V1428" t="s">
        <v>20774</v>
      </c>
      <c r="W1428" t="s">
        <v>20775</v>
      </c>
      <c r="X1428" t="s">
        <v>20776</v>
      </c>
      <c r="Y1428" t="s">
        <v>20777</v>
      </c>
      <c r="Z1428" t="s">
        <v>20777</v>
      </c>
      <c r="AA1428" t="s">
        <v>20777</v>
      </c>
      <c r="AB1428" t="s">
        <v>20777</v>
      </c>
      <c r="AC1428" t="s">
        <v>20777</v>
      </c>
    </row>
    <row r="1429" spans="1:30">
      <c r="A1429" t="s">
        <v>20778</v>
      </c>
      <c r="B1429">
        <v>1</v>
      </c>
      <c r="C1429">
        <v>30</v>
      </c>
      <c r="D1429">
        <v>2003</v>
      </c>
      <c r="E1429" s="1">
        <v>37651</v>
      </c>
      <c r="F1429" t="s">
        <v>20779</v>
      </c>
      <c r="G1429">
        <v>0</v>
      </c>
      <c r="H1429">
        <v>0</v>
      </c>
      <c r="I1429">
        <v>0</v>
      </c>
      <c r="J1429">
        <v>0</v>
      </c>
      <c r="L1429" t="s">
        <v>20780</v>
      </c>
      <c r="M1429" t="s">
        <v>20781</v>
      </c>
      <c r="N1429" t="s">
        <v>20782</v>
      </c>
      <c r="O1429" t="s">
        <v>20783</v>
      </c>
      <c r="P1429" t="s">
        <v>20784</v>
      </c>
      <c r="Q1429" t="s">
        <v>20785</v>
      </c>
      <c r="R1429" t="s">
        <v>20786</v>
      </c>
      <c r="S1429" t="s">
        <v>20787</v>
      </c>
      <c r="T1429" s="2">
        <v>0.625</v>
      </c>
      <c r="U1429">
        <v>120</v>
      </c>
      <c r="V1429" t="s">
        <v>20788</v>
      </c>
      <c r="W1429" t="s">
        <v>20789</v>
      </c>
      <c r="X1429" t="s">
        <v>20790</v>
      </c>
      <c r="Y1429" t="s">
        <v>20791</v>
      </c>
      <c r="Z1429" t="s">
        <v>20791</v>
      </c>
      <c r="AA1429" t="s">
        <v>20791</v>
      </c>
      <c r="AC1429" t="s">
        <v>20791</v>
      </c>
    </row>
    <row r="1430" spans="1:30">
      <c r="A1430" t="s">
        <v>20792</v>
      </c>
      <c r="B1430">
        <v>1</v>
      </c>
      <c r="C1430">
        <v>21</v>
      </c>
      <c r="D1430">
        <v>2003</v>
      </c>
      <c r="E1430" s="1">
        <v>37642</v>
      </c>
      <c r="F1430" t="s">
        <v>20793</v>
      </c>
      <c r="G1430">
        <v>0</v>
      </c>
      <c r="H1430">
        <v>0</v>
      </c>
      <c r="I1430">
        <v>0</v>
      </c>
      <c r="J1430">
        <v>0</v>
      </c>
      <c r="L1430" t="s">
        <v>20794</v>
      </c>
      <c r="M1430" t="s">
        <v>20795</v>
      </c>
      <c r="N1430" t="s">
        <v>20796</v>
      </c>
      <c r="O1430" t="s">
        <v>20797</v>
      </c>
      <c r="P1430" t="s">
        <v>20798</v>
      </c>
      <c r="Q1430" t="s">
        <v>20799</v>
      </c>
      <c r="R1430" t="s">
        <v>20800</v>
      </c>
      <c r="S1430" t="s">
        <v>20801</v>
      </c>
      <c r="T1430" s="2">
        <v>0.45833333333333331</v>
      </c>
      <c r="V1430" t="s">
        <v>20802</v>
      </c>
      <c r="W1430" t="s">
        <v>20803</v>
      </c>
      <c r="X1430" t="s">
        <v>20804</v>
      </c>
      <c r="Y1430" t="s">
        <v>20805</v>
      </c>
      <c r="Z1430" t="s">
        <v>20806</v>
      </c>
      <c r="AA1430" t="s">
        <v>20807</v>
      </c>
      <c r="AB1430" t="s">
        <v>20807</v>
      </c>
      <c r="AC1430" t="s">
        <v>20807</v>
      </c>
      <c r="AD1430" t="s">
        <v>20808</v>
      </c>
    </row>
    <row r="1431" spans="1:30">
      <c r="A1431" t="s">
        <v>20809</v>
      </c>
      <c r="B1431">
        <v>12</v>
      </c>
      <c r="C1431">
        <v>16</v>
      </c>
      <c r="D1431">
        <v>2002</v>
      </c>
      <c r="E1431" s="1">
        <v>37606</v>
      </c>
      <c r="F1431" t="s">
        <v>20810</v>
      </c>
      <c r="G1431">
        <v>1</v>
      </c>
      <c r="H1431">
        <v>1</v>
      </c>
      <c r="I1431">
        <v>2</v>
      </c>
      <c r="J1431">
        <v>0</v>
      </c>
      <c r="L1431" t="s">
        <v>20811</v>
      </c>
      <c r="M1431" t="s">
        <v>20812</v>
      </c>
      <c r="N1431" t="s">
        <v>20813</v>
      </c>
      <c r="O1431" t="s">
        <v>20814</v>
      </c>
      <c r="P1431" t="s">
        <v>20815</v>
      </c>
      <c r="Q1431" t="s">
        <v>20816</v>
      </c>
      <c r="R1431" t="s">
        <v>20817</v>
      </c>
      <c r="S1431" t="s">
        <v>20818</v>
      </c>
      <c r="T1431" s="2">
        <v>0.625</v>
      </c>
      <c r="U1431">
        <v>1</v>
      </c>
      <c r="V1431" t="s">
        <v>20819</v>
      </c>
      <c r="W1431" t="s">
        <v>20820</v>
      </c>
      <c r="X1431" t="s">
        <v>20821</v>
      </c>
      <c r="Y1431" t="s">
        <v>20822</v>
      </c>
      <c r="Z1431" t="s">
        <v>20822</v>
      </c>
      <c r="AA1431" t="s">
        <v>20822</v>
      </c>
      <c r="AB1431" t="s">
        <v>20822</v>
      </c>
      <c r="AC1431" t="s">
        <v>20823</v>
      </c>
    </row>
    <row r="1432" spans="1:30">
      <c r="A1432" t="s">
        <v>20824</v>
      </c>
      <c r="B1432">
        <v>12</v>
      </c>
      <c r="C1432">
        <v>12</v>
      </c>
      <c r="D1432">
        <v>2002</v>
      </c>
      <c r="E1432" s="1">
        <v>37602</v>
      </c>
      <c r="F1432" t="s">
        <v>20825</v>
      </c>
      <c r="G1432">
        <v>0</v>
      </c>
      <c r="H1432">
        <v>0</v>
      </c>
      <c r="I1432">
        <v>0</v>
      </c>
      <c r="J1432">
        <v>1</v>
      </c>
      <c r="L1432" t="s">
        <v>20826</v>
      </c>
      <c r="M1432" t="s">
        <v>20827</v>
      </c>
      <c r="N1432" t="s">
        <v>20828</v>
      </c>
      <c r="O1432" t="s">
        <v>20829</v>
      </c>
      <c r="P1432" t="s">
        <v>20830</v>
      </c>
      <c r="Q1432" t="s">
        <v>20831</v>
      </c>
      <c r="R1432" t="s">
        <v>20832</v>
      </c>
      <c r="S1432" t="s">
        <v>20833</v>
      </c>
      <c r="T1432" s="2">
        <v>0.69444444444444442</v>
      </c>
      <c r="U1432">
        <v>1</v>
      </c>
      <c r="V1432" t="s">
        <v>20834</v>
      </c>
      <c r="W1432" t="s">
        <v>20835</v>
      </c>
      <c r="Y1432" t="s">
        <v>20836</v>
      </c>
      <c r="Z1432" t="s">
        <v>20836</v>
      </c>
      <c r="AA1432" t="s">
        <v>20836</v>
      </c>
      <c r="AC1432" t="s">
        <v>20836</v>
      </c>
    </row>
    <row r="1433" spans="1:30">
      <c r="A1433" t="s">
        <v>20837</v>
      </c>
      <c r="B1433">
        <v>12</v>
      </c>
      <c r="C1433">
        <v>2</v>
      </c>
      <c r="D1433">
        <v>2002</v>
      </c>
      <c r="E1433" s="1">
        <v>37592</v>
      </c>
      <c r="F1433" t="s">
        <v>20838</v>
      </c>
      <c r="G1433">
        <v>0</v>
      </c>
      <c r="H1433">
        <v>0</v>
      </c>
      <c r="I1433">
        <v>0</v>
      </c>
      <c r="J1433">
        <v>0</v>
      </c>
      <c r="L1433" t="s">
        <v>20839</v>
      </c>
      <c r="M1433" t="s">
        <v>20840</v>
      </c>
      <c r="N1433" t="s">
        <v>20841</v>
      </c>
      <c r="O1433" t="s">
        <v>20842</v>
      </c>
      <c r="P1433" t="s">
        <v>20843</v>
      </c>
      <c r="Q1433" t="s">
        <v>20844</v>
      </c>
      <c r="R1433" t="s">
        <v>20845</v>
      </c>
      <c r="S1433" t="s">
        <v>20846</v>
      </c>
      <c r="T1433" s="2">
        <v>0.41666666666666669</v>
      </c>
      <c r="U1433">
        <v>1</v>
      </c>
      <c r="V1433" t="s">
        <v>20847</v>
      </c>
      <c r="W1433" t="s">
        <v>20848</v>
      </c>
      <c r="X1433" t="s">
        <v>20849</v>
      </c>
      <c r="Y1433" t="s">
        <v>20850</v>
      </c>
      <c r="Z1433" t="s">
        <v>20850</v>
      </c>
      <c r="AA1433" t="s">
        <v>20850</v>
      </c>
      <c r="AB1433" t="s">
        <v>20850</v>
      </c>
      <c r="AC1433" t="s">
        <v>20850</v>
      </c>
    </row>
    <row r="1434" spans="1:30">
      <c r="A1434" t="s">
        <v>20851</v>
      </c>
      <c r="B1434">
        <v>11</v>
      </c>
      <c r="C1434">
        <v>15</v>
      </c>
      <c r="D1434">
        <v>2002</v>
      </c>
      <c r="E1434" s="1">
        <v>37575</v>
      </c>
      <c r="F1434" t="s">
        <v>20852</v>
      </c>
      <c r="G1434">
        <v>0</v>
      </c>
      <c r="H1434">
        <v>2</v>
      </c>
      <c r="I1434">
        <v>2</v>
      </c>
      <c r="J1434">
        <v>0</v>
      </c>
      <c r="L1434" t="s">
        <v>20853</v>
      </c>
      <c r="M1434" t="s">
        <v>20854</v>
      </c>
      <c r="N1434" t="s">
        <v>20855</v>
      </c>
      <c r="O1434" t="s">
        <v>20856</v>
      </c>
      <c r="P1434" t="s">
        <v>20857</v>
      </c>
      <c r="Q1434" t="s">
        <v>20858</v>
      </c>
      <c r="R1434" t="s">
        <v>20859</v>
      </c>
      <c r="S1434" t="s">
        <v>20860</v>
      </c>
      <c r="T1434" s="2">
        <v>0.72916666666666674</v>
      </c>
      <c r="U1434">
        <v>1</v>
      </c>
      <c r="V1434" t="s">
        <v>20861</v>
      </c>
      <c r="W1434" t="s">
        <v>20862</v>
      </c>
      <c r="Y1434" t="s">
        <v>20863</v>
      </c>
      <c r="Z1434" t="s">
        <v>20863</v>
      </c>
      <c r="AA1434" t="s">
        <v>20863</v>
      </c>
      <c r="AB1434" t="s">
        <v>20863</v>
      </c>
      <c r="AC1434" t="s">
        <v>20863</v>
      </c>
      <c r="AD1434" t="s">
        <v>20864</v>
      </c>
    </row>
    <row r="1435" spans="1:30">
      <c r="A1435" t="s">
        <v>20865</v>
      </c>
      <c r="B1435">
        <v>11</v>
      </c>
      <c r="C1435">
        <v>15</v>
      </c>
      <c r="D1435">
        <v>2002</v>
      </c>
      <c r="E1435" s="1">
        <v>37575</v>
      </c>
      <c r="F1435" t="s">
        <v>20866</v>
      </c>
      <c r="G1435">
        <v>0</v>
      </c>
      <c r="H1435">
        <v>0</v>
      </c>
      <c r="I1435">
        <v>0</v>
      </c>
      <c r="J1435">
        <v>0</v>
      </c>
      <c r="L1435" t="s">
        <v>20867</v>
      </c>
      <c r="M1435" t="s">
        <v>20868</v>
      </c>
      <c r="N1435" t="s">
        <v>20869</v>
      </c>
      <c r="O1435" t="s">
        <v>20870</v>
      </c>
      <c r="P1435" t="s">
        <v>20871</v>
      </c>
      <c r="Q1435" t="s">
        <v>20872</v>
      </c>
      <c r="R1435" t="s">
        <v>20873</v>
      </c>
      <c r="S1435" t="s">
        <v>20874</v>
      </c>
      <c r="T1435" s="2">
        <v>0.35416666666666663</v>
      </c>
      <c r="V1435" t="s">
        <v>20875</v>
      </c>
      <c r="W1435" t="s">
        <v>20876</v>
      </c>
      <c r="X1435" t="s">
        <v>20877</v>
      </c>
      <c r="Y1435" t="s">
        <v>20878</v>
      </c>
      <c r="Z1435" t="s">
        <v>20879</v>
      </c>
      <c r="AA1435" t="s">
        <v>20880</v>
      </c>
      <c r="AB1435" t="s">
        <v>20880</v>
      </c>
      <c r="AC1435" t="s">
        <v>20880</v>
      </c>
      <c r="AD1435" t="s">
        <v>20881</v>
      </c>
    </row>
    <row r="1436" spans="1:30">
      <c r="A1436" t="s">
        <v>20882</v>
      </c>
      <c r="B1436">
        <v>11</v>
      </c>
      <c r="C1436">
        <v>7</v>
      </c>
      <c r="D1436">
        <v>2002</v>
      </c>
      <c r="E1436" s="1">
        <v>37567</v>
      </c>
      <c r="F1436" t="s">
        <v>20883</v>
      </c>
      <c r="G1436">
        <v>1</v>
      </c>
      <c r="H1436">
        <v>1</v>
      </c>
      <c r="I1436">
        <v>2</v>
      </c>
      <c r="J1436">
        <v>0</v>
      </c>
      <c r="L1436" t="s">
        <v>20884</v>
      </c>
      <c r="M1436" t="s">
        <v>20885</v>
      </c>
      <c r="N1436" t="s">
        <v>20886</v>
      </c>
      <c r="O1436" t="s">
        <v>20887</v>
      </c>
      <c r="P1436" t="s">
        <v>20888</v>
      </c>
      <c r="Q1436" t="s">
        <v>20889</v>
      </c>
      <c r="R1436" t="s">
        <v>20890</v>
      </c>
      <c r="S1436" t="s">
        <v>20891</v>
      </c>
      <c r="T1436" s="2">
        <v>0.52777777777777779</v>
      </c>
      <c r="U1436">
        <v>1</v>
      </c>
      <c r="V1436" t="s">
        <v>20892</v>
      </c>
      <c r="W1436" t="s">
        <v>20893</v>
      </c>
      <c r="X1436" t="s">
        <v>20894</v>
      </c>
      <c r="Y1436" t="s">
        <v>20895</v>
      </c>
      <c r="Z1436" t="s">
        <v>20895</v>
      </c>
      <c r="AA1436" t="s">
        <v>20895</v>
      </c>
      <c r="AB1436" t="s">
        <v>20895</v>
      </c>
      <c r="AC1436" t="s">
        <v>20896</v>
      </c>
    </row>
    <row r="1437" spans="1:30">
      <c r="A1437" t="s">
        <v>20897</v>
      </c>
      <c r="B1437">
        <v>10</v>
      </c>
      <c r="C1437">
        <v>29</v>
      </c>
      <c r="D1437">
        <v>2002</v>
      </c>
      <c r="E1437" s="1">
        <v>37558</v>
      </c>
      <c r="F1437" t="s">
        <v>20898</v>
      </c>
      <c r="G1437">
        <v>0</v>
      </c>
      <c r="H1437">
        <v>1</v>
      </c>
      <c r="I1437">
        <v>1</v>
      </c>
      <c r="J1437">
        <v>0</v>
      </c>
      <c r="L1437" t="s">
        <v>20899</v>
      </c>
      <c r="M1437" t="s">
        <v>20900</v>
      </c>
      <c r="N1437" t="s">
        <v>20901</v>
      </c>
      <c r="O1437" t="s">
        <v>20902</v>
      </c>
      <c r="P1437" t="s">
        <v>20903</v>
      </c>
      <c r="Q1437" t="s">
        <v>20904</v>
      </c>
      <c r="R1437" t="s">
        <v>20905</v>
      </c>
      <c r="S1437" t="s">
        <v>20906</v>
      </c>
      <c r="T1437" s="2">
        <v>0.35416666666666663</v>
      </c>
      <c r="U1437">
        <v>1</v>
      </c>
      <c r="V1437" t="s">
        <v>20907</v>
      </c>
      <c r="W1437" t="s">
        <v>20908</v>
      </c>
      <c r="X1437" t="s">
        <v>20909</v>
      </c>
      <c r="Y1437" t="s">
        <v>20910</v>
      </c>
      <c r="Z1437" t="s">
        <v>20910</v>
      </c>
      <c r="AA1437" t="s">
        <v>20910</v>
      </c>
      <c r="AB1437" t="s">
        <v>20910</v>
      </c>
      <c r="AC1437" t="s">
        <v>20910</v>
      </c>
    </row>
    <row r="1438" spans="1:30">
      <c r="A1438" t="s">
        <v>20911</v>
      </c>
      <c r="B1438">
        <v>10</v>
      </c>
      <c r="C1438">
        <v>7</v>
      </c>
      <c r="D1438">
        <v>2002</v>
      </c>
      <c r="E1438" s="1">
        <v>37536</v>
      </c>
      <c r="F1438" t="s">
        <v>20912</v>
      </c>
      <c r="G1438">
        <v>0</v>
      </c>
      <c r="H1438">
        <v>1</v>
      </c>
      <c r="I1438">
        <v>1</v>
      </c>
      <c r="J1438">
        <v>0</v>
      </c>
      <c r="L1438" t="s">
        <v>20913</v>
      </c>
      <c r="M1438" t="s">
        <v>20914</v>
      </c>
      <c r="N1438" t="s">
        <v>20915</v>
      </c>
      <c r="O1438" t="s">
        <v>20916</v>
      </c>
      <c r="P1438" t="s">
        <v>20917</v>
      </c>
      <c r="Q1438" t="s">
        <v>20918</v>
      </c>
      <c r="R1438" t="s">
        <v>20919</v>
      </c>
      <c r="S1438" t="s">
        <v>20920</v>
      </c>
      <c r="T1438" s="2">
        <v>0.33958333333333329</v>
      </c>
      <c r="U1438">
        <v>1</v>
      </c>
      <c r="V1438" t="s">
        <v>20921</v>
      </c>
      <c r="W1438" t="s">
        <v>20922</v>
      </c>
      <c r="X1438" t="s">
        <v>20923</v>
      </c>
      <c r="Y1438" t="s">
        <v>20924</v>
      </c>
      <c r="Z1438" t="s">
        <v>20925</v>
      </c>
      <c r="AA1438" t="s">
        <v>20925</v>
      </c>
      <c r="AB1438" t="s">
        <v>20925</v>
      </c>
      <c r="AC1438" t="s">
        <v>20925</v>
      </c>
    </row>
    <row r="1439" spans="1:30">
      <c r="A1439" t="s">
        <v>20926</v>
      </c>
      <c r="B1439">
        <v>10</v>
      </c>
      <c r="C1439">
        <v>4</v>
      </c>
      <c r="D1439">
        <v>2002</v>
      </c>
      <c r="E1439" s="1">
        <v>37533</v>
      </c>
      <c r="F1439" t="s">
        <v>20927</v>
      </c>
      <c r="G1439">
        <v>0</v>
      </c>
      <c r="H1439">
        <v>0</v>
      </c>
      <c r="I1439">
        <v>0</v>
      </c>
      <c r="J1439">
        <v>0</v>
      </c>
      <c r="L1439" t="s">
        <v>20928</v>
      </c>
      <c r="M1439" t="s">
        <v>20929</v>
      </c>
      <c r="N1439" t="s">
        <v>20930</v>
      </c>
      <c r="O1439" t="s">
        <v>20931</v>
      </c>
      <c r="P1439" t="s">
        <v>20932</v>
      </c>
      <c r="Q1439" t="s">
        <v>20933</v>
      </c>
      <c r="R1439" t="s">
        <v>20934</v>
      </c>
      <c r="S1439" t="s">
        <v>20935</v>
      </c>
      <c r="T1439" s="2">
        <v>0.64583333333333337</v>
      </c>
      <c r="U1439">
        <v>1</v>
      </c>
      <c r="V1439" t="s">
        <v>20936</v>
      </c>
      <c r="W1439" t="s">
        <v>20937</v>
      </c>
      <c r="X1439" t="s">
        <v>20938</v>
      </c>
      <c r="Y1439" t="s">
        <v>20939</v>
      </c>
      <c r="Z1439" t="s">
        <v>20939</v>
      </c>
      <c r="AA1439" t="s">
        <v>20939</v>
      </c>
      <c r="AB1439" t="s">
        <v>20939</v>
      </c>
      <c r="AC1439" t="s">
        <v>20939</v>
      </c>
    </row>
    <row r="1440" spans="1:30">
      <c r="A1440" t="s">
        <v>20940</v>
      </c>
      <c r="B1440">
        <v>10</v>
      </c>
      <c r="C1440">
        <v>4</v>
      </c>
      <c r="D1440">
        <v>2002</v>
      </c>
      <c r="E1440" s="1">
        <v>37533</v>
      </c>
      <c r="F1440" t="s">
        <v>20941</v>
      </c>
      <c r="G1440">
        <v>0</v>
      </c>
      <c r="H1440">
        <v>0</v>
      </c>
      <c r="I1440">
        <v>0</v>
      </c>
      <c r="J1440">
        <v>1</v>
      </c>
      <c r="L1440" t="s">
        <v>20942</v>
      </c>
      <c r="M1440" t="s">
        <v>20943</v>
      </c>
      <c r="N1440" t="s">
        <v>20944</v>
      </c>
      <c r="O1440" t="s">
        <v>20945</v>
      </c>
      <c r="P1440" t="s">
        <v>20946</v>
      </c>
      <c r="Q1440" t="s">
        <v>20947</v>
      </c>
      <c r="R1440" t="s">
        <v>20948</v>
      </c>
      <c r="S1440" t="s">
        <v>20949</v>
      </c>
      <c r="T1440" s="2">
        <v>0.34375</v>
      </c>
      <c r="U1440">
        <v>1</v>
      </c>
      <c r="V1440" t="s">
        <v>20950</v>
      </c>
      <c r="W1440" t="s">
        <v>20951</v>
      </c>
      <c r="X1440" t="s">
        <v>20952</v>
      </c>
      <c r="Y1440" t="s">
        <v>20953</v>
      </c>
      <c r="Z1440" t="s">
        <v>20953</v>
      </c>
      <c r="AA1440" t="s">
        <v>20953</v>
      </c>
      <c r="AB1440" t="s">
        <v>20954</v>
      </c>
      <c r="AC1440" t="s">
        <v>20955</v>
      </c>
    </row>
    <row r="1441" spans="1:30">
      <c r="A1441" t="s">
        <v>20956</v>
      </c>
      <c r="B1441">
        <v>4</v>
      </c>
      <c r="C1441">
        <v>26</v>
      </c>
      <c r="D1441">
        <v>2002</v>
      </c>
      <c r="E1441" s="1">
        <v>37372</v>
      </c>
      <c r="F1441" t="s">
        <v>20957</v>
      </c>
      <c r="G1441">
        <v>1</v>
      </c>
      <c r="H1441">
        <v>0</v>
      </c>
      <c r="I1441">
        <v>1</v>
      </c>
      <c r="J1441">
        <v>0</v>
      </c>
      <c r="L1441" t="s">
        <v>20958</v>
      </c>
      <c r="M1441" t="s">
        <v>20959</v>
      </c>
      <c r="N1441" t="s">
        <v>20960</v>
      </c>
      <c r="O1441" t="s">
        <v>20961</v>
      </c>
      <c r="P1441" t="s">
        <v>20962</v>
      </c>
      <c r="Q1441" t="s">
        <v>20963</v>
      </c>
      <c r="R1441" t="s">
        <v>20964</v>
      </c>
      <c r="S1441" t="s">
        <v>20965</v>
      </c>
      <c r="T1441" s="2">
        <v>0.90625</v>
      </c>
      <c r="U1441">
        <v>1</v>
      </c>
      <c r="V1441" t="s">
        <v>20966</v>
      </c>
      <c r="W1441" t="s">
        <v>20967</v>
      </c>
      <c r="X1441" t="s">
        <v>20968</v>
      </c>
      <c r="Y1441" t="s">
        <v>20969</v>
      </c>
      <c r="Z1441" t="s">
        <v>20969</v>
      </c>
      <c r="AA1441" t="s">
        <v>20969</v>
      </c>
      <c r="AB1441" t="s">
        <v>20969</v>
      </c>
      <c r="AC1441" t="s">
        <v>20969</v>
      </c>
    </row>
    <row r="1442" spans="1:30">
      <c r="A1442" t="s">
        <v>20970</v>
      </c>
      <c r="B1442">
        <v>4</v>
      </c>
      <c r="C1442">
        <v>6</v>
      </c>
      <c r="D1442">
        <v>2002</v>
      </c>
      <c r="E1442" s="1">
        <v>37352</v>
      </c>
      <c r="F1442" t="s">
        <v>20971</v>
      </c>
      <c r="G1442">
        <v>1</v>
      </c>
      <c r="H1442">
        <v>0</v>
      </c>
      <c r="I1442">
        <v>1</v>
      </c>
      <c r="J1442">
        <v>0</v>
      </c>
      <c r="L1442" t="s">
        <v>20972</v>
      </c>
      <c r="M1442" t="s">
        <v>20973</v>
      </c>
      <c r="N1442" t="s">
        <v>20974</v>
      </c>
      <c r="O1442" t="s">
        <v>20975</v>
      </c>
      <c r="P1442" t="s">
        <v>20976</v>
      </c>
      <c r="Q1442" t="s">
        <v>20977</v>
      </c>
      <c r="R1442" t="s">
        <v>20978</v>
      </c>
      <c r="S1442" t="s">
        <v>20979</v>
      </c>
      <c r="T1442" s="2">
        <v>4.1666666666666664E-2</v>
      </c>
      <c r="U1442">
        <v>1</v>
      </c>
      <c r="V1442" t="s">
        <v>20980</v>
      </c>
      <c r="W1442" t="s">
        <v>20981</v>
      </c>
      <c r="Y1442" t="s">
        <v>20982</v>
      </c>
      <c r="Z1442" t="s">
        <v>20982</v>
      </c>
      <c r="AA1442" t="s">
        <v>20982</v>
      </c>
      <c r="AB1442" t="s">
        <v>20983</v>
      </c>
      <c r="AC1442" t="s">
        <v>20983</v>
      </c>
      <c r="AD1442" t="s">
        <v>20983</v>
      </c>
    </row>
    <row r="1443" spans="1:30">
      <c r="A1443" t="s">
        <v>20984</v>
      </c>
      <c r="B1443">
        <v>3</v>
      </c>
      <c r="C1443">
        <v>22</v>
      </c>
      <c r="D1443">
        <v>2002</v>
      </c>
      <c r="E1443" s="1">
        <v>37337</v>
      </c>
      <c r="F1443" t="s">
        <v>20985</v>
      </c>
      <c r="G1443">
        <v>0</v>
      </c>
      <c r="H1443">
        <v>0</v>
      </c>
      <c r="I1443">
        <v>0</v>
      </c>
      <c r="J1443">
        <v>0</v>
      </c>
      <c r="L1443" t="s">
        <v>20986</v>
      </c>
      <c r="M1443" t="s">
        <v>20987</v>
      </c>
      <c r="N1443" t="s">
        <v>20988</v>
      </c>
      <c r="O1443" t="s">
        <v>20989</v>
      </c>
      <c r="P1443" t="s">
        <v>20990</v>
      </c>
      <c r="Q1443" t="s">
        <v>20991</v>
      </c>
      <c r="R1443" t="s">
        <v>20992</v>
      </c>
      <c r="S1443" t="s">
        <v>20993</v>
      </c>
      <c r="V1443" t="s">
        <v>20994</v>
      </c>
      <c r="W1443" t="s">
        <v>20995</v>
      </c>
      <c r="X1443" t="s">
        <v>20996</v>
      </c>
      <c r="Y1443" t="s">
        <v>20997</v>
      </c>
      <c r="Z1443" t="s">
        <v>20998</v>
      </c>
      <c r="AA1443" t="s">
        <v>20999</v>
      </c>
      <c r="AB1443" t="s">
        <v>20999</v>
      </c>
      <c r="AC1443" t="s">
        <v>20999</v>
      </c>
      <c r="AD1443" t="s">
        <v>21000</v>
      </c>
    </row>
    <row r="1444" spans="1:30">
      <c r="A1444" t="s">
        <v>21001</v>
      </c>
      <c r="B1444">
        <v>2</v>
      </c>
      <c r="C1444">
        <v>7</v>
      </c>
      <c r="D1444">
        <v>2002</v>
      </c>
      <c r="E1444" s="1">
        <v>37294</v>
      </c>
      <c r="F1444" t="s">
        <v>21002</v>
      </c>
      <c r="G1444">
        <v>0</v>
      </c>
      <c r="H1444">
        <v>3</v>
      </c>
      <c r="I1444">
        <v>3</v>
      </c>
      <c r="J1444">
        <v>0</v>
      </c>
      <c r="L1444" t="s">
        <v>21003</v>
      </c>
      <c r="M1444" t="s">
        <v>21004</v>
      </c>
      <c r="N1444" t="s">
        <v>21005</v>
      </c>
      <c r="O1444" t="s">
        <v>21006</v>
      </c>
      <c r="P1444" t="s">
        <v>21007</v>
      </c>
      <c r="Q1444" t="s">
        <v>21008</v>
      </c>
      <c r="R1444" t="s">
        <v>21009</v>
      </c>
      <c r="S1444" t="s">
        <v>21010</v>
      </c>
      <c r="T1444" s="2">
        <v>0.61805555555555558</v>
      </c>
      <c r="U1444">
        <v>1</v>
      </c>
      <c r="V1444" t="s">
        <v>21011</v>
      </c>
      <c r="W1444" t="s">
        <v>21012</v>
      </c>
      <c r="X1444" t="s">
        <v>21013</v>
      </c>
      <c r="Y1444" t="s">
        <v>21014</v>
      </c>
      <c r="Z1444" t="s">
        <v>21015</v>
      </c>
      <c r="AA1444" t="s">
        <v>21015</v>
      </c>
      <c r="AB1444" t="s">
        <v>21015</v>
      </c>
      <c r="AC1444" t="s">
        <v>21015</v>
      </c>
    </row>
    <row r="1445" spans="1:30">
      <c r="A1445" t="s">
        <v>21016</v>
      </c>
      <c r="B1445">
        <v>2</v>
      </c>
      <c r="C1445">
        <v>6</v>
      </c>
      <c r="D1445">
        <v>2002</v>
      </c>
      <c r="E1445" s="1">
        <v>37293</v>
      </c>
      <c r="F1445" t="s">
        <v>21017</v>
      </c>
      <c r="G1445">
        <v>0</v>
      </c>
      <c r="H1445">
        <v>2</v>
      </c>
      <c r="I1445">
        <v>2</v>
      </c>
      <c r="J1445">
        <v>0</v>
      </c>
      <c r="L1445" t="s">
        <v>21018</v>
      </c>
      <c r="M1445" t="s">
        <v>21019</v>
      </c>
      <c r="N1445" t="s">
        <v>21020</v>
      </c>
      <c r="O1445" t="s">
        <v>21021</v>
      </c>
      <c r="P1445" t="s">
        <v>21022</v>
      </c>
      <c r="Q1445" t="s">
        <v>21023</v>
      </c>
      <c r="R1445" t="s">
        <v>21024</v>
      </c>
      <c r="S1445" t="s">
        <v>21025</v>
      </c>
      <c r="T1445" s="2">
        <v>0.61805555555555558</v>
      </c>
      <c r="U1445">
        <v>1</v>
      </c>
      <c r="V1445" t="s">
        <v>21026</v>
      </c>
      <c r="W1445" t="s">
        <v>21027</v>
      </c>
      <c r="X1445" t="s">
        <v>21028</v>
      </c>
      <c r="Y1445" t="s">
        <v>21029</v>
      </c>
      <c r="Z1445" t="s">
        <v>21030</v>
      </c>
      <c r="AA1445" t="s">
        <v>21030</v>
      </c>
      <c r="AB1445" t="s">
        <v>21030</v>
      </c>
      <c r="AC1445" t="s">
        <v>21030</v>
      </c>
    </row>
    <row r="1446" spans="1:30">
      <c r="A1446" t="s">
        <v>21031</v>
      </c>
      <c r="B1446">
        <v>2</v>
      </c>
      <c r="C1446">
        <v>1</v>
      </c>
      <c r="D1446">
        <v>2002</v>
      </c>
      <c r="E1446" s="1">
        <v>37288</v>
      </c>
      <c r="F1446" t="s">
        <v>21032</v>
      </c>
      <c r="G1446">
        <v>0</v>
      </c>
      <c r="H1446">
        <v>2</v>
      </c>
      <c r="I1446">
        <v>2</v>
      </c>
      <c r="J1446">
        <v>0</v>
      </c>
      <c r="L1446" t="s">
        <v>21033</v>
      </c>
      <c r="M1446" t="s">
        <v>21034</v>
      </c>
      <c r="N1446" t="s">
        <v>21035</v>
      </c>
      <c r="O1446" t="s">
        <v>21036</v>
      </c>
      <c r="P1446" t="s">
        <v>21037</v>
      </c>
      <c r="Q1446" t="s">
        <v>21038</v>
      </c>
      <c r="R1446" t="s">
        <v>21039</v>
      </c>
      <c r="S1446" t="s">
        <v>21040</v>
      </c>
      <c r="V1446" t="s">
        <v>21041</v>
      </c>
      <c r="W1446" t="s">
        <v>21042</v>
      </c>
      <c r="X1446" t="s">
        <v>21043</v>
      </c>
      <c r="Y1446" t="s">
        <v>21044</v>
      </c>
      <c r="Z1446" t="s">
        <v>21044</v>
      </c>
      <c r="AA1446" t="s">
        <v>21044</v>
      </c>
      <c r="AB1446" t="s">
        <v>21044</v>
      </c>
      <c r="AC1446" t="s">
        <v>21045</v>
      </c>
    </row>
    <row r="1447" spans="1:30">
      <c r="A1447" t="s">
        <v>21046</v>
      </c>
      <c r="B1447">
        <v>1</v>
      </c>
      <c r="C1447">
        <v>24</v>
      </c>
      <c r="D1447">
        <v>2002</v>
      </c>
      <c r="E1447" s="1">
        <v>37280</v>
      </c>
      <c r="F1447" t="s">
        <v>21047</v>
      </c>
      <c r="G1447">
        <v>0</v>
      </c>
      <c r="H1447">
        <v>0</v>
      </c>
      <c r="I1447">
        <v>0</v>
      </c>
      <c r="J1447">
        <v>0</v>
      </c>
      <c r="L1447" t="s">
        <v>21048</v>
      </c>
      <c r="M1447" t="s">
        <v>21049</v>
      </c>
      <c r="N1447" t="s">
        <v>21050</v>
      </c>
      <c r="O1447" t="s">
        <v>21051</v>
      </c>
      <c r="P1447" t="s">
        <v>21052</v>
      </c>
      <c r="Q1447" t="s">
        <v>21052</v>
      </c>
      <c r="R1447" t="s">
        <v>21053</v>
      </c>
      <c r="S1447" t="s">
        <v>21054</v>
      </c>
      <c r="U1447">
        <v>360</v>
      </c>
      <c r="V1447" t="s">
        <v>21055</v>
      </c>
      <c r="W1447" t="s">
        <v>21056</v>
      </c>
      <c r="X1447" t="s">
        <v>21057</v>
      </c>
      <c r="Y1447" t="s">
        <v>21058</v>
      </c>
      <c r="Z1447" t="s">
        <v>21059</v>
      </c>
      <c r="AA1447" t="s">
        <v>21060</v>
      </c>
      <c r="AB1447" t="s">
        <v>21060</v>
      </c>
      <c r="AC1447" t="s">
        <v>21060</v>
      </c>
    </row>
    <row r="1448" spans="1:30">
      <c r="A1448" t="s">
        <v>21061</v>
      </c>
      <c r="B1448">
        <v>1</v>
      </c>
      <c r="C1448">
        <v>15</v>
      </c>
      <c r="D1448">
        <v>2002</v>
      </c>
      <c r="E1448" s="1">
        <v>37271</v>
      </c>
      <c r="F1448" t="s">
        <v>21062</v>
      </c>
      <c r="G1448">
        <v>0</v>
      </c>
      <c r="H1448">
        <v>2</v>
      </c>
      <c r="I1448">
        <v>2</v>
      </c>
      <c r="J1448">
        <v>0</v>
      </c>
      <c r="L1448" t="s">
        <v>21063</v>
      </c>
      <c r="M1448" t="s">
        <v>21064</v>
      </c>
      <c r="N1448" t="s">
        <v>21065</v>
      </c>
      <c r="O1448" t="s">
        <v>21066</v>
      </c>
      <c r="P1448" t="s">
        <v>21067</v>
      </c>
      <c r="Q1448" t="s">
        <v>21068</v>
      </c>
      <c r="R1448" t="s">
        <v>21069</v>
      </c>
      <c r="S1448" t="s">
        <v>21070</v>
      </c>
      <c r="T1448" s="2">
        <v>0.58333333333333337</v>
      </c>
      <c r="U1448">
        <v>1</v>
      </c>
      <c r="V1448" t="s">
        <v>21071</v>
      </c>
      <c r="W1448" t="s">
        <v>21072</v>
      </c>
      <c r="X1448" t="s">
        <v>21073</v>
      </c>
      <c r="Y1448" t="s">
        <v>21074</v>
      </c>
      <c r="Z1448" t="s">
        <v>21074</v>
      </c>
      <c r="AA1448" t="s">
        <v>21074</v>
      </c>
      <c r="AB1448" t="s">
        <v>21075</v>
      </c>
      <c r="AC1448" t="s">
        <v>21076</v>
      </c>
    </row>
    <row r="1449" spans="1:30">
      <c r="A1449" t="s">
        <v>21077</v>
      </c>
      <c r="B1449">
        <v>1</v>
      </c>
      <c r="C1449">
        <v>11</v>
      </c>
      <c r="D1449">
        <v>2002</v>
      </c>
      <c r="E1449" s="1">
        <v>37267</v>
      </c>
      <c r="F1449" t="s">
        <v>21078</v>
      </c>
      <c r="G1449">
        <v>0</v>
      </c>
      <c r="H1449">
        <v>0</v>
      </c>
      <c r="I1449">
        <v>0</v>
      </c>
      <c r="J1449">
        <v>0</v>
      </c>
      <c r="K1449" t="s">
        <v>21079</v>
      </c>
      <c r="L1449" t="s">
        <v>21080</v>
      </c>
      <c r="M1449" t="s">
        <v>21081</v>
      </c>
      <c r="N1449" t="s">
        <v>21082</v>
      </c>
      <c r="O1449" t="s">
        <v>21083</v>
      </c>
      <c r="P1449" t="s">
        <v>21084</v>
      </c>
      <c r="Q1449" t="s">
        <v>21085</v>
      </c>
      <c r="R1449" t="s">
        <v>21086</v>
      </c>
      <c r="S1449" t="s">
        <v>21087</v>
      </c>
      <c r="T1449" s="2">
        <v>0.5</v>
      </c>
      <c r="U1449">
        <v>240</v>
      </c>
      <c r="V1449" t="s">
        <v>21088</v>
      </c>
      <c r="W1449" t="s">
        <v>21089</v>
      </c>
      <c r="X1449" t="s">
        <v>21090</v>
      </c>
      <c r="Y1449" t="s">
        <v>21091</v>
      </c>
      <c r="Z1449" t="s">
        <v>21092</v>
      </c>
      <c r="AA1449" t="s">
        <v>21092</v>
      </c>
      <c r="AB1449" t="s">
        <v>21093</v>
      </c>
      <c r="AC1449" t="s">
        <v>21093</v>
      </c>
      <c r="AD1449" t="s">
        <v>21094</v>
      </c>
    </row>
    <row r="1450" spans="1:30">
      <c r="A1450" t="s">
        <v>21095</v>
      </c>
      <c r="B1450">
        <v>11</v>
      </c>
      <c r="C1450">
        <v>30</v>
      </c>
      <c r="D1450">
        <v>2001</v>
      </c>
      <c r="E1450" s="1">
        <v>37225</v>
      </c>
      <c r="F1450" t="s">
        <v>21096</v>
      </c>
      <c r="G1450">
        <v>0</v>
      </c>
      <c r="H1450">
        <v>0</v>
      </c>
      <c r="I1450">
        <v>0</v>
      </c>
      <c r="J1450">
        <v>0</v>
      </c>
      <c r="L1450" t="s">
        <v>21097</v>
      </c>
      <c r="M1450" t="s">
        <v>21098</v>
      </c>
      <c r="N1450" t="s">
        <v>21099</v>
      </c>
      <c r="O1450" t="s">
        <v>21100</v>
      </c>
      <c r="P1450" t="s">
        <v>21101</v>
      </c>
      <c r="Q1450" t="s">
        <v>21102</v>
      </c>
      <c r="R1450" t="s">
        <v>21103</v>
      </c>
      <c r="S1450" t="s">
        <v>21104</v>
      </c>
      <c r="T1450" s="2">
        <v>0.25</v>
      </c>
      <c r="U1450">
        <v>1</v>
      </c>
      <c r="V1450" t="s">
        <v>21105</v>
      </c>
      <c r="W1450" t="s">
        <v>21106</v>
      </c>
      <c r="Y1450" t="s">
        <v>21107</v>
      </c>
      <c r="Z1450" t="s">
        <v>21107</v>
      </c>
      <c r="AA1450" t="s">
        <v>21107</v>
      </c>
      <c r="AB1450" t="s">
        <v>21107</v>
      </c>
      <c r="AC1450" t="s">
        <v>21107</v>
      </c>
    </row>
    <row r="1451" spans="1:30">
      <c r="A1451" t="s">
        <v>21108</v>
      </c>
      <c r="B1451">
        <v>11</v>
      </c>
      <c r="C1451">
        <v>12</v>
      </c>
      <c r="D1451">
        <v>2001</v>
      </c>
      <c r="E1451" s="1">
        <v>37207</v>
      </c>
      <c r="F1451" t="s">
        <v>21109</v>
      </c>
      <c r="G1451">
        <v>0</v>
      </c>
      <c r="H1451">
        <v>0</v>
      </c>
      <c r="I1451">
        <v>0</v>
      </c>
      <c r="J1451">
        <v>1</v>
      </c>
      <c r="L1451" t="s">
        <v>21110</v>
      </c>
      <c r="M1451" t="s">
        <v>21111</v>
      </c>
      <c r="N1451" t="s">
        <v>21112</v>
      </c>
      <c r="O1451" t="s">
        <v>21113</v>
      </c>
      <c r="P1451" t="s">
        <v>21114</v>
      </c>
      <c r="Q1451" t="s">
        <v>21115</v>
      </c>
      <c r="R1451" t="s">
        <v>21116</v>
      </c>
      <c r="S1451" t="s">
        <v>21117</v>
      </c>
      <c r="T1451" s="2">
        <v>0.61111111111111116</v>
      </c>
      <c r="U1451">
        <v>216</v>
      </c>
      <c r="V1451" t="s">
        <v>21118</v>
      </c>
      <c r="W1451" t="s">
        <v>21119</v>
      </c>
      <c r="X1451" t="s">
        <v>21120</v>
      </c>
      <c r="Y1451" t="s">
        <v>21121</v>
      </c>
      <c r="Z1451" t="s">
        <v>21122</v>
      </c>
      <c r="AA1451" t="s">
        <v>21122</v>
      </c>
      <c r="AB1451" t="s">
        <v>21123</v>
      </c>
      <c r="AC1451" t="s">
        <v>21123</v>
      </c>
      <c r="AD1451" t="s">
        <v>21124</v>
      </c>
    </row>
    <row r="1452" spans="1:30">
      <c r="A1452" t="s">
        <v>21125</v>
      </c>
      <c r="B1452">
        <v>10</v>
      </c>
      <c r="C1452">
        <v>26</v>
      </c>
      <c r="D1452">
        <v>2001</v>
      </c>
      <c r="E1452" s="1">
        <v>37190</v>
      </c>
      <c r="F1452" t="s">
        <v>21126</v>
      </c>
      <c r="G1452">
        <v>0</v>
      </c>
      <c r="H1452">
        <v>1</v>
      </c>
      <c r="I1452">
        <v>1</v>
      </c>
      <c r="J1452">
        <v>0</v>
      </c>
      <c r="L1452" t="s">
        <v>21127</v>
      </c>
      <c r="M1452" t="s">
        <v>21128</v>
      </c>
      <c r="N1452" t="s">
        <v>21129</v>
      </c>
      <c r="O1452" t="s">
        <v>21130</v>
      </c>
      <c r="P1452" t="s">
        <v>21131</v>
      </c>
      <c r="Q1452" t="s">
        <v>21132</v>
      </c>
      <c r="R1452" t="s">
        <v>21133</v>
      </c>
      <c r="S1452" t="s">
        <v>21134</v>
      </c>
      <c r="T1452" s="2">
        <v>0.57291666666666663</v>
      </c>
      <c r="U1452">
        <v>1</v>
      </c>
      <c r="V1452" t="s">
        <v>21135</v>
      </c>
      <c r="W1452" t="s">
        <v>21136</v>
      </c>
      <c r="X1452" t="s">
        <v>21137</v>
      </c>
      <c r="Y1452" t="s">
        <v>21138</v>
      </c>
      <c r="Z1452" t="s">
        <v>21138</v>
      </c>
      <c r="AA1452" t="s">
        <v>21138</v>
      </c>
      <c r="AB1452" t="s">
        <v>21138</v>
      </c>
      <c r="AC1452" t="s">
        <v>21138</v>
      </c>
    </row>
    <row r="1453" spans="1:30">
      <c r="A1453" t="s">
        <v>21139</v>
      </c>
      <c r="B1453">
        <v>10</v>
      </c>
      <c r="C1453">
        <v>26</v>
      </c>
      <c r="D1453">
        <v>2001</v>
      </c>
      <c r="E1453" s="1">
        <v>37190</v>
      </c>
      <c r="F1453" t="s">
        <v>21140</v>
      </c>
      <c r="G1453">
        <v>0</v>
      </c>
      <c r="H1453">
        <v>1</v>
      </c>
      <c r="I1453">
        <v>1</v>
      </c>
      <c r="J1453">
        <v>0</v>
      </c>
      <c r="L1453" t="s">
        <v>21141</v>
      </c>
      <c r="M1453" t="s">
        <v>21142</v>
      </c>
      <c r="N1453" t="s">
        <v>21143</v>
      </c>
      <c r="O1453" t="s">
        <v>21144</v>
      </c>
      <c r="P1453" t="s">
        <v>21145</v>
      </c>
      <c r="Q1453" t="s">
        <v>21146</v>
      </c>
      <c r="R1453" t="s">
        <v>21147</v>
      </c>
      <c r="S1453" t="s">
        <v>21148</v>
      </c>
      <c r="T1453" s="2">
        <v>0.41666666666666669</v>
      </c>
      <c r="U1453">
        <v>1</v>
      </c>
      <c r="V1453" t="s">
        <v>21149</v>
      </c>
      <c r="W1453" t="s">
        <v>21150</v>
      </c>
      <c r="X1453" t="s">
        <v>21151</v>
      </c>
      <c r="Y1453" t="s">
        <v>21152</v>
      </c>
      <c r="Z1453" t="s">
        <v>21152</v>
      </c>
      <c r="AA1453" t="s">
        <v>21152</v>
      </c>
      <c r="AB1453" t="s">
        <v>21152</v>
      </c>
      <c r="AC1453" t="s">
        <v>21152</v>
      </c>
    </row>
    <row r="1454" spans="1:30">
      <c r="A1454" t="s">
        <v>21153</v>
      </c>
      <c r="B1454">
        <v>10</v>
      </c>
      <c r="C1454">
        <v>12</v>
      </c>
      <c r="D1454">
        <v>2001</v>
      </c>
      <c r="E1454" s="1">
        <v>37176</v>
      </c>
      <c r="F1454" t="s">
        <v>21154</v>
      </c>
      <c r="G1454">
        <v>0</v>
      </c>
      <c r="H1454">
        <v>0</v>
      </c>
      <c r="I1454">
        <v>0</v>
      </c>
      <c r="J1454">
        <v>1</v>
      </c>
      <c r="L1454" t="s">
        <v>21155</v>
      </c>
      <c r="M1454" t="s">
        <v>21156</v>
      </c>
      <c r="N1454" t="s">
        <v>21157</v>
      </c>
      <c r="O1454" t="s">
        <v>21158</v>
      </c>
      <c r="P1454" t="s">
        <v>21159</v>
      </c>
      <c r="Q1454" t="s">
        <v>21160</v>
      </c>
      <c r="R1454" t="s">
        <v>21161</v>
      </c>
      <c r="S1454" t="s">
        <v>21162</v>
      </c>
      <c r="U1454">
        <v>1</v>
      </c>
      <c r="V1454" t="s">
        <v>21163</v>
      </c>
      <c r="W1454" t="s">
        <v>21164</v>
      </c>
      <c r="X1454" t="s">
        <v>21165</v>
      </c>
      <c r="Y1454" t="s">
        <v>21166</v>
      </c>
      <c r="Z1454" t="s">
        <v>21166</v>
      </c>
      <c r="AA1454" t="s">
        <v>21166</v>
      </c>
      <c r="AB1454" t="s">
        <v>21166</v>
      </c>
      <c r="AC1454" t="s">
        <v>21166</v>
      </c>
    </row>
    <row r="1455" spans="1:30">
      <c r="A1455" t="s">
        <v>21167</v>
      </c>
      <c r="B1455">
        <v>9</v>
      </c>
      <c r="C1455">
        <v>21</v>
      </c>
      <c r="D1455">
        <v>2001</v>
      </c>
      <c r="E1455" s="1">
        <v>37155</v>
      </c>
      <c r="F1455" t="s">
        <v>21168</v>
      </c>
      <c r="G1455">
        <v>0</v>
      </c>
      <c r="H1455">
        <v>1</v>
      </c>
      <c r="I1455">
        <v>1</v>
      </c>
      <c r="J1455">
        <v>0</v>
      </c>
      <c r="L1455" t="s">
        <v>21169</v>
      </c>
      <c r="M1455" t="s">
        <v>21170</v>
      </c>
      <c r="N1455" t="s">
        <v>21171</v>
      </c>
      <c r="O1455" t="s">
        <v>21172</v>
      </c>
      <c r="P1455" t="s">
        <v>21173</v>
      </c>
      <c r="Q1455" t="s">
        <v>21174</v>
      </c>
      <c r="R1455" t="s">
        <v>21175</v>
      </c>
      <c r="S1455" t="s">
        <v>21176</v>
      </c>
      <c r="T1455" s="2">
        <v>0.54166666666666663</v>
      </c>
      <c r="U1455">
        <v>1</v>
      </c>
      <c r="V1455" t="s">
        <v>21177</v>
      </c>
      <c r="W1455" t="s">
        <v>21178</v>
      </c>
      <c r="X1455" t="s">
        <v>21179</v>
      </c>
      <c r="Y1455" t="s">
        <v>21180</v>
      </c>
      <c r="Z1455" t="s">
        <v>21180</v>
      </c>
      <c r="AA1455" t="s">
        <v>21180</v>
      </c>
      <c r="AB1455" t="s">
        <v>21180</v>
      </c>
      <c r="AC1455" t="s">
        <v>21180</v>
      </c>
    </row>
    <row r="1456" spans="1:30">
      <c r="A1456" t="s">
        <v>21181</v>
      </c>
      <c r="B1456">
        <v>9</v>
      </c>
      <c r="C1456">
        <v>12</v>
      </c>
      <c r="D1456">
        <v>2001</v>
      </c>
      <c r="E1456" s="1">
        <v>37146</v>
      </c>
      <c r="F1456" t="s">
        <v>21182</v>
      </c>
      <c r="G1456">
        <v>1</v>
      </c>
      <c r="H1456">
        <v>0</v>
      </c>
      <c r="I1456">
        <v>1</v>
      </c>
      <c r="J1456">
        <v>0</v>
      </c>
      <c r="L1456" t="s">
        <v>21183</v>
      </c>
      <c r="M1456" t="s">
        <v>21184</v>
      </c>
      <c r="N1456" t="s">
        <v>21185</v>
      </c>
      <c r="O1456" t="s">
        <v>21186</v>
      </c>
      <c r="P1456" t="s">
        <v>21187</v>
      </c>
      <c r="Q1456" t="s">
        <v>21188</v>
      </c>
      <c r="R1456" t="s">
        <v>21189</v>
      </c>
      <c r="S1456" t="s">
        <v>21190</v>
      </c>
      <c r="T1456" s="2">
        <v>0.625</v>
      </c>
      <c r="U1456">
        <v>1</v>
      </c>
      <c r="V1456" t="s">
        <v>21191</v>
      </c>
      <c r="W1456" t="s">
        <v>21192</v>
      </c>
      <c r="X1456" t="s">
        <v>21193</v>
      </c>
      <c r="Z1456" t="s">
        <v>21194</v>
      </c>
      <c r="AA1456" t="s">
        <v>21194</v>
      </c>
      <c r="AB1456" t="s">
        <v>21194</v>
      </c>
      <c r="AC1456" t="s">
        <v>21194</v>
      </c>
    </row>
    <row r="1457" spans="1:30">
      <c r="A1457" t="s">
        <v>21195</v>
      </c>
      <c r="B1457">
        <v>7</v>
      </c>
      <c r="C1457">
        <v>30</v>
      </c>
      <c r="D1457">
        <v>2001</v>
      </c>
      <c r="E1457" s="1">
        <v>37102</v>
      </c>
      <c r="F1457" t="s">
        <v>21196</v>
      </c>
      <c r="G1457">
        <v>0</v>
      </c>
      <c r="H1457">
        <v>1</v>
      </c>
      <c r="I1457">
        <v>1</v>
      </c>
      <c r="J1457">
        <v>0</v>
      </c>
      <c r="L1457" t="s">
        <v>21197</v>
      </c>
      <c r="M1457" t="s">
        <v>21198</v>
      </c>
      <c r="N1457" t="s">
        <v>21199</v>
      </c>
      <c r="O1457" t="s">
        <v>21200</v>
      </c>
      <c r="P1457" t="s">
        <v>21201</v>
      </c>
      <c r="Q1457" t="s">
        <v>21202</v>
      </c>
      <c r="R1457" t="s">
        <v>21203</v>
      </c>
      <c r="S1457" t="s">
        <v>21204</v>
      </c>
      <c r="T1457" s="2">
        <v>0.30902777777777779</v>
      </c>
      <c r="U1457">
        <v>1</v>
      </c>
      <c r="V1457" t="s">
        <v>21205</v>
      </c>
      <c r="W1457" t="s">
        <v>21206</v>
      </c>
      <c r="Y1457" t="s">
        <v>21207</v>
      </c>
      <c r="Z1457" t="s">
        <v>21208</v>
      </c>
      <c r="AA1457" t="s">
        <v>21208</v>
      </c>
      <c r="AB1457" t="s">
        <v>21208</v>
      </c>
      <c r="AC1457" t="s">
        <v>21208</v>
      </c>
    </row>
    <row r="1458" spans="1:30">
      <c r="A1458" t="s">
        <v>21209</v>
      </c>
      <c r="B1458">
        <v>6</v>
      </c>
      <c r="C1458">
        <v>7</v>
      </c>
      <c r="D1458">
        <v>2001</v>
      </c>
      <c r="E1458" s="1">
        <v>37049</v>
      </c>
      <c r="F1458" t="s">
        <v>21210</v>
      </c>
      <c r="G1458">
        <v>1</v>
      </c>
      <c r="H1458">
        <v>0</v>
      </c>
      <c r="I1458">
        <v>1</v>
      </c>
      <c r="J1458">
        <v>0</v>
      </c>
      <c r="L1458" t="s">
        <v>21211</v>
      </c>
      <c r="M1458" t="s">
        <v>21212</v>
      </c>
      <c r="N1458" t="s">
        <v>21213</v>
      </c>
      <c r="O1458" t="s">
        <v>21214</v>
      </c>
      <c r="P1458" t="s">
        <v>21215</v>
      </c>
      <c r="Q1458" t="s">
        <v>21216</v>
      </c>
      <c r="R1458" t="s">
        <v>21217</v>
      </c>
      <c r="S1458" t="s">
        <v>21218</v>
      </c>
      <c r="T1458" s="2">
        <v>0.75694444444444442</v>
      </c>
      <c r="U1458">
        <v>1</v>
      </c>
      <c r="V1458" t="s">
        <v>21219</v>
      </c>
      <c r="W1458" t="s">
        <v>21220</v>
      </c>
      <c r="X1458" t="s">
        <v>21221</v>
      </c>
      <c r="Y1458" t="s">
        <v>21222</v>
      </c>
      <c r="Z1458" t="s">
        <v>21222</v>
      </c>
      <c r="AA1458" t="s">
        <v>21222</v>
      </c>
      <c r="AB1458" t="s">
        <v>21223</v>
      </c>
      <c r="AC1458" t="s">
        <v>21223</v>
      </c>
      <c r="AD1458" t="s">
        <v>21223</v>
      </c>
    </row>
    <row r="1459" spans="1:30">
      <c r="A1459" t="s">
        <v>21224</v>
      </c>
      <c r="B1459">
        <v>5</v>
      </c>
      <c r="C1459">
        <v>15</v>
      </c>
      <c r="D1459">
        <v>2001</v>
      </c>
      <c r="E1459" s="1">
        <v>37026</v>
      </c>
      <c r="F1459" t="s">
        <v>21225</v>
      </c>
      <c r="G1459">
        <v>0</v>
      </c>
      <c r="H1459">
        <v>0</v>
      </c>
      <c r="I1459">
        <v>0</v>
      </c>
      <c r="J1459">
        <v>1</v>
      </c>
      <c r="L1459" t="s">
        <v>21226</v>
      </c>
      <c r="M1459" t="s">
        <v>21227</v>
      </c>
      <c r="N1459" t="s">
        <v>21228</v>
      </c>
      <c r="O1459" t="s">
        <v>21229</v>
      </c>
      <c r="P1459" t="s">
        <v>21230</v>
      </c>
      <c r="Q1459" t="s">
        <v>21231</v>
      </c>
      <c r="R1459" t="s">
        <v>21232</v>
      </c>
      <c r="S1459" t="s">
        <v>21233</v>
      </c>
      <c r="T1459" s="2">
        <v>0.5</v>
      </c>
      <c r="V1459" t="s">
        <v>21234</v>
      </c>
      <c r="W1459" t="s">
        <v>21235</v>
      </c>
      <c r="X1459" t="s">
        <v>21236</v>
      </c>
      <c r="Y1459" t="s">
        <v>21237</v>
      </c>
      <c r="Z1459" t="s">
        <v>21238</v>
      </c>
      <c r="AA1459" t="s">
        <v>21238</v>
      </c>
      <c r="AB1459" t="s">
        <v>21239</v>
      </c>
      <c r="AC1459" t="s">
        <v>21239</v>
      </c>
      <c r="AD1459" t="s">
        <v>21240</v>
      </c>
    </row>
    <row r="1460" spans="1:30">
      <c r="A1460" t="s">
        <v>21241</v>
      </c>
      <c r="B1460">
        <v>4</v>
      </c>
      <c r="C1460">
        <v>25</v>
      </c>
      <c r="D1460">
        <v>2001</v>
      </c>
      <c r="E1460" s="1">
        <v>37006</v>
      </c>
      <c r="F1460" t="s">
        <v>21242</v>
      </c>
      <c r="G1460">
        <v>1</v>
      </c>
      <c r="H1460">
        <v>0</v>
      </c>
      <c r="I1460">
        <v>1</v>
      </c>
      <c r="J1460">
        <v>0</v>
      </c>
      <c r="L1460" t="s">
        <v>21243</v>
      </c>
      <c r="M1460" t="s">
        <v>21244</v>
      </c>
      <c r="N1460" t="s">
        <v>21245</v>
      </c>
      <c r="O1460" t="s">
        <v>21246</v>
      </c>
      <c r="P1460" t="s">
        <v>21247</v>
      </c>
      <c r="Q1460" t="s">
        <v>21248</v>
      </c>
      <c r="R1460" t="s">
        <v>21249</v>
      </c>
      <c r="S1460" t="s">
        <v>21250</v>
      </c>
      <c r="T1460" s="2">
        <v>0.95833333333333337</v>
      </c>
      <c r="U1460">
        <v>1</v>
      </c>
      <c r="V1460" t="s">
        <v>21251</v>
      </c>
      <c r="W1460" t="s">
        <v>21252</v>
      </c>
      <c r="Y1460" t="s">
        <v>21252</v>
      </c>
      <c r="Z1460" t="s">
        <v>21253</v>
      </c>
      <c r="AA1460" t="s">
        <v>21253</v>
      </c>
      <c r="AB1460" t="s">
        <v>21253</v>
      </c>
      <c r="AC1460" t="s">
        <v>21253</v>
      </c>
    </row>
    <row r="1461" spans="1:30">
      <c r="A1461" t="s">
        <v>21254</v>
      </c>
      <c r="B1461">
        <v>4</v>
      </c>
      <c r="C1461">
        <v>20</v>
      </c>
      <c r="D1461">
        <v>2001</v>
      </c>
      <c r="E1461" s="1">
        <v>37001</v>
      </c>
      <c r="F1461" t="s">
        <v>21255</v>
      </c>
      <c r="G1461">
        <v>0</v>
      </c>
      <c r="H1461">
        <v>0</v>
      </c>
      <c r="I1461">
        <v>0</v>
      </c>
      <c r="J1461">
        <v>0</v>
      </c>
      <c r="L1461" t="s">
        <v>21256</v>
      </c>
      <c r="M1461" t="s">
        <v>21257</v>
      </c>
      <c r="N1461" t="s">
        <v>21258</v>
      </c>
      <c r="O1461" t="s">
        <v>21259</v>
      </c>
      <c r="P1461" t="s">
        <v>21260</v>
      </c>
      <c r="Q1461" t="s">
        <v>21261</v>
      </c>
      <c r="R1461" t="s">
        <v>21262</v>
      </c>
      <c r="S1461" t="s">
        <v>21263</v>
      </c>
      <c r="T1461" s="2">
        <v>0.30555555555555558</v>
      </c>
      <c r="V1461" t="s">
        <v>21264</v>
      </c>
      <c r="W1461" t="s">
        <v>21265</v>
      </c>
      <c r="Y1461" t="s">
        <v>21266</v>
      </c>
      <c r="Z1461" t="s">
        <v>21266</v>
      </c>
      <c r="AA1461" t="s">
        <v>21266</v>
      </c>
      <c r="AB1461" t="s">
        <v>21266</v>
      </c>
      <c r="AC1461" t="s">
        <v>21266</v>
      </c>
      <c r="AD1461" t="s">
        <v>21267</v>
      </c>
    </row>
    <row r="1462" spans="1:30">
      <c r="A1462" t="s">
        <v>21268</v>
      </c>
      <c r="B1462">
        <v>4</v>
      </c>
      <c r="C1462">
        <v>10</v>
      </c>
      <c r="D1462">
        <v>2001</v>
      </c>
      <c r="E1462" s="1">
        <v>36991</v>
      </c>
      <c r="F1462" t="s">
        <v>21269</v>
      </c>
      <c r="G1462">
        <v>0</v>
      </c>
      <c r="H1462">
        <v>0</v>
      </c>
      <c r="I1462">
        <v>0</v>
      </c>
      <c r="J1462">
        <v>0</v>
      </c>
      <c r="L1462" t="s">
        <v>21270</v>
      </c>
      <c r="M1462" t="s">
        <v>21271</v>
      </c>
      <c r="N1462" t="s">
        <v>21272</v>
      </c>
      <c r="O1462" t="s">
        <v>21273</v>
      </c>
      <c r="P1462" t="s">
        <v>21274</v>
      </c>
      <c r="Q1462" t="s">
        <v>21275</v>
      </c>
      <c r="R1462" t="s">
        <v>21276</v>
      </c>
      <c r="U1462">
        <v>45</v>
      </c>
      <c r="V1462" t="s">
        <v>21277</v>
      </c>
      <c r="W1462" t="s">
        <v>21278</v>
      </c>
      <c r="X1462" t="s">
        <v>21279</v>
      </c>
      <c r="Y1462" t="s">
        <v>21280</v>
      </c>
      <c r="Z1462" t="s">
        <v>21281</v>
      </c>
      <c r="AA1462" t="s">
        <v>21282</v>
      </c>
      <c r="AB1462" t="s">
        <v>21282</v>
      </c>
      <c r="AC1462" t="s">
        <v>21282</v>
      </c>
      <c r="AD1462" t="s">
        <v>21283</v>
      </c>
    </row>
    <row r="1463" spans="1:30">
      <c r="A1463" t="s">
        <v>21284</v>
      </c>
      <c r="B1463">
        <v>4</v>
      </c>
      <c r="C1463">
        <v>2</v>
      </c>
      <c r="D1463">
        <v>2001</v>
      </c>
      <c r="E1463" s="1">
        <v>36983</v>
      </c>
      <c r="F1463" t="s">
        <v>21285</v>
      </c>
      <c r="G1463">
        <v>0</v>
      </c>
      <c r="H1463">
        <v>0</v>
      </c>
      <c r="I1463">
        <v>0</v>
      </c>
      <c r="J1463">
        <v>1</v>
      </c>
      <c r="L1463" t="s">
        <v>21286</v>
      </c>
      <c r="M1463" t="s">
        <v>21287</v>
      </c>
      <c r="N1463" t="s">
        <v>21288</v>
      </c>
      <c r="O1463" t="s">
        <v>21289</v>
      </c>
      <c r="P1463" t="s">
        <v>21290</v>
      </c>
      <c r="Q1463" t="s">
        <v>21291</v>
      </c>
      <c r="R1463" t="s">
        <v>21292</v>
      </c>
      <c r="S1463" t="s">
        <v>21293</v>
      </c>
      <c r="T1463" s="2">
        <v>0.4375</v>
      </c>
      <c r="U1463">
        <v>1</v>
      </c>
      <c r="V1463" t="s">
        <v>21294</v>
      </c>
      <c r="W1463" t="s">
        <v>21295</v>
      </c>
      <c r="X1463" t="s">
        <v>21296</v>
      </c>
      <c r="Y1463" t="s">
        <v>21297</v>
      </c>
      <c r="Z1463" t="s">
        <v>21297</v>
      </c>
      <c r="AA1463" t="s">
        <v>21297</v>
      </c>
      <c r="AB1463" t="s">
        <v>21297</v>
      </c>
      <c r="AC1463" t="s">
        <v>21297</v>
      </c>
    </row>
    <row r="1464" spans="1:30">
      <c r="A1464" t="s">
        <v>21298</v>
      </c>
      <c r="B1464">
        <v>3</v>
      </c>
      <c r="C1464">
        <v>30</v>
      </c>
      <c r="D1464">
        <v>2001</v>
      </c>
      <c r="E1464" s="1">
        <v>36980</v>
      </c>
      <c r="F1464" t="s">
        <v>21299</v>
      </c>
      <c r="G1464">
        <v>1</v>
      </c>
      <c r="H1464">
        <v>0</v>
      </c>
      <c r="I1464">
        <v>1</v>
      </c>
      <c r="J1464">
        <v>0</v>
      </c>
      <c r="L1464" t="s">
        <v>21300</v>
      </c>
      <c r="M1464" t="s">
        <v>21301</v>
      </c>
      <c r="N1464" t="s">
        <v>21302</v>
      </c>
      <c r="O1464" t="s">
        <v>21303</v>
      </c>
      <c r="P1464" t="s">
        <v>21304</v>
      </c>
      <c r="Q1464" t="s">
        <v>21305</v>
      </c>
      <c r="R1464" t="s">
        <v>21306</v>
      </c>
      <c r="S1464" t="s">
        <v>21307</v>
      </c>
      <c r="T1464" s="2">
        <v>0.34375</v>
      </c>
      <c r="U1464">
        <v>1</v>
      </c>
      <c r="V1464" t="s">
        <v>21308</v>
      </c>
      <c r="W1464" t="s">
        <v>21309</v>
      </c>
      <c r="X1464" t="s">
        <v>21310</v>
      </c>
      <c r="Y1464" t="s">
        <v>21311</v>
      </c>
      <c r="Z1464" t="s">
        <v>21311</v>
      </c>
      <c r="AA1464" t="s">
        <v>21311</v>
      </c>
      <c r="AB1464" t="s">
        <v>21312</v>
      </c>
      <c r="AC1464" t="s">
        <v>21313</v>
      </c>
    </row>
    <row r="1465" spans="1:30">
      <c r="A1465" t="s">
        <v>21314</v>
      </c>
      <c r="B1465">
        <v>3</v>
      </c>
      <c r="C1465">
        <v>22</v>
      </c>
      <c r="D1465">
        <v>2001</v>
      </c>
      <c r="E1465" s="1">
        <v>36972</v>
      </c>
      <c r="F1465" t="s">
        <v>21315</v>
      </c>
      <c r="G1465">
        <v>0</v>
      </c>
      <c r="H1465">
        <v>5</v>
      </c>
      <c r="I1465">
        <v>5</v>
      </c>
      <c r="J1465">
        <v>1</v>
      </c>
      <c r="L1465" t="s">
        <v>21316</v>
      </c>
      <c r="M1465" t="s">
        <v>21317</v>
      </c>
      <c r="N1465" t="s">
        <v>21318</v>
      </c>
      <c r="O1465" t="s">
        <v>21319</v>
      </c>
      <c r="P1465" t="s">
        <v>21320</v>
      </c>
      <c r="Q1465" t="s">
        <v>21321</v>
      </c>
      <c r="R1465" t="s">
        <v>21322</v>
      </c>
      <c r="S1465" t="s">
        <v>21323</v>
      </c>
      <c r="T1465" s="2">
        <v>0.53749999999999998</v>
      </c>
      <c r="V1465" t="s">
        <v>21324</v>
      </c>
      <c r="W1465" t="s">
        <v>21325</v>
      </c>
      <c r="X1465" t="s">
        <v>21326</v>
      </c>
      <c r="Y1465" t="s">
        <v>21327</v>
      </c>
      <c r="Z1465" t="s">
        <v>21327</v>
      </c>
      <c r="AA1465" t="s">
        <v>21327</v>
      </c>
      <c r="AB1465" t="s">
        <v>21327</v>
      </c>
      <c r="AC1465" t="s">
        <v>21327</v>
      </c>
      <c r="AD1465" t="s">
        <v>21328</v>
      </c>
    </row>
    <row r="1466" spans="1:30">
      <c r="A1466" t="s">
        <v>21329</v>
      </c>
      <c r="B1466">
        <v>3</v>
      </c>
      <c r="C1466">
        <v>7</v>
      </c>
      <c r="D1466">
        <v>2001</v>
      </c>
      <c r="E1466" s="1">
        <v>36957</v>
      </c>
      <c r="F1466" t="s">
        <v>21330</v>
      </c>
      <c r="G1466">
        <v>0</v>
      </c>
      <c r="H1466">
        <v>1</v>
      </c>
      <c r="I1466">
        <v>1</v>
      </c>
      <c r="J1466">
        <v>0</v>
      </c>
      <c r="L1466" t="s">
        <v>21331</v>
      </c>
      <c r="M1466" t="s">
        <v>21332</v>
      </c>
      <c r="N1466" t="s">
        <v>21333</v>
      </c>
      <c r="O1466" t="s">
        <v>21334</v>
      </c>
      <c r="P1466" t="s">
        <v>21335</v>
      </c>
      <c r="Q1466" t="s">
        <v>21336</v>
      </c>
      <c r="R1466" t="s">
        <v>21337</v>
      </c>
      <c r="S1466" t="s">
        <v>21338</v>
      </c>
      <c r="T1466" s="2">
        <v>0.5</v>
      </c>
      <c r="U1466">
        <v>1</v>
      </c>
      <c r="V1466" t="s">
        <v>21339</v>
      </c>
      <c r="W1466" t="s">
        <v>21340</v>
      </c>
      <c r="X1466" t="s">
        <v>21341</v>
      </c>
      <c r="Y1466" t="s">
        <v>21342</v>
      </c>
      <c r="Z1466" t="s">
        <v>21342</v>
      </c>
      <c r="AA1466" t="s">
        <v>21342</v>
      </c>
      <c r="AB1466" t="s">
        <v>21343</v>
      </c>
      <c r="AC1466" t="s">
        <v>21344</v>
      </c>
    </row>
    <row r="1467" spans="1:30">
      <c r="A1467" t="s">
        <v>21345</v>
      </c>
      <c r="B1467">
        <v>3</v>
      </c>
      <c r="C1467">
        <v>7</v>
      </c>
      <c r="D1467">
        <v>2001</v>
      </c>
      <c r="E1467" s="1">
        <v>36957</v>
      </c>
      <c r="F1467" t="s">
        <v>21346</v>
      </c>
      <c r="G1467">
        <v>0</v>
      </c>
      <c r="H1467">
        <v>0</v>
      </c>
      <c r="I1467">
        <v>0</v>
      </c>
      <c r="J1467">
        <v>0</v>
      </c>
      <c r="L1467" t="s">
        <v>21347</v>
      </c>
      <c r="M1467" t="s">
        <v>21348</v>
      </c>
      <c r="N1467" t="s">
        <v>21349</v>
      </c>
      <c r="O1467" t="s">
        <v>21350</v>
      </c>
      <c r="P1467" t="s">
        <v>21351</v>
      </c>
      <c r="Q1467" t="s">
        <v>21352</v>
      </c>
      <c r="R1467" t="s">
        <v>21353</v>
      </c>
      <c r="V1467" t="s">
        <v>21354</v>
      </c>
      <c r="W1467" t="s">
        <v>21355</v>
      </c>
      <c r="X1467" t="s">
        <v>21356</v>
      </c>
      <c r="Y1467" t="s">
        <v>21357</v>
      </c>
      <c r="Z1467" t="s">
        <v>21357</v>
      </c>
      <c r="AA1467" t="s">
        <v>21357</v>
      </c>
      <c r="AB1467" t="s">
        <v>21357</v>
      </c>
      <c r="AC1467" t="s">
        <v>21357</v>
      </c>
      <c r="AD1467" t="s">
        <v>21358</v>
      </c>
    </row>
    <row r="1468" spans="1:30">
      <c r="A1468" t="s">
        <v>21359</v>
      </c>
      <c r="B1468">
        <v>3</v>
      </c>
      <c r="C1468">
        <v>6</v>
      </c>
      <c r="D1468">
        <v>2001</v>
      </c>
      <c r="E1468" s="1">
        <v>36956</v>
      </c>
      <c r="F1468" t="s">
        <v>21360</v>
      </c>
      <c r="G1468">
        <v>0</v>
      </c>
      <c r="H1468">
        <v>1</v>
      </c>
      <c r="I1468">
        <v>1</v>
      </c>
      <c r="J1468">
        <v>0</v>
      </c>
      <c r="L1468" t="s">
        <v>21361</v>
      </c>
      <c r="M1468" t="s">
        <v>21362</v>
      </c>
      <c r="N1468" t="s">
        <v>21363</v>
      </c>
      <c r="O1468" t="s">
        <v>21364</v>
      </c>
      <c r="P1468" t="s">
        <v>21365</v>
      </c>
      <c r="Q1468" t="s">
        <v>21366</v>
      </c>
      <c r="R1468" t="s">
        <v>21367</v>
      </c>
      <c r="S1468" t="s">
        <v>21368</v>
      </c>
      <c r="T1468" s="2">
        <v>0.70833333333333337</v>
      </c>
      <c r="U1468">
        <v>1</v>
      </c>
      <c r="V1468" t="s">
        <v>21369</v>
      </c>
      <c r="W1468" t="s">
        <v>21370</v>
      </c>
      <c r="X1468" t="s">
        <v>21371</v>
      </c>
      <c r="Y1468" t="s">
        <v>21372</v>
      </c>
      <c r="Z1468" t="s">
        <v>21373</v>
      </c>
      <c r="AA1468" t="s">
        <v>21373</v>
      </c>
      <c r="AB1468" t="s">
        <v>21373</v>
      </c>
      <c r="AC1468" t="s">
        <v>21373</v>
      </c>
    </row>
    <row r="1469" spans="1:30">
      <c r="A1469" t="s">
        <v>21374</v>
      </c>
      <c r="B1469">
        <v>3</v>
      </c>
      <c r="C1469">
        <v>5</v>
      </c>
      <c r="D1469">
        <v>2001</v>
      </c>
      <c r="E1469" s="1">
        <v>36955</v>
      </c>
      <c r="F1469" t="s">
        <v>21375</v>
      </c>
      <c r="G1469">
        <v>2</v>
      </c>
      <c r="H1469">
        <v>13</v>
      </c>
      <c r="I1469">
        <v>15</v>
      </c>
      <c r="J1469">
        <v>0</v>
      </c>
      <c r="L1469" t="s">
        <v>21376</v>
      </c>
      <c r="M1469" t="s">
        <v>21377</v>
      </c>
      <c r="N1469" t="s">
        <v>21378</v>
      </c>
      <c r="O1469" t="s">
        <v>21379</v>
      </c>
      <c r="P1469" t="s">
        <v>21380</v>
      </c>
      <c r="Q1469" t="s">
        <v>21381</v>
      </c>
      <c r="R1469" t="s">
        <v>21382</v>
      </c>
      <c r="S1469" t="s">
        <v>21383</v>
      </c>
      <c r="T1469" s="2">
        <v>0.3888888888888889</v>
      </c>
      <c r="V1469" t="s">
        <v>21384</v>
      </c>
      <c r="W1469" t="s">
        <v>21385</v>
      </c>
      <c r="X1469" t="s">
        <v>21386</v>
      </c>
      <c r="Y1469" t="s">
        <v>21387</v>
      </c>
      <c r="Z1469" t="s">
        <v>21387</v>
      </c>
      <c r="AA1469" t="s">
        <v>21387</v>
      </c>
      <c r="AB1469" t="s">
        <v>21388</v>
      </c>
      <c r="AC1469" t="s">
        <v>21389</v>
      </c>
      <c r="AD1469" t="s">
        <v>21390</v>
      </c>
    </row>
    <row r="1470" spans="1:30">
      <c r="A1470" t="s">
        <v>21391</v>
      </c>
      <c r="B1470">
        <v>3</v>
      </c>
      <c r="C1470">
        <v>2</v>
      </c>
      <c r="D1470">
        <v>2001</v>
      </c>
      <c r="E1470" s="1">
        <v>36952</v>
      </c>
      <c r="F1470" t="s">
        <v>21392</v>
      </c>
      <c r="G1470">
        <v>0</v>
      </c>
      <c r="H1470">
        <v>0</v>
      </c>
      <c r="I1470">
        <v>0</v>
      </c>
      <c r="J1470">
        <v>1</v>
      </c>
      <c r="L1470" t="s">
        <v>21393</v>
      </c>
      <c r="M1470" t="s">
        <v>21394</v>
      </c>
      <c r="N1470" t="s">
        <v>21395</v>
      </c>
      <c r="O1470" t="s">
        <v>21396</v>
      </c>
      <c r="P1470" t="s">
        <v>21397</v>
      </c>
      <c r="Q1470" t="s">
        <v>21398</v>
      </c>
      <c r="R1470" t="s">
        <v>21399</v>
      </c>
      <c r="S1470" t="s">
        <v>21400</v>
      </c>
      <c r="V1470" t="s">
        <v>21401</v>
      </c>
      <c r="W1470" t="s">
        <v>21402</v>
      </c>
      <c r="X1470" t="s">
        <v>21403</v>
      </c>
      <c r="Y1470" t="s">
        <v>21404</v>
      </c>
      <c r="Z1470" t="s">
        <v>21404</v>
      </c>
      <c r="AA1470" t="s">
        <v>21404</v>
      </c>
      <c r="AB1470" t="s">
        <v>21404</v>
      </c>
      <c r="AC1470" t="s">
        <v>21404</v>
      </c>
    </row>
    <row r="1471" spans="1:30">
      <c r="A1471" t="s">
        <v>21405</v>
      </c>
      <c r="B1471">
        <v>2</v>
      </c>
      <c r="C1471">
        <v>2</v>
      </c>
      <c r="D1471">
        <v>2001</v>
      </c>
      <c r="E1471" s="1">
        <v>36924</v>
      </c>
      <c r="F1471" t="s">
        <v>21406</v>
      </c>
      <c r="G1471">
        <v>0</v>
      </c>
      <c r="H1471">
        <v>3</v>
      </c>
      <c r="I1471">
        <v>3</v>
      </c>
      <c r="J1471">
        <v>0</v>
      </c>
      <c r="L1471" t="s">
        <v>21407</v>
      </c>
      <c r="M1471" t="s">
        <v>21408</v>
      </c>
      <c r="N1471" t="s">
        <v>21409</v>
      </c>
      <c r="O1471" t="s">
        <v>21410</v>
      </c>
      <c r="P1471" t="s">
        <v>21411</v>
      </c>
      <c r="Q1471" t="s">
        <v>21412</v>
      </c>
      <c r="R1471" t="s">
        <v>21413</v>
      </c>
      <c r="V1471" t="s">
        <v>21414</v>
      </c>
      <c r="W1471" t="s">
        <v>21415</v>
      </c>
      <c r="Y1471" t="s">
        <v>21416</v>
      </c>
      <c r="Z1471" t="s">
        <v>21416</v>
      </c>
      <c r="AA1471" t="s">
        <v>21416</v>
      </c>
      <c r="AB1471" t="s">
        <v>21416</v>
      </c>
      <c r="AC1471" t="s">
        <v>21416</v>
      </c>
      <c r="AD1471" t="s">
        <v>21417</v>
      </c>
    </row>
    <row r="1472" spans="1:30">
      <c r="A1472" t="s">
        <v>21418</v>
      </c>
      <c r="B1472">
        <v>1</v>
      </c>
      <c r="C1472">
        <v>17</v>
      </c>
      <c r="D1472">
        <v>2001</v>
      </c>
      <c r="E1472" s="1">
        <v>36908</v>
      </c>
      <c r="F1472" t="s">
        <v>21419</v>
      </c>
      <c r="G1472">
        <v>1</v>
      </c>
      <c r="H1472">
        <v>0</v>
      </c>
      <c r="I1472">
        <v>1</v>
      </c>
      <c r="J1472">
        <v>0</v>
      </c>
      <c r="L1472" t="s">
        <v>21420</v>
      </c>
      <c r="M1472" t="s">
        <v>21421</v>
      </c>
      <c r="N1472" t="s">
        <v>21422</v>
      </c>
      <c r="O1472" t="s">
        <v>21423</v>
      </c>
      <c r="P1472" t="s">
        <v>21424</v>
      </c>
      <c r="Q1472" t="s">
        <v>21425</v>
      </c>
      <c r="R1472" t="s">
        <v>21426</v>
      </c>
      <c r="S1472" t="s">
        <v>21427</v>
      </c>
      <c r="T1472" s="2">
        <v>0.36458333333333331</v>
      </c>
      <c r="U1472">
        <v>1</v>
      </c>
      <c r="V1472" t="s">
        <v>21428</v>
      </c>
      <c r="W1472" t="s">
        <v>21429</v>
      </c>
      <c r="X1472" t="s">
        <v>21430</v>
      </c>
      <c r="Y1472" t="s">
        <v>21431</v>
      </c>
      <c r="Z1472" t="s">
        <v>21431</v>
      </c>
      <c r="AA1472" t="s">
        <v>21431</v>
      </c>
      <c r="AB1472" t="s">
        <v>21431</v>
      </c>
      <c r="AC1472" t="s">
        <v>21431</v>
      </c>
    </row>
    <row r="1473" spans="1:30">
      <c r="A1473" t="s">
        <v>21432</v>
      </c>
      <c r="B1473">
        <v>1</v>
      </c>
      <c r="C1473">
        <v>10</v>
      </c>
      <c r="D1473">
        <v>2001</v>
      </c>
      <c r="E1473" s="1">
        <v>36901</v>
      </c>
      <c r="F1473" t="s">
        <v>21433</v>
      </c>
      <c r="G1473">
        <v>0</v>
      </c>
      <c r="H1473">
        <v>0</v>
      </c>
      <c r="I1473">
        <v>0</v>
      </c>
      <c r="J1473">
        <v>1</v>
      </c>
      <c r="L1473" t="s">
        <v>21434</v>
      </c>
      <c r="M1473" t="s">
        <v>21435</v>
      </c>
      <c r="N1473" t="s">
        <v>21436</v>
      </c>
      <c r="O1473" t="s">
        <v>21437</v>
      </c>
      <c r="P1473" t="s">
        <v>21438</v>
      </c>
      <c r="Q1473" t="s">
        <v>21439</v>
      </c>
      <c r="R1473" t="s">
        <v>21440</v>
      </c>
      <c r="S1473" t="s">
        <v>21441</v>
      </c>
      <c r="T1473" s="2">
        <v>0.53472222222222221</v>
      </c>
      <c r="V1473" t="s">
        <v>21442</v>
      </c>
      <c r="W1473" t="s">
        <v>21443</v>
      </c>
      <c r="X1473" t="s">
        <v>21444</v>
      </c>
      <c r="Y1473" t="s">
        <v>21445</v>
      </c>
      <c r="Z1473" t="s">
        <v>21446</v>
      </c>
      <c r="AA1473" t="s">
        <v>21447</v>
      </c>
      <c r="AB1473" t="s">
        <v>21447</v>
      </c>
      <c r="AC1473" t="s">
        <v>21447</v>
      </c>
      <c r="AD1473" t="s">
        <v>21448</v>
      </c>
    </row>
    <row r="1474" spans="1:30">
      <c r="A1474" t="s">
        <v>21449</v>
      </c>
      <c r="B1474">
        <v>1</v>
      </c>
      <c r="C1474">
        <v>3</v>
      </c>
      <c r="D1474">
        <v>2001</v>
      </c>
      <c r="E1474" s="1">
        <v>36894</v>
      </c>
      <c r="F1474" t="s">
        <v>21450</v>
      </c>
      <c r="G1474">
        <v>0</v>
      </c>
      <c r="H1474">
        <v>0</v>
      </c>
      <c r="I1474">
        <v>0</v>
      </c>
      <c r="J1474">
        <v>0</v>
      </c>
      <c r="L1474" t="s">
        <v>21451</v>
      </c>
      <c r="M1474" t="s">
        <v>21452</v>
      </c>
      <c r="N1474" t="s">
        <v>21453</v>
      </c>
      <c r="O1474" t="s">
        <v>21454</v>
      </c>
      <c r="P1474" t="s">
        <v>21455</v>
      </c>
      <c r="Q1474" t="s">
        <v>21456</v>
      </c>
      <c r="R1474" t="s">
        <v>21457</v>
      </c>
      <c r="S1474" t="s">
        <v>21458</v>
      </c>
      <c r="T1474" s="2">
        <v>0.39583333333333331</v>
      </c>
      <c r="U1474">
        <v>1</v>
      </c>
      <c r="V1474" t="s">
        <v>21459</v>
      </c>
      <c r="W1474" t="s">
        <v>21460</v>
      </c>
      <c r="X1474" t="s">
        <v>21461</v>
      </c>
      <c r="Y1474" t="s">
        <v>21462</v>
      </c>
      <c r="Z1474" t="s">
        <v>21462</v>
      </c>
      <c r="AA1474" t="s">
        <v>21462</v>
      </c>
      <c r="AB1474" t="s">
        <v>21462</v>
      </c>
      <c r="AC1474" t="s">
        <v>21462</v>
      </c>
    </row>
    <row r="1475" spans="1:30">
      <c r="A1475" t="s">
        <v>21463</v>
      </c>
      <c r="B1475">
        <v>12</v>
      </c>
      <c r="C1475">
        <v>21</v>
      </c>
      <c r="D1475">
        <v>2000</v>
      </c>
      <c r="E1475" s="1">
        <v>36881</v>
      </c>
      <c r="F1475" t="s">
        <v>21464</v>
      </c>
      <c r="G1475">
        <v>1</v>
      </c>
      <c r="H1475">
        <v>0</v>
      </c>
      <c r="I1475">
        <v>1</v>
      </c>
      <c r="J1475">
        <v>0</v>
      </c>
      <c r="L1475" t="s">
        <v>21465</v>
      </c>
      <c r="M1475" t="s">
        <v>21466</v>
      </c>
      <c r="N1475" t="s">
        <v>21467</v>
      </c>
      <c r="O1475" t="s">
        <v>21468</v>
      </c>
      <c r="P1475" t="s">
        <v>21469</v>
      </c>
      <c r="Q1475" t="s">
        <v>21470</v>
      </c>
      <c r="R1475" t="s">
        <v>21471</v>
      </c>
      <c r="S1475" t="s">
        <v>21472</v>
      </c>
      <c r="T1475" s="2">
        <v>0.65625</v>
      </c>
      <c r="U1475">
        <v>1</v>
      </c>
      <c r="V1475" t="s">
        <v>21473</v>
      </c>
      <c r="W1475" t="s">
        <v>21474</v>
      </c>
      <c r="X1475" t="s">
        <v>21475</v>
      </c>
      <c r="Y1475" t="s">
        <v>21476</v>
      </c>
      <c r="Z1475" t="s">
        <v>21477</v>
      </c>
      <c r="AA1475" t="s">
        <v>21477</v>
      </c>
      <c r="AB1475" t="s">
        <v>21477</v>
      </c>
      <c r="AC1475" t="s">
        <v>21477</v>
      </c>
    </row>
    <row r="1476" spans="1:30">
      <c r="A1476" t="s">
        <v>21478</v>
      </c>
      <c r="B1476">
        <v>12</v>
      </c>
      <c r="C1476">
        <v>7</v>
      </c>
      <c r="D1476">
        <v>2000</v>
      </c>
      <c r="E1476" s="1">
        <v>36867</v>
      </c>
      <c r="F1476" t="s">
        <v>21479</v>
      </c>
      <c r="G1476">
        <v>1</v>
      </c>
      <c r="H1476">
        <v>0</v>
      </c>
      <c r="I1476">
        <v>1</v>
      </c>
      <c r="J1476">
        <v>0</v>
      </c>
      <c r="L1476" t="s">
        <v>21480</v>
      </c>
      <c r="M1476" t="s">
        <v>21481</v>
      </c>
      <c r="N1476" t="s">
        <v>21482</v>
      </c>
      <c r="O1476" t="s">
        <v>21483</v>
      </c>
      <c r="P1476" t="s">
        <v>21484</v>
      </c>
      <c r="Q1476" t="s">
        <v>21485</v>
      </c>
      <c r="R1476" t="s">
        <v>21486</v>
      </c>
      <c r="S1476" t="s">
        <v>21487</v>
      </c>
      <c r="T1476" s="2">
        <v>0.53125</v>
      </c>
      <c r="U1476">
        <v>1</v>
      </c>
      <c r="V1476" t="s">
        <v>21488</v>
      </c>
      <c r="W1476" t="s">
        <v>21489</v>
      </c>
      <c r="Y1476" t="s">
        <v>21490</v>
      </c>
      <c r="Z1476" t="s">
        <v>21491</v>
      </c>
      <c r="AA1476" t="s">
        <v>21491</v>
      </c>
      <c r="AB1476" t="s">
        <v>21491</v>
      </c>
      <c r="AC1476" t="s">
        <v>21491</v>
      </c>
    </row>
    <row r="1477" spans="1:30">
      <c r="A1477" t="s">
        <v>21492</v>
      </c>
      <c r="B1477">
        <v>12</v>
      </c>
      <c r="C1477">
        <v>1</v>
      </c>
      <c r="D1477">
        <v>2000</v>
      </c>
      <c r="E1477" s="1">
        <v>36861</v>
      </c>
      <c r="F1477" t="s">
        <v>21493</v>
      </c>
      <c r="G1477">
        <v>0</v>
      </c>
      <c r="H1477">
        <v>0</v>
      </c>
      <c r="I1477">
        <v>0</v>
      </c>
      <c r="J1477">
        <v>1</v>
      </c>
      <c r="L1477" t="s">
        <v>21494</v>
      </c>
      <c r="M1477" t="s">
        <v>21495</v>
      </c>
      <c r="N1477" t="s">
        <v>21496</v>
      </c>
      <c r="O1477" t="s">
        <v>21497</v>
      </c>
      <c r="P1477" t="s">
        <v>21498</v>
      </c>
      <c r="Q1477" t="s">
        <v>21499</v>
      </c>
      <c r="R1477" t="s">
        <v>21500</v>
      </c>
      <c r="S1477" t="s">
        <v>21501</v>
      </c>
      <c r="T1477" s="2">
        <v>0.29166666666666669</v>
      </c>
      <c r="U1477">
        <v>1</v>
      </c>
      <c r="V1477" t="s">
        <v>21502</v>
      </c>
      <c r="W1477" t="s">
        <v>21503</v>
      </c>
      <c r="X1477" t="s">
        <v>21504</v>
      </c>
      <c r="Y1477" t="s">
        <v>21505</v>
      </c>
      <c r="Z1477" t="s">
        <v>21505</v>
      </c>
      <c r="AA1477" t="s">
        <v>21505</v>
      </c>
      <c r="AB1477" t="s">
        <v>21505</v>
      </c>
      <c r="AC1477" t="s">
        <v>21505</v>
      </c>
    </row>
    <row r="1478" spans="1:30">
      <c r="A1478" t="s">
        <v>21506</v>
      </c>
      <c r="B1478">
        <v>12</v>
      </c>
      <c r="C1478">
        <v>1</v>
      </c>
      <c r="D1478">
        <v>2000</v>
      </c>
      <c r="E1478" s="1">
        <v>36861</v>
      </c>
      <c r="F1478" t="s">
        <v>21507</v>
      </c>
      <c r="G1478">
        <v>0</v>
      </c>
      <c r="H1478">
        <v>0</v>
      </c>
      <c r="I1478">
        <v>0</v>
      </c>
      <c r="J1478">
        <v>0</v>
      </c>
      <c r="L1478" t="s">
        <v>21508</v>
      </c>
      <c r="M1478" t="s">
        <v>21509</v>
      </c>
      <c r="N1478" t="s">
        <v>21510</v>
      </c>
      <c r="O1478" t="s">
        <v>21511</v>
      </c>
      <c r="P1478" t="s">
        <v>21512</v>
      </c>
      <c r="Q1478" t="s">
        <v>21512</v>
      </c>
      <c r="R1478" t="s">
        <v>21513</v>
      </c>
      <c r="S1478" t="s">
        <v>21514</v>
      </c>
      <c r="V1478" t="s">
        <v>21515</v>
      </c>
      <c r="W1478" t="s">
        <v>21516</v>
      </c>
      <c r="X1478" t="s">
        <v>21517</v>
      </c>
      <c r="Z1478" t="s">
        <v>21518</v>
      </c>
      <c r="AA1478" t="s">
        <v>21518</v>
      </c>
      <c r="AB1478" t="s">
        <v>21518</v>
      </c>
      <c r="AC1478" t="s">
        <v>21518</v>
      </c>
    </row>
    <row r="1479" spans="1:30">
      <c r="A1479" t="s">
        <v>21519</v>
      </c>
      <c r="B1479">
        <v>11</v>
      </c>
      <c r="C1479">
        <v>1</v>
      </c>
      <c r="D1479">
        <v>2000</v>
      </c>
      <c r="E1479" s="1">
        <v>36831</v>
      </c>
      <c r="F1479" t="s">
        <v>21520</v>
      </c>
      <c r="G1479">
        <v>0</v>
      </c>
      <c r="H1479">
        <v>0</v>
      </c>
      <c r="I1479">
        <v>0</v>
      </c>
      <c r="J1479">
        <v>0</v>
      </c>
      <c r="L1479" t="s">
        <v>21521</v>
      </c>
      <c r="M1479" t="s">
        <v>21522</v>
      </c>
      <c r="N1479" t="s">
        <v>21523</v>
      </c>
      <c r="O1479" t="s">
        <v>21524</v>
      </c>
      <c r="P1479" t="s">
        <v>21525</v>
      </c>
      <c r="Q1479" t="s">
        <v>21526</v>
      </c>
      <c r="R1479" t="s">
        <v>21527</v>
      </c>
      <c r="S1479" t="s">
        <v>21528</v>
      </c>
      <c r="T1479" s="2">
        <v>0.34375</v>
      </c>
      <c r="U1479">
        <v>25</v>
      </c>
      <c r="V1479" t="s">
        <v>21529</v>
      </c>
      <c r="W1479" t="s">
        <v>21530</v>
      </c>
      <c r="Y1479" t="s">
        <v>21531</v>
      </c>
      <c r="Z1479" t="s">
        <v>21532</v>
      </c>
      <c r="AA1479" t="s">
        <v>21532</v>
      </c>
      <c r="AB1479" t="s">
        <v>21533</v>
      </c>
      <c r="AC1479" t="s">
        <v>21533</v>
      </c>
      <c r="AD1479" t="s">
        <v>21534</v>
      </c>
    </row>
    <row r="1480" spans="1:30">
      <c r="A1480" t="s">
        <v>21535</v>
      </c>
      <c r="B1480">
        <v>10</v>
      </c>
      <c r="C1480">
        <v>24</v>
      </c>
      <c r="D1480">
        <v>2000</v>
      </c>
      <c r="E1480" s="1">
        <v>36823</v>
      </c>
      <c r="F1480" t="s">
        <v>21536</v>
      </c>
      <c r="G1480">
        <v>0</v>
      </c>
      <c r="H1480">
        <v>0</v>
      </c>
      <c r="I1480">
        <v>0</v>
      </c>
      <c r="J1480">
        <v>0</v>
      </c>
      <c r="L1480" t="s">
        <v>21537</v>
      </c>
      <c r="M1480" t="s">
        <v>21538</v>
      </c>
      <c r="N1480" t="s">
        <v>21539</v>
      </c>
      <c r="O1480" t="s">
        <v>21540</v>
      </c>
      <c r="P1480" t="s">
        <v>21541</v>
      </c>
      <c r="Q1480" t="s">
        <v>21542</v>
      </c>
      <c r="R1480" t="s">
        <v>21543</v>
      </c>
      <c r="S1480" t="s">
        <v>21544</v>
      </c>
      <c r="T1480" s="2">
        <v>0.46875</v>
      </c>
      <c r="V1480" t="s">
        <v>21545</v>
      </c>
      <c r="W1480" t="s">
        <v>21546</v>
      </c>
      <c r="X1480" t="s">
        <v>21547</v>
      </c>
      <c r="Y1480" t="s">
        <v>21548</v>
      </c>
      <c r="Z1480" t="s">
        <v>21549</v>
      </c>
      <c r="AA1480" t="s">
        <v>21550</v>
      </c>
      <c r="AB1480" t="s">
        <v>21550</v>
      </c>
      <c r="AC1480" t="s">
        <v>21550</v>
      </c>
      <c r="AD1480" t="s">
        <v>21551</v>
      </c>
    </row>
    <row r="1481" spans="1:30">
      <c r="A1481" t="s">
        <v>21552</v>
      </c>
      <c r="B1481">
        <v>10</v>
      </c>
      <c r="C1481">
        <v>5</v>
      </c>
      <c r="D1481">
        <v>2000</v>
      </c>
      <c r="E1481" s="1">
        <v>36804</v>
      </c>
      <c r="F1481" t="s">
        <v>21553</v>
      </c>
      <c r="G1481">
        <v>0</v>
      </c>
      <c r="H1481">
        <v>2</v>
      </c>
      <c r="I1481">
        <v>2</v>
      </c>
      <c r="J1481">
        <v>0</v>
      </c>
      <c r="L1481" t="s">
        <v>21554</v>
      </c>
      <c r="M1481" t="s">
        <v>21555</v>
      </c>
      <c r="N1481" t="s">
        <v>21556</v>
      </c>
      <c r="O1481" t="s">
        <v>21557</v>
      </c>
      <c r="P1481" t="s">
        <v>21558</v>
      </c>
      <c r="Q1481" t="s">
        <v>21559</v>
      </c>
      <c r="R1481" t="s">
        <v>21560</v>
      </c>
      <c r="S1481" t="s">
        <v>21561</v>
      </c>
      <c r="T1481" s="2">
        <v>0.95833333333333337</v>
      </c>
      <c r="U1481">
        <v>1</v>
      </c>
      <c r="V1481" t="s">
        <v>21562</v>
      </c>
      <c r="W1481" t="s">
        <v>21563</v>
      </c>
      <c r="Y1481" t="s">
        <v>21564</v>
      </c>
      <c r="Z1481" t="s">
        <v>21564</v>
      </c>
      <c r="AA1481" t="s">
        <v>21564</v>
      </c>
      <c r="AB1481" t="s">
        <v>21564</v>
      </c>
      <c r="AC1481" t="s">
        <v>21564</v>
      </c>
    </row>
    <row r="1482" spans="1:30">
      <c r="A1482" t="s">
        <v>21565</v>
      </c>
      <c r="B1482">
        <v>9</v>
      </c>
      <c r="C1482">
        <v>26</v>
      </c>
      <c r="D1482">
        <v>2000</v>
      </c>
      <c r="E1482" s="1">
        <v>36795</v>
      </c>
      <c r="F1482" t="s">
        <v>21566</v>
      </c>
      <c r="G1482">
        <v>0</v>
      </c>
      <c r="H1482">
        <v>2</v>
      </c>
      <c r="I1482">
        <v>2</v>
      </c>
      <c r="J1482">
        <v>0</v>
      </c>
      <c r="L1482" t="s">
        <v>21567</v>
      </c>
      <c r="M1482" t="s">
        <v>21568</v>
      </c>
      <c r="N1482" t="s">
        <v>21569</v>
      </c>
      <c r="O1482" t="s">
        <v>21570</v>
      </c>
      <c r="P1482" t="s">
        <v>21571</v>
      </c>
      <c r="Q1482" t="s">
        <v>21572</v>
      </c>
      <c r="R1482" t="s">
        <v>21573</v>
      </c>
      <c r="S1482" t="s">
        <v>21574</v>
      </c>
      <c r="T1482" s="2">
        <v>0.5</v>
      </c>
      <c r="U1482">
        <v>1</v>
      </c>
      <c r="V1482" t="s">
        <v>21575</v>
      </c>
      <c r="W1482" t="s">
        <v>21576</v>
      </c>
      <c r="X1482" t="s">
        <v>21577</v>
      </c>
      <c r="Y1482" t="s">
        <v>21578</v>
      </c>
      <c r="Z1482" t="s">
        <v>21579</v>
      </c>
      <c r="AA1482" t="s">
        <v>21579</v>
      </c>
      <c r="AB1482" t="s">
        <v>21579</v>
      </c>
      <c r="AC1482" t="s">
        <v>21579</v>
      </c>
    </row>
    <row r="1483" spans="1:30">
      <c r="A1483" t="s">
        <v>21580</v>
      </c>
      <c r="B1483">
        <v>9</v>
      </c>
      <c r="C1483">
        <v>18</v>
      </c>
      <c r="D1483">
        <v>2000</v>
      </c>
      <c r="E1483" s="1">
        <v>36787</v>
      </c>
      <c r="F1483" t="s">
        <v>21581</v>
      </c>
      <c r="G1483">
        <v>0</v>
      </c>
      <c r="H1483">
        <v>0</v>
      </c>
      <c r="I1483">
        <v>0</v>
      </c>
      <c r="J1483">
        <v>0</v>
      </c>
      <c r="L1483" t="s">
        <v>21582</v>
      </c>
      <c r="M1483" t="s">
        <v>21583</v>
      </c>
      <c r="N1483" t="s">
        <v>21584</v>
      </c>
      <c r="O1483" t="s">
        <v>21585</v>
      </c>
      <c r="P1483" t="s">
        <v>21586</v>
      </c>
      <c r="Q1483" t="s">
        <v>21587</v>
      </c>
      <c r="R1483" t="s">
        <v>21588</v>
      </c>
      <c r="U1483">
        <v>25</v>
      </c>
      <c r="V1483" t="s">
        <v>21589</v>
      </c>
      <c r="W1483" t="s">
        <v>21590</v>
      </c>
      <c r="X1483" t="s">
        <v>21591</v>
      </c>
      <c r="Z1483" t="s">
        <v>21592</v>
      </c>
      <c r="AA1483" t="s">
        <v>21592</v>
      </c>
      <c r="AB1483" t="s">
        <v>21592</v>
      </c>
      <c r="AC1483" t="s">
        <v>21592</v>
      </c>
      <c r="AD1483" t="s">
        <v>21593</v>
      </c>
    </row>
    <row r="1484" spans="1:30">
      <c r="A1484" t="s">
        <v>21594</v>
      </c>
      <c r="B1484">
        <v>9</v>
      </c>
      <c r="C1484">
        <v>7</v>
      </c>
      <c r="D1484">
        <v>2000</v>
      </c>
      <c r="E1484" s="1">
        <v>36776</v>
      </c>
      <c r="F1484" t="s">
        <v>21595</v>
      </c>
      <c r="G1484">
        <v>1</v>
      </c>
      <c r="H1484">
        <v>0</v>
      </c>
      <c r="I1484">
        <v>1</v>
      </c>
      <c r="J1484">
        <v>0</v>
      </c>
      <c r="L1484" t="s">
        <v>21596</v>
      </c>
      <c r="M1484" t="s">
        <v>21597</v>
      </c>
      <c r="N1484" t="s">
        <v>21598</v>
      </c>
      <c r="O1484" t="s">
        <v>21599</v>
      </c>
      <c r="P1484" t="s">
        <v>21600</v>
      </c>
      <c r="Q1484" t="s">
        <v>21601</v>
      </c>
      <c r="R1484" t="s">
        <v>21602</v>
      </c>
      <c r="S1484" t="s">
        <v>21603</v>
      </c>
      <c r="T1484" s="2">
        <v>0.79027777777777775</v>
      </c>
      <c r="U1484">
        <v>1</v>
      </c>
      <c r="V1484" t="s">
        <v>21604</v>
      </c>
      <c r="W1484" t="s">
        <v>21605</v>
      </c>
      <c r="X1484" t="s">
        <v>21606</v>
      </c>
      <c r="Y1484" t="s">
        <v>21607</v>
      </c>
      <c r="Z1484" t="s">
        <v>21607</v>
      </c>
      <c r="AA1484" t="s">
        <v>21607</v>
      </c>
      <c r="AB1484" t="s">
        <v>21607</v>
      </c>
      <c r="AC1484" t="s">
        <v>21607</v>
      </c>
      <c r="AD1484" t="s">
        <v>21607</v>
      </c>
    </row>
    <row r="1485" spans="1:30">
      <c r="A1485" t="s">
        <v>21608</v>
      </c>
      <c r="B1485">
        <v>9</v>
      </c>
      <c r="C1485">
        <v>5</v>
      </c>
      <c r="D1485">
        <v>2000</v>
      </c>
      <c r="E1485" s="1">
        <v>36774</v>
      </c>
      <c r="F1485" t="s">
        <v>21609</v>
      </c>
      <c r="G1485">
        <v>1</v>
      </c>
      <c r="H1485">
        <v>0</v>
      </c>
      <c r="I1485">
        <v>1</v>
      </c>
      <c r="J1485">
        <v>1</v>
      </c>
      <c r="L1485" t="s">
        <v>21610</v>
      </c>
      <c r="M1485" t="s">
        <v>21611</v>
      </c>
      <c r="N1485" t="s">
        <v>21612</v>
      </c>
      <c r="O1485" t="s">
        <v>21613</v>
      </c>
      <c r="P1485" t="s">
        <v>21614</v>
      </c>
      <c r="Q1485" t="s">
        <v>21615</v>
      </c>
      <c r="R1485" t="s">
        <v>21616</v>
      </c>
      <c r="S1485" t="s">
        <v>21617</v>
      </c>
      <c r="T1485" s="2">
        <v>0.27083333333333331</v>
      </c>
      <c r="U1485">
        <v>1</v>
      </c>
      <c r="V1485" t="s">
        <v>21618</v>
      </c>
      <c r="W1485" t="s">
        <v>21619</v>
      </c>
      <c r="X1485" t="s">
        <v>21620</v>
      </c>
      <c r="Y1485" t="s">
        <v>21621</v>
      </c>
      <c r="Z1485" t="s">
        <v>21621</v>
      </c>
      <c r="AA1485" t="s">
        <v>21621</v>
      </c>
      <c r="AB1485" t="s">
        <v>21621</v>
      </c>
      <c r="AC1485" t="s">
        <v>21622</v>
      </c>
    </row>
    <row r="1486" spans="1:30">
      <c r="A1486" t="s">
        <v>21623</v>
      </c>
      <c r="B1486">
        <v>7</v>
      </c>
      <c r="C1486">
        <v>26</v>
      </c>
      <c r="D1486">
        <v>2000</v>
      </c>
      <c r="E1486" s="1">
        <v>36733</v>
      </c>
      <c r="F1486" t="s">
        <v>21624</v>
      </c>
      <c r="G1486">
        <v>1</v>
      </c>
      <c r="H1486">
        <v>0</v>
      </c>
      <c r="I1486">
        <v>1</v>
      </c>
      <c r="J1486">
        <v>0</v>
      </c>
      <c r="L1486" t="s">
        <v>21625</v>
      </c>
      <c r="M1486" t="s">
        <v>21626</v>
      </c>
      <c r="N1486" t="s">
        <v>21627</v>
      </c>
      <c r="O1486" t="s">
        <v>21628</v>
      </c>
      <c r="P1486" t="s">
        <v>21629</v>
      </c>
      <c r="Q1486" t="s">
        <v>21630</v>
      </c>
      <c r="R1486" t="s">
        <v>21631</v>
      </c>
      <c r="S1486" t="s">
        <v>21632</v>
      </c>
      <c r="U1486">
        <v>1</v>
      </c>
      <c r="V1486" t="s">
        <v>21633</v>
      </c>
      <c r="W1486" t="s">
        <v>21634</v>
      </c>
      <c r="X1486" t="s">
        <v>21635</v>
      </c>
      <c r="Y1486" t="s">
        <v>21636</v>
      </c>
      <c r="Z1486" t="s">
        <v>21637</v>
      </c>
      <c r="AA1486" t="s">
        <v>21637</v>
      </c>
      <c r="AB1486" t="s">
        <v>21637</v>
      </c>
      <c r="AC1486" t="s">
        <v>21637</v>
      </c>
    </row>
    <row r="1487" spans="1:30">
      <c r="A1487" t="s">
        <v>21638</v>
      </c>
      <c r="B1487">
        <v>7</v>
      </c>
      <c r="C1487">
        <v>17</v>
      </c>
      <c r="D1487">
        <v>2000</v>
      </c>
      <c r="E1487" s="1">
        <v>36724</v>
      </c>
      <c r="F1487" t="s">
        <v>21639</v>
      </c>
      <c r="G1487">
        <v>0</v>
      </c>
      <c r="H1487">
        <v>0</v>
      </c>
      <c r="I1487">
        <v>0</v>
      </c>
      <c r="J1487">
        <v>0</v>
      </c>
      <c r="L1487" t="s">
        <v>21640</v>
      </c>
      <c r="M1487" t="s">
        <v>21641</v>
      </c>
      <c r="N1487" t="s">
        <v>21642</v>
      </c>
      <c r="O1487" t="s">
        <v>21643</v>
      </c>
      <c r="P1487" t="s">
        <v>21644</v>
      </c>
      <c r="Q1487" t="s">
        <v>21645</v>
      </c>
      <c r="R1487" t="s">
        <v>21646</v>
      </c>
      <c r="S1487" t="s">
        <v>21647</v>
      </c>
      <c r="T1487" s="2">
        <v>0.4375</v>
      </c>
      <c r="U1487">
        <v>1</v>
      </c>
      <c r="V1487" t="s">
        <v>21648</v>
      </c>
      <c r="W1487" t="s">
        <v>21649</v>
      </c>
      <c r="X1487" t="s">
        <v>21650</v>
      </c>
      <c r="Y1487" t="s">
        <v>21651</v>
      </c>
      <c r="Z1487" t="s">
        <v>21651</v>
      </c>
      <c r="AA1487" t="s">
        <v>21652</v>
      </c>
      <c r="AC1487" t="s">
        <v>21652</v>
      </c>
      <c r="AD1487" t="s">
        <v>21653</v>
      </c>
    </row>
    <row r="1488" spans="1:30">
      <c r="A1488" t="s">
        <v>21654</v>
      </c>
      <c r="B1488">
        <v>5</v>
      </c>
      <c r="C1488">
        <v>26</v>
      </c>
      <c r="D1488">
        <v>2000</v>
      </c>
      <c r="E1488" s="1">
        <v>36672</v>
      </c>
      <c r="F1488" t="s">
        <v>21655</v>
      </c>
      <c r="G1488">
        <v>1</v>
      </c>
      <c r="H1488">
        <v>0</v>
      </c>
      <c r="I1488">
        <v>1</v>
      </c>
      <c r="J1488">
        <v>0</v>
      </c>
      <c r="L1488" t="s">
        <v>21656</v>
      </c>
      <c r="M1488" t="s">
        <v>21657</v>
      </c>
      <c r="N1488" t="s">
        <v>21658</v>
      </c>
      <c r="O1488" t="s">
        <v>21659</v>
      </c>
      <c r="P1488" t="s">
        <v>21660</v>
      </c>
      <c r="Q1488" t="s">
        <v>21661</v>
      </c>
      <c r="R1488" t="s">
        <v>21662</v>
      </c>
      <c r="S1488" t="s">
        <v>21663</v>
      </c>
      <c r="T1488" s="2">
        <v>0.625</v>
      </c>
      <c r="U1488">
        <v>1</v>
      </c>
      <c r="V1488" t="s">
        <v>21664</v>
      </c>
      <c r="W1488" t="s">
        <v>21665</v>
      </c>
      <c r="X1488" t="s">
        <v>21666</v>
      </c>
      <c r="Y1488" t="s">
        <v>21667</v>
      </c>
      <c r="Z1488" t="s">
        <v>21667</v>
      </c>
      <c r="AA1488" t="s">
        <v>21667</v>
      </c>
      <c r="AB1488" t="s">
        <v>21667</v>
      </c>
      <c r="AC1488" t="s">
        <v>21667</v>
      </c>
    </row>
    <row r="1489" spans="1:30">
      <c r="A1489" t="s">
        <v>21668</v>
      </c>
      <c r="B1489">
        <v>5</v>
      </c>
      <c r="C1489">
        <v>10</v>
      </c>
      <c r="D1489">
        <v>2000</v>
      </c>
      <c r="E1489" s="1">
        <v>36656</v>
      </c>
      <c r="F1489" t="s">
        <v>21669</v>
      </c>
      <c r="G1489">
        <v>1</v>
      </c>
      <c r="H1489">
        <v>0</v>
      </c>
      <c r="I1489">
        <v>1</v>
      </c>
      <c r="J1489">
        <v>1</v>
      </c>
      <c r="L1489" t="s">
        <v>21670</v>
      </c>
      <c r="M1489" t="s">
        <v>21671</v>
      </c>
      <c r="N1489" t="s">
        <v>21672</v>
      </c>
      <c r="O1489" t="s">
        <v>21673</v>
      </c>
      <c r="P1489" t="s">
        <v>21674</v>
      </c>
      <c r="Q1489" t="s">
        <v>21675</v>
      </c>
      <c r="R1489" t="s">
        <v>21676</v>
      </c>
      <c r="S1489" t="s">
        <v>21677</v>
      </c>
      <c r="T1489" s="2">
        <v>0.5625</v>
      </c>
      <c r="U1489">
        <v>1</v>
      </c>
      <c r="V1489" t="s">
        <v>21678</v>
      </c>
      <c r="W1489" t="s">
        <v>21679</v>
      </c>
      <c r="X1489" t="s">
        <v>21680</v>
      </c>
      <c r="Y1489" t="s">
        <v>21681</v>
      </c>
      <c r="Z1489" t="s">
        <v>21681</v>
      </c>
      <c r="AA1489" t="s">
        <v>21681</v>
      </c>
      <c r="AB1489" t="s">
        <v>21681</v>
      </c>
      <c r="AC1489" t="s">
        <v>21682</v>
      </c>
    </row>
    <row r="1490" spans="1:30">
      <c r="A1490" t="s">
        <v>21683</v>
      </c>
      <c r="B1490">
        <v>5</v>
      </c>
      <c r="C1490">
        <v>2</v>
      </c>
      <c r="D1490">
        <v>2000</v>
      </c>
      <c r="E1490" s="1">
        <v>36648</v>
      </c>
      <c r="F1490" t="s">
        <v>21684</v>
      </c>
      <c r="G1490">
        <v>0</v>
      </c>
      <c r="H1490">
        <v>0</v>
      </c>
      <c r="I1490">
        <v>0</v>
      </c>
      <c r="J1490">
        <v>0</v>
      </c>
      <c r="L1490" t="s">
        <v>21685</v>
      </c>
      <c r="M1490" t="s">
        <v>21686</v>
      </c>
      <c r="N1490" t="s">
        <v>21687</v>
      </c>
      <c r="O1490" t="s">
        <v>21688</v>
      </c>
      <c r="P1490" t="s">
        <v>21689</v>
      </c>
      <c r="Q1490" t="s">
        <v>21690</v>
      </c>
      <c r="R1490" t="s">
        <v>21691</v>
      </c>
      <c r="U1490">
        <v>1</v>
      </c>
      <c r="V1490" t="s">
        <v>21692</v>
      </c>
      <c r="W1490" t="s">
        <v>21693</v>
      </c>
      <c r="X1490" t="s">
        <v>21694</v>
      </c>
      <c r="Y1490" t="s">
        <v>21695</v>
      </c>
      <c r="Z1490" t="s">
        <v>21695</v>
      </c>
      <c r="AA1490" t="s">
        <v>21695</v>
      </c>
      <c r="AB1490" t="s">
        <v>21695</v>
      </c>
      <c r="AC1490" t="s">
        <v>21695</v>
      </c>
    </row>
    <row r="1491" spans="1:30">
      <c r="A1491" t="s">
        <v>21696</v>
      </c>
      <c r="B1491">
        <v>4</v>
      </c>
      <c r="C1491">
        <v>10</v>
      </c>
      <c r="D1491">
        <v>2000</v>
      </c>
      <c r="E1491" s="1">
        <v>36626</v>
      </c>
      <c r="F1491" t="s">
        <v>21697</v>
      </c>
      <c r="G1491">
        <v>0</v>
      </c>
      <c r="H1491">
        <v>0</v>
      </c>
      <c r="I1491">
        <v>0</v>
      </c>
      <c r="J1491">
        <v>0</v>
      </c>
      <c r="L1491" t="s">
        <v>21698</v>
      </c>
      <c r="M1491" t="s">
        <v>21699</v>
      </c>
      <c r="N1491" t="s">
        <v>21700</v>
      </c>
      <c r="O1491" t="s">
        <v>21701</v>
      </c>
      <c r="P1491" t="s">
        <v>21702</v>
      </c>
      <c r="Q1491" t="s">
        <v>21703</v>
      </c>
      <c r="R1491" t="s">
        <v>21704</v>
      </c>
      <c r="S1491" t="s">
        <v>21705</v>
      </c>
      <c r="U1491">
        <v>1</v>
      </c>
      <c r="V1491" t="s">
        <v>21706</v>
      </c>
      <c r="W1491" t="s">
        <v>21707</v>
      </c>
      <c r="X1491" t="s">
        <v>21708</v>
      </c>
      <c r="Z1491" t="s">
        <v>21709</v>
      </c>
      <c r="AA1491" t="s">
        <v>21709</v>
      </c>
      <c r="AB1491" t="s">
        <v>21709</v>
      </c>
      <c r="AC1491" t="s">
        <v>21709</v>
      </c>
    </row>
    <row r="1492" spans="1:30">
      <c r="A1492" t="s">
        <v>21710</v>
      </c>
      <c r="B1492">
        <v>4</v>
      </c>
      <c r="C1492">
        <v>6</v>
      </c>
      <c r="D1492">
        <v>2000</v>
      </c>
      <c r="E1492" s="1">
        <v>36622</v>
      </c>
      <c r="F1492" t="s">
        <v>21711</v>
      </c>
      <c r="G1492">
        <v>0</v>
      </c>
      <c r="H1492">
        <v>1</v>
      </c>
      <c r="I1492">
        <v>1</v>
      </c>
      <c r="J1492">
        <v>0</v>
      </c>
      <c r="L1492" t="s">
        <v>21712</v>
      </c>
      <c r="M1492" t="s">
        <v>21713</v>
      </c>
      <c r="N1492" t="s">
        <v>21714</v>
      </c>
      <c r="O1492" t="s">
        <v>21715</v>
      </c>
      <c r="P1492" t="s">
        <v>21716</v>
      </c>
      <c r="Q1492" t="s">
        <v>21717</v>
      </c>
      <c r="R1492" t="s">
        <v>21718</v>
      </c>
      <c r="S1492" t="s">
        <v>21719</v>
      </c>
      <c r="T1492" s="2">
        <v>0.5</v>
      </c>
      <c r="U1492">
        <v>1</v>
      </c>
      <c r="V1492" t="s">
        <v>21720</v>
      </c>
      <c r="W1492" t="s">
        <v>21721</v>
      </c>
      <c r="X1492" t="s">
        <v>21722</v>
      </c>
      <c r="Y1492" t="s">
        <v>21723</v>
      </c>
      <c r="Z1492" t="s">
        <v>21723</v>
      </c>
      <c r="AA1492" t="s">
        <v>21723</v>
      </c>
      <c r="AB1492" t="s">
        <v>21723</v>
      </c>
      <c r="AC1492" t="s">
        <v>21723</v>
      </c>
    </row>
    <row r="1493" spans="1:30">
      <c r="A1493" t="s">
        <v>21724</v>
      </c>
      <c r="B1493">
        <v>3</v>
      </c>
      <c r="C1493">
        <v>23</v>
      </c>
      <c r="D1493">
        <v>2000</v>
      </c>
      <c r="E1493" s="1">
        <v>36608</v>
      </c>
      <c r="F1493" t="s">
        <v>21725</v>
      </c>
      <c r="G1493">
        <v>0</v>
      </c>
      <c r="H1493">
        <v>0</v>
      </c>
      <c r="I1493">
        <v>0</v>
      </c>
      <c r="J1493">
        <v>0</v>
      </c>
      <c r="L1493" t="s">
        <v>21726</v>
      </c>
      <c r="M1493" t="s">
        <v>21727</v>
      </c>
      <c r="N1493" t="s">
        <v>21728</v>
      </c>
      <c r="O1493" t="s">
        <v>21729</v>
      </c>
      <c r="P1493" t="s">
        <v>21730</v>
      </c>
      <c r="Q1493" t="s">
        <v>21731</v>
      </c>
      <c r="R1493" t="s">
        <v>21732</v>
      </c>
      <c r="S1493" t="s">
        <v>21733</v>
      </c>
      <c r="T1493" s="2">
        <v>0.36458333333333331</v>
      </c>
      <c r="U1493">
        <v>5</v>
      </c>
      <c r="V1493" t="s">
        <v>21734</v>
      </c>
      <c r="W1493" t="s">
        <v>21735</v>
      </c>
      <c r="Y1493" t="s">
        <v>21736</v>
      </c>
      <c r="Z1493" t="s">
        <v>21737</v>
      </c>
      <c r="AA1493" t="s">
        <v>21738</v>
      </c>
      <c r="AC1493" t="s">
        <v>21738</v>
      </c>
      <c r="AD1493" t="s">
        <v>21739</v>
      </c>
    </row>
    <row r="1494" spans="1:30">
      <c r="A1494" t="s">
        <v>21740</v>
      </c>
      <c r="B1494">
        <v>3</v>
      </c>
      <c r="C1494">
        <v>10</v>
      </c>
      <c r="D1494">
        <v>2000</v>
      </c>
      <c r="E1494" s="1">
        <v>36595</v>
      </c>
      <c r="F1494" t="s">
        <v>21741</v>
      </c>
      <c r="G1494">
        <v>2</v>
      </c>
      <c r="H1494">
        <v>1</v>
      </c>
      <c r="I1494">
        <v>3</v>
      </c>
      <c r="J1494">
        <v>0</v>
      </c>
      <c r="L1494" t="s">
        <v>21742</v>
      </c>
      <c r="M1494" t="s">
        <v>21743</v>
      </c>
      <c r="N1494" t="s">
        <v>21744</v>
      </c>
      <c r="O1494" t="s">
        <v>21745</v>
      </c>
      <c r="P1494" t="s">
        <v>21746</v>
      </c>
      <c r="Q1494" t="s">
        <v>21747</v>
      </c>
      <c r="R1494" t="s">
        <v>21748</v>
      </c>
      <c r="S1494" t="s">
        <v>21749</v>
      </c>
      <c r="T1494" s="2">
        <v>0.96875</v>
      </c>
      <c r="U1494">
        <v>1</v>
      </c>
      <c r="V1494" t="s">
        <v>21750</v>
      </c>
      <c r="W1494" t="s">
        <v>21751</v>
      </c>
      <c r="Y1494" t="s">
        <v>21752</v>
      </c>
      <c r="Z1494" t="s">
        <v>21752</v>
      </c>
      <c r="AA1494" t="s">
        <v>21752</v>
      </c>
      <c r="AC1494" t="s">
        <v>21752</v>
      </c>
    </row>
    <row r="1495" spans="1:30">
      <c r="A1495" t="s">
        <v>21753</v>
      </c>
      <c r="B1495">
        <v>2</v>
      </c>
      <c r="C1495">
        <v>29</v>
      </c>
      <c r="D1495">
        <v>2000</v>
      </c>
      <c r="E1495" s="1">
        <v>36585</v>
      </c>
      <c r="F1495" t="s">
        <v>21754</v>
      </c>
      <c r="G1495">
        <v>1</v>
      </c>
      <c r="H1495">
        <v>0</v>
      </c>
      <c r="I1495">
        <v>1</v>
      </c>
      <c r="J1495">
        <v>0</v>
      </c>
      <c r="K1495" t="s">
        <v>21755</v>
      </c>
      <c r="L1495" t="s">
        <v>21756</v>
      </c>
      <c r="M1495" t="s">
        <v>21757</v>
      </c>
      <c r="N1495" t="s">
        <v>21758</v>
      </c>
      <c r="O1495" t="s">
        <v>21759</v>
      </c>
      <c r="P1495" t="s">
        <v>21760</v>
      </c>
      <c r="Q1495" t="s">
        <v>21761</v>
      </c>
      <c r="R1495" t="s">
        <v>21762</v>
      </c>
      <c r="S1495" t="s">
        <v>21763</v>
      </c>
      <c r="T1495" s="2">
        <v>0.41666666666666669</v>
      </c>
      <c r="U1495">
        <v>1</v>
      </c>
      <c r="V1495" t="s">
        <v>21764</v>
      </c>
      <c r="W1495" t="s">
        <v>21765</v>
      </c>
      <c r="X1495" t="s">
        <v>21766</v>
      </c>
      <c r="Y1495" t="s">
        <v>21767</v>
      </c>
      <c r="Z1495" t="s">
        <v>21767</v>
      </c>
      <c r="AA1495" t="s">
        <v>21767</v>
      </c>
      <c r="AB1495" t="s">
        <v>21767</v>
      </c>
      <c r="AC1495" t="s">
        <v>21767</v>
      </c>
      <c r="AD1495" t="s">
        <v>21767</v>
      </c>
    </row>
    <row r="1496" spans="1:30">
      <c r="A1496" t="s">
        <v>21768</v>
      </c>
      <c r="B1496">
        <v>2</v>
      </c>
      <c r="C1496">
        <v>14</v>
      </c>
      <c r="D1496">
        <v>2000</v>
      </c>
      <c r="E1496" s="1">
        <v>36570</v>
      </c>
      <c r="F1496" t="s">
        <v>21769</v>
      </c>
      <c r="G1496">
        <v>0</v>
      </c>
      <c r="H1496">
        <v>1</v>
      </c>
      <c r="I1496">
        <v>1</v>
      </c>
      <c r="J1496">
        <v>0</v>
      </c>
      <c r="K1496" t="s">
        <v>21770</v>
      </c>
      <c r="L1496" t="s">
        <v>21771</v>
      </c>
      <c r="M1496" t="s">
        <v>21772</v>
      </c>
      <c r="N1496" t="s">
        <v>21773</v>
      </c>
      <c r="O1496" t="s">
        <v>21774</v>
      </c>
      <c r="P1496" t="s">
        <v>21775</v>
      </c>
      <c r="Q1496" t="s">
        <v>21776</v>
      </c>
      <c r="R1496" t="s">
        <v>21777</v>
      </c>
      <c r="S1496" t="s">
        <v>21778</v>
      </c>
      <c r="T1496" s="2">
        <v>0.625</v>
      </c>
      <c r="U1496">
        <v>1</v>
      </c>
      <c r="V1496" t="s">
        <v>21779</v>
      </c>
      <c r="W1496" t="s">
        <v>21780</v>
      </c>
      <c r="X1496" t="s">
        <v>21781</v>
      </c>
      <c r="Y1496" t="s">
        <v>21782</v>
      </c>
      <c r="Z1496" t="s">
        <v>21782</v>
      </c>
      <c r="AA1496" t="s">
        <v>21782</v>
      </c>
      <c r="AB1496" t="s">
        <v>21782</v>
      </c>
      <c r="AC1496" t="s">
        <v>21782</v>
      </c>
    </row>
    <row r="1497" spans="1:30">
      <c r="A1497" t="s">
        <v>21783</v>
      </c>
      <c r="B1497">
        <v>2</v>
      </c>
      <c r="C1497">
        <v>10</v>
      </c>
      <c r="D1497">
        <v>2000</v>
      </c>
      <c r="E1497" s="1">
        <v>36566</v>
      </c>
      <c r="F1497" t="s">
        <v>21784</v>
      </c>
      <c r="G1497">
        <v>0</v>
      </c>
      <c r="H1497">
        <v>0</v>
      </c>
      <c r="I1497">
        <v>0</v>
      </c>
      <c r="J1497">
        <v>0</v>
      </c>
      <c r="L1497" t="s">
        <v>21785</v>
      </c>
      <c r="M1497" t="s">
        <v>21786</v>
      </c>
      <c r="N1497" t="s">
        <v>21787</v>
      </c>
      <c r="O1497" t="s">
        <v>21788</v>
      </c>
      <c r="P1497" t="s">
        <v>21789</v>
      </c>
      <c r="Q1497" t="s">
        <v>21790</v>
      </c>
      <c r="R1497" t="s">
        <v>21791</v>
      </c>
      <c r="S1497" t="s">
        <v>21792</v>
      </c>
      <c r="T1497" s="2">
        <v>0.59375</v>
      </c>
      <c r="U1497">
        <v>1</v>
      </c>
      <c r="V1497" t="s">
        <v>21793</v>
      </c>
      <c r="W1497" t="s">
        <v>21794</v>
      </c>
      <c r="X1497" t="s">
        <v>21795</v>
      </c>
      <c r="Y1497" t="s">
        <v>21796</v>
      </c>
      <c r="Z1497" t="s">
        <v>21797</v>
      </c>
      <c r="AA1497" t="s">
        <v>21797</v>
      </c>
      <c r="AB1497" t="s">
        <v>21797</v>
      </c>
      <c r="AC1497" t="s">
        <v>21797</v>
      </c>
    </row>
    <row r="1498" spans="1:30">
      <c r="A1498" t="s">
        <v>21798</v>
      </c>
      <c r="B1498">
        <v>1</v>
      </c>
      <c r="C1498">
        <v>26</v>
      </c>
      <c r="D1498">
        <v>2000</v>
      </c>
      <c r="E1498" s="1">
        <v>36551</v>
      </c>
      <c r="F1498" t="s">
        <v>21799</v>
      </c>
      <c r="G1498">
        <v>0</v>
      </c>
      <c r="H1498">
        <v>1</v>
      </c>
      <c r="I1498">
        <v>1</v>
      </c>
      <c r="J1498">
        <v>0</v>
      </c>
      <c r="L1498" t="s">
        <v>21800</v>
      </c>
      <c r="M1498" t="s">
        <v>21801</v>
      </c>
      <c r="N1498" t="s">
        <v>21802</v>
      </c>
      <c r="O1498" t="s">
        <v>21803</v>
      </c>
      <c r="P1498" t="s">
        <v>21804</v>
      </c>
      <c r="Q1498" t="s">
        <v>21805</v>
      </c>
      <c r="R1498" t="s">
        <v>21806</v>
      </c>
      <c r="S1498" t="s">
        <v>21807</v>
      </c>
      <c r="U1498">
        <v>1</v>
      </c>
      <c r="V1498" t="s">
        <v>21808</v>
      </c>
      <c r="W1498" t="s">
        <v>21809</v>
      </c>
      <c r="X1498" t="s">
        <v>21810</v>
      </c>
      <c r="Y1498" t="s">
        <v>21811</v>
      </c>
      <c r="Z1498" t="s">
        <v>21811</v>
      </c>
      <c r="AA1498" t="s">
        <v>21811</v>
      </c>
      <c r="AB1498" t="s">
        <v>21811</v>
      </c>
      <c r="AC1498" t="s">
        <v>21811</v>
      </c>
    </row>
    <row r="1499" spans="1:30">
      <c r="A1499" t="s">
        <v>21812</v>
      </c>
      <c r="B1499">
        <v>1</v>
      </c>
      <c r="C1499">
        <v>26</v>
      </c>
      <c r="D1499">
        <v>2000</v>
      </c>
      <c r="E1499" s="1">
        <v>36551</v>
      </c>
      <c r="F1499" t="s">
        <v>21813</v>
      </c>
      <c r="G1499">
        <v>0</v>
      </c>
      <c r="H1499">
        <v>0</v>
      </c>
      <c r="I1499">
        <v>0</v>
      </c>
      <c r="J1499">
        <v>0</v>
      </c>
      <c r="K1499" t="s">
        <v>21814</v>
      </c>
      <c r="L1499" t="s">
        <v>21815</v>
      </c>
      <c r="M1499" t="s">
        <v>21816</v>
      </c>
      <c r="N1499" t="s">
        <v>21817</v>
      </c>
      <c r="O1499" t="s">
        <v>21818</v>
      </c>
      <c r="P1499" t="s">
        <v>21819</v>
      </c>
      <c r="Q1499" t="s">
        <v>21820</v>
      </c>
      <c r="R1499" t="s">
        <v>21821</v>
      </c>
      <c r="S1499" t="s">
        <v>21822</v>
      </c>
      <c r="T1499" s="2">
        <v>0.3569444444444444</v>
      </c>
      <c r="U1499">
        <v>1</v>
      </c>
      <c r="V1499" t="s">
        <v>21823</v>
      </c>
      <c r="W1499" t="s">
        <v>21824</v>
      </c>
      <c r="X1499" t="s">
        <v>21825</v>
      </c>
      <c r="Y1499" t="s">
        <v>21826</v>
      </c>
      <c r="Z1499" t="s">
        <v>21826</v>
      </c>
      <c r="AA1499" t="s">
        <v>21826</v>
      </c>
      <c r="AB1499" t="s">
        <v>21827</v>
      </c>
      <c r="AC1499" t="s">
        <v>21828</v>
      </c>
    </row>
    <row r="1500" spans="1:30">
      <c r="A1500" t="s">
        <v>21829</v>
      </c>
      <c r="B1500">
        <v>1</v>
      </c>
      <c r="C1500">
        <v>20</v>
      </c>
      <c r="D1500">
        <v>2000</v>
      </c>
      <c r="E1500" s="1">
        <v>36545</v>
      </c>
      <c r="F1500" t="s">
        <v>21830</v>
      </c>
      <c r="G1500">
        <v>0</v>
      </c>
      <c r="H1500">
        <v>0</v>
      </c>
      <c r="I1500">
        <v>0</v>
      </c>
      <c r="J1500">
        <v>0</v>
      </c>
      <c r="L1500" t="s">
        <v>21831</v>
      </c>
      <c r="M1500" t="s">
        <v>21832</v>
      </c>
      <c r="N1500" t="s">
        <v>21833</v>
      </c>
      <c r="O1500" t="s">
        <v>21834</v>
      </c>
      <c r="P1500" t="s">
        <v>21835</v>
      </c>
      <c r="Q1500" t="s">
        <v>21836</v>
      </c>
      <c r="R1500" t="s">
        <v>21837</v>
      </c>
      <c r="S1500" t="s">
        <v>21838</v>
      </c>
      <c r="V1500" t="s">
        <v>21839</v>
      </c>
      <c r="W1500" t="s">
        <v>21840</v>
      </c>
      <c r="X1500" t="s">
        <v>21841</v>
      </c>
      <c r="Y1500" t="s">
        <v>21842</v>
      </c>
      <c r="Z1500" t="s">
        <v>21843</v>
      </c>
      <c r="AA1500" t="s">
        <v>21843</v>
      </c>
      <c r="AB1500" t="s">
        <v>21843</v>
      </c>
      <c r="AC1500" t="s">
        <v>21843</v>
      </c>
      <c r="AD1500" t="s">
        <v>21844</v>
      </c>
    </row>
    <row r="1501" spans="1:30">
      <c r="A1501" t="s">
        <v>21845</v>
      </c>
      <c r="B1501">
        <v>1</v>
      </c>
      <c r="C1501">
        <v>19</v>
      </c>
      <c r="D1501">
        <v>2000</v>
      </c>
      <c r="E1501" s="1">
        <v>36544</v>
      </c>
      <c r="F1501" t="s">
        <v>21846</v>
      </c>
      <c r="G1501">
        <v>1</v>
      </c>
      <c r="H1501">
        <v>0</v>
      </c>
      <c r="I1501">
        <v>1</v>
      </c>
      <c r="J1501">
        <v>0</v>
      </c>
      <c r="L1501" t="s">
        <v>21847</v>
      </c>
      <c r="M1501" t="s">
        <v>21848</v>
      </c>
      <c r="N1501" t="s">
        <v>21849</v>
      </c>
      <c r="O1501" t="s">
        <v>21850</v>
      </c>
      <c r="P1501" t="s">
        <v>21851</v>
      </c>
      <c r="Q1501" t="s">
        <v>21851</v>
      </c>
      <c r="R1501" t="s">
        <v>21852</v>
      </c>
      <c r="S1501" t="s">
        <v>21853</v>
      </c>
      <c r="T1501" s="2">
        <v>0.625</v>
      </c>
      <c r="U1501">
        <v>1</v>
      </c>
      <c r="V1501" t="s">
        <v>21854</v>
      </c>
      <c r="W1501" t="s">
        <v>21855</v>
      </c>
      <c r="X1501" t="s">
        <v>21856</v>
      </c>
      <c r="Y1501" t="s">
        <v>21857</v>
      </c>
      <c r="Z1501" t="s">
        <v>21857</v>
      </c>
      <c r="AA1501" t="s">
        <v>21857</v>
      </c>
      <c r="AB1501" t="s">
        <v>21857</v>
      </c>
      <c r="AC1501" t="s">
        <v>21857</v>
      </c>
    </row>
    <row r="1502" spans="1:30">
      <c r="A1502" t="s">
        <v>21858</v>
      </c>
      <c r="B1502">
        <v>1</v>
      </c>
      <c r="C1502">
        <v>13</v>
      </c>
      <c r="D1502">
        <v>2000</v>
      </c>
      <c r="E1502" s="1">
        <v>36538</v>
      </c>
      <c r="F1502" t="s">
        <v>21859</v>
      </c>
      <c r="G1502">
        <v>0</v>
      </c>
      <c r="H1502">
        <v>0</v>
      </c>
      <c r="I1502">
        <v>0</v>
      </c>
      <c r="J1502">
        <v>0</v>
      </c>
      <c r="L1502" t="s">
        <v>21860</v>
      </c>
      <c r="M1502" t="s">
        <v>21861</v>
      </c>
      <c r="N1502" t="s">
        <v>21862</v>
      </c>
      <c r="O1502" t="s">
        <v>21863</v>
      </c>
      <c r="P1502" t="s">
        <v>21864</v>
      </c>
      <c r="Q1502" t="s">
        <v>21865</v>
      </c>
      <c r="R1502" t="s">
        <v>21866</v>
      </c>
      <c r="S1502" t="s">
        <v>21867</v>
      </c>
      <c r="T1502" s="2">
        <v>0.52083333333333337</v>
      </c>
      <c r="U1502">
        <v>1</v>
      </c>
      <c r="V1502" t="s">
        <v>21868</v>
      </c>
      <c r="W1502" t="s">
        <v>21869</v>
      </c>
      <c r="X1502" t="s">
        <v>21870</v>
      </c>
      <c r="Y1502" t="s">
        <v>21871</v>
      </c>
      <c r="Z1502" t="s">
        <v>21872</v>
      </c>
      <c r="AA1502" t="s">
        <v>21872</v>
      </c>
      <c r="AB1502" t="s">
        <v>21872</v>
      </c>
      <c r="AC1502" t="s">
        <v>21872</v>
      </c>
    </row>
    <row r="1503" spans="1:30">
      <c r="A1503" t="s">
        <v>21873</v>
      </c>
      <c r="B1503">
        <v>1</v>
      </c>
      <c r="C1503">
        <v>10</v>
      </c>
      <c r="D1503">
        <v>2000</v>
      </c>
      <c r="E1503" s="1">
        <v>36535</v>
      </c>
      <c r="F1503" t="s">
        <v>21874</v>
      </c>
      <c r="G1503">
        <v>0</v>
      </c>
      <c r="H1503">
        <v>0</v>
      </c>
      <c r="I1503">
        <v>0</v>
      </c>
      <c r="J1503">
        <v>0</v>
      </c>
      <c r="L1503" t="s">
        <v>21875</v>
      </c>
      <c r="M1503" t="s">
        <v>21876</v>
      </c>
      <c r="N1503" t="s">
        <v>21877</v>
      </c>
      <c r="O1503" t="s">
        <v>21878</v>
      </c>
      <c r="P1503" t="s">
        <v>21879</v>
      </c>
      <c r="Q1503" t="s">
        <v>21880</v>
      </c>
      <c r="R1503" t="s">
        <v>21881</v>
      </c>
      <c r="S1503" t="s">
        <v>21882</v>
      </c>
      <c r="U1503">
        <v>1</v>
      </c>
      <c r="V1503" t="s">
        <v>21883</v>
      </c>
      <c r="W1503" t="s">
        <v>21884</v>
      </c>
      <c r="X1503" t="s">
        <v>21885</v>
      </c>
      <c r="Y1503" t="s">
        <v>21886</v>
      </c>
      <c r="Z1503" t="s">
        <v>21886</v>
      </c>
      <c r="AA1503" t="s">
        <v>21886</v>
      </c>
      <c r="AB1503" t="s">
        <v>21886</v>
      </c>
      <c r="AC1503" t="s">
        <v>21886</v>
      </c>
    </row>
    <row r="1504" spans="1:30">
      <c r="A1504" t="s">
        <v>21887</v>
      </c>
      <c r="B1504">
        <v>12</v>
      </c>
      <c r="C1504">
        <v>6</v>
      </c>
      <c r="D1504">
        <v>1999</v>
      </c>
      <c r="E1504" s="1">
        <v>36500</v>
      </c>
      <c r="F1504" t="s">
        <v>21888</v>
      </c>
      <c r="G1504">
        <v>0</v>
      </c>
      <c r="H1504">
        <v>5</v>
      </c>
      <c r="I1504">
        <v>5</v>
      </c>
      <c r="J1504">
        <v>0</v>
      </c>
      <c r="L1504" t="s">
        <v>21889</v>
      </c>
      <c r="M1504" t="s">
        <v>21890</v>
      </c>
      <c r="N1504" t="s">
        <v>21891</v>
      </c>
      <c r="O1504" t="s">
        <v>21892</v>
      </c>
      <c r="P1504" t="s">
        <v>21893</v>
      </c>
      <c r="Q1504" t="s">
        <v>21894</v>
      </c>
      <c r="R1504" t="s">
        <v>21895</v>
      </c>
      <c r="S1504" t="s">
        <v>21896</v>
      </c>
      <c r="T1504" s="2">
        <v>0.32291666666666669</v>
      </c>
      <c r="U1504">
        <v>1</v>
      </c>
      <c r="V1504" t="s">
        <v>21897</v>
      </c>
      <c r="W1504" t="s">
        <v>21898</v>
      </c>
      <c r="X1504" t="s">
        <v>21899</v>
      </c>
      <c r="Y1504" t="s">
        <v>21900</v>
      </c>
      <c r="Z1504" t="s">
        <v>21900</v>
      </c>
      <c r="AA1504" t="s">
        <v>21900</v>
      </c>
      <c r="AB1504" t="s">
        <v>21900</v>
      </c>
      <c r="AC1504" t="s">
        <v>21900</v>
      </c>
      <c r="AD1504" t="s">
        <v>21901</v>
      </c>
    </row>
    <row r="1505" spans="1:30">
      <c r="A1505" t="s">
        <v>21902</v>
      </c>
      <c r="B1505">
        <v>11</v>
      </c>
      <c r="C1505">
        <v>19</v>
      </c>
      <c r="D1505">
        <v>1999</v>
      </c>
      <c r="E1505" s="1">
        <v>36483</v>
      </c>
      <c r="F1505" t="s">
        <v>21903</v>
      </c>
      <c r="G1505">
        <v>1</v>
      </c>
      <c r="H1505">
        <v>0</v>
      </c>
      <c r="I1505">
        <v>1</v>
      </c>
      <c r="J1505">
        <v>0</v>
      </c>
      <c r="L1505" t="s">
        <v>21904</v>
      </c>
      <c r="M1505" t="s">
        <v>21905</v>
      </c>
      <c r="N1505" t="s">
        <v>21906</v>
      </c>
      <c r="O1505" t="s">
        <v>21907</v>
      </c>
      <c r="P1505" t="s">
        <v>21908</v>
      </c>
      <c r="Q1505" t="s">
        <v>21908</v>
      </c>
      <c r="R1505" t="s">
        <v>21909</v>
      </c>
      <c r="S1505" t="s">
        <v>21910</v>
      </c>
      <c r="T1505" s="2">
        <v>0.53125</v>
      </c>
      <c r="U1505">
        <v>1</v>
      </c>
      <c r="V1505" t="s">
        <v>21911</v>
      </c>
      <c r="W1505" t="s">
        <v>21912</v>
      </c>
      <c r="X1505" t="s">
        <v>21913</v>
      </c>
      <c r="Z1505" t="s">
        <v>21914</v>
      </c>
      <c r="AA1505" t="s">
        <v>21914</v>
      </c>
      <c r="AB1505" t="s">
        <v>21914</v>
      </c>
      <c r="AC1505" t="s">
        <v>21914</v>
      </c>
      <c r="AD1505" t="s">
        <v>21915</v>
      </c>
    </row>
    <row r="1506" spans="1:30">
      <c r="A1506" t="s">
        <v>21916</v>
      </c>
      <c r="B1506">
        <v>11</v>
      </c>
      <c r="C1506">
        <v>17</v>
      </c>
      <c r="D1506">
        <v>1999</v>
      </c>
      <c r="E1506" s="1">
        <v>36481</v>
      </c>
      <c r="F1506" t="s">
        <v>21917</v>
      </c>
      <c r="G1506">
        <v>0</v>
      </c>
      <c r="H1506">
        <v>1</v>
      </c>
      <c r="I1506">
        <v>1</v>
      </c>
      <c r="J1506">
        <v>0</v>
      </c>
      <c r="L1506" t="s">
        <v>21918</v>
      </c>
      <c r="M1506" t="s">
        <v>21919</v>
      </c>
      <c r="N1506" t="s">
        <v>21920</v>
      </c>
      <c r="O1506" t="s">
        <v>21921</v>
      </c>
      <c r="P1506" t="s">
        <v>21922</v>
      </c>
      <c r="Q1506" t="s">
        <v>21923</v>
      </c>
      <c r="R1506" t="s">
        <v>21924</v>
      </c>
      <c r="S1506" t="s">
        <v>21925</v>
      </c>
      <c r="T1506" s="2">
        <v>0.33333333333333331</v>
      </c>
      <c r="U1506">
        <v>1</v>
      </c>
      <c r="V1506" t="s">
        <v>21926</v>
      </c>
      <c r="W1506" t="s">
        <v>21927</v>
      </c>
      <c r="X1506" t="s">
        <v>21928</v>
      </c>
      <c r="Y1506" t="s">
        <v>21929</v>
      </c>
      <c r="Z1506" t="s">
        <v>21930</v>
      </c>
      <c r="AA1506" t="s">
        <v>21930</v>
      </c>
      <c r="AB1506" t="s">
        <v>21930</v>
      </c>
      <c r="AC1506" t="s">
        <v>21930</v>
      </c>
    </row>
    <row r="1507" spans="1:30">
      <c r="A1507" t="s">
        <v>21931</v>
      </c>
      <c r="B1507">
        <v>10</v>
      </c>
      <c r="C1507">
        <v>26</v>
      </c>
      <c r="D1507">
        <v>1999</v>
      </c>
      <c r="E1507" s="1">
        <v>36459</v>
      </c>
      <c r="F1507" t="s">
        <v>21932</v>
      </c>
      <c r="G1507">
        <v>1</v>
      </c>
      <c r="H1507">
        <v>0</v>
      </c>
      <c r="I1507">
        <v>1</v>
      </c>
      <c r="J1507">
        <v>0</v>
      </c>
      <c r="L1507" t="s">
        <v>21933</v>
      </c>
      <c r="M1507" t="s">
        <v>21934</v>
      </c>
      <c r="N1507" t="s">
        <v>21935</v>
      </c>
      <c r="O1507" t="s">
        <v>21936</v>
      </c>
      <c r="P1507" t="s">
        <v>21937</v>
      </c>
      <c r="Q1507" t="s">
        <v>21938</v>
      </c>
      <c r="R1507" t="s">
        <v>21939</v>
      </c>
      <c r="S1507" t="s">
        <v>21940</v>
      </c>
      <c r="T1507" s="2">
        <v>0.5625</v>
      </c>
      <c r="U1507">
        <v>1</v>
      </c>
      <c r="V1507" t="s">
        <v>21941</v>
      </c>
      <c r="W1507" t="s">
        <v>21942</v>
      </c>
      <c r="X1507" t="s">
        <v>21943</v>
      </c>
      <c r="Y1507" t="s">
        <v>21944</v>
      </c>
      <c r="Z1507" t="s">
        <v>21945</v>
      </c>
      <c r="AA1507" t="s">
        <v>21945</v>
      </c>
      <c r="AB1507" t="s">
        <v>21945</v>
      </c>
      <c r="AC1507" t="s">
        <v>21945</v>
      </c>
    </row>
    <row r="1508" spans="1:30">
      <c r="A1508" t="s">
        <v>21946</v>
      </c>
      <c r="B1508">
        <v>10</v>
      </c>
      <c r="C1508">
        <v>26</v>
      </c>
      <c r="D1508">
        <v>1999</v>
      </c>
      <c r="E1508" s="1">
        <v>36459</v>
      </c>
      <c r="F1508" t="s">
        <v>21947</v>
      </c>
      <c r="G1508">
        <v>1</v>
      </c>
      <c r="H1508">
        <v>0</v>
      </c>
      <c r="I1508">
        <v>1</v>
      </c>
      <c r="J1508">
        <v>1</v>
      </c>
      <c r="L1508" t="s">
        <v>21948</v>
      </c>
      <c r="M1508" t="s">
        <v>21949</v>
      </c>
      <c r="N1508" t="s">
        <v>21950</v>
      </c>
      <c r="O1508" t="s">
        <v>21951</v>
      </c>
      <c r="P1508" t="s">
        <v>21952</v>
      </c>
      <c r="Q1508" t="s">
        <v>21952</v>
      </c>
      <c r="R1508" t="s">
        <v>21953</v>
      </c>
      <c r="S1508" t="s">
        <v>21954</v>
      </c>
      <c r="T1508" s="2">
        <v>0.25694444444444442</v>
      </c>
      <c r="V1508" t="s">
        <v>21955</v>
      </c>
      <c r="W1508" t="s">
        <v>21956</v>
      </c>
      <c r="X1508" t="s">
        <v>21957</v>
      </c>
      <c r="Y1508" t="s">
        <v>21958</v>
      </c>
      <c r="Z1508" t="s">
        <v>21958</v>
      </c>
      <c r="AA1508" t="s">
        <v>21958</v>
      </c>
      <c r="AB1508" t="s">
        <v>21958</v>
      </c>
      <c r="AC1508" t="s">
        <v>21959</v>
      </c>
    </row>
    <row r="1509" spans="1:30">
      <c r="A1509" t="s">
        <v>21960</v>
      </c>
      <c r="B1509">
        <v>10</v>
      </c>
      <c r="C1509">
        <v>21</v>
      </c>
      <c r="D1509">
        <v>1999</v>
      </c>
      <c r="E1509" s="1">
        <v>36454</v>
      </c>
      <c r="F1509" t="s">
        <v>21961</v>
      </c>
      <c r="G1509">
        <v>0</v>
      </c>
      <c r="H1509">
        <v>1</v>
      </c>
      <c r="I1509">
        <v>1</v>
      </c>
      <c r="J1509">
        <v>0</v>
      </c>
      <c r="L1509" t="s">
        <v>21962</v>
      </c>
      <c r="M1509" t="s">
        <v>21963</v>
      </c>
      <c r="N1509" t="s">
        <v>21964</v>
      </c>
      <c r="O1509" t="s">
        <v>21965</v>
      </c>
      <c r="P1509" t="s">
        <v>21966</v>
      </c>
      <c r="Q1509" t="s">
        <v>21967</v>
      </c>
      <c r="R1509" t="s">
        <v>21968</v>
      </c>
      <c r="S1509" t="s">
        <v>21969</v>
      </c>
      <c r="T1509" s="2">
        <v>0.61111111111111116</v>
      </c>
      <c r="U1509">
        <v>1</v>
      </c>
      <c r="V1509" t="s">
        <v>21970</v>
      </c>
      <c r="W1509" t="s">
        <v>21971</v>
      </c>
      <c r="X1509" t="s">
        <v>21972</v>
      </c>
      <c r="Y1509" t="s">
        <v>21973</v>
      </c>
      <c r="Z1509" t="s">
        <v>21974</v>
      </c>
      <c r="AA1509" t="s">
        <v>21974</v>
      </c>
      <c r="AB1509" t="s">
        <v>21974</v>
      </c>
      <c r="AC1509" t="s">
        <v>21974</v>
      </c>
    </row>
    <row r="1510" spans="1:30">
      <c r="A1510" t="s">
        <v>21975</v>
      </c>
      <c r="B1510">
        <v>10</v>
      </c>
      <c r="C1510">
        <v>11</v>
      </c>
      <c r="D1510">
        <v>1999</v>
      </c>
      <c r="E1510" s="1">
        <v>36444</v>
      </c>
      <c r="F1510" t="s">
        <v>21976</v>
      </c>
      <c r="G1510">
        <v>0</v>
      </c>
      <c r="H1510">
        <v>2</v>
      </c>
      <c r="I1510">
        <v>2</v>
      </c>
      <c r="J1510">
        <v>0</v>
      </c>
      <c r="L1510" t="s">
        <v>21977</v>
      </c>
      <c r="M1510" t="s">
        <v>21978</v>
      </c>
      <c r="N1510" t="s">
        <v>21979</v>
      </c>
      <c r="O1510" t="s">
        <v>21980</v>
      </c>
      <c r="P1510" t="s">
        <v>21981</v>
      </c>
      <c r="Q1510" t="s">
        <v>21982</v>
      </c>
      <c r="R1510" t="s">
        <v>21983</v>
      </c>
      <c r="S1510" t="s">
        <v>21984</v>
      </c>
      <c r="T1510" s="2">
        <v>0.61111111111111116</v>
      </c>
      <c r="U1510">
        <v>1</v>
      </c>
      <c r="V1510" t="s">
        <v>21985</v>
      </c>
      <c r="W1510" t="s">
        <v>21986</v>
      </c>
      <c r="X1510" t="s">
        <v>21987</v>
      </c>
      <c r="Y1510" t="s">
        <v>21988</v>
      </c>
      <c r="Z1510" t="s">
        <v>21989</v>
      </c>
      <c r="AA1510" t="s">
        <v>21989</v>
      </c>
      <c r="AB1510" t="s">
        <v>21989</v>
      </c>
      <c r="AC1510" t="s">
        <v>21989</v>
      </c>
    </row>
    <row r="1511" spans="1:30">
      <c r="A1511" t="s">
        <v>21990</v>
      </c>
      <c r="B1511">
        <v>10</v>
      </c>
      <c r="C1511">
        <v>4</v>
      </c>
      <c r="D1511">
        <v>1999</v>
      </c>
      <c r="E1511" s="1">
        <v>36437</v>
      </c>
      <c r="F1511" t="s">
        <v>21991</v>
      </c>
      <c r="G1511">
        <v>0</v>
      </c>
      <c r="H1511">
        <v>1</v>
      </c>
      <c r="I1511">
        <v>1</v>
      </c>
      <c r="J1511">
        <v>0</v>
      </c>
      <c r="L1511" t="s">
        <v>21992</v>
      </c>
      <c r="M1511" t="s">
        <v>21993</v>
      </c>
      <c r="N1511" t="s">
        <v>21994</v>
      </c>
      <c r="O1511" t="s">
        <v>21995</v>
      </c>
      <c r="P1511" t="s">
        <v>21996</v>
      </c>
      <c r="Q1511" t="s">
        <v>21997</v>
      </c>
      <c r="R1511" t="s">
        <v>21998</v>
      </c>
      <c r="S1511" t="s">
        <v>21999</v>
      </c>
      <c r="T1511" s="2">
        <v>0.41666666666666669</v>
      </c>
      <c r="U1511">
        <v>1</v>
      </c>
      <c r="V1511" t="s">
        <v>22000</v>
      </c>
      <c r="W1511" t="s">
        <v>22001</v>
      </c>
      <c r="X1511" t="s">
        <v>22002</v>
      </c>
      <c r="Y1511" t="s">
        <v>22003</v>
      </c>
      <c r="Z1511" t="s">
        <v>22003</v>
      </c>
      <c r="AA1511" t="s">
        <v>22003</v>
      </c>
      <c r="AB1511" t="s">
        <v>22003</v>
      </c>
      <c r="AC1511" t="s">
        <v>22003</v>
      </c>
    </row>
    <row r="1512" spans="1:30">
      <c r="A1512" t="s">
        <v>22004</v>
      </c>
      <c r="B1512">
        <v>9</v>
      </c>
      <c r="C1512">
        <v>27</v>
      </c>
      <c r="D1512">
        <v>1999</v>
      </c>
      <c r="E1512" s="1">
        <v>36430</v>
      </c>
      <c r="F1512" t="s">
        <v>22005</v>
      </c>
      <c r="G1512">
        <v>0</v>
      </c>
      <c r="H1512">
        <v>1</v>
      </c>
      <c r="I1512">
        <v>1</v>
      </c>
      <c r="J1512">
        <v>0</v>
      </c>
      <c r="L1512" t="s">
        <v>22006</v>
      </c>
      <c r="M1512" t="s">
        <v>22007</v>
      </c>
      <c r="N1512" t="s">
        <v>22008</v>
      </c>
      <c r="O1512" t="s">
        <v>22009</v>
      </c>
      <c r="P1512" t="s">
        <v>22010</v>
      </c>
      <c r="Q1512" t="s">
        <v>22011</v>
      </c>
      <c r="R1512" t="s">
        <v>22012</v>
      </c>
      <c r="S1512" t="s">
        <v>22013</v>
      </c>
      <c r="T1512" s="2">
        <v>0.3125</v>
      </c>
      <c r="U1512">
        <v>1</v>
      </c>
      <c r="V1512" t="s">
        <v>22014</v>
      </c>
      <c r="W1512" t="s">
        <v>22015</v>
      </c>
      <c r="X1512" t="s">
        <v>22016</v>
      </c>
      <c r="Y1512" t="s">
        <v>22017</v>
      </c>
      <c r="Z1512" t="s">
        <v>22017</v>
      </c>
      <c r="AA1512" t="s">
        <v>22017</v>
      </c>
      <c r="AB1512" t="s">
        <v>22017</v>
      </c>
      <c r="AC1512" t="s">
        <v>22017</v>
      </c>
    </row>
    <row r="1513" spans="1:30">
      <c r="A1513" t="s">
        <v>22018</v>
      </c>
      <c r="B1513">
        <v>9</v>
      </c>
      <c r="C1513">
        <v>9</v>
      </c>
      <c r="D1513">
        <v>1999</v>
      </c>
      <c r="E1513" s="1">
        <v>36412</v>
      </c>
      <c r="F1513" t="s">
        <v>22019</v>
      </c>
      <c r="G1513">
        <v>0</v>
      </c>
      <c r="H1513">
        <v>0</v>
      </c>
      <c r="I1513">
        <v>0</v>
      </c>
      <c r="J1513">
        <v>1</v>
      </c>
      <c r="L1513" t="s">
        <v>22020</v>
      </c>
      <c r="M1513" t="s">
        <v>22021</v>
      </c>
      <c r="N1513" t="s">
        <v>22022</v>
      </c>
      <c r="O1513" t="s">
        <v>22023</v>
      </c>
      <c r="P1513" t="s">
        <v>22024</v>
      </c>
      <c r="Q1513" t="s">
        <v>22025</v>
      </c>
      <c r="R1513" t="s">
        <v>22026</v>
      </c>
      <c r="S1513" t="s">
        <v>22027</v>
      </c>
      <c r="T1513" s="2">
        <v>0.35416666666666663</v>
      </c>
      <c r="U1513">
        <v>1</v>
      </c>
      <c r="V1513" t="s">
        <v>22028</v>
      </c>
      <c r="W1513" t="s">
        <v>22029</v>
      </c>
      <c r="X1513" t="s">
        <v>22030</v>
      </c>
      <c r="Y1513" t="s">
        <v>22031</v>
      </c>
      <c r="Z1513" t="s">
        <v>22031</v>
      </c>
      <c r="AA1513" t="s">
        <v>22031</v>
      </c>
      <c r="AB1513" t="s">
        <v>22031</v>
      </c>
      <c r="AC1513" t="s">
        <v>22031</v>
      </c>
    </row>
    <row r="1514" spans="1:30">
      <c r="A1514" t="s">
        <v>22032</v>
      </c>
      <c r="B1514">
        <v>8</v>
      </c>
      <c r="C1514">
        <v>25</v>
      </c>
      <c r="D1514">
        <v>1999</v>
      </c>
      <c r="E1514" s="1">
        <v>36397</v>
      </c>
      <c r="F1514" t="s">
        <v>22033</v>
      </c>
      <c r="G1514">
        <v>0</v>
      </c>
      <c r="H1514">
        <v>0</v>
      </c>
      <c r="I1514">
        <v>0</v>
      </c>
      <c r="J1514">
        <v>1</v>
      </c>
      <c r="L1514" t="s">
        <v>22034</v>
      </c>
      <c r="M1514" t="s">
        <v>22035</v>
      </c>
      <c r="N1514" t="s">
        <v>22036</v>
      </c>
      <c r="O1514" t="s">
        <v>22037</v>
      </c>
      <c r="P1514" t="s">
        <v>22038</v>
      </c>
      <c r="Q1514" t="s">
        <v>22039</v>
      </c>
      <c r="R1514" t="s">
        <v>22040</v>
      </c>
      <c r="S1514" t="s">
        <v>22041</v>
      </c>
      <c r="U1514">
        <v>1</v>
      </c>
      <c r="V1514" t="s">
        <v>22042</v>
      </c>
      <c r="W1514" t="s">
        <v>22043</v>
      </c>
      <c r="X1514" t="s">
        <v>22044</v>
      </c>
      <c r="Y1514" t="s">
        <v>22045</v>
      </c>
      <c r="Z1514" t="s">
        <v>22045</v>
      </c>
      <c r="AA1514" t="s">
        <v>22045</v>
      </c>
      <c r="AB1514" t="s">
        <v>22045</v>
      </c>
      <c r="AC1514" t="s">
        <v>22045</v>
      </c>
    </row>
    <row r="1515" spans="1:30">
      <c r="A1515" t="s">
        <v>22046</v>
      </c>
      <c r="B1515">
        <v>5</v>
      </c>
      <c r="C1515">
        <v>20</v>
      </c>
      <c r="D1515">
        <v>1999</v>
      </c>
      <c r="E1515" s="1">
        <v>36300</v>
      </c>
      <c r="F1515" t="s">
        <v>22047</v>
      </c>
      <c r="G1515">
        <v>0</v>
      </c>
      <c r="H1515">
        <v>6</v>
      </c>
      <c r="I1515">
        <v>6</v>
      </c>
      <c r="J1515">
        <v>0</v>
      </c>
      <c r="L1515" t="s">
        <v>22048</v>
      </c>
      <c r="M1515" t="s">
        <v>22049</v>
      </c>
      <c r="N1515" t="s">
        <v>22050</v>
      </c>
      <c r="O1515" t="s">
        <v>22051</v>
      </c>
      <c r="P1515" t="s">
        <v>22052</v>
      </c>
      <c r="Q1515" t="s">
        <v>22053</v>
      </c>
      <c r="R1515" t="s">
        <v>22054</v>
      </c>
      <c r="S1515" t="s">
        <v>22055</v>
      </c>
      <c r="T1515" s="2">
        <v>0.33541666666666664</v>
      </c>
      <c r="U1515">
        <v>2</v>
      </c>
      <c r="V1515" t="s">
        <v>22056</v>
      </c>
      <c r="W1515" t="s">
        <v>22057</v>
      </c>
      <c r="X1515" t="s">
        <v>22058</v>
      </c>
      <c r="Y1515" t="s">
        <v>22059</v>
      </c>
      <c r="Z1515" t="s">
        <v>22059</v>
      </c>
      <c r="AA1515" t="s">
        <v>22059</v>
      </c>
      <c r="AB1515" t="s">
        <v>22059</v>
      </c>
      <c r="AC1515" t="s">
        <v>22059</v>
      </c>
      <c r="AD1515" t="s">
        <v>22060</v>
      </c>
    </row>
    <row r="1516" spans="1:30">
      <c r="A1516" t="s">
        <v>22061</v>
      </c>
      <c r="B1516">
        <v>4</v>
      </c>
      <c r="C1516">
        <v>22</v>
      </c>
      <c r="D1516">
        <v>1999</v>
      </c>
      <c r="E1516" s="1">
        <v>36272</v>
      </c>
      <c r="F1516" t="s">
        <v>22062</v>
      </c>
      <c r="G1516">
        <v>1</v>
      </c>
      <c r="H1516">
        <v>0</v>
      </c>
      <c r="I1516">
        <v>1</v>
      </c>
      <c r="J1516">
        <v>0</v>
      </c>
      <c r="L1516" t="s">
        <v>22063</v>
      </c>
      <c r="M1516" t="s">
        <v>22064</v>
      </c>
      <c r="N1516" t="s">
        <v>22065</v>
      </c>
      <c r="O1516" t="s">
        <v>22066</v>
      </c>
      <c r="P1516" t="s">
        <v>22067</v>
      </c>
      <c r="Q1516" t="s">
        <v>22068</v>
      </c>
      <c r="R1516" t="s">
        <v>22069</v>
      </c>
      <c r="S1516" t="s">
        <v>22070</v>
      </c>
      <c r="T1516" s="2">
        <v>0.90625</v>
      </c>
      <c r="U1516">
        <v>1</v>
      </c>
      <c r="V1516" t="s">
        <v>22071</v>
      </c>
      <c r="W1516" t="s">
        <v>22072</v>
      </c>
      <c r="X1516" t="s">
        <v>22073</v>
      </c>
      <c r="Y1516" t="s">
        <v>22074</v>
      </c>
      <c r="Z1516" t="s">
        <v>22075</v>
      </c>
      <c r="AA1516" t="s">
        <v>22075</v>
      </c>
      <c r="AB1516" t="s">
        <v>22075</v>
      </c>
      <c r="AC1516" t="s">
        <v>22075</v>
      </c>
    </row>
    <row r="1517" spans="1:30">
      <c r="A1517" t="s">
        <v>22076</v>
      </c>
      <c r="B1517">
        <v>4</v>
      </c>
      <c r="C1517">
        <v>22</v>
      </c>
      <c r="D1517">
        <v>1999</v>
      </c>
      <c r="E1517" s="1">
        <v>36272</v>
      </c>
      <c r="F1517" t="s">
        <v>22077</v>
      </c>
      <c r="G1517">
        <v>0</v>
      </c>
      <c r="H1517">
        <v>1</v>
      </c>
      <c r="I1517">
        <v>1</v>
      </c>
      <c r="J1517">
        <v>0</v>
      </c>
      <c r="L1517" t="s">
        <v>22078</v>
      </c>
      <c r="M1517" t="s">
        <v>22079</v>
      </c>
      <c r="N1517" t="s">
        <v>22080</v>
      </c>
      <c r="O1517" t="s">
        <v>22081</v>
      </c>
      <c r="P1517" t="s">
        <v>22082</v>
      </c>
      <c r="Q1517" t="s">
        <v>22083</v>
      </c>
      <c r="R1517" t="s">
        <v>22084</v>
      </c>
      <c r="S1517" t="s">
        <v>22085</v>
      </c>
      <c r="T1517" s="2">
        <v>0.52083333333333337</v>
      </c>
      <c r="U1517">
        <v>1</v>
      </c>
      <c r="V1517" t="s">
        <v>22086</v>
      </c>
      <c r="W1517" t="s">
        <v>22087</v>
      </c>
      <c r="X1517" t="s">
        <v>22088</v>
      </c>
      <c r="Y1517" t="s">
        <v>22089</v>
      </c>
      <c r="Z1517" t="s">
        <v>22089</v>
      </c>
      <c r="AA1517" t="s">
        <v>22089</v>
      </c>
      <c r="AB1517" t="s">
        <v>22089</v>
      </c>
      <c r="AC1517" t="s">
        <v>22089</v>
      </c>
    </row>
    <row r="1518" spans="1:30">
      <c r="A1518" t="s">
        <v>22090</v>
      </c>
      <c r="B1518">
        <v>4</v>
      </c>
      <c r="C1518">
        <v>20</v>
      </c>
      <c r="D1518">
        <v>1999</v>
      </c>
      <c r="E1518" s="1">
        <v>36270</v>
      </c>
      <c r="F1518" t="s">
        <v>22091</v>
      </c>
      <c r="G1518">
        <v>13</v>
      </c>
      <c r="H1518">
        <v>24</v>
      </c>
      <c r="I1518">
        <v>37</v>
      </c>
      <c r="J1518">
        <v>2</v>
      </c>
      <c r="L1518" t="s">
        <v>22092</v>
      </c>
      <c r="M1518" t="s">
        <v>22093</v>
      </c>
      <c r="N1518" t="s">
        <v>22094</v>
      </c>
      <c r="O1518" t="s">
        <v>22095</v>
      </c>
      <c r="P1518" t="s">
        <v>22096</v>
      </c>
      <c r="Q1518" t="s">
        <v>22097</v>
      </c>
      <c r="R1518" t="s">
        <v>22098</v>
      </c>
      <c r="S1518" t="s">
        <v>22099</v>
      </c>
      <c r="T1518" s="2">
        <v>0.47152777777777777</v>
      </c>
      <c r="U1518">
        <v>49</v>
      </c>
      <c r="V1518" t="s">
        <v>22100</v>
      </c>
      <c r="W1518" t="s">
        <v>22101</v>
      </c>
      <c r="X1518" t="s">
        <v>22102</v>
      </c>
      <c r="Y1518" t="s">
        <v>22103</v>
      </c>
      <c r="Z1518" t="s">
        <v>22104</v>
      </c>
      <c r="AA1518" t="s">
        <v>22104</v>
      </c>
      <c r="AB1518" t="s">
        <v>22105</v>
      </c>
      <c r="AC1518" t="s">
        <v>22106</v>
      </c>
      <c r="AD1518" t="s">
        <v>22107</v>
      </c>
    </row>
    <row r="1519" spans="1:30">
      <c r="A1519" t="s">
        <v>22108</v>
      </c>
      <c r="B1519">
        <v>4</v>
      </c>
      <c r="C1519">
        <v>16</v>
      </c>
      <c r="D1519">
        <v>1999</v>
      </c>
      <c r="E1519" s="1">
        <v>36266</v>
      </c>
      <c r="F1519" t="s">
        <v>22109</v>
      </c>
      <c r="G1519">
        <v>0</v>
      </c>
      <c r="H1519">
        <v>0</v>
      </c>
      <c r="I1519">
        <v>0</v>
      </c>
      <c r="J1519">
        <v>0</v>
      </c>
      <c r="L1519" t="s">
        <v>22110</v>
      </c>
      <c r="M1519" t="s">
        <v>22111</v>
      </c>
      <c r="N1519" t="s">
        <v>22112</v>
      </c>
      <c r="O1519" t="s">
        <v>22113</v>
      </c>
      <c r="P1519" t="s">
        <v>22114</v>
      </c>
      <c r="Q1519" t="s">
        <v>22115</v>
      </c>
      <c r="R1519" t="s">
        <v>22116</v>
      </c>
      <c r="S1519" t="s">
        <v>22117</v>
      </c>
      <c r="V1519" t="s">
        <v>22118</v>
      </c>
      <c r="W1519" t="s">
        <v>22119</v>
      </c>
      <c r="X1519" t="s">
        <v>22120</v>
      </c>
      <c r="Z1519" t="s">
        <v>22121</v>
      </c>
      <c r="AA1519" t="s">
        <v>22121</v>
      </c>
      <c r="AB1519" t="s">
        <v>22121</v>
      </c>
      <c r="AC1519" t="s">
        <v>22121</v>
      </c>
      <c r="AD1519" t="s">
        <v>22122</v>
      </c>
    </row>
    <row r="1520" spans="1:30">
      <c r="A1520" t="s">
        <v>22123</v>
      </c>
      <c r="B1520">
        <v>3</v>
      </c>
      <c r="C1520">
        <v>4</v>
      </c>
      <c r="D1520">
        <v>1999</v>
      </c>
      <c r="E1520" s="1">
        <v>36223</v>
      </c>
      <c r="F1520" t="s">
        <v>22124</v>
      </c>
      <c r="G1520">
        <v>0</v>
      </c>
      <c r="H1520">
        <v>1</v>
      </c>
      <c r="I1520">
        <v>1</v>
      </c>
      <c r="J1520">
        <v>1</v>
      </c>
      <c r="L1520" t="s">
        <v>22125</v>
      </c>
      <c r="M1520" t="s">
        <v>22126</v>
      </c>
      <c r="N1520" t="s">
        <v>22127</v>
      </c>
      <c r="O1520" t="s">
        <v>22128</v>
      </c>
      <c r="P1520" t="s">
        <v>22129</v>
      </c>
      <c r="Q1520" t="s">
        <v>22130</v>
      </c>
      <c r="R1520" t="s">
        <v>22131</v>
      </c>
      <c r="S1520" t="s">
        <v>22132</v>
      </c>
      <c r="T1520" s="2">
        <v>0.91666666666666663</v>
      </c>
      <c r="U1520">
        <v>2</v>
      </c>
      <c r="V1520" t="s">
        <v>22133</v>
      </c>
      <c r="W1520" t="s">
        <v>22134</v>
      </c>
      <c r="X1520" t="s">
        <v>22135</v>
      </c>
      <c r="Y1520" t="s">
        <v>22136</v>
      </c>
      <c r="Z1520" t="s">
        <v>22136</v>
      </c>
      <c r="AA1520" t="s">
        <v>22136</v>
      </c>
      <c r="AB1520" t="s">
        <v>22136</v>
      </c>
      <c r="AC1520" t="s">
        <v>22137</v>
      </c>
    </row>
    <row r="1521" spans="1:30">
      <c r="A1521" t="s">
        <v>22138</v>
      </c>
      <c r="B1521">
        <v>2</v>
      </c>
      <c r="C1521">
        <v>11</v>
      </c>
      <c r="D1521">
        <v>1999</v>
      </c>
      <c r="E1521" s="1">
        <v>36202</v>
      </c>
      <c r="F1521" t="s">
        <v>22139</v>
      </c>
      <c r="G1521">
        <v>1</v>
      </c>
      <c r="H1521">
        <v>0</v>
      </c>
      <c r="I1521">
        <v>1</v>
      </c>
      <c r="J1521">
        <v>0</v>
      </c>
      <c r="L1521" t="s">
        <v>22140</v>
      </c>
      <c r="M1521" t="s">
        <v>22141</v>
      </c>
      <c r="N1521" t="s">
        <v>22142</v>
      </c>
      <c r="O1521" t="s">
        <v>22143</v>
      </c>
      <c r="P1521" t="s">
        <v>22144</v>
      </c>
      <c r="Q1521" t="s">
        <v>22145</v>
      </c>
      <c r="R1521" t="s">
        <v>22146</v>
      </c>
      <c r="S1521" t="s">
        <v>22147</v>
      </c>
      <c r="T1521" s="2">
        <v>0.52083333333333337</v>
      </c>
      <c r="U1521">
        <v>1</v>
      </c>
      <c r="V1521" t="s">
        <v>22148</v>
      </c>
      <c r="W1521" t="s">
        <v>22149</v>
      </c>
      <c r="X1521" t="s">
        <v>22150</v>
      </c>
      <c r="Y1521" t="s">
        <v>22151</v>
      </c>
      <c r="Z1521" t="s">
        <v>22152</v>
      </c>
      <c r="AA1521" t="s">
        <v>22152</v>
      </c>
      <c r="AB1521" t="s">
        <v>22152</v>
      </c>
      <c r="AC1521" t="s">
        <v>22152</v>
      </c>
    </row>
    <row r="1522" spans="1:30">
      <c r="A1522" t="s">
        <v>22153</v>
      </c>
      <c r="B1522">
        <v>2</v>
      </c>
      <c r="C1522">
        <v>11</v>
      </c>
      <c r="D1522">
        <v>1999</v>
      </c>
      <c r="E1522" s="1">
        <v>36202</v>
      </c>
      <c r="F1522" t="s">
        <v>22154</v>
      </c>
      <c r="G1522">
        <v>0</v>
      </c>
      <c r="H1522">
        <v>0</v>
      </c>
      <c r="I1522">
        <v>0</v>
      </c>
      <c r="J1522">
        <v>0</v>
      </c>
      <c r="L1522" t="s">
        <v>22155</v>
      </c>
      <c r="M1522" t="s">
        <v>22156</v>
      </c>
      <c r="N1522" t="s">
        <v>22157</v>
      </c>
      <c r="O1522" t="s">
        <v>22158</v>
      </c>
      <c r="P1522" t="s">
        <v>22159</v>
      </c>
      <c r="Q1522" t="s">
        <v>22160</v>
      </c>
      <c r="R1522" t="s">
        <v>22161</v>
      </c>
      <c r="U1522">
        <v>720</v>
      </c>
      <c r="V1522" t="s">
        <v>22162</v>
      </c>
      <c r="W1522" t="s">
        <v>22163</v>
      </c>
      <c r="X1522" t="s">
        <v>22164</v>
      </c>
      <c r="Y1522" t="s">
        <v>22165</v>
      </c>
      <c r="Z1522" t="s">
        <v>22166</v>
      </c>
      <c r="AA1522" t="s">
        <v>22166</v>
      </c>
      <c r="AB1522" t="s">
        <v>22167</v>
      </c>
      <c r="AC1522" t="s">
        <v>22167</v>
      </c>
      <c r="AD1522" t="s">
        <v>22168</v>
      </c>
    </row>
    <row r="1523" spans="1:30">
      <c r="A1523" t="s">
        <v>22169</v>
      </c>
      <c r="B1523">
        <v>1</v>
      </c>
      <c r="C1523">
        <v>21</v>
      </c>
      <c r="D1523">
        <v>1999</v>
      </c>
      <c r="E1523" s="1">
        <v>36181</v>
      </c>
      <c r="F1523" t="s">
        <v>22170</v>
      </c>
      <c r="G1523">
        <v>0</v>
      </c>
      <c r="H1523">
        <v>0</v>
      </c>
      <c r="I1523">
        <v>0</v>
      </c>
      <c r="J1523">
        <v>1</v>
      </c>
      <c r="L1523" t="s">
        <v>22171</v>
      </c>
      <c r="M1523" t="s">
        <v>22172</v>
      </c>
      <c r="N1523" t="s">
        <v>22173</v>
      </c>
      <c r="O1523" t="s">
        <v>22174</v>
      </c>
      <c r="P1523" t="s">
        <v>22175</v>
      </c>
      <c r="Q1523" t="s">
        <v>22176</v>
      </c>
      <c r="R1523" t="s">
        <v>22177</v>
      </c>
      <c r="S1523" t="s">
        <v>22178</v>
      </c>
      <c r="U1523">
        <v>1</v>
      </c>
      <c r="V1523" t="s">
        <v>22179</v>
      </c>
      <c r="W1523" t="s">
        <v>22180</v>
      </c>
      <c r="X1523" t="s">
        <v>22181</v>
      </c>
      <c r="Y1523" t="s">
        <v>22182</v>
      </c>
      <c r="Z1523" t="s">
        <v>22182</v>
      </c>
      <c r="AA1523" t="s">
        <v>22182</v>
      </c>
      <c r="AC1523" t="s">
        <v>22182</v>
      </c>
    </row>
    <row r="1524" spans="1:30">
      <c r="A1524" t="s">
        <v>22183</v>
      </c>
      <c r="B1524">
        <v>1</v>
      </c>
      <c r="C1524">
        <v>14</v>
      </c>
      <c r="D1524">
        <v>1999</v>
      </c>
      <c r="E1524" s="1">
        <v>36174</v>
      </c>
      <c r="F1524" t="s">
        <v>22184</v>
      </c>
      <c r="G1524">
        <v>0</v>
      </c>
      <c r="H1524">
        <v>2</v>
      </c>
      <c r="I1524">
        <v>2</v>
      </c>
      <c r="J1524">
        <v>0</v>
      </c>
      <c r="L1524" t="s">
        <v>22185</v>
      </c>
      <c r="M1524" t="s">
        <v>22186</v>
      </c>
      <c r="N1524" t="s">
        <v>22187</v>
      </c>
      <c r="O1524" t="s">
        <v>22188</v>
      </c>
      <c r="P1524" t="s">
        <v>22189</v>
      </c>
      <c r="Q1524" t="s">
        <v>22190</v>
      </c>
      <c r="R1524" t="s">
        <v>22191</v>
      </c>
      <c r="S1524" t="s">
        <v>22192</v>
      </c>
      <c r="T1524" s="2">
        <v>0.375</v>
      </c>
      <c r="U1524">
        <v>1</v>
      </c>
      <c r="V1524" t="s">
        <v>22193</v>
      </c>
      <c r="W1524" t="s">
        <v>22194</v>
      </c>
      <c r="X1524" t="s">
        <v>22195</v>
      </c>
      <c r="Y1524" t="s">
        <v>22196</v>
      </c>
      <c r="Z1524" t="s">
        <v>22196</v>
      </c>
      <c r="AA1524" t="s">
        <v>22196</v>
      </c>
      <c r="AB1524" t="s">
        <v>22196</v>
      </c>
      <c r="AC1524" t="s">
        <v>22196</v>
      </c>
    </row>
    <row r="1525" spans="1:30">
      <c r="A1525" t="s">
        <v>22197</v>
      </c>
      <c r="B1525">
        <v>1</v>
      </c>
      <c r="C1525">
        <v>8</v>
      </c>
      <c r="D1525">
        <v>1999</v>
      </c>
      <c r="E1525" s="1">
        <v>36168</v>
      </c>
      <c r="F1525" t="s">
        <v>22198</v>
      </c>
      <c r="G1525">
        <v>0</v>
      </c>
      <c r="H1525">
        <v>0</v>
      </c>
      <c r="I1525">
        <v>0</v>
      </c>
      <c r="J1525">
        <v>2</v>
      </c>
      <c r="L1525" t="s">
        <v>22199</v>
      </c>
      <c r="M1525" t="s">
        <v>22200</v>
      </c>
      <c r="N1525" t="s">
        <v>22201</v>
      </c>
      <c r="O1525" t="s">
        <v>22202</v>
      </c>
      <c r="P1525" t="s">
        <v>22203</v>
      </c>
      <c r="Q1525" t="s">
        <v>22204</v>
      </c>
      <c r="R1525" t="s">
        <v>22205</v>
      </c>
      <c r="S1525" t="s">
        <v>22206</v>
      </c>
      <c r="U1525">
        <v>1</v>
      </c>
      <c r="V1525" t="s">
        <v>22207</v>
      </c>
      <c r="W1525" t="s">
        <v>22208</v>
      </c>
      <c r="X1525" t="s">
        <v>22209</v>
      </c>
      <c r="Y1525" t="s">
        <v>22210</v>
      </c>
      <c r="Z1525" t="s">
        <v>22211</v>
      </c>
      <c r="AA1525" t="s">
        <v>22211</v>
      </c>
      <c r="AB1525" t="s">
        <v>22211</v>
      </c>
      <c r="AC1525" t="s">
        <v>22212</v>
      </c>
    </row>
    <row r="1526" spans="1:30">
      <c r="A1526" t="s">
        <v>22213</v>
      </c>
      <c r="B1526">
        <v>12</v>
      </c>
      <c r="C1526">
        <v>11</v>
      </c>
      <c r="D1526">
        <v>1998</v>
      </c>
      <c r="E1526" s="1">
        <v>36140</v>
      </c>
      <c r="F1526" t="s">
        <v>22214</v>
      </c>
      <c r="G1526">
        <v>0</v>
      </c>
      <c r="H1526">
        <v>1</v>
      </c>
      <c r="I1526">
        <v>1</v>
      </c>
      <c r="J1526">
        <v>0</v>
      </c>
      <c r="L1526" t="s">
        <v>22215</v>
      </c>
      <c r="M1526" t="s">
        <v>22216</v>
      </c>
      <c r="N1526" t="s">
        <v>22217</v>
      </c>
      <c r="O1526" t="s">
        <v>22218</v>
      </c>
      <c r="P1526" t="s">
        <v>22219</v>
      </c>
      <c r="Q1526" t="s">
        <v>22219</v>
      </c>
      <c r="R1526" t="s">
        <v>22220</v>
      </c>
      <c r="S1526" t="s">
        <v>22221</v>
      </c>
      <c r="U1526">
        <v>1</v>
      </c>
      <c r="V1526" t="s">
        <v>22222</v>
      </c>
      <c r="W1526" t="s">
        <v>22223</v>
      </c>
      <c r="X1526" t="s">
        <v>22224</v>
      </c>
      <c r="Y1526" t="s">
        <v>22225</v>
      </c>
      <c r="Z1526" t="s">
        <v>22225</v>
      </c>
      <c r="AA1526" t="s">
        <v>22225</v>
      </c>
      <c r="AB1526" t="s">
        <v>22225</v>
      </c>
      <c r="AC1526" t="s">
        <v>22225</v>
      </c>
    </row>
    <row r="1527" spans="1:30">
      <c r="A1527" t="s">
        <v>22226</v>
      </c>
      <c r="B1527">
        <v>12</v>
      </c>
      <c r="C1527">
        <v>3</v>
      </c>
      <c r="D1527">
        <v>1998</v>
      </c>
      <c r="E1527" s="1">
        <v>36132</v>
      </c>
      <c r="F1527" t="s">
        <v>22227</v>
      </c>
      <c r="G1527">
        <v>0</v>
      </c>
      <c r="H1527">
        <v>1</v>
      </c>
      <c r="I1527">
        <v>1</v>
      </c>
      <c r="J1527">
        <v>0</v>
      </c>
      <c r="L1527" t="s">
        <v>22228</v>
      </c>
      <c r="M1527" t="s">
        <v>22229</v>
      </c>
      <c r="N1527" t="s">
        <v>22230</v>
      </c>
      <c r="O1527" t="s">
        <v>22231</v>
      </c>
      <c r="P1527" t="s">
        <v>22232</v>
      </c>
      <c r="Q1527" t="s">
        <v>22233</v>
      </c>
      <c r="R1527" t="s">
        <v>22234</v>
      </c>
      <c r="S1527" t="s">
        <v>22235</v>
      </c>
      <c r="U1527">
        <v>1</v>
      </c>
      <c r="V1527" t="s">
        <v>22236</v>
      </c>
      <c r="W1527" t="s">
        <v>22237</v>
      </c>
      <c r="X1527" t="s">
        <v>22238</v>
      </c>
      <c r="Y1527" t="s">
        <v>22239</v>
      </c>
      <c r="Z1527" t="s">
        <v>22239</v>
      </c>
      <c r="AA1527" t="s">
        <v>22239</v>
      </c>
      <c r="AB1527" t="s">
        <v>22239</v>
      </c>
      <c r="AC1527" t="s">
        <v>22239</v>
      </c>
    </row>
    <row r="1528" spans="1:30">
      <c r="A1528" t="s">
        <v>22240</v>
      </c>
      <c r="B1528">
        <v>11</v>
      </c>
      <c r="C1528">
        <v>30</v>
      </c>
      <c r="D1528">
        <v>1998</v>
      </c>
      <c r="E1528" s="1">
        <v>36129</v>
      </c>
      <c r="F1528" t="s">
        <v>22241</v>
      </c>
      <c r="G1528">
        <v>0</v>
      </c>
      <c r="H1528">
        <v>0</v>
      </c>
      <c r="I1528">
        <v>0</v>
      </c>
      <c r="J1528">
        <v>1</v>
      </c>
      <c r="L1528" t="s">
        <v>22242</v>
      </c>
      <c r="M1528" t="s">
        <v>22243</v>
      </c>
      <c r="N1528" t="s">
        <v>22244</v>
      </c>
      <c r="O1528" t="s">
        <v>22245</v>
      </c>
      <c r="P1528" t="s">
        <v>22246</v>
      </c>
      <c r="Q1528" t="s">
        <v>22247</v>
      </c>
      <c r="R1528" t="s">
        <v>22248</v>
      </c>
      <c r="S1528" t="s">
        <v>22249</v>
      </c>
      <c r="T1528" s="2">
        <v>0.3888888888888889</v>
      </c>
      <c r="U1528">
        <v>1</v>
      </c>
      <c r="V1528" t="s">
        <v>22250</v>
      </c>
      <c r="W1528" t="s">
        <v>22251</v>
      </c>
      <c r="X1528" t="s">
        <v>22252</v>
      </c>
      <c r="Y1528" t="s">
        <v>22253</v>
      </c>
      <c r="Z1528" t="s">
        <v>22253</v>
      </c>
      <c r="AA1528" t="s">
        <v>22253</v>
      </c>
    </row>
    <row r="1529" spans="1:30">
      <c r="A1529" t="s">
        <v>22254</v>
      </c>
      <c r="B1529">
        <v>11</v>
      </c>
      <c r="C1529">
        <v>3</v>
      </c>
      <c r="D1529">
        <v>1998</v>
      </c>
      <c r="E1529" s="1">
        <v>36102</v>
      </c>
      <c r="F1529" t="s">
        <v>22255</v>
      </c>
      <c r="G1529">
        <v>1</v>
      </c>
      <c r="H1529">
        <v>0</v>
      </c>
      <c r="I1529">
        <v>1</v>
      </c>
      <c r="J1529">
        <v>0</v>
      </c>
      <c r="L1529" t="s">
        <v>22256</v>
      </c>
      <c r="M1529" t="s">
        <v>22257</v>
      </c>
      <c r="N1529" t="s">
        <v>22258</v>
      </c>
      <c r="O1529" t="s">
        <v>22259</v>
      </c>
      <c r="P1529" t="s">
        <v>22260</v>
      </c>
      <c r="Q1529" t="s">
        <v>22261</v>
      </c>
      <c r="R1529" t="s">
        <v>22262</v>
      </c>
      <c r="S1529" t="s">
        <v>22263</v>
      </c>
      <c r="T1529" s="2">
        <v>0.57291666666666663</v>
      </c>
      <c r="U1529">
        <v>1</v>
      </c>
      <c r="V1529" t="s">
        <v>22264</v>
      </c>
      <c r="W1529" t="s">
        <v>22265</v>
      </c>
      <c r="X1529" t="s">
        <v>22266</v>
      </c>
      <c r="Y1529" t="s">
        <v>22267</v>
      </c>
      <c r="Z1529" t="s">
        <v>22268</v>
      </c>
      <c r="AA1529" t="s">
        <v>22268</v>
      </c>
      <c r="AB1529" t="s">
        <v>22268</v>
      </c>
      <c r="AC1529" t="s">
        <v>22268</v>
      </c>
    </row>
    <row r="1530" spans="1:30">
      <c r="A1530" t="s">
        <v>22269</v>
      </c>
      <c r="B1530">
        <v>9</v>
      </c>
      <c r="C1530">
        <v>30</v>
      </c>
      <c r="D1530">
        <v>1998</v>
      </c>
      <c r="E1530" s="1">
        <v>36068</v>
      </c>
      <c r="F1530" t="s">
        <v>22270</v>
      </c>
      <c r="G1530">
        <v>0</v>
      </c>
      <c r="H1530">
        <v>3</v>
      </c>
      <c r="I1530">
        <v>3</v>
      </c>
      <c r="J1530">
        <v>0</v>
      </c>
      <c r="L1530" t="s">
        <v>22271</v>
      </c>
      <c r="M1530" t="s">
        <v>22272</v>
      </c>
      <c r="N1530" t="s">
        <v>22273</v>
      </c>
      <c r="O1530" t="s">
        <v>22274</v>
      </c>
      <c r="P1530" t="s">
        <v>22275</v>
      </c>
      <c r="Q1530" t="s">
        <v>22276</v>
      </c>
      <c r="R1530" t="s">
        <v>22277</v>
      </c>
      <c r="S1530" t="s">
        <v>22278</v>
      </c>
      <c r="T1530" s="2">
        <v>0.52222222222222225</v>
      </c>
      <c r="U1530">
        <v>1</v>
      </c>
      <c r="V1530" t="s">
        <v>22279</v>
      </c>
      <c r="W1530" t="s">
        <v>22280</v>
      </c>
      <c r="X1530" t="s">
        <v>22281</v>
      </c>
      <c r="Y1530" t="s">
        <v>22282</v>
      </c>
      <c r="Z1530" t="s">
        <v>22283</v>
      </c>
      <c r="AA1530" t="s">
        <v>22283</v>
      </c>
      <c r="AB1530" t="s">
        <v>22283</v>
      </c>
      <c r="AC1530" t="s">
        <v>22283</v>
      </c>
    </row>
    <row r="1531" spans="1:30">
      <c r="A1531" t="s">
        <v>22284</v>
      </c>
      <c r="B1531">
        <v>9</v>
      </c>
      <c r="C1531">
        <v>30</v>
      </c>
      <c r="D1531">
        <v>1998</v>
      </c>
      <c r="E1531" s="1">
        <v>36068</v>
      </c>
      <c r="F1531" t="s">
        <v>22285</v>
      </c>
      <c r="G1531">
        <v>0</v>
      </c>
      <c r="H1531">
        <v>0</v>
      </c>
      <c r="I1531">
        <v>0</v>
      </c>
      <c r="J1531">
        <v>0</v>
      </c>
      <c r="L1531" t="s">
        <v>22286</v>
      </c>
      <c r="M1531" t="s">
        <v>22287</v>
      </c>
      <c r="N1531" t="s">
        <v>22288</v>
      </c>
      <c r="O1531" t="s">
        <v>22289</v>
      </c>
      <c r="P1531" t="s">
        <v>22290</v>
      </c>
      <c r="Q1531" t="s">
        <v>22290</v>
      </c>
      <c r="R1531" t="s">
        <v>22291</v>
      </c>
      <c r="U1531">
        <v>1</v>
      </c>
      <c r="V1531" t="s">
        <v>22292</v>
      </c>
      <c r="W1531" t="s">
        <v>22293</v>
      </c>
      <c r="X1531" t="s">
        <v>22294</v>
      </c>
      <c r="Y1531" t="s">
        <v>22295</v>
      </c>
      <c r="Z1531" t="s">
        <v>22295</v>
      </c>
      <c r="AA1531" t="s">
        <v>22295</v>
      </c>
      <c r="AB1531" t="s">
        <v>22295</v>
      </c>
      <c r="AC1531" t="s">
        <v>22295</v>
      </c>
    </row>
    <row r="1532" spans="1:30">
      <c r="A1532" t="s">
        <v>22296</v>
      </c>
      <c r="B1532">
        <v>9</v>
      </c>
      <c r="C1532">
        <v>11</v>
      </c>
      <c r="D1532">
        <v>1998</v>
      </c>
      <c r="E1532" s="1">
        <v>36049</v>
      </c>
      <c r="F1532" t="s">
        <v>22297</v>
      </c>
      <c r="G1532">
        <v>0</v>
      </c>
      <c r="H1532">
        <v>1</v>
      </c>
      <c r="I1532">
        <v>1</v>
      </c>
      <c r="J1532">
        <v>0</v>
      </c>
      <c r="L1532" t="s">
        <v>22298</v>
      </c>
      <c r="M1532" t="s">
        <v>22299</v>
      </c>
      <c r="N1532" t="s">
        <v>22300</v>
      </c>
      <c r="O1532" t="s">
        <v>22301</v>
      </c>
      <c r="P1532" t="s">
        <v>22302</v>
      </c>
      <c r="Q1532" t="s">
        <v>22303</v>
      </c>
      <c r="R1532" t="s">
        <v>22304</v>
      </c>
      <c r="S1532" t="s">
        <v>22305</v>
      </c>
      <c r="U1532">
        <v>1</v>
      </c>
      <c r="V1532" t="s">
        <v>22306</v>
      </c>
      <c r="W1532" t="s">
        <v>22307</v>
      </c>
      <c r="X1532" t="s">
        <v>22308</v>
      </c>
      <c r="Y1532" t="s">
        <v>22309</v>
      </c>
      <c r="Z1532" t="s">
        <v>22309</v>
      </c>
      <c r="AA1532" t="s">
        <v>22309</v>
      </c>
      <c r="AB1532" t="s">
        <v>22309</v>
      </c>
      <c r="AC1532" t="s">
        <v>22309</v>
      </c>
    </row>
    <row r="1533" spans="1:30">
      <c r="A1533" t="s">
        <v>22310</v>
      </c>
      <c r="B1533">
        <v>6</v>
      </c>
      <c r="C1533">
        <v>15</v>
      </c>
      <c r="D1533">
        <v>1998</v>
      </c>
      <c r="E1533" s="1">
        <v>35961</v>
      </c>
      <c r="F1533" t="s">
        <v>22311</v>
      </c>
      <c r="G1533">
        <v>0</v>
      </c>
      <c r="H1533">
        <v>2</v>
      </c>
      <c r="I1533">
        <v>2</v>
      </c>
      <c r="J1533">
        <v>0</v>
      </c>
      <c r="L1533" t="s">
        <v>22312</v>
      </c>
      <c r="M1533" t="s">
        <v>22313</v>
      </c>
      <c r="N1533" t="s">
        <v>22314</v>
      </c>
      <c r="O1533" t="s">
        <v>22315</v>
      </c>
      <c r="P1533" t="s">
        <v>22316</v>
      </c>
      <c r="Q1533" t="s">
        <v>22317</v>
      </c>
      <c r="R1533" t="s">
        <v>22318</v>
      </c>
      <c r="S1533" t="s">
        <v>22319</v>
      </c>
      <c r="T1533" s="2">
        <v>0.41666666666666669</v>
      </c>
      <c r="U1533">
        <v>1</v>
      </c>
      <c r="V1533" t="s">
        <v>22320</v>
      </c>
      <c r="W1533" t="s">
        <v>22321</v>
      </c>
      <c r="X1533" t="s">
        <v>22322</v>
      </c>
      <c r="Y1533" t="s">
        <v>22323</v>
      </c>
      <c r="Z1533" t="s">
        <v>22323</v>
      </c>
      <c r="AA1533" t="s">
        <v>22323</v>
      </c>
      <c r="AC1533" t="s">
        <v>22323</v>
      </c>
    </row>
    <row r="1534" spans="1:30">
      <c r="A1534" t="s">
        <v>22324</v>
      </c>
      <c r="B1534">
        <v>5</v>
      </c>
      <c r="C1534">
        <v>29</v>
      </c>
      <c r="D1534">
        <v>1998</v>
      </c>
      <c r="E1534" s="1">
        <v>35944</v>
      </c>
      <c r="F1534" t="s">
        <v>22325</v>
      </c>
      <c r="G1534">
        <v>1</v>
      </c>
      <c r="H1534">
        <v>0</v>
      </c>
      <c r="I1534">
        <v>1</v>
      </c>
      <c r="J1534">
        <v>1</v>
      </c>
      <c r="L1534" t="s">
        <v>22326</v>
      </c>
      <c r="M1534" t="s">
        <v>22327</v>
      </c>
      <c r="N1534" t="s">
        <v>22328</v>
      </c>
      <c r="O1534" t="s">
        <v>22329</v>
      </c>
      <c r="P1534" t="s">
        <v>22330</v>
      </c>
      <c r="Q1534" t="s">
        <v>22331</v>
      </c>
      <c r="R1534" t="s">
        <v>22332</v>
      </c>
      <c r="S1534" t="s">
        <v>22333</v>
      </c>
      <c r="T1534" s="2">
        <v>0.31388888888888888</v>
      </c>
      <c r="U1534">
        <v>1</v>
      </c>
      <c r="V1534" t="s">
        <v>22334</v>
      </c>
      <c r="W1534" t="s">
        <v>22335</v>
      </c>
      <c r="X1534" t="s">
        <v>22336</v>
      </c>
      <c r="Y1534" t="s">
        <v>22337</v>
      </c>
      <c r="Z1534" t="s">
        <v>22337</v>
      </c>
      <c r="AA1534" t="s">
        <v>22337</v>
      </c>
      <c r="AB1534" t="s">
        <v>22337</v>
      </c>
      <c r="AC1534" t="s">
        <v>22338</v>
      </c>
      <c r="AD1534" t="s">
        <v>22339</v>
      </c>
    </row>
    <row r="1535" spans="1:30">
      <c r="A1535" t="s">
        <v>22340</v>
      </c>
      <c r="B1535">
        <v>5</v>
      </c>
      <c r="C1535">
        <v>27</v>
      </c>
      <c r="D1535">
        <v>1998</v>
      </c>
      <c r="E1535" s="1">
        <v>35942</v>
      </c>
      <c r="F1535" t="s">
        <v>22341</v>
      </c>
      <c r="G1535">
        <v>2</v>
      </c>
      <c r="H1535">
        <v>0</v>
      </c>
      <c r="I1535">
        <v>2</v>
      </c>
      <c r="J1535">
        <v>0</v>
      </c>
      <c r="L1535" t="s">
        <v>22342</v>
      </c>
      <c r="M1535" t="s">
        <v>22343</v>
      </c>
      <c r="N1535" t="s">
        <v>22344</v>
      </c>
      <c r="O1535" t="s">
        <v>22345</v>
      </c>
      <c r="P1535" t="s">
        <v>22346</v>
      </c>
      <c r="Q1535" t="s">
        <v>22347</v>
      </c>
      <c r="R1535" t="s">
        <v>22348</v>
      </c>
      <c r="S1535" t="s">
        <v>22349</v>
      </c>
      <c r="T1535" s="2">
        <v>0.76041666666666663</v>
      </c>
      <c r="U1535">
        <v>1</v>
      </c>
      <c r="V1535" t="s">
        <v>22350</v>
      </c>
      <c r="W1535" t="s">
        <v>22351</v>
      </c>
      <c r="X1535" t="s">
        <v>22352</v>
      </c>
      <c r="Y1535" t="s">
        <v>22353</v>
      </c>
      <c r="Z1535" t="s">
        <v>22353</v>
      </c>
      <c r="AA1535" t="s">
        <v>22353</v>
      </c>
      <c r="AB1535" t="s">
        <v>22353</v>
      </c>
      <c r="AC1535" t="s">
        <v>22353</v>
      </c>
    </row>
    <row r="1536" spans="1:30">
      <c r="A1536" t="s">
        <v>22354</v>
      </c>
      <c r="B1536">
        <v>5</v>
      </c>
      <c r="C1536">
        <v>21</v>
      </c>
      <c r="D1536">
        <v>1998</v>
      </c>
      <c r="E1536" s="1">
        <v>35936</v>
      </c>
      <c r="F1536" t="s">
        <v>22355</v>
      </c>
      <c r="G1536">
        <v>0</v>
      </c>
      <c r="H1536">
        <v>0</v>
      </c>
      <c r="I1536">
        <v>0</v>
      </c>
      <c r="J1536">
        <v>1</v>
      </c>
      <c r="L1536" t="s">
        <v>22356</v>
      </c>
      <c r="M1536" t="s">
        <v>22357</v>
      </c>
      <c r="N1536" t="s">
        <v>22358</v>
      </c>
      <c r="O1536" t="s">
        <v>22359</v>
      </c>
      <c r="P1536" t="s">
        <v>22360</v>
      </c>
      <c r="Q1536" t="s">
        <v>22360</v>
      </c>
      <c r="R1536" t="s">
        <v>22361</v>
      </c>
      <c r="S1536" t="s">
        <v>22362</v>
      </c>
      <c r="V1536" t="s">
        <v>22363</v>
      </c>
      <c r="W1536" t="s">
        <v>22364</v>
      </c>
      <c r="X1536" t="s">
        <v>22365</v>
      </c>
      <c r="Y1536" t="s">
        <v>22366</v>
      </c>
      <c r="Z1536" t="s">
        <v>22366</v>
      </c>
      <c r="AA1536" t="s">
        <v>22366</v>
      </c>
      <c r="AB1536" t="s">
        <v>22366</v>
      </c>
      <c r="AC1536" t="s">
        <v>22367</v>
      </c>
    </row>
    <row r="1537" spans="1:30">
      <c r="A1537" t="s">
        <v>22368</v>
      </c>
      <c r="B1537">
        <v>5</v>
      </c>
      <c r="C1537">
        <v>21</v>
      </c>
      <c r="D1537">
        <v>1998</v>
      </c>
      <c r="E1537" s="1">
        <v>35936</v>
      </c>
      <c r="F1537" t="s">
        <v>22369</v>
      </c>
      <c r="G1537">
        <v>2</v>
      </c>
      <c r="H1537">
        <v>25</v>
      </c>
      <c r="I1537">
        <v>27</v>
      </c>
      <c r="J1537">
        <v>0</v>
      </c>
      <c r="L1537" t="s">
        <v>22370</v>
      </c>
      <c r="M1537" t="s">
        <v>22371</v>
      </c>
      <c r="N1537" t="s">
        <v>22372</v>
      </c>
      <c r="O1537" t="s">
        <v>22373</v>
      </c>
      <c r="P1537" t="s">
        <v>22374</v>
      </c>
      <c r="Q1537" t="s">
        <v>22375</v>
      </c>
      <c r="R1537" t="s">
        <v>22376</v>
      </c>
      <c r="S1537" t="s">
        <v>22377</v>
      </c>
      <c r="T1537" s="2">
        <v>0.3263888888888889</v>
      </c>
      <c r="U1537">
        <v>13</v>
      </c>
      <c r="V1537" t="s">
        <v>22378</v>
      </c>
      <c r="W1537" t="s">
        <v>22379</v>
      </c>
      <c r="X1537" t="s">
        <v>22380</v>
      </c>
      <c r="Y1537" t="s">
        <v>22381</v>
      </c>
      <c r="Z1537" t="s">
        <v>22381</v>
      </c>
      <c r="AA1537" t="s">
        <v>22381</v>
      </c>
      <c r="AB1537" t="s">
        <v>22381</v>
      </c>
      <c r="AC1537" t="s">
        <v>22381</v>
      </c>
      <c r="AD1537" t="s">
        <v>22382</v>
      </c>
    </row>
    <row r="1538" spans="1:30">
      <c r="A1538" t="s">
        <v>22383</v>
      </c>
      <c r="B1538">
        <v>5</v>
      </c>
      <c r="C1538">
        <v>21</v>
      </c>
      <c r="D1538">
        <v>1998</v>
      </c>
      <c r="E1538" s="1">
        <v>35936</v>
      </c>
      <c r="F1538" t="s">
        <v>22384</v>
      </c>
      <c r="G1538">
        <v>0</v>
      </c>
      <c r="H1538">
        <v>0</v>
      </c>
      <c r="I1538">
        <v>0</v>
      </c>
      <c r="J1538">
        <v>1</v>
      </c>
      <c r="L1538" t="s">
        <v>22385</v>
      </c>
      <c r="M1538" t="s">
        <v>22386</v>
      </c>
      <c r="N1538" t="s">
        <v>22387</v>
      </c>
      <c r="O1538" t="s">
        <v>22388</v>
      </c>
      <c r="P1538" t="s">
        <v>22389</v>
      </c>
      <c r="Q1538" t="s">
        <v>22390</v>
      </c>
      <c r="R1538" t="s">
        <v>22391</v>
      </c>
      <c r="S1538" t="s">
        <v>22392</v>
      </c>
      <c r="U1538">
        <v>1</v>
      </c>
      <c r="V1538" t="s">
        <v>22393</v>
      </c>
      <c r="W1538" t="s">
        <v>22394</v>
      </c>
      <c r="X1538" t="s">
        <v>22395</v>
      </c>
      <c r="Y1538" t="s">
        <v>22396</v>
      </c>
      <c r="Z1538" t="s">
        <v>22396</v>
      </c>
      <c r="AA1538" t="s">
        <v>22396</v>
      </c>
      <c r="AB1538" t="s">
        <v>22397</v>
      </c>
      <c r="AC1538" t="s">
        <v>22398</v>
      </c>
    </row>
    <row r="1539" spans="1:30">
      <c r="A1539" t="s">
        <v>22399</v>
      </c>
      <c r="B1539">
        <v>5</v>
      </c>
      <c r="C1539">
        <v>19</v>
      </c>
      <c r="D1539">
        <v>1998</v>
      </c>
      <c r="E1539" s="1">
        <v>35934</v>
      </c>
      <c r="F1539" t="s">
        <v>22400</v>
      </c>
      <c r="G1539">
        <v>1</v>
      </c>
      <c r="H1539">
        <v>0</v>
      </c>
      <c r="I1539">
        <v>1</v>
      </c>
      <c r="J1539">
        <v>0</v>
      </c>
      <c r="L1539" t="s">
        <v>22401</v>
      </c>
      <c r="M1539" t="s">
        <v>22402</v>
      </c>
      <c r="N1539" t="s">
        <v>22403</v>
      </c>
      <c r="O1539" t="s">
        <v>22404</v>
      </c>
      <c r="P1539" t="s">
        <v>22405</v>
      </c>
      <c r="Q1539" t="s">
        <v>22406</v>
      </c>
      <c r="R1539" t="s">
        <v>22407</v>
      </c>
      <c r="S1539" t="s">
        <v>22408</v>
      </c>
      <c r="T1539" s="2">
        <v>0.58333333333333337</v>
      </c>
      <c r="U1539">
        <v>1</v>
      </c>
      <c r="V1539" t="s">
        <v>22409</v>
      </c>
      <c r="W1539" t="s">
        <v>22410</v>
      </c>
      <c r="X1539" t="s">
        <v>22411</v>
      </c>
      <c r="Y1539" t="s">
        <v>22412</v>
      </c>
      <c r="Z1539" t="s">
        <v>22412</v>
      </c>
      <c r="AA1539" t="s">
        <v>22412</v>
      </c>
      <c r="AB1539" t="s">
        <v>22412</v>
      </c>
      <c r="AC1539" t="s">
        <v>22413</v>
      </c>
    </row>
    <row r="1540" spans="1:30">
      <c r="A1540" t="s">
        <v>22414</v>
      </c>
      <c r="B1540">
        <v>5</v>
      </c>
      <c r="C1540">
        <v>1</v>
      </c>
      <c r="D1540">
        <v>1998</v>
      </c>
      <c r="E1540" s="1">
        <v>35916</v>
      </c>
      <c r="F1540" t="s">
        <v>22415</v>
      </c>
      <c r="G1540">
        <v>0</v>
      </c>
      <c r="H1540">
        <v>1</v>
      </c>
      <c r="I1540">
        <v>1</v>
      </c>
      <c r="J1540">
        <v>0</v>
      </c>
      <c r="L1540" t="s">
        <v>22416</v>
      </c>
      <c r="M1540" t="s">
        <v>22417</v>
      </c>
      <c r="N1540" t="s">
        <v>22418</v>
      </c>
      <c r="O1540" t="s">
        <v>22419</v>
      </c>
      <c r="P1540" t="s">
        <v>22420</v>
      </c>
      <c r="Q1540" t="s">
        <v>22421</v>
      </c>
      <c r="R1540" t="s">
        <v>22422</v>
      </c>
      <c r="S1540" t="s">
        <v>22423</v>
      </c>
      <c r="U1540">
        <v>1</v>
      </c>
      <c r="V1540" t="s">
        <v>22424</v>
      </c>
      <c r="W1540" t="s">
        <v>22425</v>
      </c>
      <c r="X1540" t="s">
        <v>22426</v>
      </c>
      <c r="Y1540" t="s">
        <v>22427</v>
      </c>
      <c r="Z1540" t="s">
        <v>22427</v>
      </c>
      <c r="AA1540" t="s">
        <v>22427</v>
      </c>
      <c r="AB1540" t="s">
        <v>22427</v>
      </c>
      <c r="AC1540" t="s">
        <v>22427</v>
      </c>
    </row>
    <row r="1541" spans="1:30">
      <c r="A1541" t="s">
        <v>22428</v>
      </c>
      <c r="B1541">
        <v>5</v>
      </c>
      <c r="C1541">
        <v>1</v>
      </c>
      <c r="D1541">
        <v>1998</v>
      </c>
      <c r="E1541" s="1">
        <v>35916</v>
      </c>
      <c r="F1541" t="s">
        <v>22429</v>
      </c>
      <c r="G1541">
        <v>1</v>
      </c>
      <c r="H1541">
        <v>1</v>
      </c>
      <c r="I1541">
        <v>2</v>
      </c>
      <c r="J1541">
        <v>0</v>
      </c>
      <c r="L1541" t="s">
        <v>22430</v>
      </c>
      <c r="M1541" t="s">
        <v>22431</v>
      </c>
      <c r="N1541" t="s">
        <v>22432</v>
      </c>
      <c r="O1541" t="s">
        <v>22433</v>
      </c>
      <c r="P1541" t="s">
        <v>22434</v>
      </c>
      <c r="Q1541" t="s">
        <v>22435</v>
      </c>
      <c r="R1541" t="s">
        <v>22436</v>
      </c>
      <c r="S1541" t="s">
        <v>22437</v>
      </c>
      <c r="T1541" s="2">
        <v>0.3888888888888889</v>
      </c>
      <c r="U1541">
        <v>1</v>
      </c>
      <c r="V1541" t="s">
        <v>22438</v>
      </c>
      <c r="W1541" t="s">
        <v>22439</v>
      </c>
      <c r="X1541" t="s">
        <v>22440</v>
      </c>
      <c r="Y1541" t="s">
        <v>22441</v>
      </c>
      <c r="Z1541" t="s">
        <v>22441</v>
      </c>
      <c r="AA1541" t="s">
        <v>22441</v>
      </c>
      <c r="AB1541" t="s">
        <v>22441</v>
      </c>
      <c r="AC1541" t="s">
        <v>22442</v>
      </c>
    </row>
    <row r="1542" spans="1:30">
      <c r="A1542" t="s">
        <v>22443</v>
      </c>
      <c r="B1542">
        <v>4</v>
      </c>
      <c r="C1542">
        <v>28</v>
      </c>
      <c r="D1542">
        <v>1998</v>
      </c>
      <c r="E1542" s="1">
        <v>35913</v>
      </c>
      <c r="F1542" t="s">
        <v>22444</v>
      </c>
      <c r="G1542">
        <v>0</v>
      </c>
      <c r="H1542">
        <v>1</v>
      </c>
      <c r="I1542">
        <v>1</v>
      </c>
      <c r="J1542">
        <v>0</v>
      </c>
      <c r="L1542" t="s">
        <v>22445</v>
      </c>
      <c r="M1542" t="s">
        <v>22446</v>
      </c>
      <c r="N1542" t="s">
        <v>22447</v>
      </c>
      <c r="O1542" t="s">
        <v>22448</v>
      </c>
      <c r="P1542" t="s">
        <v>22449</v>
      </c>
      <c r="Q1542" t="s">
        <v>22450</v>
      </c>
      <c r="R1542" t="s">
        <v>22451</v>
      </c>
      <c r="S1542" t="s">
        <v>22452</v>
      </c>
      <c r="T1542" s="2">
        <v>0.875</v>
      </c>
      <c r="U1542">
        <v>1</v>
      </c>
      <c r="V1542" t="s">
        <v>22453</v>
      </c>
      <c r="W1542" t="s">
        <v>22454</v>
      </c>
      <c r="X1542" t="s">
        <v>22455</v>
      </c>
      <c r="Y1542" t="s">
        <v>22456</v>
      </c>
      <c r="Z1542" t="s">
        <v>22457</v>
      </c>
      <c r="AA1542" t="s">
        <v>22457</v>
      </c>
      <c r="AB1542" t="s">
        <v>22457</v>
      </c>
      <c r="AC1542" t="s">
        <v>22457</v>
      </c>
    </row>
    <row r="1543" spans="1:30">
      <c r="A1543" t="s">
        <v>22458</v>
      </c>
      <c r="B1543">
        <v>4</v>
      </c>
      <c r="C1543">
        <v>28</v>
      </c>
      <c r="D1543">
        <v>1998</v>
      </c>
      <c r="E1543" s="1">
        <v>35913</v>
      </c>
      <c r="F1543" t="s">
        <v>22459</v>
      </c>
      <c r="G1543">
        <v>1</v>
      </c>
      <c r="H1543">
        <v>2</v>
      </c>
      <c r="I1543">
        <v>3</v>
      </c>
      <c r="J1543">
        <v>0</v>
      </c>
      <c r="L1543" t="s">
        <v>22460</v>
      </c>
      <c r="M1543" t="s">
        <v>22461</v>
      </c>
      <c r="N1543" t="s">
        <v>22462</v>
      </c>
      <c r="O1543" t="s">
        <v>22463</v>
      </c>
      <c r="P1543" t="s">
        <v>22464</v>
      </c>
      <c r="Q1543" t="s">
        <v>22465</v>
      </c>
      <c r="R1543" t="s">
        <v>22466</v>
      </c>
      <c r="S1543" t="s">
        <v>22467</v>
      </c>
      <c r="U1543">
        <v>1</v>
      </c>
      <c r="V1543" t="s">
        <v>22468</v>
      </c>
      <c r="W1543" t="s">
        <v>22469</v>
      </c>
      <c r="X1543" t="s">
        <v>22470</v>
      </c>
      <c r="Y1543" t="s">
        <v>22471</v>
      </c>
      <c r="Z1543" t="s">
        <v>22471</v>
      </c>
      <c r="AA1543" t="s">
        <v>22471</v>
      </c>
      <c r="AB1543" t="s">
        <v>22471</v>
      </c>
      <c r="AC1543" t="s">
        <v>22471</v>
      </c>
    </row>
    <row r="1544" spans="1:30">
      <c r="A1544" t="s">
        <v>22472</v>
      </c>
      <c r="B1544">
        <v>4</v>
      </c>
      <c r="C1544">
        <v>24</v>
      </c>
      <c r="D1544">
        <v>1998</v>
      </c>
      <c r="E1544" s="1">
        <v>35909</v>
      </c>
      <c r="F1544" t="s">
        <v>22473</v>
      </c>
      <c r="G1544">
        <v>1</v>
      </c>
      <c r="H1544">
        <v>3</v>
      </c>
      <c r="I1544">
        <v>4</v>
      </c>
      <c r="J1544">
        <v>0</v>
      </c>
      <c r="L1544" t="s">
        <v>22474</v>
      </c>
      <c r="M1544" t="s">
        <v>22475</v>
      </c>
      <c r="N1544" t="s">
        <v>22476</v>
      </c>
      <c r="O1544" t="s">
        <v>22477</v>
      </c>
      <c r="P1544" t="s">
        <v>22478</v>
      </c>
      <c r="Q1544" t="s">
        <v>22478</v>
      </c>
      <c r="R1544" t="s">
        <v>22479</v>
      </c>
      <c r="S1544" t="s">
        <v>22480</v>
      </c>
      <c r="T1544" s="2">
        <v>0.91666666666666663</v>
      </c>
      <c r="U1544">
        <v>1</v>
      </c>
      <c r="V1544" t="s">
        <v>22481</v>
      </c>
      <c r="W1544" t="s">
        <v>22482</v>
      </c>
      <c r="X1544" t="s">
        <v>22483</v>
      </c>
      <c r="Y1544" t="s">
        <v>22484</v>
      </c>
      <c r="Z1544" t="s">
        <v>22484</v>
      </c>
      <c r="AA1544" t="s">
        <v>22484</v>
      </c>
      <c r="AB1544" t="s">
        <v>22484</v>
      </c>
      <c r="AC1544" t="s">
        <v>22484</v>
      </c>
      <c r="AD1544" t="s">
        <v>22485</v>
      </c>
    </row>
    <row r="1545" spans="1:30">
      <c r="A1545" t="s">
        <v>22486</v>
      </c>
      <c r="B1545">
        <v>4</v>
      </c>
      <c r="C1545">
        <v>23</v>
      </c>
      <c r="D1545">
        <v>1998</v>
      </c>
      <c r="E1545" s="1">
        <v>35908</v>
      </c>
      <c r="F1545" t="s">
        <v>22487</v>
      </c>
      <c r="G1545">
        <v>0</v>
      </c>
      <c r="H1545">
        <v>2</v>
      </c>
      <c r="I1545">
        <v>2</v>
      </c>
      <c r="J1545">
        <v>0</v>
      </c>
      <c r="L1545" t="s">
        <v>22488</v>
      </c>
      <c r="M1545" t="s">
        <v>22489</v>
      </c>
      <c r="N1545" t="s">
        <v>22490</v>
      </c>
      <c r="O1545" t="s">
        <v>22491</v>
      </c>
      <c r="P1545" t="s">
        <v>22492</v>
      </c>
      <c r="Q1545" t="s">
        <v>22493</v>
      </c>
      <c r="R1545" t="s">
        <v>22494</v>
      </c>
      <c r="S1545" t="s">
        <v>22495</v>
      </c>
      <c r="T1545" s="2">
        <v>0.58333333333333337</v>
      </c>
      <c r="U1545">
        <v>1</v>
      </c>
      <c r="V1545" t="s">
        <v>22496</v>
      </c>
      <c r="W1545" t="s">
        <v>22497</v>
      </c>
      <c r="Y1545" t="s">
        <v>22498</v>
      </c>
      <c r="Z1545" t="s">
        <v>22499</v>
      </c>
      <c r="AA1545" t="s">
        <v>22499</v>
      </c>
      <c r="AB1545" t="s">
        <v>22499</v>
      </c>
      <c r="AC1545" t="s">
        <v>22499</v>
      </c>
    </row>
    <row r="1546" spans="1:30">
      <c r="A1546" t="s">
        <v>22500</v>
      </c>
      <c r="B1546">
        <v>4</v>
      </c>
      <c r="C1546">
        <v>9</v>
      </c>
      <c r="D1546">
        <v>1998</v>
      </c>
      <c r="E1546" s="1">
        <v>35894</v>
      </c>
      <c r="F1546" t="s">
        <v>22501</v>
      </c>
      <c r="G1546">
        <v>0</v>
      </c>
      <c r="H1546">
        <v>0</v>
      </c>
      <c r="I1546">
        <v>0</v>
      </c>
      <c r="J1546">
        <v>0</v>
      </c>
      <c r="K1546" t="s">
        <v>22502</v>
      </c>
      <c r="L1546" t="s">
        <v>22503</v>
      </c>
      <c r="M1546" t="s">
        <v>22504</v>
      </c>
      <c r="N1546" t="s">
        <v>22505</v>
      </c>
      <c r="O1546" t="s">
        <v>22506</v>
      </c>
      <c r="P1546" t="s">
        <v>22507</v>
      </c>
      <c r="Q1546" t="s">
        <v>22508</v>
      </c>
      <c r="R1546" t="s">
        <v>22509</v>
      </c>
      <c r="S1546" t="s">
        <v>22510</v>
      </c>
      <c r="T1546" s="2">
        <v>0.35416666666666663</v>
      </c>
      <c r="U1546">
        <v>300</v>
      </c>
      <c r="V1546" t="s">
        <v>22511</v>
      </c>
      <c r="W1546" t="s">
        <v>22512</v>
      </c>
      <c r="X1546" t="s">
        <v>22513</v>
      </c>
      <c r="Y1546" t="s">
        <v>22514</v>
      </c>
      <c r="Z1546" t="s">
        <v>22515</v>
      </c>
      <c r="AA1546" t="s">
        <v>22515</v>
      </c>
      <c r="AC1546" t="s">
        <v>22516</v>
      </c>
      <c r="AD1546" t="s">
        <v>22517</v>
      </c>
    </row>
    <row r="1547" spans="1:30">
      <c r="A1547" t="s">
        <v>22518</v>
      </c>
      <c r="B1547">
        <v>3</v>
      </c>
      <c r="C1547">
        <v>31</v>
      </c>
      <c r="D1547">
        <v>1998</v>
      </c>
      <c r="E1547" s="1">
        <v>35885</v>
      </c>
      <c r="F1547" t="s">
        <v>22519</v>
      </c>
      <c r="G1547">
        <v>0</v>
      </c>
      <c r="H1547">
        <v>0</v>
      </c>
      <c r="I1547">
        <v>0</v>
      </c>
      <c r="J1547">
        <v>0</v>
      </c>
      <c r="L1547" t="s">
        <v>22520</v>
      </c>
      <c r="M1547" t="s">
        <v>22521</v>
      </c>
      <c r="N1547" t="s">
        <v>22522</v>
      </c>
      <c r="O1547" t="s">
        <v>22523</v>
      </c>
      <c r="P1547" t="s">
        <v>22524</v>
      </c>
      <c r="Q1547" t="s">
        <v>22525</v>
      </c>
      <c r="R1547" t="s">
        <v>22526</v>
      </c>
      <c r="U1547">
        <v>1</v>
      </c>
      <c r="V1547" t="s">
        <v>22527</v>
      </c>
      <c r="W1547" t="s">
        <v>22528</v>
      </c>
      <c r="X1547" t="s">
        <v>22529</v>
      </c>
      <c r="Y1547" t="s">
        <v>22530</v>
      </c>
      <c r="Z1547" t="s">
        <v>22530</v>
      </c>
      <c r="AA1547" t="s">
        <v>22530</v>
      </c>
      <c r="AB1547" t="s">
        <v>22530</v>
      </c>
      <c r="AC1547" t="s">
        <v>22530</v>
      </c>
      <c r="AD1547" t="s">
        <v>22531</v>
      </c>
    </row>
    <row r="1548" spans="1:30">
      <c r="A1548" t="s">
        <v>22532</v>
      </c>
      <c r="B1548">
        <v>3</v>
      </c>
      <c r="C1548">
        <v>30</v>
      </c>
      <c r="D1548">
        <v>1998</v>
      </c>
      <c r="E1548" s="1">
        <v>35884</v>
      </c>
      <c r="F1548" t="s">
        <v>22533</v>
      </c>
      <c r="G1548">
        <v>0</v>
      </c>
      <c r="H1548">
        <v>0</v>
      </c>
      <c r="I1548">
        <v>0</v>
      </c>
      <c r="J1548">
        <v>1</v>
      </c>
      <c r="L1548" t="s">
        <v>22534</v>
      </c>
      <c r="M1548" t="s">
        <v>22535</v>
      </c>
      <c r="N1548" t="s">
        <v>22536</v>
      </c>
      <c r="O1548" t="s">
        <v>22537</v>
      </c>
      <c r="P1548" t="s">
        <v>22538</v>
      </c>
      <c r="Q1548" t="s">
        <v>22539</v>
      </c>
      <c r="R1548" t="s">
        <v>22540</v>
      </c>
      <c r="T1548" s="2">
        <v>0.45833333333333331</v>
      </c>
      <c r="U1548">
        <v>1</v>
      </c>
      <c r="V1548" t="s">
        <v>22541</v>
      </c>
      <c r="W1548" t="s">
        <v>22542</v>
      </c>
      <c r="X1548" t="s">
        <v>22543</v>
      </c>
      <c r="Y1548" t="s">
        <v>22544</v>
      </c>
      <c r="Z1548" t="s">
        <v>22544</v>
      </c>
      <c r="AA1548" t="s">
        <v>22544</v>
      </c>
      <c r="AB1548" t="s">
        <v>22544</v>
      </c>
      <c r="AC1548" t="s">
        <v>22544</v>
      </c>
    </row>
    <row r="1549" spans="1:30">
      <c r="A1549" t="s">
        <v>22545</v>
      </c>
      <c r="B1549">
        <v>3</v>
      </c>
      <c r="C1549">
        <v>25</v>
      </c>
      <c r="D1549">
        <v>1998</v>
      </c>
      <c r="E1549" s="1">
        <v>35879</v>
      </c>
      <c r="F1549" t="s">
        <v>22546</v>
      </c>
      <c r="G1549">
        <v>0</v>
      </c>
      <c r="H1549">
        <v>0</v>
      </c>
      <c r="I1549">
        <v>0</v>
      </c>
      <c r="J1549">
        <v>1</v>
      </c>
      <c r="L1549" t="s">
        <v>22547</v>
      </c>
      <c r="M1549" t="s">
        <v>22548</v>
      </c>
      <c r="N1549" t="s">
        <v>22549</v>
      </c>
      <c r="O1549" t="s">
        <v>22550</v>
      </c>
      <c r="P1549" t="s">
        <v>22551</v>
      </c>
      <c r="Q1549" t="s">
        <v>22552</v>
      </c>
      <c r="R1549" t="s">
        <v>22553</v>
      </c>
      <c r="S1549" t="s">
        <v>22554</v>
      </c>
      <c r="T1549" s="2">
        <v>0.33333333333333331</v>
      </c>
      <c r="U1549">
        <v>1</v>
      </c>
      <c r="V1549" t="s">
        <v>22555</v>
      </c>
      <c r="W1549" t="s">
        <v>22556</v>
      </c>
      <c r="X1549" t="s">
        <v>22557</v>
      </c>
      <c r="Y1549" t="s">
        <v>22558</v>
      </c>
      <c r="Z1549" t="s">
        <v>22558</v>
      </c>
      <c r="AA1549" t="s">
        <v>22558</v>
      </c>
      <c r="AB1549" t="s">
        <v>22558</v>
      </c>
      <c r="AC1549" t="s">
        <v>22558</v>
      </c>
    </row>
    <row r="1550" spans="1:30">
      <c r="A1550" t="s">
        <v>22559</v>
      </c>
      <c r="B1550">
        <v>3</v>
      </c>
      <c r="C1550">
        <v>25</v>
      </c>
      <c r="D1550">
        <v>1998</v>
      </c>
      <c r="E1550" s="1">
        <v>35879</v>
      </c>
      <c r="F1550" t="s">
        <v>22560</v>
      </c>
      <c r="G1550">
        <v>0</v>
      </c>
      <c r="H1550">
        <v>0</v>
      </c>
      <c r="I1550">
        <v>0</v>
      </c>
      <c r="J1550">
        <v>0</v>
      </c>
      <c r="L1550" t="s">
        <v>22561</v>
      </c>
      <c r="M1550" t="s">
        <v>22562</v>
      </c>
      <c r="N1550" t="s">
        <v>22563</v>
      </c>
      <c r="O1550" t="s">
        <v>22564</v>
      </c>
      <c r="P1550" t="s">
        <v>22565</v>
      </c>
      <c r="Q1550" t="s">
        <v>22566</v>
      </c>
      <c r="R1550" t="s">
        <v>22567</v>
      </c>
      <c r="S1550" t="s">
        <v>22568</v>
      </c>
      <c r="T1550" s="2">
        <v>0.34375</v>
      </c>
      <c r="U1550">
        <v>1</v>
      </c>
      <c r="V1550" t="s">
        <v>22569</v>
      </c>
      <c r="W1550" t="s">
        <v>22570</v>
      </c>
      <c r="X1550" t="s">
        <v>22571</v>
      </c>
      <c r="Y1550" t="s">
        <v>22572</v>
      </c>
      <c r="Z1550" t="s">
        <v>22572</v>
      </c>
      <c r="AA1550" t="s">
        <v>22572</v>
      </c>
      <c r="AB1550" t="s">
        <v>22572</v>
      </c>
      <c r="AC1550" t="s">
        <v>22572</v>
      </c>
    </row>
    <row r="1551" spans="1:30">
      <c r="A1551" t="s">
        <v>22573</v>
      </c>
      <c r="B1551">
        <v>3</v>
      </c>
      <c r="C1551">
        <v>24</v>
      </c>
      <c r="D1551">
        <v>1998</v>
      </c>
      <c r="E1551" s="1">
        <v>35878</v>
      </c>
      <c r="F1551" t="s">
        <v>22574</v>
      </c>
      <c r="G1551">
        <v>5</v>
      </c>
      <c r="H1551">
        <v>10</v>
      </c>
      <c r="I1551">
        <v>15</v>
      </c>
      <c r="J1551">
        <v>0</v>
      </c>
      <c r="L1551" t="s">
        <v>22575</v>
      </c>
      <c r="M1551" t="s">
        <v>22576</v>
      </c>
      <c r="N1551" t="s">
        <v>22577</v>
      </c>
      <c r="O1551" t="s">
        <v>22578</v>
      </c>
      <c r="P1551" t="s">
        <v>22579</v>
      </c>
      <c r="Q1551" t="s">
        <v>22580</v>
      </c>
      <c r="R1551" t="s">
        <v>22581</v>
      </c>
      <c r="S1551" t="s">
        <v>22582</v>
      </c>
      <c r="T1551" s="2">
        <v>0.52847222222222223</v>
      </c>
      <c r="V1551" t="s">
        <v>22583</v>
      </c>
      <c r="W1551" t="s">
        <v>22584</v>
      </c>
      <c r="X1551" t="s">
        <v>22585</v>
      </c>
      <c r="Y1551" t="s">
        <v>22586</v>
      </c>
      <c r="Z1551" t="s">
        <v>22587</v>
      </c>
      <c r="AA1551" t="s">
        <v>22587</v>
      </c>
      <c r="AB1551" t="s">
        <v>22587</v>
      </c>
      <c r="AC1551" t="s">
        <v>22587</v>
      </c>
      <c r="AD1551" t="s">
        <v>22588</v>
      </c>
    </row>
    <row r="1552" spans="1:30">
      <c r="A1552" t="s">
        <v>22589</v>
      </c>
      <c r="B1552">
        <v>2</v>
      </c>
      <c r="C1552">
        <v>27</v>
      </c>
      <c r="D1552">
        <v>1998</v>
      </c>
      <c r="E1552" s="1">
        <v>35853</v>
      </c>
      <c r="F1552" t="s">
        <v>22590</v>
      </c>
      <c r="G1552">
        <v>1</v>
      </c>
      <c r="H1552">
        <v>0</v>
      </c>
      <c r="I1552">
        <v>1</v>
      </c>
      <c r="J1552">
        <v>0</v>
      </c>
      <c r="L1552" t="s">
        <v>22591</v>
      </c>
      <c r="M1552" t="s">
        <v>22592</v>
      </c>
      <c r="N1552" t="s">
        <v>22593</v>
      </c>
      <c r="O1552" t="s">
        <v>22594</v>
      </c>
      <c r="P1552" t="s">
        <v>22595</v>
      </c>
      <c r="Q1552" t="s">
        <v>22596</v>
      </c>
      <c r="R1552" t="s">
        <v>22597</v>
      </c>
      <c r="S1552" t="s">
        <v>22598</v>
      </c>
      <c r="T1552" s="2">
        <v>0.51388888888888884</v>
      </c>
      <c r="U1552">
        <v>1</v>
      </c>
      <c r="V1552" t="s">
        <v>22599</v>
      </c>
      <c r="W1552" t="s">
        <v>22600</v>
      </c>
      <c r="X1552" t="s">
        <v>22601</v>
      </c>
      <c r="Y1552" t="s">
        <v>22602</v>
      </c>
      <c r="Z1552" t="s">
        <v>22603</v>
      </c>
      <c r="AA1552" t="s">
        <v>22603</v>
      </c>
      <c r="AB1552" t="s">
        <v>22603</v>
      </c>
      <c r="AC1552" t="s">
        <v>22603</v>
      </c>
    </row>
    <row r="1553" spans="1:30">
      <c r="A1553" t="s">
        <v>22604</v>
      </c>
      <c r="B1553">
        <v>2</v>
      </c>
      <c r="C1553">
        <v>25</v>
      </c>
      <c r="D1553">
        <v>1998</v>
      </c>
      <c r="E1553" s="1">
        <v>35851</v>
      </c>
      <c r="F1553" t="s">
        <v>22605</v>
      </c>
      <c r="G1553">
        <v>0</v>
      </c>
      <c r="H1553">
        <v>0</v>
      </c>
      <c r="I1553">
        <v>0</v>
      </c>
      <c r="J1553">
        <v>1</v>
      </c>
      <c r="L1553" t="s">
        <v>22606</v>
      </c>
      <c r="M1553" t="s">
        <v>22607</v>
      </c>
      <c r="N1553" t="s">
        <v>22608</v>
      </c>
      <c r="O1553" t="s">
        <v>22609</v>
      </c>
      <c r="P1553" t="s">
        <v>22610</v>
      </c>
      <c r="Q1553" t="s">
        <v>22611</v>
      </c>
      <c r="R1553" t="s">
        <v>22612</v>
      </c>
      <c r="S1553" t="s">
        <v>22613</v>
      </c>
      <c r="T1553" s="2">
        <v>0.33333333333333331</v>
      </c>
      <c r="U1553">
        <v>1</v>
      </c>
      <c r="V1553" t="s">
        <v>22614</v>
      </c>
      <c r="W1553" t="s">
        <v>22615</v>
      </c>
      <c r="X1553" t="s">
        <v>22616</v>
      </c>
      <c r="Y1553" t="s">
        <v>22617</v>
      </c>
      <c r="Z1553" t="s">
        <v>22617</v>
      </c>
      <c r="AA1553" t="s">
        <v>22617</v>
      </c>
      <c r="AC1553" t="s">
        <v>22617</v>
      </c>
    </row>
    <row r="1554" spans="1:30">
      <c r="A1554" t="s">
        <v>22618</v>
      </c>
      <c r="B1554">
        <v>2</v>
      </c>
      <c r="C1554">
        <v>12</v>
      </c>
      <c r="D1554">
        <v>1998</v>
      </c>
      <c r="E1554" s="1">
        <v>35838</v>
      </c>
      <c r="F1554" t="s">
        <v>22619</v>
      </c>
      <c r="G1554">
        <v>1</v>
      </c>
      <c r="H1554">
        <v>0</v>
      </c>
      <c r="I1554">
        <v>1</v>
      </c>
      <c r="J1554">
        <v>1</v>
      </c>
      <c r="L1554" t="s">
        <v>22620</v>
      </c>
      <c r="M1554" t="s">
        <v>22621</v>
      </c>
      <c r="N1554" t="s">
        <v>22622</v>
      </c>
      <c r="O1554" t="s">
        <v>22623</v>
      </c>
      <c r="P1554" t="s">
        <v>22624</v>
      </c>
      <c r="Q1554" t="s">
        <v>22625</v>
      </c>
      <c r="R1554" t="s">
        <v>22626</v>
      </c>
      <c r="S1554" t="s">
        <v>22627</v>
      </c>
      <c r="T1554" s="2">
        <v>0.63194444444444442</v>
      </c>
      <c r="U1554">
        <v>1</v>
      </c>
      <c r="V1554" t="s">
        <v>22628</v>
      </c>
      <c r="W1554" t="s">
        <v>22629</v>
      </c>
      <c r="X1554" t="s">
        <v>22630</v>
      </c>
      <c r="Y1554" t="s">
        <v>22631</v>
      </c>
      <c r="Z1554" t="s">
        <v>22631</v>
      </c>
      <c r="AA1554" t="s">
        <v>22631</v>
      </c>
      <c r="AB1554" t="s">
        <v>22631</v>
      </c>
      <c r="AC1554" t="s">
        <v>22632</v>
      </c>
    </row>
    <row r="1555" spans="1:30">
      <c r="A1555" t="s">
        <v>22633</v>
      </c>
      <c r="B1555">
        <v>12</v>
      </c>
      <c r="C1555">
        <v>15</v>
      </c>
      <c r="D1555">
        <v>1997</v>
      </c>
      <c r="E1555" s="1">
        <v>35779</v>
      </c>
      <c r="F1555" t="s">
        <v>22634</v>
      </c>
      <c r="G1555">
        <v>0</v>
      </c>
      <c r="H1555">
        <v>2</v>
      </c>
      <c r="I1555">
        <v>2</v>
      </c>
      <c r="J1555">
        <v>0</v>
      </c>
      <c r="L1555" t="s">
        <v>22635</v>
      </c>
      <c r="M1555" t="s">
        <v>22636</v>
      </c>
      <c r="N1555" t="s">
        <v>22637</v>
      </c>
      <c r="O1555" t="s">
        <v>22638</v>
      </c>
      <c r="P1555" t="s">
        <v>22639</v>
      </c>
      <c r="Q1555" t="s">
        <v>22640</v>
      </c>
      <c r="R1555" t="s">
        <v>22641</v>
      </c>
      <c r="V1555" t="s">
        <v>22642</v>
      </c>
      <c r="W1555" t="s">
        <v>22643</v>
      </c>
      <c r="X1555" t="s">
        <v>22644</v>
      </c>
      <c r="Y1555" t="s">
        <v>22645</v>
      </c>
      <c r="Z1555" t="s">
        <v>22645</v>
      </c>
      <c r="AA1555" t="s">
        <v>22645</v>
      </c>
      <c r="AC1555" t="s">
        <v>22645</v>
      </c>
      <c r="AD1555" t="s">
        <v>22646</v>
      </c>
    </row>
    <row r="1556" spans="1:30">
      <c r="A1556" t="s">
        <v>22647</v>
      </c>
      <c r="B1556">
        <v>12</v>
      </c>
      <c r="C1556">
        <v>1</v>
      </c>
      <c r="D1556">
        <v>1997</v>
      </c>
      <c r="E1556" s="1">
        <v>35765</v>
      </c>
      <c r="F1556" t="s">
        <v>22648</v>
      </c>
      <c r="G1556">
        <v>3</v>
      </c>
      <c r="H1556">
        <v>5</v>
      </c>
      <c r="I1556">
        <v>8</v>
      </c>
      <c r="J1556">
        <v>0</v>
      </c>
      <c r="K1556" t="s">
        <v>22649</v>
      </c>
      <c r="L1556" t="s">
        <v>22650</v>
      </c>
      <c r="M1556" t="s">
        <v>22651</v>
      </c>
      <c r="N1556" t="s">
        <v>22652</v>
      </c>
      <c r="O1556" t="s">
        <v>22653</v>
      </c>
      <c r="P1556" t="s">
        <v>22654</v>
      </c>
      <c r="Q1556" t="s">
        <v>22655</v>
      </c>
      <c r="R1556" t="s">
        <v>22656</v>
      </c>
      <c r="S1556" t="s">
        <v>22657</v>
      </c>
      <c r="T1556" s="2">
        <v>0.32291666666666669</v>
      </c>
      <c r="V1556" t="s">
        <v>22658</v>
      </c>
      <c r="W1556" t="s">
        <v>22659</v>
      </c>
      <c r="X1556" t="s">
        <v>22660</v>
      </c>
      <c r="Y1556" t="s">
        <v>22661</v>
      </c>
      <c r="Z1556" t="s">
        <v>22661</v>
      </c>
      <c r="AA1556" t="s">
        <v>22661</v>
      </c>
      <c r="AB1556" t="s">
        <v>22662</v>
      </c>
      <c r="AC1556" t="s">
        <v>22663</v>
      </c>
      <c r="AD1556" t="s">
        <v>22664</v>
      </c>
    </row>
    <row r="1557" spans="1:30">
      <c r="A1557" t="s">
        <v>22665</v>
      </c>
      <c r="B1557">
        <v>11</v>
      </c>
      <c r="C1557">
        <v>13</v>
      </c>
      <c r="D1557">
        <v>1997</v>
      </c>
      <c r="E1557" s="1">
        <v>35747</v>
      </c>
      <c r="F1557" t="s">
        <v>22666</v>
      </c>
      <c r="G1557">
        <v>1</v>
      </c>
      <c r="H1557">
        <v>0</v>
      </c>
      <c r="I1557">
        <v>1</v>
      </c>
      <c r="J1557">
        <v>0</v>
      </c>
      <c r="L1557" t="s">
        <v>22667</v>
      </c>
      <c r="M1557" t="s">
        <v>22668</v>
      </c>
      <c r="N1557" t="s">
        <v>22669</v>
      </c>
      <c r="O1557" t="s">
        <v>22670</v>
      </c>
      <c r="P1557" t="s">
        <v>22671</v>
      </c>
      <c r="Q1557" t="s">
        <v>22672</v>
      </c>
      <c r="R1557" t="s">
        <v>22673</v>
      </c>
      <c r="S1557" t="s">
        <v>22674</v>
      </c>
      <c r="U1557">
        <v>1</v>
      </c>
      <c r="V1557" t="s">
        <v>22675</v>
      </c>
      <c r="W1557" t="s">
        <v>22676</v>
      </c>
      <c r="X1557" t="s">
        <v>22677</v>
      </c>
      <c r="Y1557" t="s">
        <v>22678</v>
      </c>
      <c r="Z1557" t="s">
        <v>22679</v>
      </c>
      <c r="AA1557" t="s">
        <v>22680</v>
      </c>
      <c r="AB1557" t="s">
        <v>22680</v>
      </c>
      <c r="AC1557" t="s">
        <v>22681</v>
      </c>
    </row>
    <row r="1558" spans="1:30">
      <c r="A1558" t="s">
        <v>22682</v>
      </c>
      <c r="B1558">
        <v>11</v>
      </c>
      <c r="C1558">
        <v>7</v>
      </c>
      <c r="D1558">
        <v>1997</v>
      </c>
      <c r="E1558" s="1">
        <v>35741</v>
      </c>
      <c r="F1558" t="s">
        <v>22683</v>
      </c>
      <c r="G1558">
        <v>1</v>
      </c>
      <c r="H1558">
        <v>1</v>
      </c>
      <c r="I1558">
        <v>2</v>
      </c>
      <c r="J1558">
        <v>0</v>
      </c>
      <c r="L1558" t="s">
        <v>22684</v>
      </c>
      <c r="M1558" t="s">
        <v>22685</v>
      </c>
      <c r="N1558" t="s">
        <v>22686</v>
      </c>
      <c r="O1558" t="s">
        <v>22687</v>
      </c>
      <c r="P1558" t="s">
        <v>22688</v>
      </c>
      <c r="Q1558" t="s">
        <v>22689</v>
      </c>
      <c r="R1558" t="s">
        <v>22690</v>
      </c>
      <c r="S1558" t="s">
        <v>22691</v>
      </c>
      <c r="T1558" s="2">
        <v>0.34722222222222221</v>
      </c>
      <c r="U1558">
        <v>1</v>
      </c>
      <c r="V1558" t="s">
        <v>22692</v>
      </c>
      <c r="W1558" t="s">
        <v>22693</v>
      </c>
      <c r="X1558" t="s">
        <v>22694</v>
      </c>
      <c r="Y1558" t="s">
        <v>22695</v>
      </c>
      <c r="Z1558" t="s">
        <v>22695</v>
      </c>
      <c r="AA1558" t="s">
        <v>22695</v>
      </c>
      <c r="AB1558" t="s">
        <v>22695</v>
      </c>
      <c r="AC1558" t="s">
        <v>22695</v>
      </c>
    </row>
    <row r="1559" spans="1:30">
      <c r="A1559" t="s">
        <v>22696</v>
      </c>
      <c r="B1559">
        <v>10</v>
      </c>
      <c r="C1559">
        <v>22</v>
      </c>
      <c r="D1559">
        <v>1997</v>
      </c>
      <c r="E1559" s="1">
        <v>35725</v>
      </c>
      <c r="F1559" t="s">
        <v>22697</v>
      </c>
      <c r="G1559">
        <v>1</v>
      </c>
      <c r="H1559">
        <v>0</v>
      </c>
      <c r="I1559">
        <v>1</v>
      </c>
      <c r="J1559">
        <v>1</v>
      </c>
      <c r="L1559" t="s">
        <v>22698</v>
      </c>
      <c r="M1559" t="s">
        <v>22699</v>
      </c>
      <c r="N1559" t="s">
        <v>22700</v>
      </c>
      <c r="O1559" t="s">
        <v>22701</v>
      </c>
      <c r="P1559" t="s">
        <v>22702</v>
      </c>
      <c r="Q1559" t="s">
        <v>22702</v>
      </c>
      <c r="R1559" t="s">
        <v>22703</v>
      </c>
      <c r="S1559" t="s">
        <v>22704</v>
      </c>
      <c r="T1559" s="2">
        <v>0.32291666666666669</v>
      </c>
      <c r="U1559">
        <v>1</v>
      </c>
      <c r="V1559" t="s">
        <v>22705</v>
      </c>
      <c r="W1559" t="s">
        <v>22706</v>
      </c>
      <c r="X1559" t="s">
        <v>22707</v>
      </c>
      <c r="Y1559" t="s">
        <v>22708</v>
      </c>
      <c r="Z1559" t="s">
        <v>22708</v>
      </c>
      <c r="AA1559" t="s">
        <v>22708</v>
      </c>
      <c r="AB1559" t="s">
        <v>22708</v>
      </c>
      <c r="AC1559" t="s">
        <v>22709</v>
      </c>
    </row>
    <row r="1560" spans="1:30">
      <c r="A1560" t="s">
        <v>22710</v>
      </c>
      <c r="B1560">
        <v>10</v>
      </c>
      <c r="C1560">
        <v>20</v>
      </c>
      <c r="D1560">
        <v>1997</v>
      </c>
      <c r="E1560" s="1">
        <v>35723</v>
      </c>
      <c r="F1560" t="s">
        <v>22711</v>
      </c>
      <c r="G1560">
        <v>1</v>
      </c>
      <c r="H1560">
        <v>2</v>
      </c>
      <c r="I1560">
        <v>3</v>
      </c>
      <c r="J1560">
        <v>0</v>
      </c>
      <c r="L1560" t="s">
        <v>22712</v>
      </c>
      <c r="M1560" t="s">
        <v>22713</v>
      </c>
      <c r="N1560" t="s">
        <v>22714</v>
      </c>
      <c r="O1560" t="s">
        <v>22715</v>
      </c>
      <c r="P1560" t="s">
        <v>22716</v>
      </c>
      <c r="Q1560" t="s">
        <v>22717</v>
      </c>
      <c r="R1560" t="s">
        <v>22718</v>
      </c>
      <c r="S1560" t="s">
        <v>22719</v>
      </c>
      <c r="T1560" s="2">
        <v>0.83333333333333337</v>
      </c>
      <c r="U1560">
        <v>1</v>
      </c>
      <c r="V1560" t="s">
        <v>22720</v>
      </c>
      <c r="W1560" t="s">
        <v>22721</v>
      </c>
      <c r="X1560" t="s">
        <v>22722</v>
      </c>
      <c r="Y1560" t="s">
        <v>22723</v>
      </c>
      <c r="Z1560" t="s">
        <v>22724</v>
      </c>
      <c r="AA1560" t="s">
        <v>22724</v>
      </c>
      <c r="AB1560" t="s">
        <v>22724</v>
      </c>
    </row>
    <row r="1561" spans="1:30">
      <c r="A1561" t="s">
        <v>22725</v>
      </c>
      <c r="B1561">
        <v>10</v>
      </c>
      <c r="C1561">
        <v>15</v>
      </c>
      <c r="D1561">
        <v>1997</v>
      </c>
      <c r="E1561" s="1">
        <v>35718</v>
      </c>
      <c r="F1561" t="s">
        <v>22726</v>
      </c>
      <c r="G1561">
        <v>0</v>
      </c>
      <c r="H1561">
        <v>1</v>
      </c>
      <c r="I1561">
        <v>1</v>
      </c>
      <c r="J1561">
        <v>0</v>
      </c>
      <c r="L1561" t="s">
        <v>22727</v>
      </c>
      <c r="M1561" t="s">
        <v>22728</v>
      </c>
      <c r="N1561" t="s">
        <v>22729</v>
      </c>
      <c r="O1561" t="s">
        <v>22730</v>
      </c>
      <c r="P1561" t="s">
        <v>22731</v>
      </c>
      <c r="Q1561" t="s">
        <v>22731</v>
      </c>
      <c r="R1561" t="s">
        <v>22732</v>
      </c>
      <c r="S1561" t="s">
        <v>22733</v>
      </c>
      <c r="U1561">
        <v>1</v>
      </c>
      <c r="V1561" t="s">
        <v>22734</v>
      </c>
      <c r="W1561" t="s">
        <v>22735</v>
      </c>
      <c r="Y1561" t="s">
        <v>22736</v>
      </c>
      <c r="Z1561" t="s">
        <v>22736</v>
      </c>
      <c r="AA1561" t="s">
        <v>22736</v>
      </c>
      <c r="AC1561" t="s">
        <v>22736</v>
      </c>
    </row>
    <row r="1562" spans="1:30">
      <c r="A1562" t="s">
        <v>22737</v>
      </c>
      <c r="B1562">
        <v>10</v>
      </c>
      <c r="C1562">
        <v>14</v>
      </c>
      <c r="D1562">
        <v>1997</v>
      </c>
      <c r="E1562" s="1">
        <v>35717</v>
      </c>
      <c r="F1562" t="s">
        <v>22738</v>
      </c>
      <c r="G1562">
        <v>0</v>
      </c>
      <c r="H1562">
        <v>0</v>
      </c>
      <c r="I1562">
        <v>0</v>
      </c>
      <c r="J1562">
        <v>1</v>
      </c>
      <c r="L1562" t="s">
        <v>22739</v>
      </c>
      <c r="M1562" t="s">
        <v>22740</v>
      </c>
      <c r="N1562" t="s">
        <v>22741</v>
      </c>
      <c r="O1562" t="s">
        <v>22742</v>
      </c>
      <c r="P1562" t="s">
        <v>22743</v>
      </c>
      <c r="Q1562" t="s">
        <v>22744</v>
      </c>
      <c r="R1562" t="s">
        <v>22745</v>
      </c>
      <c r="U1562">
        <v>1</v>
      </c>
      <c r="V1562" t="s">
        <v>22746</v>
      </c>
      <c r="W1562" t="s">
        <v>22747</v>
      </c>
      <c r="X1562" t="s">
        <v>22748</v>
      </c>
      <c r="Y1562" t="s">
        <v>22749</v>
      </c>
      <c r="Z1562" t="s">
        <v>22749</v>
      </c>
      <c r="AA1562" t="s">
        <v>22749</v>
      </c>
      <c r="AB1562" t="s">
        <v>22749</v>
      </c>
      <c r="AC1562" t="s">
        <v>22749</v>
      </c>
    </row>
    <row r="1563" spans="1:30">
      <c r="A1563" t="s">
        <v>22750</v>
      </c>
      <c r="B1563">
        <v>10</v>
      </c>
      <c r="C1563">
        <v>10</v>
      </c>
      <c r="D1563">
        <v>1997</v>
      </c>
      <c r="E1563" s="1">
        <v>35713</v>
      </c>
      <c r="F1563" t="s">
        <v>22751</v>
      </c>
      <c r="G1563">
        <v>1</v>
      </c>
      <c r="H1563">
        <v>2</v>
      </c>
      <c r="I1563">
        <v>3</v>
      </c>
      <c r="J1563">
        <v>0</v>
      </c>
      <c r="L1563" t="s">
        <v>22752</v>
      </c>
      <c r="M1563" t="s">
        <v>22753</v>
      </c>
      <c r="N1563" t="s">
        <v>22754</v>
      </c>
      <c r="O1563" t="s">
        <v>22755</v>
      </c>
      <c r="P1563" t="s">
        <v>22756</v>
      </c>
      <c r="Q1563" t="s">
        <v>22757</v>
      </c>
      <c r="R1563" t="s">
        <v>22758</v>
      </c>
      <c r="S1563" t="s">
        <v>22759</v>
      </c>
      <c r="U1563">
        <v>1</v>
      </c>
      <c r="V1563" t="s">
        <v>22760</v>
      </c>
      <c r="W1563" t="s">
        <v>22761</v>
      </c>
      <c r="X1563" t="s">
        <v>22762</v>
      </c>
      <c r="Y1563" t="s">
        <v>22763</v>
      </c>
      <c r="Z1563" t="s">
        <v>22763</v>
      </c>
      <c r="AA1563" t="s">
        <v>22763</v>
      </c>
      <c r="AB1563" t="s">
        <v>22763</v>
      </c>
      <c r="AC1563" t="s">
        <v>22763</v>
      </c>
    </row>
    <row r="1564" spans="1:30">
      <c r="A1564" t="s">
        <v>22764</v>
      </c>
      <c r="B1564">
        <v>10</v>
      </c>
      <c r="C1564">
        <v>5</v>
      </c>
      <c r="D1564">
        <v>1997</v>
      </c>
      <c r="E1564" s="1">
        <v>35708</v>
      </c>
      <c r="F1564" t="s">
        <v>22765</v>
      </c>
      <c r="G1564">
        <v>0</v>
      </c>
      <c r="H1564">
        <v>1</v>
      </c>
      <c r="I1564">
        <v>1</v>
      </c>
      <c r="J1564">
        <v>0</v>
      </c>
      <c r="L1564" t="s">
        <v>22766</v>
      </c>
      <c r="M1564" t="s">
        <v>22767</v>
      </c>
      <c r="N1564" t="s">
        <v>22768</v>
      </c>
      <c r="O1564" t="s">
        <v>22769</v>
      </c>
      <c r="P1564" t="s">
        <v>22770</v>
      </c>
      <c r="Q1564" t="s">
        <v>22771</v>
      </c>
      <c r="R1564" t="s">
        <v>22772</v>
      </c>
      <c r="S1564" t="s">
        <v>22773</v>
      </c>
      <c r="T1564" s="2">
        <v>0.62152777777777779</v>
      </c>
      <c r="U1564">
        <v>1</v>
      </c>
      <c r="V1564" t="s">
        <v>22774</v>
      </c>
      <c r="W1564" t="s">
        <v>22775</v>
      </c>
      <c r="X1564" t="s">
        <v>22776</v>
      </c>
      <c r="Y1564" t="s">
        <v>22777</v>
      </c>
      <c r="Z1564" t="s">
        <v>22777</v>
      </c>
      <c r="AA1564" t="s">
        <v>22777</v>
      </c>
      <c r="AB1564" t="s">
        <v>22777</v>
      </c>
      <c r="AC1564" t="s">
        <v>22777</v>
      </c>
      <c r="AD1564" t="s">
        <v>22777</v>
      </c>
    </row>
    <row r="1565" spans="1:30">
      <c r="A1565" t="s">
        <v>22778</v>
      </c>
      <c r="B1565">
        <v>10</v>
      </c>
      <c r="C1565">
        <v>1</v>
      </c>
      <c r="D1565">
        <v>1997</v>
      </c>
      <c r="E1565" s="1">
        <v>35704</v>
      </c>
      <c r="F1565" t="s">
        <v>22779</v>
      </c>
      <c r="G1565">
        <v>2</v>
      </c>
      <c r="H1565">
        <v>7</v>
      </c>
      <c r="I1565">
        <v>9</v>
      </c>
      <c r="J1565">
        <v>0</v>
      </c>
      <c r="L1565" t="s">
        <v>22780</v>
      </c>
      <c r="M1565" t="s">
        <v>22781</v>
      </c>
      <c r="N1565" t="s">
        <v>22782</v>
      </c>
      <c r="O1565" t="s">
        <v>22783</v>
      </c>
      <c r="P1565" t="s">
        <v>22784</v>
      </c>
      <c r="Q1565" t="s">
        <v>22785</v>
      </c>
      <c r="R1565" t="s">
        <v>22786</v>
      </c>
      <c r="S1565" t="s">
        <v>22787</v>
      </c>
      <c r="V1565" t="s">
        <v>22788</v>
      </c>
      <c r="W1565" t="s">
        <v>22789</v>
      </c>
      <c r="X1565" t="s">
        <v>22790</v>
      </c>
      <c r="Y1565" t="s">
        <v>22791</v>
      </c>
      <c r="Z1565" t="s">
        <v>22791</v>
      </c>
      <c r="AA1565" t="s">
        <v>22791</v>
      </c>
      <c r="AB1565" t="s">
        <v>22792</v>
      </c>
      <c r="AC1565" t="s">
        <v>22792</v>
      </c>
      <c r="AD1565" t="s">
        <v>22792</v>
      </c>
    </row>
    <row r="1566" spans="1:30">
      <c r="A1566" t="s">
        <v>22793</v>
      </c>
      <c r="B1566">
        <v>6</v>
      </c>
      <c r="C1566">
        <v>24</v>
      </c>
      <c r="D1566">
        <v>1997</v>
      </c>
      <c r="E1566" s="1">
        <v>35605</v>
      </c>
      <c r="F1566" t="s">
        <v>22794</v>
      </c>
      <c r="G1566">
        <v>1</v>
      </c>
      <c r="H1566">
        <v>0</v>
      </c>
      <c r="I1566">
        <v>1</v>
      </c>
      <c r="J1566">
        <v>0</v>
      </c>
      <c r="L1566" t="s">
        <v>22795</v>
      </c>
      <c r="M1566" t="s">
        <v>22796</v>
      </c>
      <c r="N1566" t="s">
        <v>22797</v>
      </c>
      <c r="O1566" t="s">
        <v>22798</v>
      </c>
      <c r="P1566" t="s">
        <v>22799</v>
      </c>
      <c r="Q1566" t="s">
        <v>22800</v>
      </c>
      <c r="R1566" t="s">
        <v>22801</v>
      </c>
      <c r="S1566" t="s">
        <v>22802</v>
      </c>
      <c r="T1566" s="2">
        <v>0.52986111111111112</v>
      </c>
      <c r="U1566">
        <v>1</v>
      </c>
      <c r="V1566" t="s">
        <v>22803</v>
      </c>
      <c r="W1566" t="s">
        <v>22804</v>
      </c>
      <c r="X1566" t="s">
        <v>22805</v>
      </c>
      <c r="Y1566" t="s">
        <v>22806</v>
      </c>
      <c r="Z1566" t="s">
        <v>22806</v>
      </c>
      <c r="AA1566" t="s">
        <v>22806</v>
      </c>
      <c r="AC1566" t="s">
        <v>22806</v>
      </c>
      <c r="AD1566" t="s">
        <v>22806</v>
      </c>
    </row>
    <row r="1567" spans="1:30">
      <c r="A1567" t="s">
        <v>22807</v>
      </c>
      <c r="B1567">
        <v>5</v>
      </c>
      <c r="C1567">
        <v>20</v>
      </c>
      <c r="D1567">
        <v>1997</v>
      </c>
      <c r="E1567" s="1">
        <v>35570</v>
      </c>
      <c r="F1567" t="s">
        <v>22808</v>
      </c>
      <c r="G1567">
        <v>0</v>
      </c>
      <c r="H1567">
        <v>1</v>
      </c>
      <c r="I1567">
        <v>1</v>
      </c>
      <c r="J1567">
        <v>0</v>
      </c>
      <c r="L1567" t="s">
        <v>22809</v>
      </c>
      <c r="M1567" t="s">
        <v>22810</v>
      </c>
      <c r="N1567" t="s">
        <v>22811</v>
      </c>
      <c r="O1567" t="s">
        <v>22812</v>
      </c>
      <c r="P1567" t="s">
        <v>22813</v>
      </c>
      <c r="Q1567" t="s">
        <v>22814</v>
      </c>
      <c r="R1567" t="s">
        <v>22815</v>
      </c>
      <c r="S1567" t="s">
        <v>22816</v>
      </c>
      <c r="U1567">
        <v>1</v>
      </c>
      <c r="V1567" t="s">
        <v>22817</v>
      </c>
      <c r="W1567" t="s">
        <v>22818</v>
      </c>
      <c r="X1567" t="s">
        <v>22819</v>
      </c>
      <c r="Y1567" t="s">
        <v>22820</v>
      </c>
      <c r="Z1567" t="s">
        <v>22820</v>
      </c>
      <c r="AA1567" t="s">
        <v>22820</v>
      </c>
      <c r="AB1567" t="s">
        <v>22820</v>
      </c>
      <c r="AC1567" t="s">
        <v>22820</v>
      </c>
    </row>
    <row r="1568" spans="1:30">
      <c r="A1568" t="s">
        <v>22821</v>
      </c>
      <c r="B1568">
        <v>5</v>
      </c>
      <c r="C1568">
        <v>13</v>
      </c>
      <c r="D1568">
        <v>1997</v>
      </c>
      <c r="E1568" s="1">
        <v>35563</v>
      </c>
      <c r="F1568" t="s">
        <v>22822</v>
      </c>
      <c r="G1568">
        <v>0</v>
      </c>
      <c r="H1568">
        <v>1</v>
      </c>
      <c r="I1568">
        <v>1</v>
      </c>
      <c r="J1568">
        <v>0</v>
      </c>
      <c r="L1568" t="s">
        <v>22823</v>
      </c>
      <c r="M1568" t="s">
        <v>22824</v>
      </c>
      <c r="N1568" t="s">
        <v>22825</v>
      </c>
      <c r="O1568" t="s">
        <v>22826</v>
      </c>
      <c r="P1568" t="s">
        <v>22827</v>
      </c>
      <c r="Q1568" t="s">
        <v>22828</v>
      </c>
      <c r="R1568" t="s">
        <v>22829</v>
      </c>
      <c r="S1568" t="s">
        <v>22830</v>
      </c>
      <c r="T1568" s="2">
        <v>0.35416666666666663</v>
      </c>
      <c r="U1568">
        <v>1</v>
      </c>
      <c r="V1568" t="s">
        <v>22831</v>
      </c>
      <c r="W1568" t="s">
        <v>22832</v>
      </c>
      <c r="X1568" t="s">
        <v>22833</v>
      </c>
      <c r="Y1568" t="s">
        <v>22834</v>
      </c>
      <c r="Z1568" t="s">
        <v>22834</v>
      </c>
      <c r="AA1568" t="s">
        <v>22834</v>
      </c>
      <c r="AB1568" t="s">
        <v>22834</v>
      </c>
      <c r="AC1568" t="s">
        <v>22834</v>
      </c>
    </row>
    <row r="1569" spans="1:30">
      <c r="A1569" t="s">
        <v>22835</v>
      </c>
      <c r="B1569">
        <v>4</v>
      </c>
      <c r="C1569">
        <v>30</v>
      </c>
      <c r="D1569">
        <v>1997</v>
      </c>
      <c r="E1569" s="1">
        <v>35550</v>
      </c>
      <c r="F1569" t="s">
        <v>22836</v>
      </c>
      <c r="G1569">
        <v>1</v>
      </c>
      <c r="H1569">
        <v>0</v>
      </c>
      <c r="I1569">
        <v>1</v>
      </c>
      <c r="J1569">
        <v>0</v>
      </c>
      <c r="L1569" t="s">
        <v>22837</v>
      </c>
      <c r="M1569" t="s">
        <v>22838</v>
      </c>
      <c r="N1569" t="s">
        <v>22839</v>
      </c>
      <c r="O1569" t="s">
        <v>22840</v>
      </c>
      <c r="P1569" t="s">
        <v>22841</v>
      </c>
      <c r="Q1569" t="s">
        <v>22842</v>
      </c>
      <c r="R1569" t="s">
        <v>22843</v>
      </c>
      <c r="S1569" t="s">
        <v>22844</v>
      </c>
      <c r="T1569" s="2">
        <v>0.52083333333333337</v>
      </c>
      <c r="U1569">
        <v>1</v>
      </c>
      <c r="V1569" t="s">
        <v>22845</v>
      </c>
      <c r="W1569" t="s">
        <v>22846</v>
      </c>
      <c r="Y1569" t="s">
        <v>22847</v>
      </c>
      <c r="Z1569" t="s">
        <v>22847</v>
      </c>
      <c r="AA1569" t="s">
        <v>22847</v>
      </c>
      <c r="AC1569" t="s">
        <v>22847</v>
      </c>
    </row>
    <row r="1570" spans="1:30">
      <c r="A1570" t="s">
        <v>22848</v>
      </c>
      <c r="B1570">
        <v>4</v>
      </c>
      <c r="C1570">
        <v>28</v>
      </c>
      <c r="D1570">
        <v>1997</v>
      </c>
      <c r="E1570" s="1">
        <v>35548</v>
      </c>
      <c r="F1570" t="s">
        <v>22849</v>
      </c>
      <c r="G1570">
        <v>1</v>
      </c>
      <c r="H1570">
        <v>0</v>
      </c>
      <c r="I1570">
        <v>1</v>
      </c>
      <c r="J1570">
        <v>0</v>
      </c>
      <c r="L1570" t="s">
        <v>22850</v>
      </c>
      <c r="M1570" t="s">
        <v>22851</v>
      </c>
      <c r="N1570" t="s">
        <v>22852</v>
      </c>
      <c r="O1570" t="s">
        <v>22853</v>
      </c>
      <c r="P1570" t="s">
        <v>22854</v>
      </c>
      <c r="Q1570" t="s">
        <v>22855</v>
      </c>
      <c r="V1570" t="s">
        <v>22856</v>
      </c>
      <c r="W1570" t="s">
        <v>22857</v>
      </c>
      <c r="X1570" t="s">
        <v>22858</v>
      </c>
      <c r="Y1570" t="s">
        <v>22859</v>
      </c>
      <c r="Z1570" t="s">
        <v>22860</v>
      </c>
      <c r="AA1570" t="s">
        <v>22860</v>
      </c>
      <c r="AB1570" t="s">
        <v>22860</v>
      </c>
      <c r="AC1570" t="s">
        <v>22860</v>
      </c>
    </row>
    <row r="1571" spans="1:30">
      <c r="A1571" t="s">
        <v>22861</v>
      </c>
      <c r="B1571">
        <v>4</v>
      </c>
      <c r="C1571">
        <v>3</v>
      </c>
      <c r="D1571">
        <v>1997</v>
      </c>
      <c r="E1571" s="1">
        <v>35523</v>
      </c>
      <c r="F1571" t="s">
        <v>22862</v>
      </c>
      <c r="G1571">
        <v>1</v>
      </c>
      <c r="H1571">
        <v>0</v>
      </c>
      <c r="I1571">
        <v>1</v>
      </c>
      <c r="J1571">
        <v>0</v>
      </c>
      <c r="L1571" t="s">
        <v>22863</v>
      </c>
      <c r="M1571" t="s">
        <v>22864</v>
      </c>
      <c r="N1571" t="s">
        <v>22865</v>
      </c>
      <c r="O1571" t="s">
        <v>22866</v>
      </c>
      <c r="P1571" t="s">
        <v>22867</v>
      </c>
      <c r="Q1571" t="s">
        <v>22868</v>
      </c>
      <c r="V1571" t="s">
        <v>22869</v>
      </c>
      <c r="W1571" t="s">
        <v>22870</v>
      </c>
      <c r="Y1571" t="s">
        <v>22871</v>
      </c>
      <c r="Z1571" t="s">
        <v>22872</v>
      </c>
      <c r="AA1571" t="s">
        <v>22872</v>
      </c>
      <c r="AB1571" t="s">
        <v>22872</v>
      </c>
      <c r="AC1571" t="s">
        <v>22872</v>
      </c>
    </row>
    <row r="1572" spans="1:30">
      <c r="A1572" t="s">
        <v>22873</v>
      </c>
      <c r="B1572">
        <v>3</v>
      </c>
      <c r="C1572">
        <v>17</v>
      </c>
      <c r="D1572">
        <v>1997</v>
      </c>
      <c r="E1572" s="1">
        <v>35506</v>
      </c>
      <c r="F1572" t="s">
        <v>22874</v>
      </c>
      <c r="G1572">
        <v>1</v>
      </c>
      <c r="H1572">
        <v>0</v>
      </c>
      <c r="I1572">
        <v>1</v>
      </c>
      <c r="J1572">
        <v>0</v>
      </c>
      <c r="L1572" t="s">
        <v>22875</v>
      </c>
      <c r="M1572" t="s">
        <v>22876</v>
      </c>
      <c r="N1572" t="s">
        <v>22877</v>
      </c>
      <c r="O1572" t="s">
        <v>22878</v>
      </c>
      <c r="P1572" t="s">
        <v>22879</v>
      </c>
      <c r="Q1572" t="s">
        <v>22880</v>
      </c>
      <c r="R1572" t="s">
        <v>22881</v>
      </c>
      <c r="S1572" t="s">
        <v>22882</v>
      </c>
      <c r="T1572" s="2">
        <v>0.61458333333333337</v>
      </c>
      <c r="U1572">
        <v>1</v>
      </c>
      <c r="V1572" t="s">
        <v>22883</v>
      </c>
      <c r="W1572" t="s">
        <v>22884</v>
      </c>
      <c r="X1572" t="s">
        <v>22885</v>
      </c>
      <c r="Y1572" t="s">
        <v>22886</v>
      </c>
      <c r="Z1572" t="s">
        <v>22887</v>
      </c>
      <c r="AA1572" t="s">
        <v>22887</v>
      </c>
      <c r="AB1572" t="s">
        <v>22887</v>
      </c>
      <c r="AC1572" t="s">
        <v>22887</v>
      </c>
    </row>
    <row r="1573" spans="1:30">
      <c r="A1573" t="s">
        <v>22888</v>
      </c>
      <c r="B1573">
        <v>2</v>
      </c>
      <c r="C1573">
        <v>21</v>
      </c>
      <c r="D1573">
        <v>1997</v>
      </c>
      <c r="E1573" s="1">
        <v>35482</v>
      </c>
      <c r="F1573" t="s">
        <v>22889</v>
      </c>
      <c r="G1573">
        <v>0</v>
      </c>
      <c r="H1573">
        <v>1</v>
      </c>
      <c r="I1573">
        <v>1</v>
      </c>
      <c r="J1573">
        <v>0</v>
      </c>
      <c r="L1573" t="s">
        <v>22890</v>
      </c>
      <c r="M1573" t="s">
        <v>22891</v>
      </c>
      <c r="N1573" t="s">
        <v>22892</v>
      </c>
      <c r="O1573" t="s">
        <v>22893</v>
      </c>
      <c r="P1573" t="s">
        <v>22894</v>
      </c>
      <c r="Q1573" t="s">
        <v>22895</v>
      </c>
      <c r="R1573" t="s">
        <v>22896</v>
      </c>
      <c r="S1573" t="s">
        <v>22897</v>
      </c>
      <c r="T1573" s="2">
        <v>0.54166666666666663</v>
      </c>
      <c r="U1573">
        <v>1</v>
      </c>
      <c r="V1573" t="s">
        <v>22898</v>
      </c>
      <c r="W1573" t="s">
        <v>22899</v>
      </c>
      <c r="X1573" t="s">
        <v>22900</v>
      </c>
      <c r="Y1573" t="s">
        <v>22901</v>
      </c>
      <c r="Z1573" t="s">
        <v>22902</v>
      </c>
      <c r="AA1573" t="s">
        <v>22902</v>
      </c>
      <c r="AB1573" t="s">
        <v>22902</v>
      </c>
      <c r="AC1573" t="s">
        <v>22902</v>
      </c>
      <c r="AD1573" t="s">
        <v>22902</v>
      </c>
    </row>
    <row r="1574" spans="1:30">
      <c r="A1574" t="s">
        <v>22903</v>
      </c>
      <c r="B1574">
        <v>2</v>
      </c>
      <c r="C1574">
        <v>20</v>
      </c>
      <c r="D1574">
        <v>1997</v>
      </c>
      <c r="E1574" s="1">
        <v>35481</v>
      </c>
      <c r="F1574" t="s">
        <v>22904</v>
      </c>
      <c r="G1574">
        <v>0</v>
      </c>
      <c r="H1574">
        <v>0</v>
      </c>
      <c r="I1574">
        <v>0</v>
      </c>
      <c r="J1574">
        <v>1</v>
      </c>
      <c r="L1574" t="s">
        <v>22905</v>
      </c>
      <c r="M1574" t="s">
        <v>22906</v>
      </c>
      <c r="N1574" t="s">
        <v>22907</v>
      </c>
      <c r="O1574" t="s">
        <v>22908</v>
      </c>
      <c r="P1574" t="s">
        <v>22909</v>
      </c>
      <c r="Q1574" t="s">
        <v>22910</v>
      </c>
      <c r="R1574" t="s">
        <v>22911</v>
      </c>
      <c r="S1574" t="s">
        <v>22912</v>
      </c>
      <c r="U1574">
        <v>1</v>
      </c>
      <c r="V1574" t="s">
        <v>22913</v>
      </c>
      <c r="W1574" t="s">
        <v>22914</v>
      </c>
      <c r="X1574" t="s">
        <v>22915</v>
      </c>
      <c r="Y1574" t="s">
        <v>22916</v>
      </c>
      <c r="Z1574" t="s">
        <v>22916</v>
      </c>
      <c r="AA1574" t="s">
        <v>22916</v>
      </c>
      <c r="AB1574" t="s">
        <v>22916</v>
      </c>
      <c r="AC1574" t="s">
        <v>22916</v>
      </c>
    </row>
    <row r="1575" spans="1:30">
      <c r="A1575" t="s">
        <v>22917</v>
      </c>
      <c r="B1575">
        <v>2</v>
      </c>
      <c r="C1575">
        <v>19</v>
      </c>
      <c r="D1575">
        <v>1997</v>
      </c>
      <c r="E1575" s="1">
        <v>35480</v>
      </c>
      <c r="F1575" t="s">
        <v>22918</v>
      </c>
      <c r="G1575">
        <v>2</v>
      </c>
      <c r="H1575">
        <v>2</v>
      </c>
      <c r="I1575">
        <v>4</v>
      </c>
      <c r="J1575">
        <v>0</v>
      </c>
      <c r="L1575" t="s">
        <v>22919</v>
      </c>
      <c r="M1575" t="s">
        <v>22920</v>
      </c>
      <c r="N1575" t="s">
        <v>22921</v>
      </c>
      <c r="O1575" t="s">
        <v>22922</v>
      </c>
      <c r="P1575" t="s">
        <v>22923</v>
      </c>
      <c r="Q1575" t="s">
        <v>22924</v>
      </c>
      <c r="R1575" t="s">
        <v>22925</v>
      </c>
      <c r="S1575" t="s">
        <v>22926</v>
      </c>
      <c r="T1575" s="2">
        <v>0.36458333333333331</v>
      </c>
      <c r="V1575" t="s">
        <v>22927</v>
      </c>
      <c r="W1575" t="s">
        <v>22928</v>
      </c>
      <c r="X1575" t="s">
        <v>22929</v>
      </c>
      <c r="Z1575" t="s">
        <v>22930</v>
      </c>
      <c r="AA1575" t="s">
        <v>22930</v>
      </c>
      <c r="AB1575" t="s">
        <v>22931</v>
      </c>
      <c r="AC1575" t="s">
        <v>22932</v>
      </c>
      <c r="AD1575" t="s">
        <v>22933</v>
      </c>
    </row>
    <row r="1576" spans="1:30">
      <c r="A1576" t="s">
        <v>22934</v>
      </c>
      <c r="B1576">
        <v>2</v>
      </c>
      <c r="C1576">
        <v>13</v>
      </c>
      <c r="D1576">
        <v>1997</v>
      </c>
      <c r="E1576" s="1">
        <v>35474</v>
      </c>
      <c r="F1576" t="s">
        <v>22935</v>
      </c>
      <c r="G1576">
        <v>0</v>
      </c>
      <c r="H1576">
        <v>1</v>
      </c>
      <c r="I1576">
        <v>1</v>
      </c>
      <c r="J1576">
        <v>0</v>
      </c>
      <c r="L1576" t="s">
        <v>22936</v>
      </c>
      <c r="M1576" t="s">
        <v>22937</v>
      </c>
      <c r="N1576" t="s">
        <v>22938</v>
      </c>
      <c r="O1576" t="s">
        <v>22939</v>
      </c>
      <c r="P1576" t="s">
        <v>22940</v>
      </c>
      <c r="Q1576" t="s">
        <v>22941</v>
      </c>
      <c r="R1576" t="s">
        <v>22942</v>
      </c>
      <c r="S1576" t="s">
        <v>22943</v>
      </c>
      <c r="U1576">
        <v>1</v>
      </c>
      <c r="V1576" t="s">
        <v>22944</v>
      </c>
      <c r="W1576" t="s">
        <v>22945</v>
      </c>
      <c r="X1576" t="s">
        <v>22946</v>
      </c>
      <c r="Y1576" t="s">
        <v>22947</v>
      </c>
      <c r="Z1576" t="s">
        <v>22948</v>
      </c>
      <c r="AA1576" t="s">
        <v>22948</v>
      </c>
      <c r="AB1576" t="s">
        <v>22948</v>
      </c>
      <c r="AC1576" t="s">
        <v>22948</v>
      </c>
      <c r="AD1576" t="s">
        <v>22948</v>
      </c>
    </row>
    <row r="1577" spans="1:30">
      <c r="A1577" t="s">
        <v>22949</v>
      </c>
      <c r="B1577">
        <v>2</v>
      </c>
      <c r="C1577">
        <v>13</v>
      </c>
      <c r="D1577">
        <v>1997</v>
      </c>
      <c r="E1577" s="1">
        <v>35474</v>
      </c>
      <c r="F1577" t="s">
        <v>22950</v>
      </c>
      <c r="G1577">
        <v>0</v>
      </c>
      <c r="H1577">
        <v>1</v>
      </c>
      <c r="I1577">
        <v>1</v>
      </c>
      <c r="J1577">
        <v>0</v>
      </c>
      <c r="L1577" t="s">
        <v>22951</v>
      </c>
      <c r="M1577" t="s">
        <v>22952</v>
      </c>
      <c r="N1577" t="s">
        <v>22953</v>
      </c>
      <c r="O1577" t="s">
        <v>22954</v>
      </c>
      <c r="P1577" t="s">
        <v>22955</v>
      </c>
      <c r="Q1577" t="s">
        <v>22956</v>
      </c>
      <c r="R1577" t="s">
        <v>22957</v>
      </c>
      <c r="S1577" t="s">
        <v>22958</v>
      </c>
      <c r="U1577">
        <v>1</v>
      </c>
      <c r="V1577" t="s">
        <v>22959</v>
      </c>
      <c r="W1577" t="s">
        <v>22960</v>
      </c>
      <c r="X1577" t="s">
        <v>22961</v>
      </c>
      <c r="Y1577" t="s">
        <v>22962</v>
      </c>
      <c r="Z1577" t="s">
        <v>22963</v>
      </c>
      <c r="AA1577" t="s">
        <v>22963</v>
      </c>
      <c r="AB1577" t="s">
        <v>22963</v>
      </c>
      <c r="AC1577" t="s">
        <v>22963</v>
      </c>
      <c r="AD1577" t="s">
        <v>22963</v>
      </c>
    </row>
    <row r="1578" spans="1:30">
      <c r="A1578" t="s">
        <v>22964</v>
      </c>
      <c r="B1578">
        <v>2</v>
      </c>
      <c r="C1578">
        <v>6</v>
      </c>
      <c r="D1578">
        <v>1997</v>
      </c>
      <c r="E1578" s="1">
        <v>35467</v>
      </c>
      <c r="F1578" t="s">
        <v>22965</v>
      </c>
      <c r="G1578">
        <v>0</v>
      </c>
      <c r="H1578">
        <v>1</v>
      </c>
      <c r="I1578">
        <v>1</v>
      </c>
      <c r="J1578">
        <v>0</v>
      </c>
      <c r="L1578" t="s">
        <v>22966</v>
      </c>
      <c r="M1578" t="s">
        <v>22967</v>
      </c>
      <c r="N1578" t="s">
        <v>22968</v>
      </c>
      <c r="O1578" t="s">
        <v>22969</v>
      </c>
      <c r="P1578" t="s">
        <v>22970</v>
      </c>
      <c r="Q1578" t="s">
        <v>22971</v>
      </c>
      <c r="R1578" t="s">
        <v>22972</v>
      </c>
      <c r="S1578" t="s">
        <v>22973</v>
      </c>
      <c r="T1578" s="2">
        <v>0.35416666666666663</v>
      </c>
      <c r="U1578">
        <v>1</v>
      </c>
      <c r="V1578" t="s">
        <v>22974</v>
      </c>
      <c r="W1578" t="s">
        <v>22975</v>
      </c>
      <c r="X1578" t="s">
        <v>22976</v>
      </c>
      <c r="Y1578" t="s">
        <v>22977</v>
      </c>
      <c r="Z1578" t="s">
        <v>22977</v>
      </c>
      <c r="AA1578" t="s">
        <v>22977</v>
      </c>
      <c r="AB1578" t="s">
        <v>22977</v>
      </c>
      <c r="AC1578" t="s">
        <v>22977</v>
      </c>
      <c r="AD1578" t="s">
        <v>22977</v>
      </c>
    </row>
    <row r="1579" spans="1:30">
      <c r="A1579" t="s">
        <v>22978</v>
      </c>
      <c r="B1579">
        <v>1</v>
      </c>
      <c r="C1579">
        <v>27</v>
      </c>
      <c r="D1579">
        <v>1997</v>
      </c>
      <c r="E1579" s="1">
        <v>35457</v>
      </c>
      <c r="F1579" t="s">
        <v>22979</v>
      </c>
      <c r="G1579">
        <v>1</v>
      </c>
      <c r="H1579">
        <v>0</v>
      </c>
      <c r="I1579">
        <v>1</v>
      </c>
      <c r="J1579">
        <v>0</v>
      </c>
      <c r="L1579" t="s">
        <v>22980</v>
      </c>
      <c r="M1579" t="s">
        <v>22981</v>
      </c>
      <c r="N1579" t="s">
        <v>22982</v>
      </c>
      <c r="O1579" t="s">
        <v>22983</v>
      </c>
      <c r="P1579" t="s">
        <v>22984</v>
      </c>
      <c r="Q1579" t="s">
        <v>22985</v>
      </c>
      <c r="R1579" t="s">
        <v>22986</v>
      </c>
      <c r="S1579" t="s">
        <v>22987</v>
      </c>
      <c r="T1579" s="2">
        <v>0.3611111111111111</v>
      </c>
      <c r="U1579">
        <v>1</v>
      </c>
      <c r="V1579" t="s">
        <v>22988</v>
      </c>
      <c r="W1579" t="s">
        <v>22989</v>
      </c>
      <c r="X1579" t="s">
        <v>22990</v>
      </c>
      <c r="Y1579" t="s">
        <v>22991</v>
      </c>
      <c r="Z1579" t="s">
        <v>22991</v>
      </c>
      <c r="AA1579" t="s">
        <v>22991</v>
      </c>
      <c r="AB1579" t="s">
        <v>22991</v>
      </c>
      <c r="AC1579" t="s">
        <v>22991</v>
      </c>
    </row>
    <row r="1580" spans="1:30">
      <c r="A1580" t="s">
        <v>22992</v>
      </c>
      <c r="B1580">
        <v>1</v>
      </c>
      <c r="C1580">
        <v>8</v>
      </c>
      <c r="D1580">
        <v>1997</v>
      </c>
      <c r="E1580" s="1">
        <v>35438</v>
      </c>
      <c r="F1580" t="s">
        <v>22993</v>
      </c>
      <c r="G1580">
        <v>1</v>
      </c>
      <c r="H1580">
        <v>3</v>
      </c>
      <c r="I1580">
        <v>4</v>
      </c>
      <c r="J1580">
        <v>0</v>
      </c>
      <c r="L1580" t="s">
        <v>22994</v>
      </c>
      <c r="M1580" t="s">
        <v>22995</v>
      </c>
      <c r="N1580" t="s">
        <v>22996</v>
      </c>
      <c r="O1580" t="s">
        <v>22997</v>
      </c>
      <c r="P1580" t="s">
        <v>22998</v>
      </c>
      <c r="Q1580" t="s">
        <v>22999</v>
      </c>
      <c r="R1580" t="s">
        <v>23000</v>
      </c>
      <c r="S1580" t="s">
        <v>23001</v>
      </c>
      <c r="T1580" s="2">
        <v>0.55208333333333326</v>
      </c>
      <c r="U1580">
        <v>1</v>
      </c>
      <c r="V1580" t="s">
        <v>23002</v>
      </c>
      <c r="W1580" t="s">
        <v>23003</v>
      </c>
      <c r="X1580" t="s">
        <v>23004</v>
      </c>
      <c r="Y1580" t="s">
        <v>23005</v>
      </c>
      <c r="Z1580" t="s">
        <v>23006</v>
      </c>
      <c r="AA1580" t="s">
        <v>23007</v>
      </c>
      <c r="AB1580" t="s">
        <v>23008</v>
      </c>
      <c r="AC1580" t="s">
        <v>23008</v>
      </c>
    </row>
    <row r="1581" spans="1:30">
      <c r="A1581" t="s">
        <v>23009</v>
      </c>
      <c r="B1581">
        <v>11</v>
      </c>
      <c r="C1581">
        <v>27</v>
      </c>
      <c r="D1581">
        <v>1996</v>
      </c>
      <c r="E1581" s="1">
        <v>35396</v>
      </c>
      <c r="F1581" t="s">
        <v>23010</v>
      </c>
      <c r="G1581">
        <v>1</v>
      </c>
      <c r="H1581">
        <v>0</v>
      </c>
      <c r="I1581">
        <v>1</v>
      </c>
      <c r="J1581">
        <v>0</v>
      </c>
      <c r="L1581" t="s">
        <v>23011</v>
      </c>
      <c r="M1581" t="s">
        <v>23012</v>
      </c>
      <c r="N1581" t="s">
        <v>23013</v>
      </c>
      <c r="O1581" t="s">
        <v>23014</v>
      </c>
      <c r="P1581" t="s">
        <v>23015</v>
      </c>
      <c r="Q1581" t="s">
        <v>23016</v>
      </c>
      <c r="R1581" t="s">
        <v>23017</v>
      </c>
      <c r="S1581" t="s">
        <v>23018</v>
      </c>
      <c r="U1581">
        <v>1</v>
      </c>
      <c r="V1581" t="s">
        <v>23019</v>
      </c>
      <c r="W1581" t="s">
        <v>23020</v>
      </c>
      <c r="X1581" t="s">
        <v>23021</v>
      </c>
      <c r="Y1581" t="s">
        <v>23022</v>
      </c>
      <c r="Z1581" t="s">
        <v>23022</v>
      </c>
      <c r="AA1581" t="s">
        <v>23022</v>
      </c>
      <c r="AB1581" t="s">
        <v>23023</v>
      </c>
      <c r="AC1581" t="s">
        <v>23023</v>
      </c>
      <c r="AD1581" t="s">
        <v>23023</v>
      </c>
    </row>
    <row r="1582" spans="1:30">
      <c r="A1582" t="s">
        <v>23024</v>
      </c>
      <c r="B1582">
        <v>10</v>
      </c>
      <c r="C1582">
        <v>14</v>
      </c>
      <c r="D1582">
        <v>1996</v>
      </c>
      <c r="E1582" s="1">
        <v>35352</v>
      </c>
      <c r="F1582" t="s">
        <v>23025</v>
      </c>
      <c r="G1582">
        <v>1</v>
      </c>
      <c r="H1582">
        <v>0</v>
      </c>
      <c r="I1582">
        <v>1</v>
      </c>
      <c r="J1582">
        <v>0</v>
      </c>
      <c r="L1582" t="s">
        <v>23026</v>
      </c>
      <c r="M1582" t="s">
        <v>23027</v>
      </c>
      <c r="N1582" t="s">
        <v>23028</v>
      </c>
      <c r="O1582" t="s">
        <v>23029</v>
      </c>
      <c r="P1582" t="s">
        <v>23030</v>
      </c>
      <c r="Q1582" t="s">
        <v>23030</v>
      </c>
      <c r="R1582" t="s">
        <v>23031</v>
      </c>
      <c r="U1582">
        <v>1</v>
      </c>
      <c r="V1582" t="s">
        <v>23032</v>
      </c>
      <c r="W1582" t="s">
        <v>23033</v>
      </c>
      <c r="X1582" t="s">
        <v>23034</v>
      </c>
      <c r="Y1582" t="s">
        <v>23035</v>
      </c>
      <c r="Z1582" t="s">
        <v>23036</v>
      </c>
      <c r="AA1582" t="s">
        <v>23036</v>
      </c>
      <c r="AB1582" t="s">
        <v>23036</v>
      </c>
      <c r="AC1582" t="s">
        <v>23036</v>
      </c>
    </row>
    <row r="1583" spans="1:30">
      <c r="A1583" t="s">
        <v>23037</v>
      </c>
      <c r="B1583">
        <v>10</v>
      </c>
      <c r="C1583">
        <v>9</v>
      </c>
      <c r="D1583">
        <v>1996</v>
      </c>
      <c r="E1583" s="1">
        <v>35347</v>
      </c>
      <c r="F1583" t="s">
        <v>23038</v>
      </c>
      <c r="G1583">
        <v>1</v>
      </c>
      <c r="H1583">
        <v>0</v>
      </c>
      <c r="I1583">
        <v>1</v>
      </c>
      <c r="J1583">
        <v>0</v>
      </c>
      <c r="L1583" t="s">
        <v>23039</v>
      </c>
      <c r="M1583" t="s">
        <v>23040</v>
      </c>
      <c r="N1583" t="s">
        <v>23041</v>
      </c>
      <c r="O1583" t="s">
        <v>23042</v>
      </c>
      <c r="P1583" t="s">
        <v>23043</v>
      </c>
      <c r="Q1583" t="s">
        <v>23043</v>
      </c>
      <c r="R1583" t="s">
        <v>23044</v>
      </c>
      <c r="U1583">
        <v>1</v>
      </c>
      <c r="V1583" t="s">
        <v>23045</v>
      </c>
      <c r="W1583" t="s">
        <v>23046</v>
      </c>
      <c r="X1583" t="s">
        <v>23047</v>
      </c>
      <c r="Y1583" t="s">
        <v>23048</v>
      </c>
      <c r="Z1583" t="s">
        <v>23048</v>
      </c>
      <c r="AA1583" t="s">
        <v>23048</v>
      </c>
      <c r="AB1583" t="s">
        <v>23048</v>
      </c>
      <c r="AC1583" t="s">
        <v>23048</v>
      </c>
    </row>
    <row r="1584" spans="1:30">
      <c r="A1584" t="s">
        <v>23049</v>
      </c>
      <c r="B1584">
        <v>10</v>
      </c>
      <c r="C1584">
        <v>4</v>
      </c>
      <c r="D1584">
        <v>1996</v>
      </c>
      <c r="E1584" s="1">
        <v>35342</v>
      </c>
      <c r="F1584" t="s">
        <v>23050</v>
      </c>
      <c r="G1584">
        <v>1</v>
      </c>
      <c r="H1584">
        <v>1</v>
      </c>
      <c r="I1584">
        <v>2</v>
      </c>
      <c r="J1584">
        <v>0</v>
      </c>
      <c r="L1584" t="s">
        <v>23051</v>
      </c>
      <c r="M1584" t="s">
        <v>23052</v>
      </c>
      <c r="N1584" t="s">
        <v>23053</v>
      </c>
      <c r="O1584" t="s">
        <v>23054</v>
      </c>
      <c r="P1584" t="s">
        <v>23055</v>
      </c>
      <c r="Q1584" t="s">
        <v>23056</v>
      </c>
      <c r="R1584" t="s">
        <v>23057</v>
      </c>
      <c r="S1584" t="s">
        <v>23058</v>
      </c>
      <c r="T1584" s="2">
        <v>0.91666666666666663</v>
      </c>
      <c r="U1584">
        <v>1</v>
      </c>
      <c r="V1584" t="s">
        <v>23059</v>
      </c>
      <c r="W1584" t="s">
        <v>23060</v>
      </c>
      <c r="Y1584" t="s">
        <v>23061</v>
      </c>
      <c r="Z1584" t="s">
        <v>23061</v>
      </c>
      <c r="AA1584" t="s">
        <v>23061</v>
      </c>
      <c r="AB1584" t="s">
        <v>23061</v>
      </c>
      <c r="AC1584" t="s">
        <v>23061</v>
      </c>
    </row>
    <row r="1585" spans="1:30">
      <c r="A1585" t="s">
        <v>23062</v>
      </c>
      <c r="B1585">
        <v>10</v>
      </c>
      <c r="C1585">
        <v>2</v>
      </c>
      <c r="D1585">
        <v>1996</v>
      </c>
      <c r="E1585" s="1">
        <v>35340</v>
      </c>
      <c r="F1585" t="s">
        <v>23063</v>
      </c>
      <c r="G1585">
        <v>2</v>
      </c>
      <c r="H1585">
        <v>0</v>
      </c>
      <c r="I1585">
        <v>2</v>
      </c>
      <c r="J1585">
        <v>0</v>
      </c>
      <c r="L1585" t="s">
        <v>23064</v>
      </c>
      <c r="M1585" t="s">
        <v>23065</v>
      </c>
      <c r="N1585" t="s">
        <v>23066</v>
      </c>
      <c r="O1585" t="s">
        <v>23067</v>
      </c>
      <c r="P1585" t="s">
        <v>23068</v>
      </c>
      <c r="Q1585" t="s">
        <v>23069</v>
      </c>
      <c r="R1585" t="s">
        <v>23070</v>
      </c>
      <c r="S1585" t="s">
        <v>23071</v>
      </c>
      <c r="U1585">
        <v>1</v>
      </c>
      <c r="V1585" t="s">
        <v>23072</v>
      </c>
      <c r="W1585" t="s">
        <v>23073</v>
      </c>
      <c r="X1585" t="s">
        <v>23074</v>
      </c>
      <c r="Y1585" t="s">
        <v>23075</v>
      </c>
      <c r="Z1585" t="s">
        <v>23075</v>
      </c>
      <c r="AA1585" t="s">
        <v>23075</v>
      </c>
      <c r="AB1585" t="s">
        <v>23075</v>
      </c>
      <c r="AC1585" t="s">
        <v>23076</v>
      </c>
    </row>
    <row r="1586" spans="1:30">
      <c r="A1586" t="s">
        <v>23077</v>
      </c>
      <c r="B1586">
        <v>9</v>
      </c>
      <c r="C1586">
        <v>25</v>
      </c>
      <c r="D1586">
        <v>1996</v>
      </c>
      <c r="E1586" s="1">
        <v>35333</v>
      </c>
      <c r="F1586" t="s">
        <v>23078</v>
      </c>
      <c r="G1586">
        <v>1</v>
      </c>
      <c r="H1586">
        <v>0</v>
      </c>
      <c r="I1586">
        <v>1</v>
      </c>
      <c r="J1586">
        <v>0</v>
      </c>
      <c r="L1586" t="s">
        <v>23079</v>
      </c>
      <c r="M1586" t="s">
        <v>23080</v>
      </c>
      <c r="N1586" t="s">
        <v>23081</v>
      </c>
      <c r="O1586" t="s">
        <v>23082</v>
      </c>
      <c r="P1586" t="s">
        <v>23083</v>
      </c>
      <c r="Q1586" t="s">
        <v>23084</v>
      </c>
      <c r="R1586" t="s">
        <v>23085</v>
      </c>
      <c r="S1586" t="s">
        <v>23086</v>
      </c>
      <c r="U1586">
        <v>1</v>
      </c>
      <c r="V1586" t="s">
        <v>23087</v>
      </c>
      <c r="W1586" t="s">
        <v>23088</v>
      </c>
      <c r="X1586" t="s">
        <v>23089</v>
      </c>
      <c r="Y1586" t="s">
        <v>23090</v>
      </c>
      <c r="Z1586" t="s">
        <v>23090</v>
      </c>
      <c r="AA1586" t="s">
        <v>23090</v>
      </c>
      <c r="AB1586" t="s">
        <v>23090</v>
      </c>
      <c r="AC1586" t="s">
        <v>23090</v>
      </c>
    </row>
    <row r="1587" spans="1:30">
      <c r="A1587" t="s">
        <v>23091</v>
      </c>
      <c r="B1587">
        <v>7</v>
      </c>
      <c r="C1587">
        <v>26</v>
      </c>
      <c r="D1587">
        <v>1996</v>
      </c>
      <c r="E1587" s="1">
        <v>35272</v>
      </c>
      <c r="F1587" t="s">
        <v>23092</v>
      </c>
      <c r="G1587">
        <v>0</v>
      </c>
      <c r="H1587">
        <v>2</v>
      </c>
      <c r="I1587">
        <v>2</v>
      </c>
      <c r="J1587">
        <v>0</v>
      </c>
      <c r="L1587" t="s">
        <v>23093</v>
      </c>
      <c r="M1587" t="s">
        <v>23094</v>
      </c>
      <c r="N1587" t="s">
        <v>23095</v>
      </c>
      <c r="O1587" t="s">
        <v>23096</v>
      </c>
      <c r="P1587" t="s">
        <v>23097</v>
      </c>
      <c r="Q1587" t="s">
        <v>23098</v>
      </c>
      <c r="R1587" t="s">
        <v>23099</v>
      </c>
      <c r="S1587" t="s">
        <v>23100</v>
      </c>
      <c r="T1587" s="2">
        <v>0.58333333333333337</v>
      </c>
      <c r="U1587">
        <v>1</v>
      </c>
      <c r="V1587" t="s">
        <v>23101</v>
      </c>
      <c r="W1587" t="s">
        <v>23102</v>
      </c>
      <c r="X1587" t="s">
        <v>23103</v>
      </c>
      <c r="Y1587" t="s">
        <v>23104</v>
      </c>
      <c r="Z1587" t="s">
        <v>23104</v>
      </c>
      <c r="AA1587" t="s">
        <v>23104</v>
      </c>
      <c r="AB1587" t="s">
        <v>23104</v>
      </c>
      <c r="AC1587" t="s">
        <v>23104</v>
      </c>
    </row>
    <row r="1588" spans="1:30">
      <c r="A1588" t="s">
        <v>23105</v>
      </c>
      <c r="B1588">
        <v>6</v>
      </c>
      <c r="C1588">
        <v>4</v>
      </c>
      <c r="D1588">
        <v>1996</v>
      </c>
      <c r="E1588" s="1">
        <v>35220</v>
      </c>
      <c r="F1588" t="s">
        <v>23106</v>
      </c>
      <c r="G1588">
        <v>0</v>
      </c>
      <c r="H1588">
        <v>0</v>
      </c>
      <c r="I1588">
        <v>0</v>
      </c>
      <c r="J1588">
        <v>1</v>
      </c>
      <c r="L1588" t="s">
        <v>23107</v>
      </c>
      <c r="M1588" t="s">
        <v>23108</v>
      </c>
      <c r="N1588" t="s">
        <v>23109</v>
      </c>
      <c r="O1588" t="s">
        <v>23110</v>
      </c>
      <c r="P1588" t="s">
        <v>23111</v>
      </c>
      <c r="Q1588" t="s">
        <v>23111</v>
      </c>
      <c r="R1588" t="s">
        <v>23112</v>
      </c>
      <c r="S1588" t="s">
        <v>23113</v>
      </c>
      <c r="U1588">
        <v>1</v>
      </c>
      <c r="V1588" t="s">
        <v>23114</v>
      </c>
      <c r="W1588" t="s">
        <v>23115</v>
      </c>
      <c r="X1588" t="s">
        <v>23116</v>
      </c>
      <c r="Y1588" t="s">
        <v>23117</v>
      </c>
      <c r="Z1588" t="s">
        <v>23117</v>
      </c>
      <c r="AA1588" t="s">
        <v>23117</v>
      </c>
      <c r="AB1588" t="s">
        <v>23117</v>
      </c>
      <c r="AC1588" t="s">
        <v>23117</v>
      </c>
    </row>
    <row r="1589" spans="1:30">
      <c r="A1589" t="s">
        <v>23118</v>
      </c>
      <c r="B1589">
        <v>5</v>
      </c>
      <c r="C1589">
        <v>22</v>
      </c>
      <c r="D1589">
        <v>1996</v>
      </c>
      <c r="E1589" s="1">
        <v>35207</v>
      </c>
      <c r="F1589" t="s">
        <v>23119</v>
      </c>
      <c r="G1589">
        <v>1</v>
      </c>
      <c r="H1589">
        <v>0</v>
      </c>
      <c r="I1589">
        <v>1</v>
      </c>
      <c r="J1589">
        <v>0</v>
      </c>
      <c r="L1589" t="s">
        <v>23120</v>
      </c>
      <c r="M1589" t="s">
        <v>23121</v>
      </c>
      <c r="N1589" t="s">
        <v>23122</v>
      </c>
      <c r="O1589" t="s">
        <v>23123</v>
      </c>
      <c r="P1589" t="s">
        <v>23124</v>
      </c>
      <c r="Q1589" t="s">
        <v>23124</v>
      </c>
      <c r="R1589" t="s">
        <v>23125</v>
      </c>
      <c r="S1589" t="s">
        <v>23126</v>
      </c>
      <c r="T1589" s="2">
        <v>0.59722222222222221</v>
      </c>
      <c r="U1589">
        <v>1</v>
      </c>
      <c r="V1589" t="s">
        <v>23127</v>
      </c>
      <c r="W1589" t="s">
        <v>23128</v>
      </c>
      <c r="X1589" t="s">
        <v>23129</v>
      </c>
      <c r="Y1589" t="s">
        <v>23130</v>
      </c>
      <c r="Z1589" t="s">
        <v>23130</v>
      </c>
      <c r="AA1589" t="s">
        <v>23130</v>
      </c>
      <c r="AC1589" t="s">
        <v>23130</v>
      </c>
    </row>
    <row r="1590" spans="1:30">
      <c r="A1590" t="s">
        <v>23131</v>
      </c>
      <c r="B1590">
        <v>5</v>
      </c>
      <c r="C1590">
        <v>14</v>
      </c>
      <c r="D1590">
        <v>1996</v>
      </c>
      <c r="E1590" s="1">
        <v>35199</v>
      </c>
      <c r="F1590" t="s">
        <v>23132</v>
      </c>
      <c r="G1590">
        <v>0</v>
      </c>
      <c r="H1590">
        <v>1</v>
      </c>
      <c r="I1590">
        <v>1</v>
      </c>
      <c r="J1590">
        <v>1</v>
      </c>
      <c r="L1590" t="s">
        <v>23133</v>
      </c>
      <c r="M1590" t="s">
        <v>23134</v>
      </c>
      <c r="N1590" t="s">
        <v>23135</v>
      </c>
      <c r="O1590" t="s">
        <v>23136</v>
      </c>
      <c r="P1590" t="s">
        <v>23137</v>
      </c>
      <c r="Q1590" t="s">
        <v>23137</v>
      </c>
      <c r="V1590" t="s">
        <v>23138</v>
      </c>
      <c r="W1590" t="s">
        <v>23139</v>
      </c>
      <c r="X1590" t="s">
        <v>23140</v>
      </c>
      <c r="Y1590" t="s">
        <v>23141</v>
      </c>
      <c r="Z1590" t="s">
        <v>23141</v>
      </c>
      <c r="AA1590" t="s">
        <v>23141</v>
      </c>
      <c r="AB1590" t="s">
        <v>23141</v>
      </c>
      <c r="AC1590" t="s">
        <v>23141</v>
      </c>
    </row>
    <row r="1591" spans="1:30">
      <c r="A1591" t="s">
        <v>23142</v>
      </c>
      <c r="B1591">
        <v>4</v>
      </c>
      <c r="C1591">
        <v>15</v>
      </c>
      <c r="D1591">
        <v>1996</v>
      </c>
      <c r="E1591" s="1">
        <v>35170</v>
      </c>
      <c r="F1591" t="s">
        <v>23143</v>
      </c>
      <c r="G1591">
        <v>1</v>
      </c>
      <c r="H1591">
        <v>0</v>
      </c>
      <c r="I1591">
        <v>1</v>
      </c>
      <c r="J1591">
        <v>0</v>
      </c>
      <c r="L1591" t="s">
        <v>23144</v>
      </c>
      <c r="M1591" t="s">
        <v>23145</v>
      </c>
      <c r="N1591" t="s">
        <v>23146</v>
      </c>
      <c r="O1591" t="s">
        <v>23147</v>
      </c>
      <c r="P1591" t="s">
        <v>23148</v>
      </c>
      <c r="Q1591" t="s">
        <v>23149</v>
      </c>
      <c r="R1591" t="s">
        <v>23150</v>
      </c>
      <c r="S1591" t="s">
        <v>23151</v>
      </c>
      <c r="U1591">
        <v>1</v>
      </c>
      <c r="V1591" t="s">
        <v>23152</v>
      </c>
      <c r="W1591" t="s">
        <v>23153</v>
      </c>
      <c r="Y1591" t="s">
        <v>23154</v>
      </c>
      <c r="Z1591" t="s">
        <v>23154</v>
      </c>
      <c r="AA1591" t="s">
        <v>23154</v>
      </c>
      <c r="AB1591" t="s">
        <v>23154</v>
      </c>
      <c r="AC1591" t="s">
        <v>23154</v>
      </c>
    </row>
    <row r="1592" spans="1:30">
      <c r="A1592" t="s">
        <v>23155</v>
      </c>
      <c r="B1592">
        <v>4</v>
      </c>
      <c r="C1592">
        <v>11</v>
      </c>
      <c r="D1592">
        <v>1996</v>
      </c>
      <c r="E1592" s="1">
        <v>35166</v>
      </c>
      <c r="F1592" t="s">
        <v>23156</v>
      </c>
      <c r="G1592">
        <v>1</v>
      </c>
      <c r="H1592">
        <v>0</v>
      </c>
      <c r="I1592">
        <v>1</v>
      </c>
      <c r="J1592">
        <v>0</v>
      </c>
      <c r="L1592" t="s">
        <v>23157</v>
      </c>
      <c r="M1592" t="s">
        <v>23158</v>
      </c>
      <c r="N1592" t="s">
        <v>23159</v>
      </c>
      <c r="O1592" t="s">
        <v>23160</v>
      </c>
      <c r="P1592" t="s">
        <v>23161</v>
      </c>
      <c r="Q1592" t="s">
        <v>23162</v>
      </c>
      <c r="U1592">
        <v>1</v>
      </c>
      <c r="V1592" t="s">
        <v>23163</v>
      </c>
      <c r="W1592" t="s">
        <v>23164</v>
      </c>
      <c r="X1592" t="s">
        <v>23165</v>
      </c>
      <c r="Y1592" t="s">
        <v>23166</v>
      </c>
      <c r="Z1592" t="s">
        <v>23166</v>
      </c>
      <c r="AA1592" t="s">
        <v>23166</v>
      </c>
      <c r="AB1592" t="s">
        <v>23166</v>
      </c>
      <c r="AC1592" t="s">
        <v>23166</v>
      </c>
    </row>
    <row r="1593" spans="1:30">
      <c r="A1593" t="s">
        <v>23167</v>
      </c>
      <c r="B1593">
        <v>3</v>
      </c>
      <c r="C1593">
        <v>19</v>
      </c>
      <c r="D1593">
        <v>1996</v>
      </c>
      <c r="E1593" s="1">
        <v>35143</v>
      </c>
      <c r="F1593" t="s">
        <v>23168</v>
      </c>
      <c r="G1593">
        <v>0</v>
      </c>
      <c r="H1593">
        <v>0</v>
      </c>
      <c r="I1593">
        <v>0</v>
      </c>
      <c r="J1593">
        <v>0</v>
      </c>
      <c r="L1593" t="s">
        <v>23169</v>
      </c>
      <c r="M1593" t="s">
        <v>23170</v>
      </c>
      <c r="N1593" t="s">
        <v>23171</v>
      </c>
      <c r="O1593" t="s">
        <v>23172</v>
      </c>
      <c r="P1593" t="s">
        <v>23173</v>
      </c>
      <c r="Q1593" t="s">
        <v>23174</v>
      </c>
      <c r="R1593" t="s">
        <v>23175</v>
      </c>
      <c r="S1593" t="s">
        <v>23176</v>
      </c>
      <c r="T1593" s="2">
        <v>0.47916666666666663</v>
      </c>
      <c r="U1593">
        <v>1</v>
      </c>
      <c r="V1593" t="s">
        <v>23177</v>
      </c>
      <c r="W1593" t="s">
        <v>23178</v>
      </c>
      <c r="Y1593" t="s">
        <v>23179</v>
      </c>
      <c r="Z1593" t="s">
        <v>23179</v>
      </c>
      <c r="AA1593" t="s">
        <v>23179</v>
      </c>
      <c r="AC1593" t="s">
        <v>23179</v>
      </c>
    </row>
    <row r="1594" spans="1:30">
      <c r="A1594" t="s">
        <v>23180</v>
      </c>
      <c r="B1594">
        <v>3</v>
      </c>
      <c r="C1594">
        <v>11</v>
      </c>
      <c r="D1594">
        <v>1996</v>
      </c>
      <c r="E1594" s="1">
        <v>35135</v>
      </c>
      <c r="F1594" t="s">
        <v>23181</v>
      </c>
      <c r="G1594">
        <v>0</v>
      </c>
      <c r="H1594">
        <v>0</v>
      </c>
      <c r="I1594">
        <v>0</v>
      </c>
      <c r="J1594">
        <v>1</v>
      </c>
      <c r="L1594" t="s">
        <v>23182</v>
      </c>
      <c r="M1594" t="s">
        <v>23183</v>
      </c>
      <c r="N1594" t="s">
        <v>23184</v>
      </c>
      <c r="O1594" t="s">
        <v>23185</v>
      </c>
      <c r="P1594" t="s">
        <v>23186</v>
      </c>
      <c r="Q1594" t="s">
        <v>23187</v>
      </c>
      <c r="R1594" t="s">
        <v>23188</v>
      </c>
      <c r="S1594" t="s">
        <v>23189</v>
      </c>
      <c r="U1594">
        <v>1</v>
      </c>
      <c r="V1594" t="s">
        <v>23190</v>
      </c>
      <c r="W1594" t="s">
        <v>23191</v>
      </c>
      <c r="X1594" t="s">
        <v>23192</v>
      </c>
      <c r="Y1594" t="s">
        <v>23193</v>
      </c>
      <c r="Z1594" t="s">
        <v>23193</v>
      </c>
      <c r="AA1594" t="s">
        <v>23193</v>
      </c>
      <c r="AB1594" t="s">
        <v>23193</v>
      </c>
      <c r="AC1594" t="s">
        <v>23193</v>
      </c>
    </row>
    <row r="1595" spans="1:30">
      <c r="A1595" t="s">
        <v>23194</v>
      </c>
      <c r="B1595">
        <v>2</v>
      </c>
      <c r="C1595">
        <v>29</v>
      </c>
      <c r="D1595">
        <v>1996</v>
      </c>
      <c r="E1595" s="1">
        <v>35124</v>
      </c>
      <c r="F1595" t="s">
        <v>23195</v>
      </c>
      <c r="G1595">
        <v>2</v>
      </c>
      <c r="H1595">
        <v>1</v>
      </c>
      <c r="I1595">
        <v>3</v>
      </c>
      <c r="J1595">
        <v>0</v>
      </c>
      <c r="L1595" t="s">
        <v>23196</v>
      </c>
      <c r="M1595" t="s">
        <v>23197</v>
      </c>
      <c r="N1595" t="s">
        <v>23198</v>
      </c>
      <c r="O1595" t="s">
        <v>23199</v>
      </c>
      <c r="P1595" t="s">
        <v>23200</v>
      </c>
      <c r="Q1595" t="s">
        <v>23200</v>
      </c>
      <c r="R1595" t="s">
        <v>23201</v>
      </c>
      <c r="S1595" t="s">
        <v>23202</v>
      </c>
      <c r="T1595" s="2">
        <v>0.29166666666666669</v>
      </c>
      <c r="U1595">
        <v>1</v>
      </c>
      <c r="V1595" t="s">
        <v>23203</v>
      </c>
      <c r="W1595" t="s">
        <v>23204</v>
      </c>
      <c r="X1595" t="s">
        <v>23205</v>
      </c>
      <c r="Y1595" t="s">
        <v>23206</v>
      </c>
      <c r="Z1595" t="s">
        <v>23207</v>
      </c>
      <c r="AA1595" t="s">
        <v>23207</v>
      </c>
      <c r="AB1595" t="s">
        <v>23207</v>
      </c>
      <c r="AC1595" t="s">
        <v>23207</v>
      </c>
    </row>
    <row r="1596" spans="1:30">
      <c r="A1596" t="s">
        <v>23208</v>
      </c>
      <c r="B1596">
        <v>2</v>
      </c>
      <c r="C1596">
        <v>22</v>
      </c>
      <c r="D1596">
        <v>1996</v>
      </c>
      <c r="E1596" s="1">
        <v>35117</v>
      </c>
      <c r="F1596" t="s">
        <v>23209</v>
      </c>
      <c r="G1596">
        <v>1</v>
      </c>
      <c r="H1596">
        <v>0</v>
      </c>
      <c r="I1596">
        <v>1</v>
      </c>
      <c r="J1596">
        <v>0</v>
      </c>
      <c r="L1596" t="s">
        <v>23210</v>
      </c>
      <c r="M1596" t="s">
        <v>23211</v>
      </c>
      <c r="N1596" t="s">
        <v>23212</v>
      </c>
      <c r="O1596" t="s">
        <v>23213</v>
      </c>
      <c r="P1596" t="s">
        <v>23214</v>
      </c>
      <c r="Q1596" t="s">
        <v>23215</v>
      </c>
      <c r="R1596" t="s">
        <v>23216</v>
      </c>
      <c r="S1596" t="s">
        <v>23217</v>
      </c>
      <c r="U1596">
        <v>1</v>
      </c>
      <c r="V1596" t="s">
        <v>23218</v>
      </c>
      <c r="W1596" t="s">
        <v>23219</v>
      </c>
      <c r="X1596" t="s">
        <v>23220</v>
      </c>
      <c r="Y1596" t="s">
        <v>23221</v>
      </c>
      <c r="Z1596" t="s">
        <v>23221</v>
      </c>
      <c r="AA1596" t="s">
        <v>23221</v>
      </c>
      <c r="AB1596" t="s">
        <v>23221</v>
      </c>
      <c r="AC1596" t="s">
        <v>23221</v>
      </c>
    </row>
    <row r="1597" spans="1:30">
      <c r="A1597" t="s">
        <v>23222</v>
      </c>
      <c r="B1597">
        <v>2</v>
      </c>
      <c r="C1597">
        <v>8</v>
      </c>
      <c r="D1597">
        <v>1996</v>
      </c>
      <c r="E1597" s="1">
        <v>35103</v>
      </c>
      <c r="F1597" t="s">
        <v>23223</v>
      </c>
      <c r="G1597">
        <v>0</v>
      </c>
      <c r="H1597">
        <v>1</v>
      </c>
      <c r="I1597">
        <v>1</v>
      </c>
      <c r="J1597">
        <v>1</v>
      </c>
      <c r="L1597" t="s">
        <v>23224</v>
      </c>
      <c r="M1597" t="s">
        <v>23225</v>
      </c>
      <c r="N1597" t="s">
        <v>23226</v>
      </c>
      <c r="O1597" t="s">
        <v>23227</v>
      </c>
      <c r="P1597" t="s">
        <v>23228</v>
      </c>
      <c r="Q1597" t="s">
        <v>23229</v>
      </c>
      <c r="R1597" t="s">
        <v>23230</v>
      </c>
      <c r="S1597" t="s">
        <v>23231</v>
      </c>
      <c r="T1597" s="2">
        <v>0.45833333333333331</v>
      </c>
      <c r="U1597">
        <v>1</v>
      </c>
      <c r="V1597" t="s">
        <v>23232</v>
      </c>
      <c r="W1597" t="s">
        <v>23233</v>
      </c>
      <c r="X1597" t="s">
        <v>23234</v>
      </c>
      <c r="Y1597" t="s">
        <v>23235</v>
      </c>
      <c r="Z1597" t="s">
        <v>23235</v>
      </c>
      <c r="AA1597" t="s">
        <v>23235</v>
      </c>
      <c r="AB1597" t="s">
        <v>23235</v>
      </c>
      <c r="AC1597" t="s">
        <v>23235</v>
      </c>
      <c r="AD1597" t="s">
        <v>23236</v>
      </c>
    </row>
    <row r="1598" spans="1:30">
      <c r="A1598" t="s">
        <v>23237</v>
      </c>
      <c r="B1598">
        <v>2</v>
      </c>
      <c r="C1598">
        <v>2</v>
      </c>
      <c r="D1598">
        <v>1996</v>
      </c>
      <c r="E1598" s="1">
        <v>35097</v>
      </c>
      <c r="F1598" t="s">
        <v>23238</v>
      </c>
      <c r="G1598">
        <v>3</v>
      </c>
      <c r="H1598">
        <v>1</v>
      </c>
      <c r="I1598">
        <v>4</v>
      </c>
      <c r="J1598">
        <v>0</v>
      </c>
      <c r="L1598" t="s">
        <v>23239</v>
      </c>
      <c r="M1598" t="s">
        <v>23240</v>
      </c>
      <c r="N1598" t="s">
        <v>23241</v>
      </c>
      <c r="O1598" t="s">
        <v>23242</v>
      </c>
      <c r="P1598" t="s">
        <v>23243</v>
      </c>
      <c r="Q1598" t="s">
        <v>23244</v>
      </c>
      <c r="R1598" t="s">
        <v>23245</v>
      </c>
      <c r="S1598" t="s">
        <v>23246</v>
      </c>
      <c r="V1598" t="s">
        <v>23247</v>
      </c>
      <c r="W1598" t="s">
        <v>23248</v>
      </c>
      <c r="X1598" t="s">
        <v>23249</v>
      </c>
      <c r="Y1598" t="s">
        <v>23250</v>
      </c>
      <c r="Z1598" t="s">
        <v>23251</v>
      </c>
      <c r="AA1598" t="s">
        <v>23252</v>
      </c>
      <c r="AB1598" t="s">
        <v>23253</v>
      </c>
      <c r="AC1598" t="s">
        <v>23253</v>
      </c>
      <c r="AD1598" t="s">
        <v>23253</v>
      </c>
    </row>
    <row r="1599" spans="1:30">
      <c r="A1599" t="s">
        <v>23254</v>
      </c>
      <c r="B1599">
        <v>1</v>
      </c>
      <c r="C1599">
        <v>26</v>
      </c>
      <c r="D1599">
        <v>1996</v>
      </c>
      <c r="E1599" s="1">
        <v>35090</v>
      </c>
      <c r="F1599" t="s">
        <v>23255</v>
      </c>
      <c r="G1599">
        <v>1</v>
      </c>
      <c r="H1599">
        <v>0</v>
      </c>
      <c r="I1599">
        <v>1</v>
      </c>
      <c r="J1599">
        <v>0</v>
      </c>
      <c r="L1599" t="s">
        <v>23256</v>
      </c>
      <c r="M1599" t="s">
        <v>23257</v>
      </c>
      <c r="N1599" t="s">
        <v>23258</v>
      </c>
      <c r="O1599" t="s">
        <v>23259</v>
      </c>
      <c r="P1599" t="s">
        <v>23260</v>
      </c>
      <c r="Q1599" t="s">
        <v>23261</v>
      </c>
      <c r="R1599" t="s">
        <v>23262</v>
      </c>
      <c r="S1599" t="s">
        <v>23263</v>
      </c>
      <c r="T1599" s="2">
        <v>0.90625</v>
      </c>
      <c r="U1599">
        <v>1</v>
      </c>
      <c r="V1599" t="s">
        <v>23264</v>
      </c>
      <c r="W1599" t="s">
        <v>23265</v>
      </c>
      <c r="X1599" t="s">
        <v>23266</v>
      </c>
      <c r="Y1599" t="s">
        <v>23267</v>
      </c>
      <c r="Z1599" t="s">
        <v>23267</v>
      </c>
      <c r="AA1599" t="s">
        <v>23267</v>
      </c>
      <c r="AB1599" t="s">
        <v>23267</v>
      </c>
      <c r="AC1599" t="s">
        <v>23267</v>
      </c>
    </row>
    <row r="1600" spans="1:30">
      <c r="A1600" t="s">
        <v>23268</v>
      </c>
      <c r="B1600">
        <v>1</v>
      </c>
      <c r="C1600">
        <v>19</v>
      </c>
      <c r="D1600">
        <v>1996</v>
      </c>
      <c r="E1600" s="1">
        <v>35083</v>
      </c>
      <c r="F1600" t="s">
        <v>23269</v>
      </c>
      <c r="G1600">
        <v>1</v>
      </c>
      <c r="H1600">
        <v>0</v>
      </c>
      <c r="I1600">
        <v>1</v>
      </c>
      <c r="J1600">
        <v>0</v>
      </c>
      <c r="L1600" t="s">
        <v>23270</v>
      </c>
      <c r="M1600" t="s">
        <v>23271</v>
      </c>
      <c r="N1600" t="s">
        <v>23272</v>
      </c>
      <c r="O1600" t="s">
        <v>23273</v>
      </c>
      <c r="P1600" t="s">
        <v>23274</v>
      </c>
      <c r="Q1600" t="s">
        <v>23275</v>
      </c>
      <c r="R1600" t="s">
        <v>23276</v>
      </c>
      <c r="S1600" t="s">
        <v>23277</v>
      </c>
      <c r="U1600">
        <v>1</v>
      </c>
      <c r="V1600" t="s">
        <v>23278</v>
      </c>
      <c r="W1600" t="s">
        <v>23279</v>
      </c>
      <c r="X1600" t="s">
        <v>23280</v>
      </c>
      <c r="Y1600" t="s">
        <v>23281</v>
      </c>
      <c r="Z1600" t="s">
        <v>23282</v>
      </c>
      <c r="AA1600" t="s">
        <v>23282</v>
      </c>
      <c r="AB1600" t="s">
        <v>23282</v>
      </c>
      <c r="AC1600" t="s">
        <v>23282</v>
      </c>
      <c r="AD1600" t="s">
        <v>23282</v>
      </c>
    </row>
    <row r="1601" spans="1:30">
      <c r="A1601" t="s">
        <v>23283</v>
      </c>
      <c r="B1601">
        <v>1</v>
      </c>
      <c r="C1601">
        <v>2</v>
      </c>
      <c r="D1601">
        <v>1996</v>
      </c>
      <c r="E1601" s="1">
        <v>35066</v>
      </c>
      <c r="F1601" t="s">
        <v>23284</v>
      </c>
      <c r="G1601">
        <v>0</v>
      </c>
      <c r="H1601">
        <v>0</v>
      </c>
      <c r="I1601">
        <v>0</v>
      </c>
      <c r="J1601">
        <v>1</v>
      </c>
      <c r="L1601" t="s">
        <v>23285</v>
      </c>
      <c r="M1601" t="s">
        <v>23286</v>
      </c>
      <c r="N1601" t="s">
        <v>23287</v>
      </c>
      <c r="O1601" t="s">
        <v>23288</v>
      </c>
      <c r="P1601" t="s">
        <v>23289</v>
      </c>
      <c r="Q1601" t="s">
        <v>23290</v>
      </c>
      <c r="U1601">
        <v>1</v>
      </c>
      <c r="V1601" t="s">
        <v>23291</v>
      </c>
      <c r="W1601" t="s">
        <v>23292</v>
      </c>
      <c r="X1601" t="s">
        <v>23293</v>
      </c>
      <c r="Y1601" t="s">
        <v>23294</v>
      </c>
      <c r="Z1601" t="s">
        <v>23294</v>
      </c>
      <c r="AA1601" t="s">
        <v>23295</v>
      </c>
      <c r="AD1601" t="s">
        <v>23296</v>
      </c>
    </row>
    <row r="1602" spans="1:30">
      <c r="A1602" t="s">
        <v>23297</v>
      </c>
      <c r="B1602">
        <v>11</v>
      </c>
      <c r="C1602">
        <v>28</v>
      </c>
      <c r="D1602">
        <v>1995</v>
      </c>
      <c r="E1602" s="1">
        <v>35031</v>
      </c>
      <c r="F1602" t="s">
        <v>23298</v>
      </c>
      <c r="G1602">
        <v>1</v>
      </c>
      <c r="H1602">
        <v>0</v>
      </c>
      <c r="I1602">
        <v>1</v>
      </c>
      <c r="J1602">
        <v>0</v>
      </c>
      <c r="L1602" t="s">
        <v>23299</v>
      </c>
      <c r="M1602" t="s">
        <v>23300</v>
      </c>
      <c r="N1602" t="s">
        <v>23301</v>
      </c>
      <c r="O1602" t="s">
        <v>23302</v>
      </c>
      <c r="P1602" t="s">
        <v>23303</v>
      </c>
      <c r="Q1602" t="s">
        <v>23304</v>
      </c>
      <c r="R1602" t="s">
        <v>23305</v>
      </c>
      <c r="S1602" t="s">
        <v>23306</v>
      </c>
      <c r="T1602" s="2">
        <v>0.47916666666666663</v>
      </c>
      <c r="U1602">
        <v>1</v>
      </c>
      <c r="V1602" t="s">
        <v>23307</v>
      </c>
      <c r="W1602" t="s">
        <v>23308</v>
      </c>
      <c r="X1602" t="s">
        <v>23309</v>
      </c>
      <c r="Y1602" t="s">
        <v>23310</v>
      </c>
      <c r="Z1602" t="s">
        <v>23311</v>
      </c>
      <c r="AA1602" t="s">
        <v>23311</v>
      </c>
      <c r="AB1602" t="s">
        <v>23311</v>
      </c>
      <c r="AC1602" t="s">
        <v>23311</v>
      </c>
    </row>
    <row r="1603" spans="1:30">
      <c r="A1603" t="s">
        <v>23312</v>
      </c>
      <c r="B1603">
        <v>11</v>
      </c>
      <c r="C1603">
        <v>15</v>
      </c>
      <c r="D1603">
        <v>1995</v>
      </c>
      <c r="E1603" s="1">
        <v>35018</v>
      </c>
      <c r="F1603" t="s">
        <v>23313</v>
      </c>
      <c r="G1603">
        <v>2</v>
      </c>
      <c r="H1603">
        <v>1</v>
      </c>
      <c r="I1603">
        <v>3</v>
      </c>
      <c r="J1603">
        <v>0</v>
      </c>
      <c r="L1603" t="s">
        <v>23314</v>
      </c>
      <c r="M1603" t="s">
        <v>23315</v>
      </c>
      <c r="N1603" t="s">
        <v>23316</v>
      </c>
      <c r="O1603" t="s">
        <v>23317</v>
      </c>
      <c r="P1603" t="s">
        <v>23318</v>
      </c>
      <c r="Q1603" t="s">
        <v>23319</v>
      </c>
      <c r="R1603" t="s">
        <v>23320</v>
      </c>
      <c r="S1603" t="s">
        <v>23321</v>
      </c>
      <c r="V1603" t="s">
        <v>23322</v>
      </c>
      <c r="W1603" t="s">
        <v>23323</v>
      </c>
      <c r="X1603" t="s">
        <v>23324</v>
      </c>
      <c r="Y1603" t="s">
        <v>23325</v>
      </c>
      <c r="Z1603" t="s">
        <v>23325</v>
      </c>
      <c r="AA1603" t="s">
        <v>23325</v>
      </c>
      <c r="AB1603" t="s">
        <v>23326</v>
      </c>
      <c r="AC1603" t="s">
        <v>23327</v>
      </c>
      <c r="AD1603" t="s">
        <v>23328</v>
      </c>
    </row>
    <row r="1604" spans="1:30">
      <c r="A1604" t="s">
        <v>23329</v>
      </c>
      <c r="B1604">
        <v>11</v>
      </c>
      <c r="C1604">
        <v>2</v>
      </c>
      <c r="D1604">
        <v>1995</v>
      </c>
      <c r="E1604" s="1">
        <v>35005</v>
      </c>
      <c r="F1604" t="s">
        <v>23330</v>
      </c>
      <c r="G1604">
        <v>0</v>
      </c>
      <c r="H1604">
        <v>0</v>
      </c>
      <c r="I1604">
        <v>0</v>
      </c>
      <c r="J1604">
        <v>1</v>
      </c>
      <c r="L1604" t="s">
        <v>23331</v>
      </c>
      <c r="M1604" t="s">
        <v>23332</v>
      </c>
      <c r="N1604" t="s">
        <v>23333</v>
      </c>
      <c r="O1604" t="s">
        <v>23334</v>
      </c>
      <c r="P1604" t="s">
        <v>23335</v>
      </c>
      <c r="Q1604" t="s">
        <v>23335</v>
      </c>
      <c r="R1604" t="s">
        <v>23336</v>
      </c>
      <c r="S1604" t="s">
        <v>23337</v>
      </c>
      <c r="T1604" s="2">
        <v>0.34375</v>
      </c>
      <c r="V1604" t="s">
        <v>23338</v>
      </c>
      <c r="W1604" t="s">
        <v>23339</v>
      </c>
      <c r="X1604" t="s">
        <v>23340</v>
      </c>
      <c r="Y1604" t="s">
        <v>23341</v>
      </c>
      <c r="Z1604" t="s">
        <v>23342</v>
      </c>
      <c r="AA1604" t="s">
        <v>23342</v>
      </c>
      <c r="AB1604" t="s">
        <v>23343</v>
      </c>
      <c r="AC1604" t="s">
        <v>23343</v>
      </c>
    </row>
    <row r="1605" spans="1:30">
      <c r="A1605" t="s">
        <v>23344</v>
      </c>
      <c r="B1605">
        <v>10</v>
      </c>
      <c r="C1605">
        <v>30</v>
      </c>
      <c r="D1605">
        <v>1995</v>
      </c>
      <c r="E1605" s="1">
        <v>35002</v>
      </c>
      <c r="F1605" t="s">
        <v>23345</v>
      </c>
      <c r="G1605">
        <v>0</v>
      </c>
      <c r="H1605">
        <v>4</v>
      </c>
      <c r="I1605">
        <v>4</v>
      </c>
      <c r="J1605">
        <v>0</v>
      </c>
      <c r="L1605" t="s">
        <v>23346</v>
      </c>
      <c r="M1605" t="s">
        <v>23347</v>
      </c>
      <c r="N1605" t="s">
        <v>23348</v>
      </c>
      <c r="O1605" t="s">
        <v>23349</v>
      </c>
      <c r="P1605" t="s">
        <v>23350</v>
      </c>
      <c r="Q1605" t="s">
        <v>23351</v>
      </c>
      <c r="R1605" t="s">
        <v>23352</v>
      </c>
      <c r="S1605" t="s">
        <v>23353</v>
      </c>
      <c r="T1605" s="2">
        <v>0.58680555555555558</v>
      </c>
      <c r="U1605">
        <v>1</v>
      </c>
      <c r="V1605" t="s">
        <v>23354</v>
      </c>
      <c r="W1605" t="s">
        <v>23355</v>
      </c>
      <c r="X1605" t="s">
        <v>23356</v>
      </c>
      <c r="Y1605" t="s">
        <v>23357</v>
      </c>
      <c r="Z1605" t="s">
        <v>23357</v>
      </c>
      <c r="AA1605" t="s">
        <v>23357</v>
      </c>
      <c r="AB1605" t="s">
        <v>23357</v>
      </c>
      <c r="AC1605" t="s">
        <v>23357</v>
      </c>
    </row>
    <row r="1606" spans="1:30">
      <c r="A1606" t="s">
        <v>23358</v>
      </c>
      <c r="B1606">
        <v>10</v>
      </c>
      <c r="C1606">
        <v>23</v>
      </c>
      <c r="D1606">
        <v>1995</v>
      </c>
      <c r="E1606" s="1">
        <v>34995</v>
      </c>
      <c r="F1606" t="s">
        <v>23359</v>
      </c>
      <c r="G1606">
        <v>0</v>
      </c>
      <c r="H1606">
        <v>0</v>
      </c>
      <c r="I1606">
        <v>0</v>
      </c>
      <c r="J1606">
        <v>0</v>
      </c>
      <c r="L1606" t="s">
        <v>23360</v>
      </c>
      <c r="M1606" t="s">
        <v>23361</v>
      </c>
      <c r="N1606" t="s">
        <v>23362</v>
      </c>
      <c r="O1606" t="s">
        <v>23363</v>
      </c>
      <c r="P1606" t="s">
        <v>23364</v>
      </c>
      <c r="Q1606" t="s">
        <v>23365</v>
      </c>
      <c r="R1606" t="s">
        <v>23366</v>
      </c>
      <c r="S1606" t="s">
        <v>23367</v>
      </c>
      <c r="T1606" s="2">
        <v>0.32986111111111116</v>
      </c>
      <c r="U1606">
        <v>1</v>
      </c>
      <c r="V1606" t="s">
        <v>23368</v>
      </c>
      <c r="W1606" t="s">
        <v>23369</v>
      </c>
      <c r="X1606" t="s">
        <v>23370</v>
      </c>
      <c r="Y1606" t="s">
        <v>23371</v>
      </c>
      <c r="Z1606" t="s">
        <v>23371</v>
      </c>
      <c r="AA1606" t="s">
        <v>23371</v>
      </c>
      <c r="AB1606" t="s">
        <v>23371</v>
      </c>
      <c r="AC1606" t="s">
        <v>23371</v>
      </c>
    </row>
    <row r="1607" spans="1:30">
      <c r="A1607" t="s">
        <v>23372</v>
      </c>
      <c r="B1607">
        <v>10</v>
      </c>
      <c r="C1607">
        <v>12</v>
      </c>
      <c r="D1607">
        <v>1995</v>
      </c>
      <c r="E1607" s="1">
        <v>34984</v>
      </c>
      <c r="F1607" t="s">
        <v>23373</v>
      </c>
      <c r="G1607">
        <v>1</v>
      </c>
      <c r="H1607">
        <v>1</v>
      </c>
      <c r="I1607">
        <v>2</v>
      </c>
      <c r="J1607">
        <v>1</v>
      </c>
      <c r="L1607" t="s">
        <v>23374</v>
      </c>
      <c r="M1607" t="s">
        <v>23375</v>
      </c>
      <c r="N1607" t="s">
        <v>23376</v>
      </c>
      <c r="O1607" t="s">
        <v>23377</v>
      </c>
      <c r="P1607" t="s">
        <v>23378</v>
      </c>
      <c r="Q1607" t="s">
        <v>23379</v>
      </c>
      <c r="R1607" t="s">
        <v>23380</v>
      </c>
      <c r="S1607" t="s">
        <v>23381</v>
      </c>
      <c r="T1607" s="2">
        <v>0.3611111111111111</v>
      </c>
      <c r="V1607" t="s">
        <v>23382</v>
      </c>
      <c r="W1607" t="s">
        <v>23383</v>
      </c>
      <c r="X1607" t="s">
        <v>23384</v>
      </c>
      <c r="Y1607" t="s">
        <v>23385</v>
      </c>
      <c r="Z1607" t="s">
        <v>23385</v>
      </c>
      <c r="AA1607" t="s">
        <v>23385</v>
      </c>
      <c r="AB1607" t="s">
        <v>23386</v>
      </c>
      <c r="AC1607" t="s">
        <v>23387</v>
      </c>
      <c r="AD1607" t="s">
        <v>23388</v>
      </c>
    </row>
    <row r="1608" spans="1:30">
      <c r="A1608" t="s">
        <v>23389</v>
      </c>
      <c r="B1608">
        <v>9</v>
      </c>
      <c r="C1608">
        <v>29</v>
      </c>
      <c r="D1608">
        <v>1995</v>
      </c>
      <c r="E1608" s="1">
        <v>34971</v>
      </c>
      <c r="F1608" t="s">
        <v>23390</v>
      </c>
      <c r="G1608">
        <v>1</v>
      </c>
      <c r="H1608">
        <v>0</v>
      </c>
      <c r="I1608">
        <v>1</v>
      </c>
      <c r="J1608">
        <v>0</v>
      </c>
      <c r="L1608" t="s">
        <v>23391</v>
      </c>
      <c r="M1608" t="s">
        <v>23392</v>
      </c>
      <c r="N1608" t="s">
        <v>23393</v>
      </c>
      <c r="O1608" t="s">
        <v>23394</v>
      </c>
      <c r="P1608" t="s">
        <v>23395</v>
      </c>
      <c r="Q1608" t="s">
        <v>23396</v>
      </c>
      <c r="R1608" t="s">
        <v>23397</v>
      </c>
      <c r="S1608" t="s">
        <v>23398</v>
      </c>
      <c r="U1608">
        <v>1</v>
      </c>
      <c r="V1608" t="s">
        <v>23399</v>
      </c>
      <c r="W1608" t="s">
        <v>23400</v>
      </c>
      <c r="X1608" t="s">
        <v>23401</v>
      </c>
      <c r="Y1608" t="s">
        <v>23402</v>
      </c>
      <c r="Z1608" t="s">
        <v>23402</v>
      </c>
      <c r="AA1608" t="s">
        <v>23402</v>
      </c>
      <c r="AB1608" t="s">
        <v>23403</v>
      </c>
      <c r="AC1608" t="s">
        <v>23404</v>
      </c>
    </row>
    <row r="1609" spans="1:30">
      <c r="A1609" t="s">
        <v>23405</v>
      </c>
      <c r="B1609">
        <v>9</v>
      </c>
      <c r="C1609">
        <v>27</v>
      </c>
      <c r="D1609">
        <v>1995</v>
      </c>
      <c r="E1609" s="1">
        <v>34969</v>
      </c>
      <c r="F1609" t="s">
        <v>23406</v>
      </c>
      <c r="G1609">
        <v>0</v>
      </c>
      <c r="H1609">
        <v>1</v>
      </c>
      <c r="I1609">
        <v>1</v>
      </c>
      <c r="J1609">
        <v>0</v>
      </c>
      <c r="L1609" t="s">
        <v>23407</v>
      </c>
      <c r="M1609" t="s">
        <v>23408</v>
      </c>
      <c r="N1609" t="s">
        <v>23409</v>
      </c>
      <c r="O1609" t="s">
        <v>23410</v>
      </c>
      <c r="P1609" t="s">
        <v>23411</v>
      </c>
      <c r="Q1609" t="s">
        <v>23412</v>
      </c>
      <c r="R1609" t="s">
        <v>23413</v>
      </c>
      <c r="S1609" t="s">
        <v>23414</v>
      </c>
      <c r="T1609" s="2">
        <v>0.45833333333333331</v>
      </c>
      <c r="U1609">
        <v>1</v>
      </c>
      <c r="V1609" t="s">
        <v>23415</v>
      </c>
      <c r="W1609" t="s">
        <v>23416</v>
      </c>
      <c r="X1609" t="s">
        <v>23417</v>
      </c>
      <c r="Y1609" t="s">
        <v>23418</v>
      </c>
      <c r="Z1609" t="s">
        <v>23418</v>
      </c>
      <c r="AA1609" t="s">
        <v>23418</v>
      </c>
      <c r="AB1609" t="s">
        <v>23418</v>
      </c>
      <c r="AC1609" t="s">
        <v>23418</v>
      </c>
    </row>
    <row r="1610" spans="1:30">
      <c r="A1610" t="s">
        <v>23419</v>
      </c>
      <c r="B1610">
        <v>9</v>
      </c>
      <c r="C1610">
        <v>15</v>
      </c>
      <c r="D1610">
        <v>1995</v>
      </c>
      <c r="E1610" s="1">
        <v>34957</v>
      </c>
      <c r="F1610" t="s">
        <v>23420</v>
      </c>
      <c r="G1610">
        <v>0</v>
      </c>
      <c r="H1610">
        <v>0</v>
      </c>
      <c r="I1610">
        <v>0</v>
      </c>
      <c r="J1610">
        <v>0</v>
      </c>
      <c r="L1610" t="s">
        <v>23421</v>
      </c>
      <c r="M1610" t="s">
        <v>23422</v>
      </c>
      <c r="N1610" t="s">
        <v>23423</v>
      </c>
      <c r="O1610" t="s">
        <v>23424</v>
      </c>
      <c r="P1610" t="s">
        <v>23425</v>
      </c>
      <c r="Q1610" t="s">
        <v>23425</v>
      </c>
      <c r="R1610" t="s">
        <v>23426</v>
      </c>
      <c r="S1610" t="s">
        <v>23427</v>
      </c>
      <c r="V1610" t="s">
        <v>23428</v>
      </c>
      <c r="W1610" t="s">
        <v>23429</v>
      </c>
      <c r="X1610" t="s">
        <v>23430</v>
      </c>
      <c r="Y1610" t="s">
        <v>23431</v>
      </c>
      <c r="Z1610" t="s">
        <v>23432</v>
      </c>
      <c r="AA1610" t="s">
        <v>23432</v>
      </c>
      <c r="AC1610" t="s">
        <v>23433</v>
      </c>
      <c r="AD1610" t="s">
        <v>23434</v>
      </c>
    </row>
    <row r="1611" spans="1:30">
      <c r="A1611" t="s">
        <v>23435</v>
      </c>
      <c r="B1611">
        <v>9</v>
      </c>
      <c r="C1611">
        <v>14</v>
      </c>
      <c r="D1611">
        <v>1995</v>
      </c>
      <c r="E1611" s="1">
        <v>34956</v>
      </c>
      <c r="F1611" t="s">
        <v>23436</v>
      </c>
      <c r="G1611">
        <v>2</v>
      </c>
      <c r="H1611">
        <v>4</v>
      </c>
      <c r="I1611">
        <v>6</v>
      </c>
      <c r="J1611">
        <v>0</v>
      </c>
      <c r="L1611" t="s">
        <v>23437</v>
      </c>
      <c r="M1611" t="s">
        <v>23438</v>
      </c>
      <c r="N1611" t="s">
        <v>23439</v>
      </c>
      <c r="O1611" t="s">
        <v>23440</v>
      </c>
      <c r="P1611" t="s">
        <v>23441</v>
      </c>
      <c r="Q1611" t="s">
        <v>23442</v>
      </c>
      <c r="R1611" t="s">
        <v>23443</v>
      </c>
      <c r="S1611" t="s">
        <v>23444</v>
      </c>
      <c r="U1611">
        <v>1</v>
      </c>
      <c r="V1611" t="s">
        <v>23445</v>
      </c>
      <c r="W1611" t="s">
        <v>23446</v>
      </c>
      <c r="X1611" t="s">
        <v>23447</v>
      </c>
      <c r="Y1611" t="s">
        <v>23448</v>
      </c>
      <c r="Z1611" t="s">
        <v>23448</v>
      </c>
      <c r="AA1611" t="s">
        <v>23448</v>
      </c>
      <c r="AB1611" t="s">
        <v>23448</v>
      </c>
      <c r="AC1611" t="s">
        <v>23448</v>
      </c>
    </row>
    <row r="1612" spans="1:30">
      <c r="A1612" t="s">
        <v>23449</v>
      </c>
      <c r="B1612">
        <v>9</v>
      </c>
      <c r="C1612">
        <v>12</v>
      </c>
      <c r="D1612">
        <v>1995</v>
      </c>
      <c r="E1612" s="1">
        <v>34954</v>
      </c>
      <c r="F1612" t="s">
        <v>23450</v>
      </c>
      <c r="G1612">
        <v>1</v>
      </c>
      <c r="H1612">
        <v>0</v>
      </c>
      <c r="I1612">
        <v>1</v>
      </c>
      <c r="J1612">
        <v>0</v>
      </c>
      <c r="L1612" t="s">
        <v>23451</v>
      </c>
      <c r="M1612" t="s">
        <v>23452</v>
      </c>
      <c r="N1612" t="s">
        <v>23453</v>
      </c>
      <c r="O1612" t="s">
        <v>23454</v>
      </c>
      <c r="P1612" t="s">
        <v>23455</v>
      </c>
      <c r="Q1612" t="s">
        <v>23456</v>
      </c>
      <c r="R1612" t="s">
        <v>23457</v>
      </c>
      <c r="S1612" t="s">
        <v>23458</v>
      </c>
      <c r="T1612" s="2">
        <v>0.35416666666666663</v>
      </c>
      <c r="U1612">
        <v>1</v>
      </c>
      <c r="V1612" t="s">
        <v>23459</v>
      </c>
      <c r="W1612" t="s">
        <v>23460</v>
      </c>
      <c r="X1612" t="s">
        <v>23461</v>
      </c>
      <c r="Y1612" t="s">
        <v>23462</v>
      </c>
      <c r="Z1612" t="s">
        <v>23462</v>
      </c>
      <c r="AA1612" t="s">
        <v>23462</v>
      </c>
      <c r="AB1612" t="s">
        <v>23462</v>
      </c>
      <c r="AC1612" t="s">
        <v>23462</v>
      </c>
    </row>
    <row r="1613" spans="1:30">
      <c r="A1613" t="s">
        <v>23463</v>
      </c>
      <c r="B1613">
        <v>8</v>
      </c>
      <c r="C1613">
        <v>29</v>
      </c>
      <c r="D1613">
        <v>1995</v>
      </c>
      <c r="E1613" s="1">
        <v>34940</v>
      </c>
      <c r="F1613" t="s">
        <v>23464</v>
      </c>
      <c r="G1613">
        <v>1</v>
      </c>
      <c r="H1613">
        <v>0</v>
      </c>
      <c r="I1613">
        <v>1</v>
      </c>
      <c r="J1613">
        <v>0</v>
      </c>
      <c r="L1613" t="s">
        <v>23465</v>
      </c>
      <c r="M1613" t="s">
        <v>23466</v>
      </c>
      <c r="N1613" t="s">
        <v>23467</v>
      </c>
      <c r="O1613" t="s">
        <v>23468</v>
      </c>
      <c r="P1613" t="s">
        <v>23469</v>
      </c>
      <c r="Q1613" t="s">
        <v>23470</v>
      </c>
      <c r="R1613" t="s">
        <v>23471</v>
      </c>
      <c r="S1613" t="s">
        <v>23472</v>
      </c>
      <c r="T1613" s="2">
        <v>0.67708333333333326</v>
      </c>
      <c r="U1613">
        <v>1</v>
      </c>
      <c r="V1613" t="s">
        <v>23473</v>
      </c>
      <c r="W1613" t="s">
        <v>23474</v>
      </c>
      <c r="X1613" t="s">
        <v>23475</v>
      </c>
      <c r="Y1613" t="s">
        <v>23476</v>
      </c>
      <c r="Z1613" t="s">
        <v>23476</v>
      </c>
      <c r="AA1613" t="s">
        <v>23476</v>
      </c>
      <c r="AB1613" t="s">
        <v>23476</v>
      </c>
      <c r="AC1613" t="s">
        <v>23477</v>
      </c>
    </row>
    <row r="1614" spans="1:30">
      <c r="A1614" t="s">
        <v>23478</v>
      </c>
      <c r="B1614">
        <v>6</v>
      </c>
      <c r="C1614">
        <v>14</v>
      </c>
      <c r="D1614">
        <v>1995</v>
      </c>
      <c r="E1614" s="1">
        <v>34864</v>
      </c>
      <c r="F1614" t="s">
        <v>23479</v>
      </c>
      <c r="G1614">
        <v>0</v>
      </c>
      <c r="H1614">
        <v>2</v>
      </c>
      <c r="I1614">
        <v>2</v>
      </c>
      <c r="J1614">
        <v>0</v>
      </c>
      <c r="L1614" t="s">
        <v>23480</v>
      </c>
      <c r="M1614" t="s">
        <v>23481</v>
      </c>
      <c r="N1614" t="s">
        <v>23482</v>
      </c>
      <c r="O1614" t="s">
        <v>23483</v>
      </c>
      <c r="P1614" t="s">
        <v>23484</v>
      </c>
      <c r="Q1614" t="s">
        <v>23485</v>
      </c>
      <c r="R1614" t="s">
        <v>23486</v>
      </c>
      <c r="S1614" t="s">
        <v>23487</v>
      </c>
      <c r="T1614" s="2">
        <v>0.52083333333333337</v>
      </c>
      <c r="U1614">
        <v>1</v>
      </c>
      <c r="V1614" t="s">
        <v>23488</v>
      </c>
      <c r="W1614" t="s">
        <v>23489</v>
      </c>
      <c r="X1614" t="s">
        <v>23490</v>
      </c>
      <c r="Y1614" t="s">
        <v>23491</v>
      </c>
      <c r="Z1614" t="s">
        <v>23491</v>
      </c>
      <c r="AA1614" t="s">
        <v>23491</v>
      </c>
      <c r="AB1614" t="s">
        <v>23491</v>
      </c>
      <c r="AC1614" t="s">
        <v>23491</v>
      </c>
    </row>
    <row r="1615" spans="1:30">
      <c r="A1615" t="s">
        <v>23492</v>
      </c>
      <c r="B1615">
        <v>3</v>
      </c>
      <c r="C1615">
        <v>27</v>
      </c>
      <c r="D1615">
        <v>1995</v>
      </c>
      <c r="E1615" s="1">
        <v>34785</v>
      </c>
      <c r="F1615" t="s">
        <v>23493</v>
      </c>
      <c r="G1615">
        <v>0</v>
      </c>
      <c r="H1615">
        <v>1</v>
      </c>
      <c r="I1615">
        <v>1</v>
      </c>
      <c r="J1615">
        <v>0</v>
      </c>
      <c r="L1615" t="s">
        <v>23494</v>
      </c>
      <c r="M1615" t="s">
        <v>23495</v>
      </c>
      <c r="N1615" t="s">
        <v>23496</v>
      </c>
      <c r="O1615" t="s">
        <v>23497</v>
      </c>
      <c r="P1615" t="s">
        <v>23498</v>
      </c>
      <c r="Q1615" t="s">
        <v>23499</v>
      </c>
      <c r="R1615" t="s">
        <v>23500</v>
      </c>
      <c r="S1615" t="s">
        <v>23501</v>
      </c>
      <c r="T1615" s="2">
        <v>0.41666666666666669</v>
      </c>
      <c r="U1615">
        <v>1</v>
      </c>
      <c r="V1615" t="s">
        <v>23502</v>
      </c>
      <c r="W1615" t="s">
        <v>23503</v>
      </c>
      <c r="X1615" t="s">
        <v>23504</v>
      </c>
      <c r="Y1615" t="s">
        <v>23505</v>
      </c>
      <c r="Z1615" t="s">
        <v>23505</v>
      </c>
      <c r="AA1615" t="s">
        <v>23505</v>
      </c>
      <c r="AB1615" t="s">
        <v>23505</v>
      </c>
      <c r="AC1615" t="s">
        <v>23505</v>
      </c>
    </row>
    <row r="1616" spans="1:30">
      <c r="A1616" t="s">
        <v>23506</v>
      </c>
      <c r="B1616">
        <v>3</v>
      </c>
      <c r="C1616">
        <v>3</v>
      </c>
      <c r="D1616">
        <v>1995</v>
      </c>
      <c r="E1616" s="1">
        <v>34761</v>
      </c>
      <c r="F1616" t="s">
        <v>23507</v>
      </c>
      <c r="G1616">
        <v>0</v>
      </c>
      <c r="H1616">
        <v>1</v>
      </c>
      <c r="I1616">
        <v>1</v>
      </c>
      <c r="J1616">
        <v>0</v>
      </c>
      <c r="L1616" t="s">
        <v>23508</v>
      </c>
      <c r="M1616" t="s">
        <v>23509</v>
      </c>
      <c r="N1616" t="s">
        <v>23510</v>
      </c>
      <c r="O1616" t="s">
        <v>23511</v>
      </c>
      <c r="P1616" t="s">
        <v>23512</v>
      </c>
      <c r="Q1616" t="s">
        <v>23513</v>
      </c>
      <c r="R1616" t="s">
        <v>23514</v>
      </c>
      <c r="S1616" t="s">
        <v>23515</v>
      </c>
      <c r="T1616" s="2">
        <v>0.58333333333333337</v>
      </c>
      <c r="U1616">
        <v>1</v>
      </c>
      <c r="V1616" t="s">
        <v>23516</v>
      </c>
      <c r="W1616" t="s">
        <v>23517</v>
      </c>
      <c r="X1616" t="s">
        <v>23518</v>
      </c>
      <c r="Y1616" t="s">
        <v>23519</v>
      </c>
      <c r="Z1616" t="s">
        <v>23519</v>
      </c>
      <c r="AA1616" t="s">
        <v>23519</v>
      </c>
      <c r="AB1616" t="s">
        <v>23519</v>
      </c>
      <c r="AC1616" t="s">
        <v>23519</v>
      </c>
      <c r="AD1616" t="s">
        <v>23519</v>
      </c>
    </row>
    <row r="1617" spans="1:30">
      <c r="A1617" t="s">
        <v>23520</v>
      </c>
      <c r="B1617">
        <v>2</v>
      </c>
      <c r="C1617">
        <v>8</v>
      </c>
      <c r="D1617">
        <v>1995</v>
      </c>
      <c r="E1617" s="1">
        <v>34738</v>
      </c>
      <c r="F1617" t="s">
        <v>23521</v>
      </c>
      <c r="G1617">
        <v>0</v>
      </c>
      <c r="H1617">
        <v>1</v>
      </c>
      <c r="I1617">
        <v>1</v>
      </c>
      <c r="J1617">
        <v>0</v>
      </c>
      <c r="L1617" t="s">
        <v>23522</v>
      </c>
      <c r="M1617" t="s">
        <v>23523</v>
      </c>
      <c r="N1617" t="s">
        <v>23524</v>
      </c>
      <c r="O1617" t="s">
        <v>23525</v>
      </c>
      <c r="P1617" t="s">
        <v>23526</v>
      </c>
      <c r="Q1617" t="s">
        <v>23527</v>
      </c>
      <c r="R1617" t="s">
        <v>23528</v>
      </c>
      <c r="S1617" t="s">
        <v>23529</v>
      </c>
      <c r="U1617">
        <v>1</v>
      </c>
      <c r="V1617" t="s">
        <v>23530</v>
      </c>
      <c r="W1617" t="s">
        <v>23531</v>
      </c>
      <c r="X1617" t="s">
        <v>23532</v>
      </c>
      <c r="Y1617" t="s">
        <v>23533</v>
      </c>
      <c r="Z1617" t="s">
        <v>23533</v>
      </c>
      <c r="AA1617" t="s">
        <v>23533</v>
      </c>
      <c r="AB1617" t="s">
        <v>23533</v>
      </c>
      <c r="AC1617" t="s">
        <v>23533</v>
      </c>
    </row>
    <row r="1618" spans="1:30">
      <c r="A1618" t="s">
        <v>23534</v>
      </c>
      <c r="B1618">
        <v>2</v>
      </c>
      <c r="C1618">
        <v>2</v>
      </c>
      <c r="D1618">
        <v>1995</v>
      </c>
      <c r="E1618" s="1">
        <v>34732</v>
      </c>
      <c r="F1618" t="s">
        <v>23535</v>
      </c>
      <c r="G1618">
        <v>1</v>
      </c>
      <c r="H1618">
        <v>1</v>
      </c>
      <c r="I1618">
        <v>2</v>
      </c>
      <c r="J1618">
        <v>0</v>
      </c>
      <c r="L1618" t="s">
        <v>23536</v>
      </c>
      <c r="M1618" t="s">
        <v>23537</v>
      </c>
      <c r="N1618" t="s">
        <v>23538</v>
      </c>
      <c r="O1618" t="s">
        <v>23539</v>
      </c>
      <c r="P1618" t="s">
        <v>23540</v>
      </c>
      <c r="Q1618" t="s">
        <v>23541</v>
      </c>
      <c r="R1618" t="s">
        <v>23542</v>
      </c>
      <c r="S1618" t="s">
        <v>23543</v>
      </c>
      <c r="U1618">
        <v>1</v>
      </c>
      <c r="V1618" t="s">
        <v>23544</v>
      </c>
      <c r="W1618" t="s">
        <v>23545</v>
      </c>
      <c r="X1618" t="s">
        <v>23546</v>
      </c>
      <c r="Y1618" t="s">
        <v>23547</v>
      </c>
      <c r="Z1618" t="s">
        <v>23547</v>
      </c>
      <c r="AA1618" t="s">
        <v>23547</v>
      </c>
      <c r="AB1618" t="s">
        <v>23547</v>
      </c>
      <c r="AC1618" t="s">
        <v>23547</v>
      </c>
    </row>
    <row r="1619" spans="1:30">
      <c r="A1619" t="s">
        <v>23548</v>
      </c>
      <c r="B1619">
        <v>1</v>
      </c>
      <c r="C1619">
        <v>24</v>
      </c>
      <c r="D1619">
        <v>1995</v>
      </c>
      <c r="E1619" s="1">
        <v>34723</v>
      </c>
      <c r="F1619" t="s">
        <v>23549</v>
      </c>
      <c r="G1619">
        <v>0</v>
      </c>
      <c r="H1619">
        <v>1</v>
      </c>
      <c r="I1619">
        <v>1</v>
      </c>
      <c r="J1619">
        <v>0</v>
      </c>
      <c r="L1619" t="s">
        <v>23550</v>
      </c>
      <c r="M1619" t="s">
        <v>23551</v>
      </c>
      <c r="N1619" t="s">
        <v>23552</v>
      </c>
      <c r="O1619" t="s">
        <v>23553</v>
      </c>
      <c r="P1619" t="s">
        <v>23554</v>
      </c>
      <c r="Q1619" t="s">
        <v>23555</v>
      </c>
      <c r="R1619" t="s">
        <v>23556</v>
      </c>
      <c r="S1619" t="s">
        <v>23557</v>
      </c>
      <c r="T1619" s="2">
        <v>0.5</v>
      </c>
      <c r="U1619">
        <v>1</v>
      </c>
      <c r="V1619" t="s">
        <v>23558</v>
      </c>
      <c r="W1619" t="s">
        <v>23559</v>
      </c>
      <c r="X1619" t="s">
        <v>23560</v>
      </c>
      <c r="Y1619" t="s">
        <v>23561</v>
      </c>
      <c r="Z1619" t="s">
        <v>23561</v>
      </c>
      <c r="AA1619" t="s">
        <v>23561</v>
      </c>
      <c r="AB1619" t="s">
        <v>23561</v>
      </c>
      <c r="AC1619" t="s">
        <v>23561</v>
      </c>
      <c r="AD1619" t="s">
        <v>23561</v>
      </c>
    </row>
    <row r="1620" spans="1:30">
      <c r="A1620" t="s">
        <v>23562</v>
      </c>
      <c r="B1620">
        <v>1</v>
      </c>
      <c r="C1620">
        <v>23</v>
      </c>
      <c r="D1620">
        <v>1995</v>
      </c>
      <c r="E1620" s="1">
        <v>34722</v>
      </c>
      <c r="F1620" t="s">
        <v>23563</v>
      </c>
      <c r="G1620">
        <v>1</v>
      </c>
      <c r="H1620">
        <v>0</v>
      </c>
      <c r="I1620">
        <v>1</v>
      </c>
      <c r="J1620">
        <v>1</v>
      </c>
      <c r="L1620" t="s">
        <v>23564</v>
      </c>
      <c r="M1620" t="s">
        <v>23565</v>
      </c>
      <c r="N1620" t="s">
        <v>23566</v>
      </c>
      <c r="O1620" t="s">
        <v>23567</v>
      </c>
      <c r="P1620" t="s">
        <v>23568</v>
      </c>
      <c r="Q1620" t="s">
        <v>23569</v>
      </c>
      <c r="R1620" t="s">
        <v>23570</v>
      </c>
      <c r="V1620" t="s">
        <v>23571</v>
      </c>
      <c r="W1620" t="s">
        <v>23572</v>
      </c>
      <c r="X1620" t="s">
        <v>23573</v>
      </c>
      <c r="Y1620" t="s">
        <v>23574</v>
      </c>
      <c r="Z1620" t="s">
        <v>23574</v>
      </c>
      <c r="AA1620" t="s">
        <v>23574</v>
      </c>
      <c r="AB1620" t="s">
        <v>23574</v>
      </c>
      <c r="AC1620" t="s">
        <v>23574</v>
      </c>
    </row>
    <row r="1621" spans="1:30">
      <c r="A1621" t="s">
        <v>23575</v>
      </c>
      <c r="B1621">
        <v>1</v>
      </c>
      <c r="C1621">
        <v>12</v>
      </c>
      <c r="D1621">
        <v>1995</v>
      </c>
      <c r="E1621" s="1">
        <v>34711</v>
      </c>
      <c r="F1621" t="s">
        <v>23576</v>
      </c>
      <c r="G1621">
        <v>0</v>
      </c>
      <c r="H1621">
        <v>2</v>
      </c>
      <c r="I1621">
        <v>2</v>
      </c>
      <c r="J1621">
        <v>0</v>
      </c>
      <c r="L1621" t="s">
        <v>23577</v>
      </c>
      <c r="M1621" t="s">
        <v>23578</v>
      </c>
      <c r="N1621" t="s">
        <v>23579</v>
      </c>
      <c r="O1621" t="s">
        <v>23580</v>
      </c>
      <c r="P1621" t="s">
        <v>23581</v>
      </c>
      <c r="Q1621" t="s">
        <v>23582</v>
      </c>
      <c r="R1621" t="s">
        <v>23583</v>
      </c>
      <c r="U1621">
        <v>4</v>
      </c>
      <c r="V1621" t="s">
        <v>23584</v>
      </c>
      <c r="W1621" t="s">
        <v>23585</v>
      </c>
      <c r="X1621" t="s">
        <v>23586</v>
      </c>
      <c r="Y1621" t="s">
        <v>23587</v>
      </c>
      <c r="Z1621" t="s">
        <v>23587</v>
      </c>
      <c r="AA1621" t="s">
        <v>23587</v>
      </c>
      <c r="AC1621" t="s">
        <v>23587</v>
      </c>
    </row>
    <row r="1622" spans="1:30">
      <c r="A1622" t="s">
        <v>23588</v>
      </c>
      <c r="B1622">
        <v>1</v>
      </c>
      <c r="C1622">
        <v>10</v>
      </c>
      <c r="D1622">
        <v>1995</v>
      </c>
      <c r="E1622" s="1">
        <v>34709</v>
      </c>
      <c r="F1622" t="s">
        <v>23589</v>
      </c>
      <c r="G1622">
        <v>0</v>
      </c>
      <c r="H1622">
        <v>0</v>
      </c>
      <c r="I1622">
        <v>0</v>
      </c>
      <c r="J1622">
        <v>1</v>
      </c>
      <c r="L1622" t="s">
        <v>23590</v>
      </c>
      <c r="M1622" t="s">
        <v>23591</v>
      </c>
      <c r="N1622" t="s">
        <v>23592</v>
      </c>
      <c r="O1622" t="s">
        <v>23593</v>
      </c>
      <c r="P1622" t="s">
        <v>23594</v>
      </c>
      <c r="Q1622" t="s">
        <v>23595</v>
      </c>
      <c r="R1622" t="s">
        <v>23596</v>
      </c>
      <c r="S1622" t="s">
        <v>23597</v>
      </c>
      <c r="T1622" s="2">
        <v>0.4375</v>
      </c>
      <c r="U1622">
        <v>1</v>
      </c>
      <c r="V1622" t="s">
        <v>23598</v>
      </c>
      <c r="W1622" t="s">
        <v>23599</v>
      </c>
      <c r="X1622" t="s">
        <v>23600</v>
      </c>
      <c r="Y1622" t="s">
        <v>23601</v>
      </c>
      <c r="Z1622" t="s">
        <v>23601</v>
      </c>
      <c r="AA1622" t="s">
        <v>23601</v>
      </c>
      <c r="AB1622" t="s">
        <v>23601</v>
      </c>
      <c r="AC1622" t="s">
        <v>23601</v>
      </c>
    </row>
    <row r="1623" spans="1:30">
      <c r="A1623" t="s">
        <v>23602</v>
      </c>
      <c r="B1623">
        <v>1</v>
      </c>
      <c r="C1623">
        <v>5</v>
      </c>
      <c r="D1623">
        <v>1995</v>
      </c>
      <c r="E1623" s="1">
        <v>34704</v>
      </c>
      <c r="F1623" t="s">
        <v>23603</v>
      </c>
      <c r="G1623">
        <v>1</v>
      </c>
      <c r="H1623">
        <v>0</v>
      </c>
      <c r="I1623">
        <v>1</v>
      </c>
      <c r="J1623">
        <v>0</v>
      </c>
      <c r="L1623" t="s">
        <v>23604</v>
      </c>
      <c r="M1623" t="s">
        <v>23605</v>
      </c>
      <c r="N1623" t="s">
        <v>23606</v>
      </c>
      <c r="O1623" t="s">
        <v>23607</v>
      </c>
      <c r="P1623" t="s">
        <v>23608</v>
      </c>
      <c r="Q1623" t="s">
        <v>23609</v>
      </c>
      <c r="R1623" t="s">
        <v>23610</v>
      </c>
      <c r="S1623" t="s">
        <v>23611</v>
      </c>
      <c r="T1623" s="2">
        <v>0.52083333333333337</v>
      </c>
      <c r="U1623">
        <v>1</v>
      </c>
      <c r="V1623" t="s">
        <v>23612</v>
      </c>
      <c r="W1623" t="s">
        <v>23613</v>
      </c>
      <c r="X1623" t="s">
        <v>23614</v>
      </c>
      <c r="Y1623" t="s">
        <v>23615</v>
      </c>
      <c r="Z1623" t="s">
        <v>23615</v>
      </c>
      <c r="AA1623" t="s">
        <v>23615</v>
      </c>
      <c r="AB1623" t="s">
        <v>23615</v>
      </c>
      <c r="AC1623" t="s">
        <v>23615</v>
      </c>
      <c r="AD1623" t="s">
        <v>23616</v>
      </c>
    </row>
    <row r="1624" spans="1:30">
      <c r="A1624" t="s">
        <v>23617</v>
      </c>
      <c r="B1624">
        <v>12</v>
      </c>
      <c r="C1624">
        <v>7</v>
      </c>
      <c r="D1624">
        <v>1994</v>
      </c>
      <c r="E1624" s="1">
        <v>34675</v>
      </c>
      <c r="F1624" t="s">
        <v>23618</v>
      </c>
      <c r="G1624">
        <v>0</v>
      </c>
      <c r="H1624">
        <v>0</v>
      </c>
      <c r="I1624">
        <v>0</v>
      </c>
      <c r="J1624">
        <v>0</v>
      </c>
      <c r="K1624" t="s">
        <v>23619</v>
      </c>
      <c r="L1624" t="s">
        <v>23620</v>
      </c>
      <c r="M1624" t="s">
        <v>23621</v>
      </c>
      <c r="N1624" t="s">
        <v>23622</v>
      </c>
      <c r="O1624" t="s">
        <v>23623</v>
      </c>
      <c r="P1624" t="s">
        <v>23624</v>
      </c>
      <c r="Q1624" t="s">
        <v>23625</v>
      </c>
      <c r="R1624" t="s">
        <v>23626</v>
      </c>
      <c r="S1624" t="s">
        <v>23627</v>
      </c>
      <c r="T1624" s="2">
        <v>0.5</v>
      </c>
      <c r="U1624">
        <v>1</v>
      </c>
      <c r="V1624" t="s">
        <v>23628</v>
      </c>
      <c r="W1624" t="s">
        <v>23629</v>
      </c>
      <c r="X1624" t="s">
        <v>23630</v>
      </c>
      <c r="Y1624" t="s">
        <v>23631</v>
      </c>
      <c r="Z1624" t="s">
        <v>23631</v>
      </c>
      <c r="AA1624" t="s">
        <v>23631</v>
      </c>
      <c r="AB1624" t="s">
        <v>23631</v>
      </c>
      <c r="AC1624" t="s">
        <v>23632</v>
      </c>
      <c r="AD1624" t="s">
        <v>23633</v>
      </c>
    </row>
    <row r="1625" spans="1:30">
      <c r="A1625" t="s">
        <v>23634</v>
      </c>
      <c r="B1625">
        <v>11</v>
      </c>
      <c r="C1625">
        <v>15</v>
      </c>
      <c r="D1625">
        <v>1994</v>
      </c>
      <c r="E1625" s="1">
        <v>34653</v>
      </c>
      <c r="F1625" t="s">
        <v>23635</v>
      </c>
      <c r="G1625">
        <v>0</v>
      </c>
      <c r="H1625">
        <v>0</v>
      </c>
      <c r="I1625">
        <v>0</v>
      </c>
      <c r="J1625">
        <v>1</v>
      </c>
      <c r="L1625" t="s">
        <v>23636</v>
      </c>
      <c r="M1625" t="s">
        <v>23637</v>
      </c>
      <c r="N1625" t="s">
        <v>23638</v>
      </c>
      <c r="O1625" t="s">
        <v>23639</v>
      </c>
      <c r="P1625" t="s">
        <v>23640</v>
      </c>
      <c r="Q1625" t="s">
        <v>23641</v>
      </c>
      <c r="R1625" t="s">
        <v>23642</v>
      </c>
      <c r="S1625" t="s">
        <v>23643</v>
      </c>
      <c r="U1625">
        <v>1</v>
      </c>
      <c r="V1625" t="s">
        <v>23644</v>
      </c>
      <c r="W1625" t="s">
        <v>23645</v>
      </c>
      <c r="X1625" t="s">
        <v>23646</v>
      </c>
      <c r="Y1625" t="s">
        <v>23647</v>
      </c>
      <c r="Z1625" t="s">
        <v>23647</v>
      </c>
      <c r="AA1625" t="s">
        <v>23647</v>
      </c>
      <c r="AB1625" t="s">
        <v>23647</v>
      </c>
      <c r="AC1625" t="s">
        <v>23647</v>
      </c>
    </row>
    <row r="1626" spans="1:30">
      <c r="A1626" t="s">
        <v>23648</v>
      </c>
      <c r="B1626">
        <v>11</v>
      </c>
      <c r="C1626">
        <v>8</v>
      </c>
      <c r="D1626">
        <v>1994</v>
      </c>
      <c r="E1626" s="1">
        <v>34646</v>
      </c>
      <c r="F1626" t="s">
        <v>23649</v>
      </c>
      <c r="G1626">
        <v>0</v>
      </c>
      <c r="H1626">
        <v>1</v>
      </c>
      <c r="I1626">
        <v>1</v>
      </c>
      <c r="J1626">
        <v>0</v>
      </c>
      <c r="L1626" t="s">
        <v>23650</v>
      </c>
      <c r="M1626" t="s">
        <v>23651</v>
      </c>
      <c r="N1626" t="s">
        <v>23652</v>
      </c>
      <c r="O1626" t="s">
        <v>23653</v>
      </c>
      <c r="P1626" t="s">
        <v>23654</v>
      </c>
      <c r="Q1626" t="s">
        <v>23655</v>
      </c>
      <c r="R1626" t="s">
        <v>23656</v>
      </c>
      <c r="S1626" t="s">
        <v>23657</v>
      </c>
      <c r="T1626" s="2">
        <v>0.58333333333333337</v>
      </c>
      <c r="U1626">
        <v>1</v>
      </c>
      <c r="V1626" t="s">
        <v>23658</v>
      </c>
      <c r="W1626" t="s">
        <v>23659</v>
      </c>
      <c r="X1626" t="s">
        <v>23660</v>
      </c>
      <c r="Y1626" t="s">
        <v>23661</v>
      </c>
      <c r="Z1626" t="s">
        <v>23661</v>
      </c>
      <c r="AA1626" t="s">
        <v>23661</v>
      </c>
      <c r="AB1626" t="s">
        <v>23661</v>
      </c>
      <c r="AC1626" t="s">
        <v>23661</v>
      </c>
    </row>
    <row r="1627" spans="1:30">
      <c r="A1627" t="s">
        <v>23662</v>
      </c>
      <c r="B1627">
        <v>11</v>
      </c>
      <c r="C1627">
        <v>7</v>
      </c>
      <c r="D1627">
        <v>1994</v>
      </c>
      <c r="E1627" s="1">
        <v>34645</v>
      </c>
      <c r="F1627" t="s">
        <v>23663</v>
      </c>
      <c r="G1627">
        <v>1</v>
      </c>
      <c r="H1627">
        <v>4</v>
      </c>
      <c r="I1627">
        <v>5</v>
      </c>
      <c r="J1627">
        <v>0</v>
      </c>
      <c r="L1627" t="s">
        <v>23664</v>
      </c>
      <c r="M1627" t="s">
        <v>23665</v>
      </c>
      <c r="N1627" t="s">
        <v>23666</v>
      </c>
      <c r="O1627" t="s">
        <v>23667</v>
      </c>
      <c r="P1627" t="s">
        <v>23668</v>
      </c>
      <c r="Q1627" t="s">
        <v>23669</v>
      </c>
      <c r="R1627" t="s">
        <v>23670</v>
      </c>
      <c r="V1627" t="s">
        <v>23671</v>
      </c>
      <c r="W1627" t="s">
        <v>23672</v>
      </c>
      <c r="X1627" t="s">
        <v>23673</v>
      </c>
      <c r="Y1627" t="s">
        <v>23674</v>
      </c>
      <c r="Z1627" t="s">
        <v>23674</v>
      </c>
      <c r="AA1627" t="s">
        <v>23675</v>
      </c>
      <c r="AB1627" t="s">
        <v>23676</v>
      </c>
      <c r="AC1627" t="s">
        <v>23676</v>
      </c>
      <c r="AD1627" t="s">
        <v>23677</v>
      </c>
    </row>
    <row r="1628" spans="1:30">
      <c r="A1628" t="s">
        <v>23678</v>
      </c>
      <c r="B1628">
        <v>11</v>
      </c>
      <c r="C1628">
        <v>5</v>
      </c>
      <c r="D1628">
        <v>1994</v>
      </c>
      <c r="E1628" s="1">
        <v>34643</v>
      </c>
      <c r="F1628" t="s">
        <v>23679</v>
      </c>
      <c r="G1628">
        <v>1</v>
      </c>
      <c r="H1628">
        <v>0</v>
      </c>
      <c r="I1628">
        <v>1</v>
      </c>
      <c r="J1628">
        <v>0</v>
      </c>
      <c r="L1628" t="s">
        <v>23680</v>
      </c>
      <c r="M1628" t="s">
        <v>23681</v>
      </c>
      <c r="N1628" t="s">
        <v>23682</v>
      </c>
      <c r="O1628" t="s">
        <v>23683</v>
      </c>
      <c r="P1628" t="s">
        <v>23684</v>
      </c>
      <c r="Q1628" t="s">
        <v>23685</v>
      </c>
      <c r="R1628" t="s">
        <v>23686</v>
      </c>
      <c r="S1628" t="s">
        <v>23687</v>
      </c>
      <c r="V1628" t="s">
        <v>23688</v>
      </c>
      <c r="W1628" t="s">
        <v>23689</v>
      </c>
      <c r="X1628" t="s">
        <v>23690</v>
      </c>
      <c r="Y1628" t="s">
        <v>23691</v>
      </c>
      <c r="Z1628" t="s">
        <v>23691</v>
      </c>
      <c r="AA1628" t="s">
        <v>23691</v>
      </c>
      <c r="AB1628" t="s">
        <v>23691</v>
      </c>
    </row>
    <row r="1629" spans="1:30">
      <c r="A1629" t="s">
        <v>23692</v>
      </c>
      <c r="B1629">
        <v>10</v>
      </c>
      <c r="C1629">
        <v>31</v>
      </c>
      <c r="D1629">
        <v>1994</v>
      </c>
      <c r="E1629" s="1">
        <v>34638</v>
      </c>
      <c r="F1629" t="s">
        <v>23693</v>
      </c>
      <c r="G1629">
        <v>0</v>
      </c>
      <c r="H1629">
        <v>0</v>
      </c>
      <c r="I1629">
        <v>0</v>
      </c>
      <c r="J1629">
        <v>0</v>
      </c>
      <c r="L1629" t="s">
        <v>23694</v>
      </c>
      <c r="M1629" t="s">
        <v>23695</v>
      </c>
      <c r="N1629" t="s">
        <v>23696</v>
      </c>
      <c r="O1629" t="s">
        <v>23697</v>
      </c>
      <c r="P1629" t="s">
        <v>23698</v>
      </c>
      <c r="Q1629" t="s">
        <v>23699</v>
      </c>
      <c r="R1629" t="s">
        <v>23700</v>
      </c>
      <c r="S1629" t="s">
        <v>23701</v>
      </c>
      <c r="T1629" s="2">
        <v>0.53055555555555556</v>
      </c>
      <c r="U1629">
        <v>1</v>
      </c>
      <c r="V1629" t="s">
        <v>23702</v>
      </c>
      <c r="W1629" t="s">
        <v>23703</v>
      </c>
      <c r="X1629" t="s">
        <v>23704</v>
      </c>
      <c r="Y1629" t="s">
        <v>23705</v>
      </c>
      <c r="Z1629" t="s">
        <v>23705</v>
      </c>
      <c r="AA1629" t="s">
        <v>23705</v>
      </c>
      <c r="AB1629" t="s">
        <v>23705</v>
      </c>
      <c r="AC1629" t="s">
        <v>23706</v>
      </c>
    </row>
    <row r="1630" spans="1:30">
      <c r="A1630" t="s">
        <v>23707</v>
      </c>
      <c r="B1630">
        <v>10</v>
      </c>
      <c r="C1630">
        <v>17</v>
      </c>
      <c r="D1630">
        <v>1994</v>
      </c>
      <c r="E1630" s="1">
        <v>34624</v>
      </c>
      <c r="F1630" t="s">
        <v>23708</v>
      </c>
      <c r="G1630">
        <v>0</v>
      </c>
      <c r="H1630">
        <v>1</v>
      </c>
      <c r="I1630">
        <v>1</v>
      </c>
      <c r="J1630">
        <v>0</v>
      </c>
      <c r="L1630" t="s">
        <v>23709</v>
      </c>
      <c r="M1630" t="s">
        <v>23710</v>
      </c>
      <c r="N1630" t="s">
        <v>23711</v>
      </c>
      <c r="O1630" t="s">
        <v>23712</v>
      </c>
      <c r="P1630" t="s">
        <v>23713</v>
      </c>
      <c r="Q1630" t="s">
        <v>23714</v>
      </c>
      <c r="R1630" t="s">
        <v>23715</v>
      </c>
      <c r="S1630" t="s">
        <v>23716</v>
      </c>
      <c r="T1630" s="2">
        <v>0.59375</v>
      </c>
      <c r="U1630">
        <v>1</v>
      </c>
      <c r="V1630" t="s">
        <v>23717</v>
      </c>
      <c r="W1630" t="s">
        <v>23718</v>
      </c>
      <c r="X1630" t="s">
        <v>23719</v>
      </c>
      <c r="Y1630" t="s">
        <v>23720</v>
      </c>
      <c r="Z1630" t="s">
        <v>23720</v>
      </c>
      <c r="AA1630" t="s">
        <v>23720</v>
      </c>
      <c r="AB1630" t="s">
        <v>23720</v>
      </c>
      <c r="AC1630" t="s">
        <v>23720</v>
      </c>
    </row>
    <row r="1631" spans="1:30">
      <c r="A1631" t="s">
        <v>23721</v>
      </c>
      <c r="B1631">
        <v>10</v>
      </c>
      <c r="C1631">
        <v>12</v>
      </c>
      <c r="D1631">
        <v>1994</v>
      </c>
      <c r="E1631" s="1">
        <v>34619</v>
      </c>
      <c r="F1631" t="s">
        <v>23722</v>
      </c>
      <c r="G1631">
        <v>0</v>
      </c>
      <c r="H1631">
        <v>1</v>
      </c>
      <c r="I1631">
        <v>1</v>
      </c>
      <c r="J1631">
        <v>1</v>
      </c>
      <c r="L1631" t="s">
        <v>23723</v>
      </c>
      <c r="M1631" t="s">
        <v>23724</v>
      </c>
      <c r="N1631" t="s">
        <v>23725</v>
      </c>
      <c r="O1631" t="s">
        <v>23726</v>
      </c>
      <c r="P1631" t="s">
        <v>23727</v>
      </c>
      <c r="Q1631" t="s">
        <v>23728</v>
      </c>
      <c r="R1631" t="s">
        <v>23729</v>
      </c>
      <c r="S1631" t="s">
        <v>23730</v>
      </c>
      <c r="U1631">
        <v>1</v>
      </c>
      <c r="V1631" t="s">
        <v>23731</v>
      </c>
      <c r="W1631" t="s">
        <v>23732</v>
      </c>
      <c r="X1631" t="s">
        <v>23733</v>
      </c>
      <c r="Y1631" t="s">
        <v>23734</v>
      </c>
      <c r="Z1631" t="s">
        <v>23734</v>
      </c>
      <c r="AA1631" t="s">
        <v>23734</v>
      </c>
      <c r="AB1631" t="s">
        <v>23734</v>
      </c>
      <c r="AC1631" t="s">
        <v>23734</v>
      </c>
    </row>
    <row r="1632" spans="1:30">
      <c r="A1632" t="s">
        <v>23735</v>
      </c>
      <c r="B1632">
        <v>9</v>
      </c>
      <c r="C1632">
        <v>22</v>
      </c>
      <c r="D1632">
        <v>1994</v>
      </c>
      <c r="E1632" s="1">
        <v>34599</v>
      </c>
      <c r="F1632" t="s">
        <v>23736</v>
      </c>
      <c r="G1632">
        <v>0</v>
      </c>
      <c r="H1632">
        <v>1</v>
      </c>
      <c r="I1632">
        <v>1</v>
      </c>
      <c r="J1632">
        <v>0</v>
      </c>
      <c r="L1632" t="s">
        <v>23737</v>
      </c>
      <c r="M1632" t="s">
        <v>23738</v>
      </c>
      <c r="N1632" t="s">
        <v>23739</v>
      </c>
      <c r="O1632" t="s">
        <v>23740</v>
      </c>
      <c r="P1632" t="s">
        <v>23741</v>
      </c>
      <c r="Q1632" t="s">
        <v>23742</v>
      </c>
      <c r="R1632" t="s">
        <v>23743</v>
      </c>
      <c r="S1632" t="s">
        <v>23744</v>
      </c>
      <c r="U1632">
        <v>1</v>
      </c>
      <c r="V1632" t="s">
        <v>23745</v>
      </c>
      <c r="W1632" t="s">
        <v>23746</v>
      </c>
      <c r="X1632" t="s">
        <v>23747</v>
      </c>
      <c r="Y1632" t="s">
        <v>23748</v>
      </c>
      <c r="Z1632" t="s">
        <v>23748</v>
      </c>
      <c r="AA1632" t="s">
        <v>23748</v>
      </c>
      <c r="AB1632" t="s">
        <v>23748</v>
      </c>
      <c r="AC1632" t="s">
        <v>23748</v>
      </c>
    </row>
    <row r="1633" spans="1:30">
      <c r="A1633" t="s">
        <v>23749</v>
      </c>
      <c r="B1633">
        <v>9</v>
      </c>
      <c r="C1633">
        <v>19</v>
      </c>
      <c r="D1633">
        <v>1994</v>
      </c>
      <c r="E1633" s="1">
        <v>34596</v>
      </c>
      <c r="F1633" t="s">
        <v>23750</v>
      </c>
      <c r="G1633">
        <v>0</v>
      </c>
      <c r="H1633">
        <v>3</v>
      </c>
      <c r="I1633">
        <v>3</v>
      </c>
      <c r="J1633">
        <v>0</v>
      </c>
      <c r="L1633" t="s">
        <v>23751</v>
      </c>
      <c r="M1633" t="s">
        <v>23752</v>
      </c>
      <c r="N1633" t="s">
        <v>23753</v>
      </c>
      <c r="O1633" t="s">
        <v>23754</v>
      </c>
      <c r="P1633" t="s">
        <v>23755</v>
      </c>
      <c r="Q1633" t="s">
        <v>23756</v>
      </c>
      <c r="R1633" t="s">
        <v>23757</v>
      </c>
      <c r="S1633" t="s">
        <v>23758</v>
      </c>
      <c r="T1633" s="2">
        <v>0.43055555555555558</v>
      </c>
      <c r="U1633">
        <v>1</v>
      </c>
      <c r="V1633" t="s">
        <v>23759</v>
      </c>
      <c r="W1633" t="s">
        <v>23760</v>
      </c>
      <c r="X1633" t="s">
        <v>23761</v>
      </c>
      <c r="Y1633" t="s">
        <v>23762</v>
      </c>
      <c r="Z1633" t="s">
        <v>23763</v>
      </c>
      <c r="AA1633" t="s">
        <v>23763</v>
      </c>
      <c r="AB1633" t="s">
        <v>23763</v>
      </c>
      <c r="AC1633" t="s">
        <v>23763</v>
      </c>
    </row>
    <row r="1634" spans="1:30">
      <c r="A1634" t="s">
        <v>23764</v>
      </c>
      <c r="B1634">
        <v>9</v>
      </c>
      <c r="C1634">
        <v>8</v>
      </c>
      <c r="D1634">
        <v>1994</v>
      </c>
      <c r="E1634" s="1">
        <v>34585</v>
      </c>
      <c r="F1634" t="s">
        <v>23765</v>
      </c>
      <c r="G1634">
        <v>0</v>
      </c>
      <c r="H1634">
        <v>1</v>
      </c>
      <c r="I1634">
        <v>1</v>
      </c>
      <c r="J1634">
        <v>0</v>
      </c>
      <c r="L1634" t="s">
        <v>23766</v>
      </c>
      <c r="M1634" t="s">
        <v>23767</v>
      </c>
      <c r="N1634" t="s">
        <v>23768</v>
      </c>
      <c r="O1634" t="s">
        <v>23769</v>
      </c>
      <c r="P1634" t="s">
        <v>23770</v>
      </c>
      <c r="Q1634" t="s">
        <v>23771</v>
      </c>
      <c r="R1634" t="s">
        <v>23772</v>
      </c>
      <c r="S1634" t="s">
        <v>23773</v>
      </c>
      <c r="T1634" s="2">
        <v>0.375</v>
      </c>
      <c r="U1634">
        <v>1</v>
      </c>
      <c r="V1634" t="s">
        <v>23774</v>
      </c>
      <c r="W1634" t="s">
        <v>23775</v>
      </c>
      <c r="X1634" t="s">
        <v>23776</v>
      </c>
      <c r="Y1634" t="s">
        <v>23777</v>
      </c>
      <c r="Z1634" t="s">
        <v>23778</v>
      </c>
      <c r="AA1634" t="s">
        <v>23778</v>
      </c>
      <c r="AB1634" t="s">
        <v>23779</v>
      </c>
      <c r="AC1634" t="s">
        <v>23780</v>
      </c>
    </row>
    <row r="1635" spans="1:30">
      <c r="A1635" t="s">
        <v>23781</v>
      </c>
      <c r="B1635">
        <v>9</v>
      </c>
      <c r="C1635">
        <v>7</v>
      </c>
      <c r="D1635">
        <v>1994</v>
      </c>
      <c r="E1635" s="1">
        <v>34584</v>
      </c>
      <c r="F1635" t="s">
        <v>23782</v>
      </c>
      <c r="G1635">
        <v>1</v>
      </c>
      <c r="H1635">
        <v>0</v>
      </c>
      <c r="I1635">
        <v>1</v>
      </c>
      <c r="J1635">
        <v>0</v>
      </c>
      <c r="L1635" t="s">
        <v>23783</v>
      </c>
      <c r="M1635" t="s">
        <v>23784</v>
      </c>
      <c r="N1635" t="s">
        <v>23785</v>
      </c>
      <c r="O1635" t="s">
        <v>23786</v>
      </c>
      <c r="P1635" t="s">
        <v>23787</v>
      </c>
      <c r="Q1635" t="s">
        <v>23788</v>
      </c>
      <c r="R1635" t="s">
        <v>23789</v>
      </c>
      <c r="S1635" t="s">
        <v>23790</v>
      </c>
      <c r="T1635" s="2">
        <v>0.64583333333333337</v>
      </c>
      <c r="U1635">
        <v>1</v>
      </c>
      <c r="V1635" t="s">
        <v>23791</v>
      </c>
      <c r="W1635" t="s">
        <v>23792</v>
      </c>
      <c r="X1635" t="s">
        <v>23793</v>
      </c>
      <c r="Y1635" t="s">
        <v>23794</v>
      </c>
      <c r="Z1635" t="s">
        <v>23794</v>
      </c>
      <c r="AA1635" t="s">
        <v>23794</v>
      </c>
      <c r="AB1635" t="s">
        <v>23794</v>
      </c>
      <c r="AC1635" t="s">
        <v>23794</v>
      </c>
    </row>
    <row r="1636" spans="1:30">
      <c r="A1636" t="s">
        <v>23795</v>
      </c>
      <c r="B1636">
        <v>7</v>
      </c>
      <c r="C1636">
        <v>25</v>
      </c>
      <c r="D1636">
        <v>1994</v>
      </c>
      <c r="E1636" s="1">
        <v>34540</v>
      </c>
      <c r="F1636" t="s">
        <v>23796</v>
      </c>
      <c r="G1636">
        <v>1</v>
      </c>
      <c r="H1636">
        <v>0</v>
      </c>
      <c r="I1636">
        <v>1</v>
      </c>
      <c r="J1636">
        <v>0</v>
      </c>
      <c r="L1636" t="s">
        <v>23797</v>
      </c>
      <c r="M1636" t="s">
        <v>23798</v>
      </c>
      <c r="N1636" t="s">
        <v>23799</v>
      </c>
      <c r="O1636" t="s">
        <v>23800</v>
      </c>
      <c r="P1636" t="s">
        <v>23801</v>
      </c>
      <c r="Q1636" t="s">
        <v>23802</v>
      </c>
      <c r="R1636" t="s">
        <v>23803</v>
      </c>
      <c r="S1636" t="s">
        <v>23804</v>
      </c>
      <c r="T1636" s="2">
        <v>0.48472222222222222</v>
      </c>
      <c r="U1636">
        <v>1</v>
      </c>
      <c r="V1636" t="s">
        <v>23805</v>
      </c>
      <c r="W1636" t="s">
        <v>23806</v>
      </c>
      <c r="X1636" t="s">
        <v>23807</v>
      </c>
      <c r="Y1636" t="s">
        <v>23808</v>
      </c>
      <c r="Z1636" t="s">
        <v>23808</v>
      </c>
      <c r="AA1636" t="s">
        <v>23808</v>
      </c>
      <c r="AB1636" t="s">
        <v>23808</v>
      </c>
      <c r="AC1636" t="s">
        <v>23808</v>
      </c>
    </row>
    <row r="1637" spans="1:30">
      <c r="A1637" t="s">
        <v>23809</v>
      </c>
      <c r="B1637">
        <v>7</v>
      </c>
      <c r="C1637">
        <v>24</v>
      </c>
      <c r="D1637">
        <v>1994</v>
      </c>
      <c r="E1637" s="1">
        <v>34539</v>
      </c>
      <c r="F1637" t="s">
        <v>23810</v>
      </c>
      <c r="G1637">
        <v>1</v>
      </c>
      <c r="H1637">
        <v>0</v>
      </c>
      <c r="I1637">
        <v>1</v>
      </c>
      <c r="J1637">
        <v>0</v>
      </c>
      <c r="L1637" t="s">
        <v>23811</v>
      </c>
      <c r="M1637" t="s">
        <v>23812</v>
      </c>
      <c r="N1637" t="s">
        <v>23813</v>
      </c>
      <c r="O1637" t="s">
        <v>23814</v>
      </c>
      <c r="P1637" t="s">
        <v>23815</v>
      </c>
      <c r="Q1637" t="s">
        <v>23816</v>
      </c>
      <c r="R1637" t="s">
        <v>23817</v>
      </c>
      <c r="S1637" t="s">
        <v>23818</v>
      </c>
      <c r="U1637">
        <v>1</v>
      </c>
      <c r="V1637" t="s">
        <v>23819</v>
      </c>
      <c r="W1637" t="s">
        <v>23820</v>
      </c>
      <c r="X1637" t="s">
        <v>23821</v>
      </c>
      <c r="Y1637" t="s">
        <v>23822</v>
      </c>
      <c r="Z1637" t="s">
        <v>23822</v>
      </c>
      <c r="AA1637" t="s">
        <v>23822</v>
      </c>
      <c r="AB1637" t="s">
        <v>23822</v>
      </c>
      <c r="AC1637" t="s">
        <v>23822</v>
      </c>
    </row>
    <row r="1638" spans="1:30">
      <c r="A1638" t="s">
        <v>23823</v>
      </c>
      <c r="B1638">
        <v>5</v>
      </c>
      <c r="C1638">
        <v>26</v>
      </c>
      <c r="D1638">
        <v>1994</v>
      </c>
      <c r="E1638" s="1">
        <v>34480</v>
      </c>
      <c r="F1638" t="s">
        <v>23824</v>
      </c>
      <c r="G1638">
        <v>0</v>
      </c>
      <c r="H1638">
        <v>0</v>
      </c>
      <c r="I1638">
        <v>0</v>
      </c>
      <c r="J1638">
        <v>0</v>
      </c>
      <c r="L1638" t="s">
        <v>23825</v>
      </c>
      <c r="M1638" t="s">
        <v>23826</v>
      </c>
      <c r="N1638" t="s">
        <v>23827</v>
      </c>
      <c r="O1638" t="s">
        <v>23828</v>
      </c>
      <c r="P1638" t="s">
        <v>23829</v>
      </c>
      <c r="Q1638" t="s">
        <v>23830</v>
      </c>
      <c r="R1638" t="s">
        <v>23831</v>
      </c>
      <c r="S1638" t="s">
        <v>23832</v>
      </c>
      <c r="T1638" s="2">
        <v>0.375</v>
      </c>
      <c r="U1638">
        <v>30</v>
      </c>
      <c r="V1638" t="s">
        <v>23833</v>
      </c>
      <c r="W1638" t="s">
        <v>23834</v>
      </c>
      <c r="X1638" t="s">
        <v>23835</v>
      </c>
      <c r="Y1638" t="s">
        <v>23836</v>
      </c>
      <c r="Z1638" t="s">
        <v>23837</v>
      </c>
      <c r="AA1638" t="s">
        <v>23837</v>
      </c>
      <c r="AB1638" t="s">
        <v>23838</v>
      </c>
      <c r="AC1638" t="s">
        <v>23838</v>
      </c>
      <c r="AD1638" t="s">
        <v>23839</v>
      </c>
    </row>
    <row r="1639" spans="1:30">
      <c r="A1639" t="s">
        <v>23840</v>
      </c>
      <c r="B1639">
        <v>5</v>
      </c>
      <c r="C1639">
        <v>25</v>
      </c>
      <c r="D1639">
        <v>1994</v>
      </c>
      <c r="E1639" s="1">
        <v>34479</v>
      </c>
      <c r="F1639" t="s">
        <v>23841</v>
      </c>
      <c r="G1639">
        <v>0</v>
      </c>
      <c r="H1639">
        <v>1</v>
      </c>
      <c r="I1639">
        <v>1</v>
      </c>
      <c r="J1639">
        <v>0</v>
      </c>
      <c r="L1639" t="s">
        <v>23842</v>
      </c>
      <c r="M1639" t="s">
        <v>23843</v>
      </c>
      <c r="N1639" t="s">
        <v>23844</v>
      </c>
      <c r="O1639" t="s">
        <v>23845</v>
      </c>
      <c r="P1639" t="s">
        <v>23846</v>
      </c>
      <c r="Q1639" t="s">
        <v>23847</v>
      </c>
      <c r="R1639" t="s">
        <v>23848</v>
      </c>
      <c r="S1639" t="s">
        <v>23849</v>
      </c>
      <c r="T1639" s="2">
        <v>0.52083333333333337</v>
      </c>
      <c r="U1639">
        <v>1</v>
      </c>
      <c r="V1639" t="s">
        <v>23850</v>
      </c>
      <c r="W1639" t="s">
        <v>23851</v>
      </c>
      <c r="X1639" t="s">
        <v>23852</v>
      </c>
      <c r="Y1639" t="s">
        <v>23853</v>
      </c>
      <c r="Z1639" t="s">
        <v>23854</v>
      </c>
      <c r="AA1639" t="s">
        <v>23854</v>
      </c>
      <c r="AB1639" t="s">
        <v>23854</v>
      </c>
      <c r="AC1639" t="s">
        <v>23854</v>
      </c>
      <c r="AD1639" t="s">
        <v>23854</v>
      </c>
    </row>
    <row r="1640" spans="1:30">
      <c r="A1640" t="s">
        <v>23855</v>
      </c>
      <c r="B1640">
        <v>5</v>
      </c>
      <c r="C1640">
        <v>25</v>
      </c>
      <c r="D1640">
        <v>1994</v>
      </c>
      <c r="E1640" s="1">
        <v>34479</v>
      </c>
      <c r="F1640" t="s">
        <v>23856</v>
      </c>
      <c r="G1640">
        <v>0</v>
      </c>
      <c r="H1640">
        <v>0</v>
      </c>
      <c r="I1640">
        <v>0</v>
      </c>
      <c r="J1640">
        <v>1</v>
      </c>
      <c r="L1640" t="s">
        <v>23857</v>
      </c>
      <c r="M1640" t="s">
        <v>23858</v>
      </c>
      <c r="N1640" t="s">
        <v>23859</v>
      </c>
      <c r="O1640" t="s">
        <v>23860</v>
      </c>
      <c r="P1640" t="s">
        <v>23861</v>
      </c>
      <c r="Q1640" t="s">
        <v>23862</v>
      </c>
      <c r="R1640" t="s">
        <v>23863</v>
      </c>
      <c r="S1640" t="s">
        <v>23864</v>
      </c>
      <c r="T1640" s="2">
        <v>0.35416666666666663</v>
      </c>
      <c r="U1640">
        <v>1</v>
      </c>
      <c r="V1640" t="s">
        <v>23865</v>
      </c>
      <c r="W1640" t="s">
        <v>23866</v>
      </c>
      <c r="X1640" t="s">
        <v>23867</v>
      </c>
      <c r="Y1640" t="s">
        <v>23868</v>
      </c>
      <c r="Z1640" t="s">
        <v>23868</v>
      </c>
      <c r="AA1640" t="s">
        <v>23868</v>
      </c>
      <c r="AB1640" t="s">
        <v>23868</v>
      </c>
      <c r="AC1640" t="s">
        <v>23868</v>
      </c>
    </row>
    <row r="1641" spans="1:30">
      <c r="A1641" t="s">
        <v>23869</v>
      </c>
      <c r="B1641">
        <v>5</v>
      </c>
      <c r="C1641">
        <v>2</v>
      </c>
      <c r="D1641">
        <v>1994</v>
      </c>
      <c r="E1641" s="1">
        <v>34456</v>
      </c>
      <c r="F1641" t="s">
        <v>23870</v>
      </c>
      <c r="G1641">
        <v>1</v>
      </c>
      <c r="H1641">
        <v>0</v>
      </c>
      <c r="I1641">
        <v>1</v>
      </c>
      <c r="J1641">
        <v>0</v>
      </c>
      <c r="L1641" t="s">
        <v>23871</v>
      </c>
      <c r="M1641" t="s">
        <v>23872</v>
      </c>
      <c r="N1641" t="s">
        <v>23873</v>
      </c>
      <c r="O1641" t="s">
        <v>23874</v>
      </c>
      <c r="P1641" t="s">
        <v>23875</v>
      </c>
      <c r="Q1641" t="s">
        <v>23876</v>
      </c>
      <c r="R1641" t="s">
        <v>23877</v>
      </c>
      <c r="S1641" t="s">
        <v>23878</v>
      </c>
      <c r="T1641" s="2">
        <v>0.5</v>
      </c>
      <c r="U1641">
        <v>1</v>
      </c>
      <c r="V1641" t="s">
        <v>23879</v>
      </c>
      <c r="W1641" t="s">
        <v>23880</v>
      </c>
      <c r="X1641" t="s">
        <v>23881</v>
      </c>
      <c r="Y1641" t="s">
        <v>23882</v>
      </c>
      <c r="Z1641" t="s">
        <v>23882</v>
      </c>
      <c r="AA1641" t="s">
        <v>23882</v>
      </c>
      <c r="AB1641" t="s">
        <v>23882</v>
      </c>
      <c r="AC1641" t="s">
        <v>23882</v>
      </c>
    </row>
    <row r="1642" spans="1:30">
      <c r="A1642" t="s">
        <v>23883</v>
      </c>
      <c r="B1642">
        <v>4</v>
      </c>
      <c r="C1642">
        <v>21</v>
      </c>
      <c r="D1642">
        <v>1994</v>
      </c>
      <c r="E1642" s="1">
        <v>34445</v>
      </c>
      <c r="F1642" t="s">
        <v>23884</v>
      </c>
      <c r="G1642">
        <v>1</v>
      </c>
      <c r="H1642">
        <v>0</v>
      </c>
      <c r="I1642">
        <v>1</v>
      </c>
      <c r="J1642">
        <v>0</v>
      </c>
      <c r="K1642" t="s">
        <v>23885</v>
      </c>
      <c r="L1642" t="s">
        <v>23886</v>
      </c>
      <c r="M1642" t="s">
        <v>23887</v>
      </c>
      <c r="N1642" t="s">
        <v>23888</v>
      </c>
      <c r="O1642" t="s">
        <v>23889</v>
      </c>
      <c r="P1642" t="s">
        <v>23890</v>
      </c>
      <c r="Q1642" t="s">
        <v>23891</v>
      </c>
      <c r="R1642" t="s">
        <v>23892</v>
      </c>
      <c r="S1642" t="s">
        <v>23893</v>
      </c>
      <c r="T1642" s="2">
        <v>0.5625</v>
      </c>
      <c r="U1642">
        <v>1</v>
      </c>
      <c r="V1642" t="s">
        <v>23894</v>
      </c>
      <c r="W1642" t="s">
        <v>23895</v>
      </c>
      <c r="X1642" t="s">
        <v>23896</v>
      </c>
      <c r="Y1642" t="s">
        <v>23897</v>
      </c>
      <c r="Z1642" t="s">
        <v>23897</v>
      </c>
      <c r="AA1642" t="s">
        <v>23897</v>
      </c>
      <c r="AB1642" t="s">
        <v>23897</v>
      </c>
      <c r="AC1642" t="s">
        <v>23897</v>
      </c>
      <c r="AD1642" t="s">
        <v>23897</v>
      </c>
    </row>
    <row r="1643" spans="1:30">
      <c r="A1643" t="s">
        <v>23898</v>
      </c>
      <c r="B1643">
        <v>4</v>
      </c>
      <c r="C1643">
        <v>20</v>
      </c>
      <c r="D1643">
        <v>1994</v>
      </c>
      <c r="E1643" s="1">
        <v>34444</v>
      </c>
      <c r="F1643" t="s">
        <v>23899</v>
      </c>
      <c r="G1643">
        <v>0</v>
      </c>
      <c r="H1643">
        <v>1</v>
      </c>
      <c r="I1643">
        <v>1</v>
      </c>
      <c r="J1643">
        <v>0</v>
      </c>
      <c r="L1643" t="s">
        <v>23900</v>
      </c>
      <c r="M1643" t="s">
        <v>23901</v>
      </c>
      <c r="N1643" t="s">
        <v>23902</v>
      </c>
      <c r="O1643" t="s">
        <v>23903</v>
      </c>
      <c r="P1643" t="s">
        <v>23904</v>
      </c>
      <c r="Q1643" t="s">
        <v>23905</v>
      </c>
      <c r="R1643" t="s">
        <v>23906</v>
      </c>
      <c r="S1643" t="s">
        <v>23907</v>
      </c>
      <c r="T1643" s="2">
        <v>0</v>
      </c>
      <c r="U1643">
        <v>1</v>
      </c>
      <c r="V1643" t="s">
        <v>23908</v>
      </c>
      <c r="W1643" t="s">
        <v>23909</v>
      </c>
      <c r="X1643" t="s">
        <v>23910</v>
      </c>
      <c r="Y1643" t="s">
        <v>23911</v>
      </c>
      <c r="Z1643" t="s">
        <v>23911</v>
      </c>
      <c r="AB1643" t="s">
        <v>23911</v>
      </c>
      <c r="AC1643" t="s">
        <v>23911</v>
      </c>
      <c r="AD1643" t="s">
        <v>23911</v>
      </c>
    </row>
    <row r="1644" spans="1:30">
      <c r="A1644" t="s">
        <v>23912</v>
      </c>
      <c r="B1644">
        <v>4</v>
      </c>
      <c r="C1644">
        <v>19</v>
      </c>
      <c r="D1644">
        <v>1994</v>
      </c>
      <c r="E1644" s="1">
        <v>34443</v>
      </c>
      <c r="F1644" t="s">
        <v>23913</v>
      </c>
      <c r="G1644">
        <v>1</v>
      </c>
      <c r="H1644">
        <v>0</v>
      </c>
      <c r="I1644">
        <v>1</v>
      </c>
      <c r="J1644">
        <v>0</v>
      </c>
      <c r="L1644" t="s">
        <v>23914</v>
      </c>
      <c r="M1644" t="s">
        <v>23915</v>
      </c>
      <c r="N1644" t="s">
        <v>23916</v>
      </c>
      <c r="O1644" t="s">
        <v>23917</v>
      </c>
      <c r="P1644" t="s">
        <v>23918</v>
      </c>
      <c r="Q1644" t="s">
        <v>23919</v>
      </c>
      <c r="R1644" t="s">
        <v>23920</v>
      </c>
      <c r="S1644" t="s">
        <v>23921</v>
      </c>
      <c r="U1644">
        <v>1</v>
      </c>
      <c r="V1644" t="s">
        <v>23922</v>
      </c>
      <c r="W1644" t="s">
        <v>23923</v>
      </c>
      <c r="Y1644" t="s">
        <v>23924</v>
      </c>
      <c r="Z1644" t="s">
        <v>23924</v>
      </c>
      <c r="AA1644" t="s">
        <v>23924</v>
      </c>
      <c r="AB1644" t="s">
        <v>23924</v>
      </c>
      <c r="AC1644" t="s">
        <v>23924</v>
      </c>
    </row>
    <row r="1645" spans="1:30">
      <c r="A1645" t="s">
        <v>23925</v>
      </c>
      <c r="B1645">
        <v>4</v>
      </c>
      <c r="C1645">
        <v>13</v>
      </c>
      <c r="D1645">
        <v>1994</v>
      </c>
      <c r="E1645" s="1">
        <v>34437</v>
      </c>
      <c r="F1645" t="s">
        <v>23926</v>
      </c>
      <c r="G1645">
        <v>0</v>
      </c>
      <c r="H1645">
        <v>0</v>
      </c>
      <c r="I1645">
        <v>0</v>
      </c>
      <c r="J1645">
        <v>1</v>
      </c>
      <c r="L1645" t="s">
        <v>23927</v>
      </c>
      <c r="M1645" t="s">
        <v>23928</v>
      </c>
      <c r="N1645" t="s">
        <v>23929</v>
      </c>
      <c r="O1645" t="s">
        <v>23930</v>
      </c>
      <c r="P1645" t="s">
        <v>23931</v>
      </c>
      <c r="Q1645" t="s">
        <v>23932</v>
      </c>
      <c r="R1645" t="s">
        <v>23933</v>
      </c>
      <c r="S1645" t="s">
        <v>23934</v>
      </c>
      <c r="U1645">
        <v>1</v>
      </c>
      <c r="V1645" t="s">
        <v>23935</v>
      </c>
      <c r="W1645" t="s">
        <v>23936</v>
      </c>
      <c r="X1645" t="s">
        <v>23937</v>
      </c>
      <c r="Y1645" t="s">
        <v>23938</v>
      </c>
      <c r="Z1645" t="s">
        <v>23938</v>
      </c>
      <c r="AA1645" t="s">
        <v>23938</v>
      </c>
      <c r="AB1645" t="s">
        <v>23938</v>
      </c>
      <c r="AC1645" t="s">
        <v>23938</v>
      </c>
    </row>
    <row r="1646" spans="1:30">
      <c r="A1646" t="s">
        <v>23939</v>
      </c>
      <c r="B1646">
        <v>4</v>
      </c>
      <c r="C1646">
        <v>12</v>
      </c>
      <c r="D1646">
        <v>1994</v>
      </c>
      <c r="E1646" s="1">
        <v>34436</v>
      </c>
      <c r="F1646" t="s">
        <v>23940</v>
      </c>
      <c r="G1646">
        <v>1</v>
      </c>
      <c r="H1646">
        <v>0</v>
      </c>
      <c r="I1646">
        <v>1</v>
      </c>
      <c r="J1646">
        <v>0</v>
      </c>
      <c r="L1646" t="s">
        <v>23941</v>
      </c>
      <c r="M1646" t="s">
        <v>23942</v>
      </c>
      <c r="N1646" t="s">
        <v>23943</v>
      </c>
      <c r="O1646" t="s">
        <v>23944</v>
      </c>
      <c r="P1646" t="s">
        <v>23945</v>
      </c>
      <c r="Q1646" t="s">
        <v>23946</v>
      </c>
      <c r="R1646" t="s">
        <v>23947</v>
      </c>
      <c r="S1646" t="s">
        <v>23948</v>
      </c>
      <c r="U1646">
        <v>1</v>
      </c>
      <c r="V1646" t="s">
        <v>23949</v>
      </c>
      <c r="W1646" t="s">
        <v>23950</v>
      </c>
      <c r="X1646" t="s">
        <v>23951</v>
      </c>
      <c r="Y1646" t="s">
        <v>23952</v>
      </c>
      <c r="Z1646" t="s">
        <v>23952</v>
      </c>
      <c r="AA1646" t="s">
        <v>23952</v>
      </c>
      <c r="AB1646" t="s">
        <v>23953</v>
      </c>
      <c r="AC1646" t="s">
        <v>23954</v>
      </c>
      <c r="AD1646" t="s">
        <v>23954</v>
      </c>
    </row>
    <row r="1647" spans="1:30">
      <c r="A1647" t="s">
        <v>23955</v>
      </c>
      <c r="B1647">
        <v>4</v>
      </c>
      <c r="C1647">
        <v>8</v>
      </c>
      <c r="D1647">
        <v>1994</v>
      </c>
      <c r="E1647" s="1">
        <v>34432</v>
      </c>
      <c r="F1647" t="s">
        <v>23956</v>
      </c>
      <c r="G1647">
        <v>0</v>
      </c>
      <c r="H1647">
        <v>1</v>
      </c>
      <c r="I1647">
        <v>1</v>
      </c>
      <c r="J1647">
        <v>0</v>
      </c>
      <c r="L1647" t="s">
        <v>23957</v>
      </c>
      <c r="M1647" t="s">
        <v>23958</v>
      </c>
      <c r="N1647" t="s">
        <v>23959</v>
      </c>
      <c r="O1647" t="s">
        <v>23960</v>
      </c>
      <c r="P1647" t="s">
        <v>23961</v>
      </c>
      <c r="Q1647" t="s">
        <v>23962</v>
      </c>
      <c r="R1647" t="s">
        <v>23963</v>
      </c>
      <c r="S1647" t="s">
        <v>23964</v>
      </c>
      <c r="T1647" s="2">
        <v>0.375</v>
      </c>
      <c r="U1647">
        <v>1</v>
      </c>
      <c r="V1647" t="s">
        <v>23965</v>
      </c>
      <c r="W1647" t="s">
        <v>23966</v>
      </c>
      <c r="X1647" t="s">
        <v>23967</v>
      </c>
      <c r="Y1647" t="s">
        <v>23968</v>
      </c>
      <c r="Z1647" t="s">
        <v>23968</v>
      </c>
      <c r="AA1647" t="s">
        <v>23968</v>
      </c>
      <c r="AB1647" t="s">
        <v>23968</v>
      </c>
      <c r="AC1647" t="s">
        <v>23968</v>
      </c>
    </row>
    <row r="1648" spans="1:30">
      <c r="A1648" t="s">
        <v>23969</v>
      </c>
      <c r="B1648">
        <v>4</v>
      </c>
      <c r="C1648">
        <v>5</v>
      </c>
      <c r="D1648">
        <v>1994</v>
      </c>
      <c r="E1648" s="1">
        <v>34429</v>
      </c>
      <c r="F1648" t="s">
        <v>23970</v>
      </c>
      <c r="G1648">
        <v>0</v>
      </c>
      <c r="H1648">
        <v>2</v>
      </c>
      <c r="I1648">
        <v>2</v>
      </c>
      <c r="J1648">
        <v>0</v>
      </c>
      <c r="L1648" t="s">
        <v>23971</v>
      </c>
      <c r="M1648" t="s">
        <v>23972</v>
      </c>
      <c r="N1648" t="s">
        <v>23973</v>
      </c>
      <c r="O1648" t="s">
        <v>23974</v>
      </c>
      <c r="P1648" t="s">
        <v>23975</v>
      </c>
      <c r="Q1648" t="s">
        <v>23976</v>
      </c>
      <c r="R1648" t="s">
        <v>23977</v>
      </c>
      <c r="U1648">
        <v>1</v>
      </c>
      <c r="V1648" t="s">
        <v>23978</v>
      </c>
      <c r="W1648" t="s">
        <v>23979</v>
      </c>
      <c r="X1648" t="s">
        <v>23980</v>
      </c>
      <c r="Y1648" t="s">
        <v>23981</v>
      </c>
      <c r="Z1648" t="s">
        <v>23982</v>
      </c>
      <c r="AA1648" t="s">
        <v>23982</v>
      </c>
      <c r="AB1648" t="s">
        <v>23982</v>
      </c>
      <c r="AC1648" t="s">
        <v>23982</v>
      </c>
    </row>
    <row r="1649" spans="1:30">
      <c r="A1649" t="s">
        <v>23983</v>
      </c>
      <c r="B1649">
        <v>3</v>
      </c>
      <c r="C1649">
        <v>25</v>
      </c>
      <c r="D1649">
        <v>1994</v>
      </c>
      <c r="E1649" s="1">
        <v>34418</v>
      </c>
      <c r="F1649" t="s">
        <v>23984</v>
      </c>
      <c r="G1649">
        <v>0</v>
      </c>
      <c r="H1649">
        <v>0</v>
      </c>
      <c r="I1649">
        <v>0</v>
      </c>
      <c r="J1649">
        <v>1</v>
      </c>
      <c r="L1649" t="s">
        <v>23985</v>
      </c>
      <c r="M1649" t="s">
        <v>23986</v>
      </c>
      <c r="N1649" t="s">
        <v>23987</v>
      </c>
      <c r="O1649" t="s">
        <v>23988</v>
      </c>
      <c r="P1649" t="s">
        <v>23989</v>
      </c>
      <c r="Q1649" t="s">
        <v>23990</v>
      </c>
      <c r="R1649" t="s">
        <v>23991</v>
      </c>
      <c r="V1649" t="s">
        <v>23992</v>
      </c>
      <c r="W1649" t="s">
        <v>23993</v>
      </c>
      <c r="X1649" t="s">
        <v>23994</v>
      </c>
      <c r="Y1649" t="s">
        <v>23995</v>
      </c>
      <c r="Z1649" t="s">
        <v>23995</v>
      </c>
      <c r="AA1649" t="s">
        <v>23995</v>
      </c>
      <c r="AB1649" t="s">
        <v>23996</v>
      </c>
      <c r="AC1649" t="s">
        <v>23997</v>
      </c>
    </row>
    <row r="1650" spans="1:30">
      <c r="A1650" t="s">
        <v>23998</v>
      </c>
      <c r="B1650">
        <v>3</v>
      </c>
      <c r="C1650">
        <v>23</v>
      </c>
      <c r="D1650">
        <v>1994</v>
      </c>
      <c r="E1650" s="1">
        <v>34416</v>
      </c>
      <c r="F1650" t="s">
        <v>23999</v>
      </c>
      <c r="G1650">
        <v>1</v>
      </c>
      <c r="H1650">
        <v>1</v>
      </c>
      <c r="I1650">
        <v>2</v>
      </c>
      <c r="J1650">
        <v>0</v>
      </c>
      <c r="L1650" t="s">
        <v>24000</v>
      </c>
      <c r="M1650" t="s">
        <v>24001</v>
      </c>
      <c r="N1650" t="s">
        <v>24002</v>
      </c>
      <c r="O1650" t="s">
        <v>24003</v>
      </c>
      <c r="P1650" t="s">
        <v>24004</v>
      </c>
      <c r="Q1650" t="s">
        <v>24005</v>
      </c>
      <c r="R1650" t="s">
        <v>24006</v>
      </c>
      <c r="S1650" t="s">
        <v>24007</v>
      </c>
      <c r="T1650" s="2">
        <v>0.5</v>
      </c>
      <c r="U1650">
        <v>1</v>
      </c>
      <c r="V1650" t="s">
        <v>24008</v>
      </c>
      <c r="W1650" t="s">
        <v>24009</v>
      </c>
      <c r="X1650" t="s">
        <v>24010</v>
      </c>
      <c r="Y1650" t="s">
        <v>24011</v>
      </c>
      <c r="Z1650" t="s">
        <v>24011</v>
      </c>
      <c r="AA1650" t="s">
        <v>24011</v>
      </c>
      <c r="AB1650" t="s">
        <v>24011</v>
      </c>
      <c r="AC1650" t="s">
        <v>24011</v>
      </c>
    </row>
    <row r="1651" spans="1:30">
      <c r="A1651" t="s">
        <v>24012</v>
      </c>
      <c r="B1651">
        <v>3</v>
      </c>
      <c r="C1651">
        <v>15</v>
      </c>
      <c r="D1651">
        <v>1994</v>
      </c>
      <c r="E1651" s="1">
        <v>34408</v>
      </c>
      <c r="F1651" t="s">
        <v>24013</v>
      </c>
      <c r="G1651">
        <v>1</v>
      </c>
      <c r="H1651">
        <v>0</v>
      </c>
      <c r="I1651">
        <v>1</v>
      </c>
      <c r="J1651">
        <v>0</v>
      </c>
      <c r="L1651" t="s">
        <v>24014</v>
      </c>
      <c r="M1651" t="s">
        <v>24015</v>
      </c>
      <c r="N1651" t="s">
        <v>24016</v>
      </c>
      <c r="O1651" t="s">
        <v>24017</v>
      </c>
      <c r="P1651" t="s">
        <v>24018</v>
      </c>
      <c r="Q1651" t="s">
        <v>24018</v>
      </c>
      <c r="R1651" t="s">
        <v>24019</v>
      </c>
      <c r="S1651" t="s">
        <v>24020</v>
      </c>
      <c r="U1651">
        <v>1</v>
      </c>
      <c r="V1651" t="s">
        <v>24021</v>
      </c>
      <c r="W1651" t="s">
        <v>24022</v>
      </c>
      <c r="X1651" t="s">
        <v>24023</v>
      </c>
      <c r="Y1651" t="s">
        <v>24024</v>
      </c>
      <c r="Z1651" t="s">
        <v>24024</v>
      </c>
      <c r="AA1651" t="s">
        <v>24024</v>
      </c>
      <c r="AB1651" t="s">
        <v>24024</v>
      </c>
      <c r="AC1651" t="s">
        <v>24024</v>
      </c>
    </row>
    <row r="1652" spans="1:30">
      <c r="A1652" t="s">
        <v>24025</v>
      </c>
      <c r="B1652">
        <v>3</v>
      </c>
      <c r="C1652">
        <v>9</v>
      </c>
      <c r="D1652">
        <v>1994</v>
      </c>
      <c r="E1652" s="1">
        <v>34402</v>
      </c>
      <c r="F1652" t="s">
        <v>24026</v>
      </c>
      <c r="G1652">
        <v>1</v>
      </c>
      <c r="H1652">
        <v>0</v>
      </c>
      <c r="I1652">
        <v>1</v>
      </c>
      <c r="J1652">
        <v>0</v>
      </c>
      <c r="L1652" t="s">
        <v>24027</v>
      </c>
      <c r="M1652" t="s">
        <v>24028</v>
      </c>
      <c r="N1652" t="s">
        <v>24029</v>
      </c>
      <c r="O1652" t="s">
        <v>24030</v>
      </c>
      <c r="P1652" t="s">
        <v>24031</v>
      </c>
      <c r="Q1652" t="s">
        <v>24032</v>
      </c>
      <c r="R1652" t="s">
        <v>24033</v>
      </c>
      <c r="S1652" t="s">
        <v>24034</v>
      </c>
      <c r="T1652" s="2">
        <v>0.45833333333333331</v>
      </c>
      <c r="U1652">
        <v>1</v>
      </c>
      <c r="V1652" t="s">
        <v>24035</v>
      </c>
      <c r="W1652" t="s">
        <v>24036</v>
      </c>
      <c r="X1652" t="s">
        <v>24037</v>
      </c>
      <c r="Y1652" t="s">
        <v>24038</v>
      </c>
      <c r="Z1652" t="s">
        <v>24038</v>
      </c>
      <c r="AA1652" t="s">
        <v>24038</v>
      </c>
      <c r="AB1652" t="s">
        <v>24038</v>
      </c>
      <c r="AC1652" t="s">
        <v>24038</v>
      </c>
      <c r="AD1652" t="s">
        <v>24038</v>
      </c>
    </row>
    <row r="1653" spans="1:30">
      <c r="A1653" t="s">
        <v>24039</v>
      </c>
      <c r="B1653">
        <v>3</v>
      </c>
      <c r="C1653">
        <v>3</v>
      </c>
      <c r="D1653">
        <v>1994</v>
      </c>
      <c r="E1653" s="1">
        <v>34396</v>
      </c>
      <c r="F1653" t="s">
        <v>24040</v>
      </c>
      <c r="G1653">
        <v>0</v>
      </c>
      <c r="H1653">
        <v>1</v>
      </c>
      <c r="I1653">
        <v>1</v>
      </c>
      <c r="J1653">
        <v>0</v>
      </c>
      <c r="L1653" t="s">
        <v>24041</v>
      </c>
      <c r="M1653" t="s">
        <v>24042</v>
      </c>
      <c r="N1653" t="s">
        <v>24043</v>
      </c>
      <c r="O1653" t="s">
        <v>24044</v>
      </c>
      <c r="P1653" t="s">
        <v>24045</v>
      </c>
      <c r="Q1653" t="s">
        <v>24046</v>
      </c>
      <c r="R1653" t="s">
        <v>24047</v>
      </c>
      <c r="S1653" t="s">
        <v>24048</v>
      </c>
      <c r="U1653">
        <v>1</v>
      </c>
      <c r="V1653" t="s">
        <v>24049</v>
      </c>
      <c r="W1653" t="s">
        <v>24050</v>
      </c>
      <c r="X1653" t="s">
        <v>24051</v>
      </c>
      <c r="Y1653" t="s">
        <v>24052</v>
      </c>
      <c r="Z1653" t="s">
        <v>24052</v>
      </c>
      <c r="AA1653" t="s">
        <v>24052</v>
      </c>
      <c r="AB1653" t="s">
        <v>24052</v>
      </c>
      <c r="AC1653" t="s">
        <v>24052</v>
      </c>
    </row>
    <row r="1654" spans="1:30">
      <c r="A1654" t="s">
        <v>24053</v>
      </c>
      <c r="B1654">
        <v>3</v>
      </c>
      <c r="C1654">
        <v>1</v>
      </c>
      <c r="D1654">
        <v>1994</v>
      </c>
      <c r="E1654" s="1">
        <v>34394</v>
      </c>
      <c r="F1654" t="s">
        <v>24054</v>
      </c>
      <c r="G1654">
        <v>2</v>
      </c>
      <c r="H1654">
        <v>0</v>
      </c>
      <c r="I1654">
        <v>2</v>
      </c>
      <c r="J1654">
        <v>0</v>
      </c>
      <c r="L1654" t="s">
        <v>24055</v>
      </c>
      <c r="M1654" t="s">
        <v>24056</v>
      </c>
      <c r="N1654" t="s">
        <v>24057</v>
      </c>
      <c r="O1654" t="s">
        <v>24058</v>
      </c>
      <c r="P1654" t="s">
        <v>24059</v>
      </c>
      <c r="Q1654" t="s">
        <v>24060</v>
      </c>
      <c r="R1654" t="s">
        <v>24061</v>
      </c>
      <c r="S1654" t="s">
        <v>24062</v>
      </c>
      <c r="T1654" s="2">
        <v>0.375</v>
      </c>
      <c r="V1654" t="s">
        <v>24063</v>
      </c>
      <c r="W1654" t="s">
        <v>24064</v>
      </c>
      <c r="X1654" t="s">
        <v>24065</v>
      </c>
      <c r="Y1654" t="s">
        <v>24066</v>
      </c>
      <c r="Z1654" t="s">
        <v>24067</v>
      </c>
      <c r="AA1654" t="s">
        <v>24068</v>
      </c>
      <c r="AB1654" t="s">
        <v>24068</v>
      </c>
      <c r="AC1654" t="s">
        <v>24069</v>
      </c>
      <c r="AD1654" t="s">
        <v>24069</v>
      </c>
    </row>
    <row r="1655" spans="1:30">
      <c r="A1655" t="s">
        <v>24070</v>
      </c>
      <c r="B1655">
        <v>2</v>
      </c>
      <c r="C1655">
        <v>18</v>
      </c>
      <c r="D1655">
        <v>1994</v>
      </c>
      <c r="E1655" s="1">
        <v>34383</v>
      </c>
      <c r="F1655" t="s">
        <v>24071</v>
      </c>
      <c r="G1655">
        <v>0</v>
      </c>
      <c r="H1655">
        <v>1</v>
      </c>
      <c r="I1655">
        <v>1</v>
      </c>
      <c r="J1655">
        <v>0</v>
      </c>
      <c r="L1655" t="s">
        <v>24072</v>
      </c>
      <c r="M1655" t="s">
        <v>24073</v>
      </c>
      <c r="N1655" t="s">
        <v>24074</v>
      </c>
      <c r="O1655" t="s">
        <v>24075</v>
      </c>
      <c r="P1655" t="s">
        <v>24076</v>
      </c>
      <c r="Q1655" t="s">
        <v>24077</v>
      </c>
      <c r="R1655" t="s">
        <v>24078</v>
      </c>
      <c r="S1655" t="s">
        <v>24079</v>
      </c>
      <c r="T1655" s="2">
        <v>0.91666666666666663</v>
      </c>
      <c r="U1655">
        <v>1</v>
      </c>
      <c r="V1655" t="s">
        <v>24080</v>
      </c>
      <c r="W1655" t="s">
        <v>24081</v>
      </c>
      <c r="X1655" t="s">
        <v>24082</v>
      </c>
      <c r="Y1655" t="s">
        <v>24083</v>
      </c>
      <c r="Z1655" t="s">
        <v>24083</v>
      </c>
      <c r="AA1655" t="s">
        <v>24083</v>
      </c>
      <c r="AB1655" t="s">
        <v>24083</v>
      </c>
      <c r="AC1655" t="s">
        <v>24083</v>
      </c>
    </row>
    <row r="1656" spans="1:30">
      <c r="A1656" t="s">
        <v>24084</v>
      </c>
      <c r="B1656">
        <v>2</v>
      </c>
      <c r="C1656">
        <v>8</v>
      </c>
      <c r="D1656">
        <v>1994</v>
      </c>
      <c r="E1656" s="1">
        <v>34373</v>
      </c>
      <c r="F1656" t="s">
        <v>24085</v>
      </c>
      <c r="G1656">
        <v>1</v>
      </c>
      <c r="H1656">
        <v>0</v>
      </c>
      <c r="I1656">
        <v>1</v>
      </c>
      <c r="J1656">
        <v>0</v>
      </c>
      <c r="L1656" t="s">
        <v>24086</v>
      </c>
      <c r="M1656" t="s">
        <v>24087</v>
      </c>
      <c r="N1656" t="s">
        <v>24088</v>
      </c>
      <c r="O1656" t="s">
        <v>24089</v>
      </c>
      <c r="P1656" t="s">
        <v>24090</v>
      </c>
      <c r="Q1656" t="s">
        <v>24091</v>
      </c>
      <c r="R1656" t="s">
        <v>24092</v>
      </c>
      <c r="U1656">
        <v>1</v>
      </c>
      <c r="V1656" t="s">
        <v>24093</v>
      </c>
      <c r="W1656" t="s">
        <v>24094</v>
      </c>
      <c r="Y1656" t="s">
        <v>24095</v>
      </c>
      <c r="Z1656" t="s">
        <v>24095</v>
      </c>
      <c r="AA1656" t="s">
        <v>24095</v>
      </c>
      <c r="AB1656" t="s">
        <v>24095</v>
      </c>
      <c r="AC1656" t="s">
        <v>24095</v>
      </c>
    </row>
    <row r="1657" spans="1:30">
      <c r="A1657" t="s">
        <v>24096</v>
      </c>
      <c r="B1657">
        <v>1</v>
      </c>
      <c r="C1657">
        <v>31</v>
      </c>
      <c r="D1657">
        <v>1994</v>
      </c>
      <c r="E1657" s="1">
        <v>34365</v>
      </c>
      <c r="F1657" t="s">
        <v>24097</v>
      </c>
      <c r="G1657">
        <v>1</v>
      </c>
      <c r="H1657">
        <v>0</v>
      </c>
      <c r="I1657">
        <v>1</v>
      </c>
      <c r="J1657">
        <v>0</v>
      </c>
      <c r="L1657" t="s">
        <v>24098</v>
      </c>
      <c r="M1657" t="s">
        <v>24099</v>
      </c>
      <c r="N1657" t="s">
        <v>24100</v>
      </c>
      <c r="O1657" t="s">
        <v>24101</v>
      </c>
      <c r="P1657" t="s">
        <v>24102</v>
      </c>
      <c r="Q1657" t="s">
        <v>24103</v>
      </c>
      <c r="R1657" t="s">
        <v>24104</v>
      </c>
      <c r="S1657" t="s">
        <v>24105</v>
      </c>
      <c r="T1657" s="2">
        <v>0.27083333333333331</v>
      </c>
      <c r="U1657">
        <v>1</v>
      </c>
      <c r="V1657" t="s">
        <v>24106</v>
      </c>
      <c r="W1657" t="s">
        <v>24107</v>
      </c>
      <c r="X1657" t="s">
        <v>24108</v>
      </c>
      <c r="Y1657" t="s">
        <v>24109</v>
      </c>
      <c r="Z1657" t="s">
        <v>24109</v>
      </c>
      <c r="AA1657" t="s">
        <v>24109</v>
      </c>
      <c r="AB1657" t="s">
        <v>24109</v>
      </c>
      <c r="AC1657" t="s">
        <v>24109</v>
      </c>
    </row>
    <row r="1658" spans="1:30">
      <c r="A1658" t="s">
        <v>24110</v>
      </c>
      <c r="B1658">
        <v>1</v>
      </c>
      <c r="C1658">
        <v>27</v>
      </c>
      <c r="D1658">
        <v>1994</v>
      </c>
      <c r="E1658" s="1">
        <v>34361</v>
      </c>
      <c r="F1658" t="s">
        <v>24111</v>
      </c>
      <c r="G1658">
        <v>1</v>
      </c>
      <c r="H1658">
        <v>0</v>
      </c>
      <c r="I1658">
        <v>1</v>
      </c>
      <c r="J1658">
        <v>0</v>
      </c>
      <c r="L1658" t="s">
        <v>24112</v>
      </c>
      <c r="M1658" t="s">
        <v>24113</v>
      </c>
      <c r="N1658" t="s">
        <v>24114</v>
      </c>
      <c r="O1658" t="s">
        <v>24115</v>
      </c>
      <c r="P1658" t="s">
        <v>24116</v>
      </c>
      <c r="Q1658" t="s">
        <v>24117</v>
      </c>
      <c r="R1658" t="s">
        <v>24118</v>
      </c>
      <c r="T1658" s="2">
        <v>0.60416666666666674</v>
      </c>
      <c r="U1658">
        <v>1</v>
      </c>
      <c r="V1658" t="s">
        <v>24119</v>
      </c>
      <c r="W1658" t="s">
        <v>24120</v>
      </c>
      <c r="X1658" t="s">
        <v>24121</v>
      </c>
      <c r="Y1658" t="s">
        <v>24122</v>
      </c>
      <c r="Z1658" t="s">
        <v>24123</v>
      </c>
      <c r="AA1658" t="s">
        <v>24123</v>
      </c>
      <c r="AB1658" t="s">
        <v>24123</v>
      </c>
      <c r="AC1658" t="s">
        <v>24123</v>
      </c>
    </row>
    <row r="1659" spans="1:30">
      <c r="A1659" t="s">
        <v>24124</v>
      </c>
      <c r="B1659">
        <v>1</v>
      </c>
      <c r="C1659">
        <v>26</v>
      </c>
      <c r="D1659">
        <v>1994</v>
      </c>
      <c r="E1659" s="1">
        <v>34360</v>
      </c>
      <c r="F1659" t="s">
        <v>24125</v>
      </c>
      <c r="G1659">
        <v>0</v>
      </c>
      <c r="H1659">
        <v>0</v>
      </c>
      <c r="I1659">
        <v>0</v>
      </c>
      <c r="J1659">
        <v>0</v>
      </c>
      <c r="L1659" t="s">
        <v>24126</v>
      </c>
      <c r="M1659" t="s">
        <v>24127</v>
      </c>
      <c r="N1659" t="s">
        <v>24128</v>
      </c>
      <c r="O1659" t="s">
        <v>24129</v>
      </c>
      <c r="P1659" t="s">
        <v>24130</v>
      </c>
      <c r="Q1659" t="s">
        <v>24131</v>
      </c>
      <c r="R1659" t="s">
        <v>24132</v>
      </c>
      <c r="S1659" t="s">
        <v>24133</v>
      </c>
      <c r="T1659" s="2">
        <v>0.64583333333333337</v>
      </c>
      <c r="U1659">
        <v>1</v>
      </c>
      <c r="V1659" t="s">
        <v>24134</v>
      </c>
      <c r="W1659" t="s">
        <v>24135</v>
      </c>
      <c r="Y1659" t="s">
        <v>24136</v>
      </c>
      <c r="Z1659" t="s">
        <v>24136</v>
      </c>
      <c r="AA1659" t="s">
        <v>24136</v>
      </c>
      <c r="AB1659" t="s">
        <v>24136</v>
      </c>
      <c r="AC1659" t="s">
        <v>24136</v>
      </c>
    </row>
    <row r="1660" spans="1:30">
      <c r="A1660" t="s">
        <v>24137</v>
      </c>
      <c r="B1660">
        <v>1</v>
      </c>
      <c r="C1660">
        <v>26</v>
      </c>
      <c r="D1660">
        <v>1994</v>
      </c>
      <c r="E1660" s="1">
        <v>34360</v>
      </c>
      <c r="F1660" t="s">
        <v>24138</v>
      </c>
      <c r="G1660">
        <v>0</v>
      </c>
      <c r="H1660">
        <v>0</v>
      </c>
      <c r="I1660">
        <v>0</v>
      </c>
      <c r="J1660">
        <v>0</v>
      </c>
      <c r="L1660" t="s">
        <v>24139</v>
      </c>
      <c r="M1660" t="s">
        <v>24140</v>
      </c>
      <c r="N1660" t="s">
        <v>24141</v>
      </c>
      <c r="O1660" t="s">
        <v>24142</v>
      </c>
      <c r="P1660" t="s">
        <v>24143</v>
      </c>
      <c r="Q1660" t="s">
        <v>24144</v>
      </c>
      <c r="R1660" t="s">
        <v>24145</v>
      </c>
      <c r="S1660" t="s">
        <v>24146</v>
      </c>
      <c r="T1660" s="2">
        <v>0.4513888888888889</v>
      </c>
      <c r="V1660" t="s">
        <v>24147</v>
      </c>
      <c r="W1660" t="s">
        <v>24148</v>
      </c>
      <c r="Y1660" t="s">
        <v>24149</v>
      </c>
      <c r="Z1660" t="s">
        <v>24150</v>
      </c>
      <c r="AA1660" t="s">
        <v>24150</v>
      </c>
      <c r="AB1660" t="s">
        <v>24150</v>
      </c>
      <c r="AC1660" t="s">
        <v>24150</v>
      </c>
      <c r="AD1660" t="s">
        <v>24151</v>
      </c>
    </row>
    <row r="1661" spans="1:30">
      <c r="A1661" t="s">
        <v>24152</v>
      </c>
      <c r="B1661">
        <v>1</v>
      </c>
      <c r="C1661">
        <v>24</v>
      </c>
      <c r="D1661">
        <v>1994</v>
      </c>
      <c r="E1661" s="1">
        <v>34358</v>
      </c>
      <c r="F1661" t="s">
        <v>24153</v>
      </c>
      <c r="G1661">
        <v>1</v>
      </c>
      <c r="H1661">
        <v>0</v>
      </c>
      <c r="I1661">
        <v>1</v>
      </c>
      <c r="J1661">
        <v>0</v>
      </c>
      <c r="L1661" t="s">
        <v>24154</v>
      </c>
      <c r="M1661" t="s">
        <v>24155</v>
      </c>
      <c r="N1661" t="s">
        <v>24156</v>
      </c>
      <c r="O1661" t="s">
        <v>24157</v>
      </c>
      <c r="P1661" t="s">
        <v>24158</v>
      </c>
      <c r="Q1661" t="s">
        <v>24159</v>
      </c>
      <c r="R1661" t="s">
        <v>24160</v>
      </c>
      <c r="S1661" t="s">
        <v>24161</v>
      </c>
      <c r="U1661">
        <v>1</v>
      </c>
      <c r="V1661" t="s">
        <v>24162</v>
      </c>
      <c r="W1661" t="s">
        <v>24163</v>
      </c>
      <c r="X1661" t="s">
        <v>24164</v>
      </c>
      <c r="Y1661" t="s">
        <v>24165</v>
      </c>
      <c r="Z1661" t="s">
        <v>24165</v>
      </c>
      <c r="AA1661" t="s">
        <v>24165</v>
      </c>
      <c r="AB1661" t="s">
        <v>24166</v>
      </c>
      <c r="AC1661" t="s">
        <v>24167</v>
      </c>
    </row>
    <row r="1662" spans="1:30">
      <c r="A1662" t="s">
        <v>24168</v>
      </c>
      <c r="B1662">
        <v>1</v>
      </c>
      <c r="C1662">
        <v>21</v>
      </c>
      <c r="D1662">
        <v>1994</v>
      </c>
      <c r="E1662" s="1">
        <v>34355</v>
      </c>
      <c r="F1662" t="s">
        <v>24169</v>
      </c>
      <c r="G1662">
        <v>0</v>
      </c>
      <c r="H1662">
        <v>0</v>
      </c>
      <c r="I1662">
        <v>0</v>
      </c>
      <c r="J1662">
        <v>1</v>
      </c>
      <c r="L1662" t="s">
        <v>24170</v>
      </c>
      <c r="M1662" t="s">
        <v>24171</v>
      </c>
      <c r="N1662" t="s">
        <v>24172</v>
      </c>
      <c r="O1662" t="s">
        <v>24173</v>
      </c>
      <c r="P1662" t="s">
        <v>24174</v>
      </c>
      <c r="Q1662" t="s">
        <v>24175</v>
      </c>
      <c r="R1662" t="s">
        <v>24176</v>
      </c>
      <c r="S1662" t="s">
        <v>24177</v>
      </c>
      <c r="T1662" s="2">
        <v>0.3347222222222222</v>
      </c>
      <c r="U1662">
        <v>1</v>
      </c>
      <c r="V1662" t="s">
        <v>24178</v>
      </c>
      <c r="W1662" t="s">
        <v>24179</v>
      </c>
      <c r="X1662" t="s">
        <v>24180</v>
      </c>
      <c r="Y1662" t="s">
        <v>24181</v>
      </c>
      <c r="Z1662" t="s">
        <v>24181</v>
      </c>
      <c r="AA1662" t="s">
        <v>24181</v>
      </c>
      <c r="AB1662" t="s">
        <v>24181</v>
      </c>
      <c r="AC1662" t="s">
        <v>24181</v>
      </c>
    </row>
    <row r="1663" spans="1:30">
      <c r="A1663" t="s">
        <v>24182</v>
      </c>
      <c r="B1663">
        <v>1</v>
      </c>
      <c r="C1663">
        <v>20</v>
      </c>
      <c r="D1663">
        <v>1994</v>
      </c>
      <c r="E1663" s="1">
        <v>34354</v>
      </c>
      <c r="F1663" t="s">
        <v>24183</v>
      </c>
      <c r="G1663">
        <v>1</v>
      </c>
      <c r="H1663">
        <v>0</v>
      </c>
      <c r="I1663">
        <v>1</v>
      </c>
      <c r="J1663">
        <v>0</v>
      </c>
      <c r="L1663" t="s">
        <v>24184</v>
      </c>
      <c r="M1663" t="s">
        <v>24185</v>
      </c>
      <c r="N1663" t="s">
        <v>24186</v>
      </c>
      <c r="O1663" t="s">
        <v>24187</v>
      </c>
      <c r="P1663" t="s">
        <v>24188</v>
      </c>
      <c r="Q1663" t="s">
        <v>24189</v>
      </c>
      <c r="R1663" t="s">
        <v>24190</v>
      </c>
      <c r="S1663" t="s">
        <v>24191</v>
      </c>
      <c r="T1663" s="2">
        <v>0.63194444444444442</v>
      </c>
      <c r="U1663">
        <v>1</v>
      </c>
      <c r="V1663" t="s">
        <v>24192</v>
      </c>
      <c r="W1663" t="s">
        <v>24193</v>
      </c>
      <c r="X1663" t="s">
        <v>24194</v>
      </c>
      <c r="Y1663" t="s">
        <v>24195</v>
      </c>
      <c r="Z1663" t="s">
        <v>24196</v>
      </c>
      <c r="AA1663" t="s">
        <v>24196</v>
      </c>
      <c r="AB1663" t="s">
        <v>24196</v>
      </c>
      <c r="AC1663" t="s">
        <v>24196</v>
      </c>
    </row>
    <row r="1664" spans="1:30">
      <c r="A1664" t="s">
        <v>24197</v>
      </c>
      <c r="B1664">
        <v>12</v>
      </c>
      <c r="C1664">
        <v>17</v>
      </c>
      <c r="D1664">
        <v>1993</v>
      </c>
      <c r="E1664" s="1">
        <v>34320</v>
      </c>
      <c r="F1664" t="s">
        <v>24198</v>
      </c>
      <c r="G1664">
        <v>1</v>
      </c>
      <c r="H1664">
        <v>2</v>
      </c>
      <c r="I1664">
        <v>3</v>
      </c>
      <c r="J1664">
        <v>0</v>
      </c>
      <c r="L1664" t="s">
        <v>24199</v>
      </c>
      <c r="M1664" t="s">
        <v>24200</v>
      </c>
      <c r="N1664" t="s">
        <v>24201</v>
      </c>
      <c r="O1664" t="s">
        <v>24202</v>
      </c>
      <c r="P1664" t="s">
        <v>24203</v>
      </c>
      <c r="Q1664" t="s">
        <v>24204</v>
      </c>
      <c r="R1664" t="s">
        <v>24205</v>
      </c>
      <c r="S1664" t="s">
        <v>24206</v>
      </c>
      <c r="V1664" t="s">
        <v>24207</v>
      </c>
      <c r="W1664" t="s">
        <v>24208</v>
      </c>
      <c r="X1664" t="s">
        <v>24209</v>
      </c>
      <c r="Z1664" t="s">
        <v>24210</v>
      </c>
      <c r="AA1664" t="s">
        <v>24210</v>
      </c>
      <c r="AB1664" t="s">
        <v>24210</v>
      </c>
      <c r="AC1664" t="s">
        <v>24210</v>
      </c>
      <c r="AD1664" t="s">
        <v>24211</v>
      </c>
    </row>
    <row r="1665" spans="1:30">
      <c r="A1665" t="s">
        <v>24212</v>
      </c>
      <c r="B1665">
        <v>12</v>
      </c>
      <c r="C1665">
        <v>15</v>
      </c>
      <c r="D1665">
        <v>1993</v>
      </c>
      <c r="E1665" s="1">
        <v>34318</v>
      </c>
      <c r="F1665" t="s">
        <v>24213</v>
      </c>
      <c r="G1665">
        <v>1</v>
      </c>
      <c r="H1665">
        <v>0</v>
      </c>
      <c r="I1665">
        <v>1</v>
      </c>
      <c r="J1665">
        <v>0</v>
      </c>
      <c r="L1665" t="s">
        <v>24214</v>
      </c>
      <c r="M1665" t="s">
        <v>24215</v>
      </c>
      <c r="N1665" t="s">
        <v>24216</v>
      </c>
      <c r="O1665" t="s">
        <v>24217</v>
      </c>
      <c r="P1665" t="s">
        <v>24218</v>
      </c>
      <c r="Q1665" t="s">
        <v>24218</v>
      </c>
      <c r="R1665" t="s">
        <v>24219</v>
      </c>
      <c r="S1665" t="s">
        <v>24220</v>
      </c>
      <c r="T1665" s="2">
        <v>0.56944444444444442</v>
      </c>
      <c r="U1665">
        <v>1</v>
      </c>
      <c r="V1665" t="s">
        <v>24221</v>
      </c>
      <c r="W1665" t="s">
        <v>24222</v>
      </c>
      <c r="X1665" t="s">
        <v>24223</v>
      </c>
      <c r="Y1665" t="s">
        <v>24224</v>
      </c>
      <c r="Z1665" t="s">
        <v>24225</v>
      </c>
      <c r="AA1665" t="s">
        <v>24225</v>
      </c>
      <c r="AB1665" t="s">
        <v>24225</v>
      </c>
      <c r="AC1665" t="s">
        <v>24225</v>
      </c>
    </row>
    <row r="1666" spans="1:30">
      <c r="A1666" t="s">
        <v>24226</v>
      </c>
      <c r="B1666">
        <v>12</v>
      </c>
      <c r="C1666">
        <v>8</v>
      </c>
      <c r="D1666">
        <v>1993</v>
      </c>
      <c r="E1666" s="1">
        <v>34311</v>
      </c>
      <c r="F1666" t="s">
        <v>24227</v>
      </c>
      <c r="G1666">
        <v>1</v>
      </c>
      <c r="H1666">
        <v>0</v>
      </c>
      <c r="I1666">
        <v>1</v>
      </c>
      <c r="J1666">
        <v>0</v>
      </c>
      <c r="L1666" t="s">
        <v>24228</v>
      </c>
      <c r="M1666" t="s">
        <v>24229</v>
      </c>
      <c r="N1666" t="s">
        <v>24230</v>
      </c>
      <c r="O1666" t="s">
        <v>24231</v>
      </c>
      <c r="P1666" t="s">
        <v>24232</v>
      </c>
      <c r="Q1666" t="s">
        <v>24233</v>
      </c>
      <c r="R1666" t="s">
        <v>24234</v>
      </c>
      <c r="S1666" t="s">
        <v>24235</v>
      </c>
      <c r="T1666" s="2">
        <v>0.83333333333333337</v>
      </c>
      <c r="U1666">
        <v>1</v>
      </c>
      <c r="V1666" t="s">
        <v>24236</v>
      </c>
      <c r="W1666" t="s">
        <v>24237</v>
      </c>
      <c r="X1666" t="s">
        <v>24238</v>
      </c>
      <c r="Y1666" t="s">
        <v>24239</v>
      </c>
      <c r="Z1666" t="s">
        <v>24239</v>
      </c>
      <c r="AA1666" t="s">
        <v>24239</v>
      </c>
      <c r="AB1666" t="s">
        <v>24239</v>
      </c>
      <c r="AC1666" t="s">
        <v>24239</v>
      </c>
    </row>
    <row r="1667" spans="1:30">
      <c r="A1667" t="s">
        <v>24240</v>
      </c>
      <c r="B1667">
        <v>12</v>
      </c>
      <c r="C1667">
        <v>2</v>
      </c>
      <c r="D1667">
        <v>1993</v>
      </c>
      <c r="E1667" s="1">
        <v>34305</v>
      </c>
      <c r="F1667" t="s">
        <v>24241</v>
      </c>
      <c r="G1667">
        <v>1</v>
      </c>
      <c r="H1667">
        <v>0</v>
      </c>
      <c r="I1667">
        <v>1</v>
      </c>
      <c r="J1667">
        <v>0</v>
      </c>
      <c r="L1667" t="s">
        <v>24242</v>
      </c>
      <c r="M1667" t="s">
        <v>24243</v>
      </c>
      <c r="N1667" t="s">
        <v>24244</v>
      </c>
      <c r="O1667" t="s">
        <v>24245</v>
      </c>
      <c r="P1667" t="s">
        <v>24246</v>
      </c>
      <c r="Q1667" t="s">
        <v>24247</v>
      </c>
      <c r="R1667" t="s">
        <v>24248</v>
      </c>
      <c r="U1667">
        <v>1</v>
      </c>
      <c r="V1667" t="s">
        <v>24249</v>
      </c>
      <c r="W1667" t="s">
        <v>24250</v>
      </c>
      <c r="X1667" t="s">
        <v>24251</v>
      </c>
      <c r="Y1667" t="s">
        <v>24252</v>
      </c>
      <c r="Z1667" t="s">
        <v>24252</v>
      </c>
      <c r="AA1667" t="s">
        <v>24252</v>
      </c>
      <c r="AB1667" t="s">
        <v>24252</v>
      </c>
      <c r="AC1667" t="s">
        <v>24252</v>
      </c>
    </row>
    <row r="1668" spans="1:30">
      <c r="A1668" t="s">
        <v>24253</v>
      </c>
      <c r="B1668">
        <v>12</v>
      </c>
      <c r="C1668">
        <v>1</v>
      </c>
      <c r="D1668">
        <v>1993</v>
      </c>
      <c r="E1668" s="1">
        <v>34304</v>
      </c>
      <c r="F1668" t="s">
        <v>24254</v>
      </c>
      <c r="G1668">
        <v>1</v>
      </c>
      <c r="H1668">
        <v>0</v>
      </c>
      <c r="I1668">
        <v>1</v>
      </c>
      <c r="J1668">
        <v>0</v>
      </c>
      <c r="L1668" t="s">
        <v>24255</v>
      </c>
      <c r="M1668" t="s">
        <v>24256</v>
      </c>
      <c r="N1668" t="s">
        <v>24257</v>
      </c>
      <c r="O1668" t="s">
        <v>24258</v>
      </c>
      <c r="P1668" t="s">
        <v>24259</v>
      </c>
      <c r="Q1668" t="s">
        <v>24260</v>
      </c>
      <c r="R1668" t="s">
        <v>24261</v>
      </c>
      <c r="S1668" t="s">
        <v>24262</v>
      </c>
      <c r="V1668" t="s">
        <v>24263</v>
      </c>
      <c r="W1668" t="s">
        <v>24264</v>
      </c>
      <c r="X1668" t="s">
        <v>24265</v>
      </c>
      <c r="Y1668" t="s">
        <v>24266</v>
      </c>
      <c r="Z1668" t="s">
        <v>24266</v>
      </c>
      <c r="AA1668" t="s">
        <v>24266</v>
      </c>
      <c r="AB1668" t="s">
        <v>24266</v>
      </c>
      <c r="AC1668" t="s">
        <v>24266</v>
      </c>
    </row>
    <row r="1669" spans="1:30">
      <c r="A1669" t="s">
        <v>24267</v>
      </c>
      <c r="B1669">
        <v>11</v>
      </c>
      <c r="C1669">
        <v>11</v>
      </c>
      <c r="D1669">
        <v>1993</v>
      </c>
      <c r="E1669" s="1">
        <v>34284</v>
      </c>
      <c r="F1669" t="s">
        <v>24268</v>
      </c>
      <c r="G1669">
        <v>1</v>
      </c>
      <c r="H1669">
        <v>0</v>
      </c>
      <c r="I1669">
        <v>1</v>
      </c>
      <c r="J1669">
        <v>0</v>
      </c>
      <c r="L1669" t="s">
        <v>24269</v>
      </c>
      <c r="M1669" t="s">
        <v>24270</v>
      </c>
      <c r="N1669" t="s">
        <v>24271</v>
      </c>
      <c r="O1669" t="s">
        <v>24272</v>
      </c>
      <c r="P1669" t="s">
        <v>24273</v>
      </c>
      <c r="Q1669" t="s">
        <v>24274</v>
      </c>
      <c r="R1669" t="s">
        <v>24275</v>
      </c>
      <c r="S1669" t="s">
        <v>24276</v>
      </c>
      <c r="T1669" s="2">
        <v>0</v>
      </c>
      <c r="U1669">
        <v>1</v>
      </c>
      <c r="V1669" t="s">
        <v>24277</v>
      </c>
      <c r="W1669" t="s">
        <v>24278</v>
      </c>
      <c r="X1669" t="s">
        <v>24279</v>
      </c>
      <c r="Y1669" t="s">
        <v>24280</v>
      </c>
      <c r="Z1669" t="s">
        <v>24280</v>
      </c>
      <c r="AA1669" t="s">
        <v>24280</v>
      </c>
      <c r="AB1669" t="s">
        <v>24280</v>
      </c>
      <c r="AC1669" t="s">
        <v>24280</v>
      </c>
    </row>
    <row r="1670" spans="1:30">
      <c r="A1670" t="s">
        <v>24281</v>
      </c>
      <c r="B1670">
        <v>11</v>
      </c>
      <c r="C1670">
        <v>4</v>
      </c>
      <c r="D1670">
        <v>1993</v>
      </c>
      <c r="E1670" s="1">
        <v>34277</v>
      </c>
      <c r="F1670" t="s">
        <v>24282</v>
      </c>
      <c r="G1670">
        <v>1</v>
      </c>
      <c r="H1670">
        <v>0</v>
      </c>
      <c r="I1670">
        <v>1</v>
      </c>
      <c r="J1670">
        <v>0</v>
      </c>
      <c r="L1670" t="s">
        <v>24283</v>
      </c>
      <c r="M1670" t="s">
        <v>24284</v>
      </c>
      <c r="N1670" t="s">
        <v>24285</v>
      </c>
      <c r="O1670" t="s">
        <v>24286</v>
      </c>
      <c r="P1670" t="s">
        <v>24287</v>
      </c>
      <c r="Q1670" t="s">
        <v>24288</v>
      </c>
      <c r="R1670" t="s">
        <v>24289</v>
      </c>
      <c r="S1670" t="s">
        <v>24290</v>
      </c>
      <c r="U1670">
        <v>1</v>
      </c>
      <c r="V1670" t="s">
        <v>24291</v>
      </c>
      <c r="W1670" t="s">
        <v>24292</v>
      </c>
      <c r="X1670" t="s">
        <v>24293</v>
      </c>
      <c r="Y1670" t="s">
        <v>24294</v>
      </c>
      <c r="Z1670" t="s">
        <v>24295</v>
      </c>
      <c r="AA1670" t="s">
        <v>24295</v>
      </c>
      <c r="AB1670" t="s">
        <v>24295</v>
      </c>
      <c r="AC1670" t="s">
        <v>24295</v>
      </c>
    </row>
    <row r="1671" spans="1:30">
      <c r="A1671" t="s">
        <v>24296</v>
      </c>
      <c r="B1671">
        <v>11</v>
      </c>
      <c r="C1671">
        <v>4</v>
      </c>
      <c r="D1671">
        <v>1993</v>
      </c>
      <c r="E1671" s="1">
        <v>34277</v>
      </c>
      <c r="F1671" t="s">
        <v>24297</v>
      </c>
      <c r="G1671">
        <v>1</v>
      </c>
      <c r="H1671">
        <v>0</v>
      </c>
      <c r="I1671">
        <v>1</v>
      </c>
      <c r="J1671">
        <v>0</v>
      </c>
      <c r="L1671" t="s">
        <v>24298</v>
      </c>
      <c r="M1671" t="s">
        <v>24299</v>
      </c>
      <c r="N1671" t="s">
        <v>24300</v>
      </c>
      <c r="O1671" t="s">
        <v>24301</v>
      </c>
      <c r="P1671" t="s">
        <v>24302</v>
      </c>
      <c r="Q1671" t="s">
        <v>24303</v>
      </c>
      <c r="R1671" t="s">
        <v>24304</v>
      </c>
      <c r="S1671" t="s">
        <v>24305</v>
      </c>
      <c r="U1671">
        <v>1</v>
      </c>
      <c r="V1671" t="s">
        <v>24306</v>
      </c>
      <c r="W1671" t="s">
        <v>24307</v>
      </c>
      <c r="X1671" t="s">
        <v>24308</v>
      </c>
      <c r="Y1671" t="s">
        <v>24309</v>
      </c>
      <c r="Z1671" t="s">
        <v>24309</v>
      </c>
      <c r="AA1671" t="s">
        <v>24309</v>
      </c>
      <c r="AB1671" t="s">
        <v>24309</v>
      </c>
      <c r="AC1671" t="s">
        <v>24309</v>
      </c>
    </row>
    <row r="1672" spans="1:30">
      <c r="A1672" t="s">
        <v>24310</v>
      </c>
      <c r="B1672">
        <v>11</v>
      </c>
      <c r="C1672">
        <v>4</v>
      </c>
      <c r="D1672">
        <v>1993</v>
      </c>
      <c r="E1672" s="1">
        <v>34277</v>
      </c>
      <c r="F1672" t="s">
        <v>24311</v>
      </c>
      <c r="G1672">
        <v>1</v>
      </c>
      <c r="H1672">
        <v>0</v>
      </c>
      <c r="I1672">
        <v>1</v>
      </c>
      <c r="J1672">
        <v>0</v>
      </c>
      <c r="L1672" t="s">
        <v>24312</v>
      </c>
      <c r="M1672" t="s">
        <v>24313</v>
      </c>
      <c r="N1672" t="s">
        <v>24314</v>
      </c>
      <c r="O1672" t="s">
        <v>24315</v>
      </c>
      <c r="P1672" t="s">
        <v>24316</v>
      </c>
      <c r="Q1672" t="s">
        <v>24317</v>
      </c>
      <c r="R1672" t="s">
        <v>24318</v>
      </c>
      <c r="U1672">
        <v>1</v>
      </c>
      <c r="V1672" t="s">
        <v>24319</v>
      </c>
      <c r="W1672" t="s">
        <v>24320</v>
      </c>
      <c r="X1672" t="s">
        <v>24321</v>
      </c>
      <c r="Y1672" t="s">
        <v>24322</v>
      </c>
      <c r="Z1672" t="s">
        <v>24322</v>
      </c>
      <c r="AA1672" t="s">
        <v>24322</v>
      </c>
    </row>
    <row r="1673" spans="1:30">
      <c r="A1673" t="s">
        <v>24323</v>
      </c>
      <c r="B1673">
        <v>11</v>
      </c>
      <c r="C1673">
        <v>1</v>
      </c>
      <c r="D1673">
        <v>1993</v>
      </c>
      <c r="E1673" s="1">
        <v>34274</v>
      </c>
      <c r="F1673" t="s">
        <v>24324</v>
      </c>
      <c r="G1673">
        <v>1</v>
      </c>
      <c r="H1673">
        <v>0</v>
      </c>
      <c r="I1673">
        <v>1</v>
      </c>
      <c r="J1673">
        <v>0</v>
      </c>
      <c r="L1673" t="s">
        <v>24325</v>
      </c>
      <c r="M1673" t="s">
        <v>24326</v>
      </c>
      <c r="N1673" t="s">
        <v>24327</v>
      </c>
      <c r="O1673" t="s">
        <v>24328</v>
      </c>
      <c r="P1673" t="s">
        <v>24329</v>
      </c>
      <c r="Q1673" t="s">
        <v>24329</v>
      </c>
      <c r="R1673" t="s">
        <v>24330</v>
      </c>
      <c r="U1673">
        <v>1</v>
      </c>
      <c r="V1673" t="s">
        <v>24331</v>
      </c>
      <c r="W1673" t="s">
        <v>24332</v>
      </c>
      <c r="X1673" t="s">
        <v>24333</v>
      </c>
      <c r="Y1673" t="s">
        <v>24334</v>
      </c>
      <c r="Z1673" t="s">
        <v>24335</v>
      </c>
      <c r="AA1673" t="s">
        <v>24335</v>
      </c>
      <c r="AB1673" t="s">
        <v>24335</v>
      </c>
      <c r="AC1673" t="s">
        <v>24335</v>
      </c>
    </row>
    <row r="1674" spans="1:30">
      <c r="A1674" t="s">
        <v>24336</v>
      </c>
      <c r="B1674">
        <v>10</v>
      </c>
      <c r="C1674">
        <v>18</v>
      </c>
      <c r="D1674">
        <v>1993</v>
      </c>
      <c r="E1674" s="1">
        <v>34260</v>
      </c>
      <c r="F1674" t="s">
        <v>24337</v>
      </c>
      <c r="G1674">
        <v>0</v>
      </c>
      <c r="H1674">
        <v>1</v>
      </c>
      <c r="I1674">
        <v>1</v>
      </c>
      <c r="J1674">
        <v>0</v>
      </c>
      <c r="L1674" t="s">
        <v>24338</v>
      </c>
      <c r="M1674" t="s">
        <v>24339</v>
      </c>
      <c r="N1674" t="s">
        <v>24340</v>
      </c>
      <c r="O1674" t="s">
        <v>24341</v>
      </c>
      <c r="P1674" t="s">
        <v>24342</v>
      </c>
      <c r="Q1674" t="s">
        <v>24343</v>
      </c>
      <c r="R1674" t="s">
        <v>24344</v>
      </c>
      <c r="T1674" s="2">
        <v>0.47916666666666663</v>
      </c>
      <c r="U1674">
        <v>1</v>
      </c>
      <c r="V1674" t="s">
        <v>24345</v>
      </c>
      <c r="W1674" t="s">
        <v>24346</v>
      </c>
      <c r="X1674" t="s">
        <v>24347</v>
      </c>
      <c r="Y1674" t="s">
        <v>24348</v>
      </c>
      <c r="Z1674" t="s">
        <v>24348</v>
      </c>
      <c r="AA1674" t="s">
        <v>24348</v>
      </c>
      <c r="AC1674" t="s">
        <v>24348</v>
      </c>
    </row>
    <row r="1675" spans="1:30">
      <c r="A1675" t="s">
        <v>24349</v>
      </c>
      <c r="B1675">
        <v>10</v>
      </c>
      <c r="C1675">
        <v>12</v>
      </c>
      <c r="D1675">
        <v>1993</v>
      </c>
      <c r="E1675" s="1">
        <v>34254</v>
      </c>
      <c r="F1675" t="s">
        <v>24350</v>
      </c>
      <c r="G1675">
        <v>0</v>
      </c>
      <c r="H1675">
        <v>0</v>
      </c>
      <c r="I1675">
        <v>0</v>
      </c>
      <c r="J1675">
        <v>1</v>
      </c>
      <c r="L1675" t="s">
        <v>24351</v>
      </c>
      <c r="M1675" t="s">
        <v>24352</v>
      </c>
      <c r="N1675" t="s">
        <v>24353</v>
      </c>
      <c r="O1675" t="s">
        <v>24354</v>
      </c>
      <c r="P1675" t="s">
        <v>24355</v>
      </c>
      <c r="Q1675" t="s">
        <v>24356</v>
      </c>
      <c r="R1675" t="s">
        <v>24357</v>
      </c>
      <c r="U1675">
        <v>1</v>
      </c>
      <c r="V1675" t="s">
        <v>24358</v>
      </c>
      <c r="W1675" t="s">
        <v>24359</v>
      </c>
      <c r="X1675" t="s">
        <v>24360</v>
      </c>
      <c r="Y1675" t="s">
        <v>24361</v>
      </c>
      <c r="Z1675" t="s">
        <v>24361</v>
      </c>
      <c r="AA1675" t="s">
        <v>24361</v>
      </c>
      <c r="AC1675" t="s">
        <v>24361</v>
      </c>
    </row>
    <row r="1676" spans="1:30">
      <c r="A1676" t="s">
        <v>24362</v>
      </c>
      <c r="B1676">
        <v>9</v>
      </c>
      <c r="C1676">
        <v>28</v>
      </c>
      <c r="D1676">
        <v>1993</v>
      </c>
      <c r="E1676" s="1">
        <v>34240</v>
      </c>
      <c r="F1676" t="s">
        <v>24363</v>
      </c>
      <c r="G1676">
        <v>1</v>
      </c>
      <c r="H1676">
        <v>0</v>
      </c>
      <c r="I1676">
        <v>1</v>
      </c>
      <c r="J1676">
        <v>0</v>
      </c>
      <c r="L1676" t="s">
        <v>24364</v>
      </c>
      <c r="M1676" t="s">
        <v>24365</v>
      </c>
      <c r="N1676" t="s">
        <v>24366</v>
      </c>
      <c r="O1676" t="s">
        <v>24367</v>
      </c>
      <c r="P1676" t="s">
        <v>24368</v>
      </c>
      <c r="Q1676" t="s">
        <v>24369</v>
      </c>
      <c r="R1676" t="s">
        <v>24370</v>
      </c>
      <c r="S1676" t="s">
        <v>24371</v>
      </c>
      <c r="T1676" s="2">
        <v>0.34027777777777773</v>
      </c>
      <c r="U1676">
        <v>1</v>
      </c>
      <c r="V1676" t="s">
        <v>24372</v>
      </c>
      <c r="W1676" t="s">
        <v>24373</v>
      </c>
      <c r="X1676" t="s">
        <v>24374</v>
      </c>
      <c r="Y1676" t="s">
        <v>24375</v>
      </c>
      <c r="Z1676" t="s">
        <v>24375</v>
      </c>
      <c r="AA1676" t="s">
        <v>24375</v>
      </c>
      <c r="AB1676" t="s">
        <v>24375</v>
      </c>
      <c r="AC1676" t="s">
        <v>24375</v>
      </c>
    </row>
    <row r="1677" spans="1:30">
      <c r="A1677" t="s">
        <v>24376</v>
      </c>
      <c r="B1677">
        <v>9</v>
      </c>
      <c r="C1677">
        <v>25</v>
      </c>
      <c r="D1677">
        <v>1993</v>
      </c>
      <c r="E1677" s="1">
        <v>34237</v>
      </c>
      <c r="F1677" t="s">
        <v>24377</v>
      </c>
      <c r="G1677">
        <v>2</v>
      </c>
      <c r="H1677">
        <v>0</v>
      </c>
      <c r="I1677">
        <v>2</v>
      </c>
      <c r="J1677">
        <v>0</v>
      </c>
      <c r="L1677" t="s">
        <v>24378</v>
      </c>
      <c r="M1677" t="s">
        <v>24379</v>
      </c>
      <c r="N1677" t="s">
        <v>24380</v>
      </c>
      <c r="O1677" t="s">
        <v>24381</v>
      </c>
      <c r="P1677" t="s">
        <v>24382</v>
      </c>
      <c r="Q1677" t="s">
        <v>24383</v>
      </c>
      <c r="R1677" t="s">
        <v>24384</v>
      </c>
      <c r="S1677" t="s">
        <v>24385</v>
      </c>
      <c r="U1677">
        <v>1</v>
      </c>
      <c r="V1677" t="s">
        <v>24386</v>
      </c>
      <c r="W1677" t="s">
        <v>24387</v>
      </c>
      <c r="X1677" t="s">
        <v>24388</v>
      </c>
      <c r="Y1677" t="s">
        <v>24389</v>
      </c>
      <c r="Z1677" t="s">
        <v>24389</v>
      </c>
      <c r="AA1677" t="s">
        <v>24389</v>
      </c>
      <c r="AB1677" t="s">
        <v>24389</v>
      </c>
      <c r="AC1677" t="s">
        <v>24389</v>
      </c>
    </row>
    <row r="1678" spans="1:30">
      <c r="A1678" t="s">
        <v>24390</v>
      </c>
      <c r="B1678">
        <v>9</v>
      </c>
      <c r="C1678">
        <v>17</v>
      </c>
      <c r="D1678">
        <v>1993</v>
      </c>
      <c r="E1678" s="1">
        <v>34229</v>
      </c>
      <c r="F1678" t="s">
        <v>24391</v>
      </c>
      <c r="G1678">
        <v>1</v>
      </c>
      <c r="H1678">
        <v>0</v>
      </c>
      <c r="I1678">
        <v>1</v>
      </c>
      <c r="J1678">
        <v>0</v>
      </c>
      <c r="L1678" t="s">
        <v>24392</v>
      </c>
      <c r="M1678" t="s">
        <v>24393</v>
      </c>
      <c r="N1678" t="s">
        <v>24394</v>
      </c>
      <c r="O1678" t="s">
        <v>24395</v>
      </c>
      <c r="P1678" t="s">
        <v>24396</v>
      </c>
      <c r="Q1678" t="s">
        <v>24397</v>
      </c>
      <c r="R1678" t="s">
        <v>24398</v>
      </c>
      <c r="S1678" t="s">
        <v>24399</v>
      </c>
      <c r="U1678">
        <v>1</v>
      </c>
      <c r="V1678" t="s">
        <v>24400</v>
      </c>
      <c r="W1678" t="s">
        <v>24401</v>
      </c>
      <c r="X1678" t="s">
        <v>24402</v>
      </c>
      <c r="Y1678" t="s">
        <v>24403</v>
      </c>
      <c r="Z1678" t="s">
        <v>24403</v>
      </c>
      <c r="AA1678" t="s">
        <v>24403</v>
      </c>
      <c r="AB1678" t="s">
        <v>24403</v>
      </c>
      <c r="AC1678" t="s">
        <v>24403</v>
      </c>
    </row>
    <row r="1679" spans="1:30">
      <c r="A1679" t="s">
        <v>24404</v>
      </c>
      <c r="B1679">
        <v>9</v>
      </c>
      <c r="C1679">
        <v>17</v>
      </c>
      <c r="D1679">
        <v>1993</v>
      </c>
      <c r="E1679" s="1">
        <v>34229</v>
      </c>
      <c r="F1679" t="s">
        <v>24405</v>
      </c>
      <c r="G1679">
        <v>0</v>
      </c>
      <c r="H1679">
        <v>0</v>
      </c>
      <c r="I1679">
        <v>0</v>
      </c>
      <c r="J1679">
        <v>1</v>
      </c>
      <c r="L1679" t="s">
        <v>24406</v>
      </c>
      <c r="M1679" t="s">
        <v>24407</v>
      </c>
      <c r="N1679" t="s">
        <v>24408</v>
      </c>
      <c r="O1679" t="s">
        <v>24409</v>
      </c>
      <c r="P1679" t="s">
        <v>24410</v>
      </c>
      <c r="Q1679" t="s">
        <v>24411</v>
      </c>
      <c r="R1679" t="s">
        <v>24412</v>
      </c>
      <c r="U1679">
        <v>1</v>
      </c>
      <c r="V1679" t="s">
        <v>24413</v>
      </c>
      <c r="W1679" t="s">
        <v>24414</v>
      </c>
      <c r="X1679" t="s">
        <v>24415</v>
      </c>
      <c r="Y1679" t="s">
        <v>24416</v>
      </c>
      <c r="Z1679" t="s">
        <v>24416</v>
      </c>
      <c r="AA1679" t="s">
        <v>24416</v>
      </c>
      <c r="AB1679" t="s">
        <v>24416</v>
      </c>
      <c r="AC1679" t="s">
        <v>24416</v>
      </c>
      <c r="AD1679" t="s">
        <v>24417</v>
      </c>
    </row>
    <row r="1680" spans="1:30">
      <c r="A1680" t="s">
        <v>24418</v>
      </c>
      <c r="B1680">
        <v>9</v>
      </c>
      <c r="C1680">
        <v>16</v>
      </c>
      <c r="D1680">
        <v>1993</v>
      </c>
      <c r="E1680" s="1">
        <v>34228</v>
      </c>
      <c r="F1680" t="s">
        <v>24419</v>
      </c>
      <c r="G1680">
        <v>1</v>
      </c>
      <c r="H1680">
        <v>0</v>
      </c>
      <c r="I1680">
        <v>1</v>
      </c>
      <c r="J1680">
        <v>0</v>
      </c>
      <c r="L1680" t="s">
        <v>24420</v>
      </c>
      <c r="M1680" t="s">
        <v>24421</v>
      </c>
      <c r="N1680" t="s">
        <v>24422</v>
      </c>
      <c r="O1680" t="s">
        <v>24423</v>
      </c>
      <c r="P1680" t="s">
        <v>24424</v>
      </c>
      <c r="Q1680" t="s">
        <v>24425</v>
      </c>
      <c r="R1680" t="s">
        <v>24426</v>
      </c>
      <c r="S1680" t="s">
        <v>24427</v>
      </c>
      <c r="T1680" s="2">
        <v>0.625</v>
      </c>
      <c r="U1680">
        <v>1</v>
      </c>
      <c r="V1680" t="s">
        <v>24428</v>
      </c>
      <c r="W1680" t="s">
        <v>24429</v>
      </c>
      <c r="Y1680" t="s">
        <v>24430</v>
      </c>
      <c r="Z1680" t="s">
        <v>24430</v>
      </c>
      <c r="AA1680" t="s">
        <v>24430</v>
      </c>
    </row>
    <row r="1681" spans="1:30">
      <c r="A1681" t="s">
        <v>24431</v>
      </c>
      <c r="B1681">
        <v>9</v>
      </c>
      <c r="C1681">
        <v>12</v>
      </c>
      <c r="D1681">
        <v>1993</v>
      </c>
      <c r="E1681" s="1">
        <v>34224</v>
      </c>
      <c r="F1681" t="s">
        <v>24432</v>
      </c>
      <c r="G1681">
        <v>0</v>
      </c>
      <c r="H1681">
        <v>0</v>
      </c>
      <c r="I1681">
        <v>0</v>
      </c>
      <c r="J1681">
        <v>0</v>
      </c>
      <c r="K1681" t="s">
        <v>24433</v>
      </c>
      <c r="L1681" t="s">
        <v>24434</v>
      </c>
      <c r="M1681" t="s">
        <v>24435</v>
      </c>
      <c r="N1681" t="s">
        <v>24436</v>
      </c>
      <c r="O1681" t="s">
        <v>24437</v>
      </c>
      <c r="P1681" t="s">
        <v>24438</v>
      </c>
      <c r="Q1681" t="s">
        <v>24439</v>
      </c>
      <c r="R1681" t="s">
        <v>24440</v>
      </c>
      <c r="S1681" t="s">
        <v>24441</v>
      </c>
      <c r="T1681" s="2">
        <v>0.57361111111111107</v>
      </c>
      <c r="U1681">
        <v>1</v>
      </c>
      <c r="V1681" t="s">
        <v>24442</v>
      </c>
      <c r="W1681" t="s">
        <v>24443</v>
      </c>
      <c r="X1681" t="s">
        <v>24444</v>
      </c>
      <c r="Y1681" t="s">
        <v>24445</v>
      </c>
      <c r="Z1681" t="s">
        <v>24445</v>
      </c>
      <c r="AA1681" t="s">
        <v>24445</v>
      </c>
      <c r="AB1681" t="s">
        <v>24445</v>
      </c>
      <c r="AC1681" t="s">
        <v>24445</v>
      </c>
      <c r="AD1681" t="s">
        <v>24445</v>
      </c>
    </row>
    <row r="1682" spans="1:30">
      <c r="A1682" t="s">
        <v>24446</v>
      </c>
      <c r="B1682">
        <v>9</v>
      </c>
      <c r="C1682">
        <v>2</v>
      </c>
      <c r="D1682">
        <v>1993</v>
      </c>
      <c r="E1682" s="1">
        <v>34214</v>
      </c>
      <c r="F1682" t="s">
        <v>24447</v>
      </c>
      <c r="G1682">
        <v>1</v>
      </c>
      <c r="H1682">
        <v>0</v>
      </c>
      <c r="I1682">
        <v>1</v>
      </c>
      <c r="J1682">
        <v>0</v>
      </c>
      <c r="L1682" t="s">
        <v>24448</v>
      </c>
      <c r="M1682" t="s">
        <v>24449</v>
      </c>
      <c r="N1682" t="s">
        <v>24450</v>
      </c>
      <c r="O1682" t="s">
        <v>24451</v>
      </c>
      <c r="P1682" t="s">
        <v>24452</v>
      </c>
      <c r="Q1682" t="s">
        <v>24453</v>
      </c>
      <c r="R1682" t="s">
        <v>24454</v>
      </c>
      <c r="S1682" t="s">
        <v>24455</v>
      </c>
      <c r="T1682" s="2">
        <v>0.61458333333333337</v>
      </c>
      <c r="U1682">
        <v>1</v>
      </c>
      <c r="V1682" t="s">
        <v>24456</v>
      </c>
      <c r="W1682" t="s">
        <v>24457</v>
      </c>
      <c r="X1682" t="s">
        <v>24458</v>
      </c>
      <c r="Y1682" t="s">
        <v>24459</v>
      </c>
      <c r="Z1682" t="s">
        <v>24459</v>
      </c>
      <c r="AA1682" t="s">
        <v>24459</v>
      </c>
      <c r="AB1682" t="s">
        <v>24459</v>
      </c>
      <c r="AC1682" t="s">
        <v>24459</v>
      </c>
    </row>
    <row r="1683" spans="1:30">
      <c r="A1683" t="s">
        <v>24460</v>
      </c>
      <c r="B1683">
        <v>9</v>
      </c>
      <c r="C1683">
        <v>1</v>
      </c>
      <c r="D1683">
        <v>1993</v>
      </c>
      <c r="E1683" s="1">
        <v>34213</v>
      </c>
      <c r="F1683" t="s">
        <v>24461</v>
      </c>
      <c r="G1683">
        <v>0</v>
      </c>
      <c r="H1683">
        <v>1</v>
      </c>
      <c r="I1683">
        <v>1</v>
      </c>
      <c r="J1683">
        <v>0</v>
      </c>
      <c r="L1683" t="s">
        <v>24462</v>
      </c>
      <c r="M1683" t="s">
        <v>24463</v>
      </c>
      <c r="N1683" t="s">
        <v>24464</v>
      </c>
      <c r="O1683" t="s">
        <v>24465</v>
      </c>
      <c r="P1683" t="s">
        <v>24466</v>
      </c>
      <c r="Q1683" t="s">
        <v>24467</v>
      </c>
      <c r="R1683" t="s">
        <v>24468</v>
      </c>
      <c r="S1683" t="s">
        <v>24469</v>
      </c>
      <c r="U1683">
        <v>1</v>
      </c>
      <c r="V1683" t="s">
        <v>24470</v>
      </c>
      <c r="W1683" t="s">
        <v>24471</v>
      </c>
      <c r="X1683" t="s">
        <v>24472</v>
      </c>
      <c r="Y1683" t="s">
        <v>24473</v>
      </c>
      <c r="Z1683" t="s">
        <v>24473</v>
      </c>
      <c r="AA1683" t="s">
        <v>24473</v>
      </c>
      <c r="AB1683" t="s">
        <v>24473</v>
      </c>
      <c r="AC1683" t="s">
        <v>24473</v>
      </c>
    </row>
    <row r="1684" spans="1:30">
      <c r="A1684" t="s">
        <v>24474</v>
      </c>
      <c r="B1684">
        <v>8</v>
      </c>
      <c r="C1684">
        <v>31</v>
      </c>
      <c r="D1684">
        <v>1993</v>
      </c>
      <c r="E1684" s="1">
        <v>34212</v>
      </c>
      <c r="F1684" t="s">
        <v>24475</v>
      </c>
      <c r="G1684">
        <v>1</v>
      </c>
      <c r="H1684">
        <v>0</v>
      </c>
      <c r="I1684">
        <v>1</v>
      </c>
      <c r="J1684">
        <v>0</v>
      </c>
      <c r="L1684" t="s">
        <v>24476</v>
      </c>
      <c r="M1684" t="s">
        <v>24477</v>
      </c>
      <c r="N1684" t="s">
        <v>24478</v>
      </c>
      <c r="O1684" t="s">
        <v>24479</v>
      </c>
      <c r="P1684" t="s">
        <v>24480</v>
      </c>
      <c r="Q1684" t="s">
        <v>24481</v>
      </c>
      <c r="R1684" t="s">
        <v>24482</v>
      </c>
      <c r="U1684">
        <v>1</v>
      </c>
      <c r="V1684" t="s">
        <v>24483</v>
      </c>
      <c r="W1684" t="s">
        <v>24484</v>
      </c>
      <c r="X1684" t="s">
        <v>24485</v>
      </c>
      <c r="Y1684" t="s">
        <v>24486</v>
      </c>
      <c r="Z1684" t="s">
        <v>24486</v>
      </c>
      <c r="AA1684" t="s">
        <v>24486</v>
      </c>
      <c r="AC1684" t="s">
        <v>24486</v>
      </c>
    </row>
    <row r="1685" spans="1:30">
      <c r="A1685" t="s">
        <v>24487</v>
      </c>
      <c r="B1685">
        <v>8</v>
      </c>
      <c r="C1685">
        <v>3</v>
      </c>
      <c r="D1685">
        <v>1993</v>
      </c>
      <c r="E1685" s="1">
        <v>34184</v>
      </c>
      <c r="F1685" t="s">
        <v>24488</v>
      </c>
      <c r="G1685">
        <v>0</v>
      </c>
      <c r="H1685">
        <v>1</v>
      </c>
      <c r="I1685">
        <v>1</v>
      </c>
      <c r="J1685">
        <v>0</v>
      </c>
      <c r="L1685" t="s">
        <v>24489</v>
      </c>
      <c r="M1685" t="s">
        <v>24490</v>
      </c>
      <c r="N1685" t="s">
        <v>24491</v>
      </c>
      <c r="O1685" t="s">
        <v>24492</v>
      </c>
      <c r="P1685" t="s">
        <v>24493</v>
      </c>
      <c r="Q1685" t="s">
        <v>24494</v>
      </c>
      <c r="R1685" t="s">
        <v>24495</v>
      </c>
      <c r="S1685" t="s">
        <v>24496</v>
      </c>
      <c r="U1685">
        <v>1</v>
      </c>
      <c r="V1685" t="s">
        <v>24497</v>
      </c>
      <c r="W1685" t="s">
        <v>24498</v>
      </c>
      <c r="X1685" t="s">
        <v>24499</v>
      </c>
      <c r="Y1685" t="s">
        <v>24500</v>
      </c>
      <c r="Z1685" t="s">
        <v>24500</v>
      </c>
      <c r="AA1685" t="s">
        <v>24500</v>
      </c>
    </row>
    <row r="1686" spans="1:30">
      <c r="A1686" t="s">
        <v>24501</v>
      </c>
      <c r="B1686">
        <v>7</v>
      </c>
      <c r="C1686">
        <v>7</v>
      </c>
      <c r="D1686">
        <v>1993</v>
      </c>
      <c r="E1686" s="1">
        <v>34157</v>
      </c>
      <c r="F1686" t="s">
        <v>24502</v>
      </c>
      <c r="G1686">
        <v>1</v>
      </c>
      <c r="H1686">
        <v>0</v>
      </c>
      <c r="I1686">
        <v>1</v>
      </c>
      <c r="J1686">
        <v>0</v>
      </c>
      <c r="L1686" t="s">
        <v>24503</v>
      </c>
      <c r="M1686" t="s">
        <v>24504</v>
      </c>
      <c r="N1686" t="s">
        <v>24505</v>
      </c>
      <c r="O1686" t="s">
        <v>24506</v>
      </c>
      <c r="P1686" t="s">
        <v>24507</v>
      </c>
      <c r="Q1686" t="s">
        <v>24508</v>
      </c>
      <c r="R1686" t="s">
        <v>24509</v>
      </c>
      <c r="S1686" t="s">
        <v>24510</v>
      </c>
      <c r="T1686" s="2">
        <v>0.60416666666666674</v>
      </c>
      <c r="U1686">
        <v>1</v>
      </c>
      <c r="V1686" t="s">
        <v>24511</v>
      </c>
      <c r="W1686" t="s">
        <v>24512</v>
      </c>
      <c r="X1686" t="s">
        <v>24513</v>
      </c>
      <c r="Y1686" t="s">
        <v>24514</v>
      </c>
      <c r="Z1686" t="s">
        <v>24514</v>
      </c>
      <c r="AA1686" t="s">
        <v>24514</v>
      </c>
      <c r="AB1686" t="s">
        <v>24514</v>
      </c>
      <c r="AC1686" t="s">
        <v>24514</v>
      </c>
    </row>
    <row r="1687" spans="1:30">
      <c r="A1687" t="s">
        <v>24515</v>
      </c>
      <c r="B1687">
        <v>5</v>
      </c>
      <c r="C1687">
        <v>27</v>
      </c>
      <c r="D1687">
        <v>1993</v>
      </c>
      <c r="E1687" s="1">
        <v>34116</v>
      </c>
      <c r="F1687" t="s">
        <v>24516</v>
      </c>
      <c r="G1687">
        <v>1</v>
      </c>
      <c r="H1687">
        <v>0</v>
      </c>
      <c r="I1687">
        <v>1</v>
      </c>
      <c r="J1687">
        <v>0</v>
      </c>
      <c r="L1687" t="s">
        <v>24517</v>
      </c>
      <c r="M1687" t="s">
        <v>24518</v>
      </c>
      <c r="N1687" t="s">
        <v>24519</v>
      </c>
      <c r="O1687" t="s">
        <v>24520</v>
      </c>
      <c r="P1687" t="s">
        <v>24521</v>
      </c>
      <c r="Q1687" t="s">
        <v>24522</v>
      </c>
      <c r="R1687" t="s">
        <v>24523</v>
      </c>
      <c r="S1687" t="s">
        <v>24524</v>
      </c>
      <c r="U1687">
        <v>1</v>
      </c>
      <c r="V1687" t="s">
        <v>24525</v>
      </c>
      <c r="W1687" t="s">
        <v>24526</v>
      </c>
      <c r="X1687" t="s">
        <v>24527</v>
      </c>
      <c r="Y1687" t="s">
        <v>24528</v>
      </c>
      <c r="Z1687" t="s">
        <v>24528</v>
      </c>
      <c r="AA1687" t="s">
        <v>24528</v>
      </c>
      <c r="AB1687" t="s">
        <v>24528</v>
      </c>
      <c r="AC1687" t="s">
        <v>24528</v>
      </c>
    </row>
    <row r="1688" spans="1:30">
      <c r="A1688" t="s">
        <v>24529</v>
      </c>
      <c r="B1688">
        <v>5</v>
      </c>
      <c r="C1688">
        <v>24</v>
      </c>
      <c r="D1688">
        <v>1993</v>
      </c>
      <c r="E1688" s="1">
        <v>34113</v>
      </c>
      <c r="F1688" t="s">
        <v>24530</v>
      </c>
      <c r="G1688">
        <v>1</v>
      </c>
      <c r="H1688">
        <v>0</v>
      </c>
      <c r="I1688">
        <v>1</v>
      </c>
      <c r="J1688">
        <v>0</v>
      </c>
      <c r="L1688" t="s">
        <v>24531</v>
      </c>
      <c r="M1688" t="s">
        <v>24532</v>
      </c>
      <c r="N1688" t="s">
        <v>24533</v>
      </c>
      <c r="O1688" t="s">
        <v>24534</v>
      </c>
      <c r="P1688" t="s">
        <v>24535</v>
      </c>
      <c r="Q1688" t="s">
        <v>24536</v>
      </c>
      <c r="R1688" t="s">
        <v>24537</v>
      </c>
      <c r="U1688">
        <v>1</v>
      </c>
      <c r="V1688" t="s">
        <v>24538</v>
      </c>
      <c r="W1688" t="s">
        <v>24539</v>
      </c>
      <c r="X1688" t="s">
        <v>24540</v>
      </c>
      <c r="Z1688" t="s">
        <v>24541</v>
      </c>
      <c r="AA1688" t="s">
        <v>24541</v>
      </c>
      <c r="AB1688" t="s">
        <v>24542</v>
      </c>
      <c r="AC1688" t="s">
        <v>24543</v>
      </c>
    </row>
    <row r="1689" spans="1:30">
      <c r="A1689" t="s">
        <v>24544</v>
      </c>
      <c r="B1689">
        <v>5</v>
      </c>
      <c r="C1689">
        <v>14</v>
      </c>
      <c r="D1689">
        <v>1993</v>
      </c>
      <c r="E1689" s="1">
        <v>34103</v>
      </c>
      <c r="F1689" t="s">
        <v>24545</v>
      </c>
      <c r="G1689">
        <v>1</v>
      </c>
      <c r="H1689">
        <v>0</v>
      </c>
      <c r="I1689">
        <v>1</v>
      </c>
      <c r="J1689">
        <v>0</v>
      </c>
      <c r="K1689" t="s">
        <v>24546</v>
      </c>
      <c r="L1689" t="s">
        <v>24547</v>
      </c>
      <c r="M1689" t="s">
        <v>24548</v>
      </c>
      <c r="N1689" t="s">
        <v>24549</v>
      </c>
      <c r="O1689" t="s">
        <v>24550</v>
      </c>
      <c r="P1689" t="s">
        <v>24551</v>
      </c>
      <c r="Q1689" t="s">
        <v>24552</v>
      </c>
      <c r="R1689" t="s">
        <v>24553</v>
      </c>
      <c r="S1689" t="s">
        <v>24554</v>
      </c>
      <c r="T1689" s="2">
        <v>0.625</v>
      </c>
      <c r="U1689">
        <v>1</v>
      </c>
      <c r="V1689" t="s">
        <v>24555</v>
      </c>
      <c r="W1689" t="s">
        <v>24556</v>
      </c>
      <c r="X1689" t="s">
        <v>24557</v>
      </c>
      <c r="Y1689" t="s">
        <v>24558</v>
      </c>
      <c r="Z1689" t="s">
        <v>24558</v>
      </c>
      <c r="AA1689" t="s">
        <v>24558</v>
      </c>
      <c r="AB1689" t="s">
        <v>24558</v>
      </c>
      <c r="AC1689" t="s">
        <v>24558</v>
      </c>
      <c r="AD1689" t="s">
        <v>24558</v>
      </c>
    </row>
    <row r="1690" spans="1:30">
      <c r="A1690" t="s">
        <v>24559</v>
      </c>
      <c r="B1690">
        <v>4</v>
      </c>
      <c r="C1690">
        <v>16</v>
      </c>
      <c r="D1690">
        <v>1993</v>
      </c>
      <c r="E1690" s="1">
        <v>34075</v>
      </c>
      <c r="F1690" t="s">
        <v>24560</v>
      </c>
      <c r="G1690">
        <v>1</v>
      </c>
      <c r="H1690">
        <v>0</v>
      </c>
      <c r="I1690">
        <v>1</v>
      </c>
      <c r="J1690">
        <v>0</v>
      </c>
      <c r="L1690" t="s">
        <v>24561</v>
      </c>
      <c r="M1690" t="s">
        <v>24562</v>
      </c>
      <c r="N1690" t="s">
        <v>24563</v>
      </c>
      <c r="O1690" t="s">
        <v>24564</v>
      </c>
      <c r="P1690" t="s">
        <v>24565</v>
      </c>
      <c r="Q1690" t="s">
        <v>24566</v>
      </c>
      <c r="R1690" t="s">
        <v>24567</v>
      </c>
      <c r="S1690" t="s">
        <v>24568</v>
      </c>
      <c r="T1690" s="2">
        <v>0.72569444444444453</v>
      </c>
      <c r="U1690">
        <v>1</v>
      </c>
      <c r="V1690" t="s">
        <v>24569</v>
      </c>
      <c r="W1690" t="s">
        <v>24570</v>
      </c>
      <c r="Y1690" t="s">
        <v>24571</v>
      </c>
      <c r="Z1690" t="s">
        <v>24571</v>
      </c>
      <c r="AA1690" t="s">
        <v>24571</v>
      </c>
      <c r="AB1690" t="s">
        <v>24571</v>
      </c>
      <c r="AC1690" t="s">
        <v>24571</v>
      </c>
    </row>
    <row r="1691" spans="1:30">
      <c r="A1691" t="s">
        <v>24572</v>
      </c>
      <c r="B1691">
        <v>4</v>
      </c>
      <c r="C1691">
        <v>16</v>
      </c>
      <c r="D1691">
        <v>1993</v>
      </c>
      <c r="E1691" s="1">
        <v>34075</v>
      </c>
      <c r="F1691" t="s">
        <v>24573</v>
      </c>
      <c r="G1691">
        <v>0</v>
      </c>
      <c r="H1691">
        <v>0</v>
      </c>
      <c r="I1691">
        <v>0</v>
      </c>
      <c r="J1691">
        <v>1</v>
      </c>
      <c r="L1691" t="s">
        <v>24574</v>
      </c>
      <c r="M1691" t="s">
        <v>24575</v>
      </c>
      <c r="N1691" t="s">
        <v>24576</v>
      </c>
      <c r="O1691" t="s">
        <v>24577</v>
      </c>
      <c r="P1691" t="s">
        <v>24578</v>
      </c>
      <c r="Q1691" t="s">
        <v>24579</v>
      </c>
      <c r="V1691" t="s">
        <v>24580</v>
      </c>
      <c r="W1691" t="s">
        <v>24581</v>
      </c>
      <c r="X1691" t="s">
        <v>24582</v>
      </c>
      <c r="Y1691" t="s">
        <v>24583</v>
      </c>
      <c r="Z1691" t="s">
        <v>24583</v>
      </c>
      <c r="AA1691" t="s">
        <v>24583</v>
      </c>
      <c r="AB1691" t="s">
        <v>24583</v>
      </c>
      <c r="AC1691" t="s">
        <v>24583</v>
      </c>
    </row>
    <row r="1692" spans="1:30">
      <c r="A1692" t="s">
        <v>24584</v>
      </c>
      <c r="B1692">
        <v>4</v>
      </c>
      <c r="C1692">
        <v>15</v>
      </c>
      <c r="D1692">
        <v>1993</v>
      </c>
      <c r="E1692" s="1">
        <v>34074</v>
      </c>
      <c r="F1692" t="s">
        <v>24585</v>
      </c>
      <c r="G1692">
        <v>1</v>
      </c>
      <c r="H1692">
        <v>0</v>
      </c>
      <c r="I1692">
        <v>1</v>
      </c>
      <c r="J1692">
        <v>0</v>
      </c>
      <c r="L1692" t="s">
        <v>24586</v>
      </c>
      <c r="M1692" t="s">
        <v>24587</v>
      </c>
      <c r="N1692" t="s">
        <v>24588</v>
      </c>
      <c r="O1692" t="s">
        <v>24589</v>
      </c>
      <c r="P1692" t="s">
        <v>24590</v>
      </c>
      <c r="Q1692" t="s">
        <v>24591</v>
      </c>
      <c r="R1692" t="s">
        <v>24592</v>
      </c>
      <c r="S1692" t="s">
        <v>24593</v>
      </c>
      <c r="V1692" t="s">
        <v>24594</v>
      </c>
      <c r="W1692" t="s">
        <v>24595</v>
      </c>
      <c r="X1692" t="s">
        <v>24596</v>
      </c>
      <c r="Y1692" t="s">
        <v>24597</v>
      </c>
      <c r="Z1692" t="s">
        <v>24597</v>
      </c>
      <c r="AA1692" t="s">
        <v>24597</v>
      </c>
      <c r="AB1692" t="s">
        <v>24597</v>
      </c>
      <c r="AC1692" t="s">
        <v>24597</v>
      </c>
      <c r="AD1692" t="s">
        <v>24598</v>
      </c>
    </row>
    <row r="1693" spans="1:30">
      <c r="A1693" t="s">
        <v>24599</v>
      </c>
      <c r="B1693">
        <v>4</v>
      </c>
      <c r="C1693">
        <v>3</v>
      </c>
      <c r="D1693">
        <v>1993</v>
      </c>
      <c r="E1693" s="1">
        <v>34062</v>
      </c>
      <c r="F1693" t="s">
        <v>24600</v>
      </c>
      <c r="G1693">
        <v>1</v>
      </c>
      <c r="H1693">
        <v>1</v>
      </c>
      <c r="I1693">
        <v>2</v>
      </c>
      <c r="J1693">
        <v>0</v>
      </c>
      <c r="L1693" t="s">
        <v>24601</v>
      </c>
      <c r="M1693" t="s">
        <v>24602</v>
      </c>
      <c r="N1693" t="s">
        <v>24603</v>
      </c>
      <c r="O1693" t="s">
        <v>24604</v>
      </c>
      <c r="P1693" t="s">
        <v>24605</v>
      </c>
      <c r="Q1693" t="s">
        <v>24606</v>
      </c>
      <c r="R1693" t="s">
        <v>24607</v>
      </c>
      <c r="S1693" t="s">
        <v>24608</v>
      </c>
      <c r="U1693">
        <v>1</v>
      </c>
      <c r="V1693" t="s">
        <v>24609</v>
      </c>
      <c r="W1693" t="s">
        <v>24610</v>
      </c>
      <c r="Y1693" t="s">
        <v>24611</v>
      </c>
      <c r="Z1693" t="s">
        <v>24611</v>
      </c>
      <c r="AA1693" t="s">
        <v>24611</v>
      </c>
      <c r="AB1693" t="s">
        <v>24611</v>
      </c>
      <c r="AC1693" t="s">
        <v>24611</v>
      </c>
    </row>
    <row r="1694" spans="1:30">
      <c r="A1694" t="s">
        <v>24612</v>
      </c>
      <c r="B1694">
        <v>3</v>
      </c>
      <c r="C1694">
        <v>25</v>
      </c>
      <c r="D1694">
        <v>1993</v>
      </c>
      <c r="E1694" s="1">
        <v>34053</v>
      </c>
      <c r="F1694" t="s">
        <v>24613</v>
      </c>
      <c r="G1694">
        <v>1</v>
      </c>
      <c r="H1694">
        <v>0</v>
      </c>
      <c r="I1694">
        <v>1</v>
      </c>
      <c r="J1694">
        <v>0</v>
      </c>
      <c r="L1694" t="s">
        <v>24614</v>
      </c>
      <c r="M1694" t="s">
        <v>24615</v>
      </c>
      <c r="N1694" t="s">
        <v>24616</v>
      </c>
      <c r="O1694" t="s">
        <v>24617</v>
      </c>
      <c r="P1694" t="s">
        <v>24618</v>
      </c>
      <c r="Q1694" t="s">
        <v>24619</v>
      </c>
      <c r="R1694" t="s">
        <v>24620</v>
      </c>
      <c r="S1694" t="s">
        <v>24621</v>
      </c>
      <c r="T1694" s="2">
        <v>0.33333333333333331</v>
      </c>
      <c r="U1694">
        <v>1</v>
      </c>
      <c r="V1694" t="s">
        <v>24622</v>
      </c>
      <c r="W1694" t="s">
        <v>24623</v>
      </c>
      <c r="X1694" t="s">
        <v>24624</v>
      </c>
      <c r="Y1694" t="s">
        <v>24625</v>
      </c>
      <c r="Z1694" t="s">
        <v>24625</v>
      </c>
      <c r="AA1694" t="s">
        <v>24625</v>
      </c>
      <c r="AB1694" t="s">
        <v>24625</v>
      </c>
      <c r="AC1694" t="s">
        <v>24626</v>
      </c>
    </row>
    <row r="1695" spans="1:30">
      <c r="A1695" t="s">
        <v>24627</v>
      </c>
      <c r="B1695">
        <v>3</v>
      </c>
      <c r="C1695">
        <v>18</v>
      </c>
      <c r="D1695">
        <v>1993</v>
      </c>
      <c r="E1695" s="1">
        <v>34046</v>
      </c>
      <c r="F1695" t="s">
        <v>24628</v>
      </c>
      <c r="G1695">
        <v>1</v>
      </c>
      <c r="H1695">
        <v>1</v>
      </c>
      <c r="I1695">
        <v>2</v>
      </c>
      <c r="J1695">
        <v>0</v>
      </c>
      <c r="L1695" t="s">
        <v>24629</v>
      </c>
      <c r="M1695" t="s">
        <v>24630</v>
      </c>
      <c r="N1695" t="s">
        <v>24631</v>
      </c>
      <c r="O1695" t="s">
        <v>24632</v>
      </c>
      <c r="P1695" t="s">
        <v>24633</v>
      </c>
      <c r="Q1695" t="s">
        <v>24634</v>
      </c>
      <c r="R1695" t="s">
        <v>24635</v>
      </c>
      <c r="S1695" t="s">
        <v>24636</v>
      </c>
      <c r="T1695" s="2">
        <v>0.34375</v>
      </c>
      <c r="U1695">
        <v>1</v>
      </c>
      <c r="V1695" t="s">
        <v>24637</v>
      </c>
      <c r="W1695" t="s">
        <v>24638</v>
      </c>
      <c r="X1695" t="s">
        <v>24639</v>
      </c>
      <c r="Y1695" t="s">
        <v>24640</v>
      </c>
      <c r="Z1695" t="s">
        <v>24640</v>
      </c>
      <c r="AA1695" t="s">
        <v>24640</v>
      </c>
      <c r="AB1695" t="s">
        <v>24641</v>
      </c>
      <c r="AC1695" t="s">
        <v>24642</v>
      </c>
    </row>
    <row r="1696" spans="1:30">
      <c r="A1696" t="s">
        <v>24643</v>
      </c>
      <c r="B1696">
        <v>3</v>
      </c>
      <c r="C1696">
        <v>8</v>
      </c>
      <c r="D1696">
        <v>1993</v>
      </c>
      <c r="E1696" s="1">
        <v>34036</v>
      </c>
      <c r="F1696" t="s">
        <v>24644</v>
      </c>
      <c r="G1696">
        <v>1</v>
      </c>
      <c r="H1696">
        <v>0</v>
      </c>
      <c r="I1696">
        <v>1</v>
      </c>
      <c r="J1696">
        <v>0</v>
      </c>
      <c r="L1696" t="s">
        <v>24645</v>
      </c>
      <c r="M1696" t="s">
        <v>24646</v>
      </c>
      <c r="N1696" t="s">
        <v>24647</v>
      </c>
      <c r="O1696" t="s">
        <v>24648</v>
      </c>
      <c r="P1696" t="s">
        <v>24649</v>
      </c>
      <c r="Q1696" t="s">
        <v>24650</v>
      </c>
      <c r="R1696" t="s">
        <v>24651</v>
      </c>
      <c r="S1696" t="s">
        <v>24652</v>
      </c>
      <c r="V1696" t="s">
        <v>24653</v>
      </c>
      <c r="W1696" t="s">
        <v>24654</v>
      </c>
      <c r="X1696" t="s">
        <v>24655</v>
      </c>
      <c r="Y1696" t="s">
        <v>24656</v>
      </c>
      <c r="Z1696" t="s">
        <v>24656</v>
      </c>
      <c r="AA1696" t="s">
        <v>24656</v>
      </c>
      <c r="AB1696" t="s">
        <v>24656</v>
      </c>
      <c r="AC1696" t="s">
        <v>24656</v>
      </c>
      <c r="AD1696" t="s">
        <v>24656</v>
      </c>
    </row>
    <row r="1697" spans="1:30">
      <c r="A1697" t="s">
        <v>24657</v>
      </c>
      <c r="B1697">
        <v>2</v>
      </c>
      <c r="C1697">
        <v>26</v>
      </c>
      <c r="D1697">
        <v>1993</v>
      </c>
      <c r="E1697" s="1">
        <v>34026</v>
      </c>
      <c r="F1697" t="s">
        <v>24658</v>
      </c>
      <c r="G1697">
        <v>0</v>
      </c>
      <c r="H1697">
        <v>0</v>
      </c>
      <c r="I1697">
        <v>0</v>
      </c>
      <c r="J1697">
        <v>1</v>
      </c>
      <c r="L1697" t="s">
        <v>24659</v>
      </c>
      <c r="M1697" t="s">
        <v>24660</v>
      </c>
      <c r="N1697" t="s">
        <v>24661</v>
      </c>
      <c r="O1697" t="s">
        <v>24662</v>
      </c>
      <c r="P1697" t="s">
        <v>24663</v>
      </c>
      <c r="Q1697" t="s">
        <v>24664</v>
      </c>
      <c r="R1697" t="s">
        <v>24665</v>
      </c>
      <c r="S1697" t="s">
        <v>24666</v>
      </c>
      <c r="U1697">
        <v>1</v>
      </c>
      <c r="V1697" t="s">
        <v>24667</v>
      </c>
      <c r="W1697" t="s">
        <v>24668</v>
      </c>
      <c r="X1697" t="s">
        <v>24669</v>
      </c>
      <c r="Y1697" t="s">
        <v>24670</v>
      </c>
      <c r="Z1697" t="s">
        <v>24670</v>
      </c>
      <c r="AA1697" t="s">
        <v>24670</v>
      </c>
      <c r="AB1697" t="s">
        <v>24670</v>
      </c>
      <c r="AC1697" t="s">
        <v>24670</v>
      </c>
    </row>
    <row r="1698" spans="1:30">
      <c r="A1698" t="s">
        <v>24671</v>
      </c>
      <c r="B1698">
        <v>2</v>
      </c>
      <c r="C1698">
        <v>22</v>
      </c>
      <c r="D1698">
        <v>1993</v>
      </c>
      <c r="E1698" s="1">
        <v>34022</v>
      </c>
      <c r="F1698" t="s">
        <v>24672</v>
      </c>
      <c r="G1698">
        <v>1</v>
      </c>
      <c r="H1698">
        <v>0</v>
      </c>
      <c r="I1698">
        <v>1</v>
      </c>
      <c r="J1698">
        <v>0</v>
      </c>
      <c r="K1698" t="s">
        <v>24673</v>
      </c>
      <c r="L1698" t="s">
        <v>24674</v>
      </c>
      <c r="M1698" t="s">
        <v>24675</v>
      </c>
      <c r="N1698" t="s">
        <v>24676</v>
      </c>
      <c r="O1698" t="s">
        <v>24677</v>
      </c>
      <c r="P1698" t="s">
        <v>24678</v>
      </c>
      <c r="Q1698" t="s">
        <v>24679</v>
      </c>
      <c r="R1698" t="s">
        <v>24680</v>
      </c>
      <c r="S1698" t="s">
        <v>24681</v>
      </c>
      <c r="T1698" s="2">
        <v>0.41666666666666669</v>
      </c>
      <c r="U1698">
        <v>1</v>
      </c>
      <c r="V1698" t="s">
        <v>24682</v>
      </c>
      <c r="W1698" t="s">
        <v>24683</v>
      </c>
      <c r="X1698" t="s">
        <v>24684</v>
      </c>
      <c r="Y1698" t="s">
        <v>24685</v>
      </c>
      <c r="Z1698" t="s">
        <v>24685</v>
      </c>
      <c r="AA1698" t="s">
        <v>24685</v>
      </c>
      <c r="AB1698" t="s">
        <v>24685</v>
      </c>
      <c r="AC1698" t="s">
        <v>24685</v>
      </c>
      <c r="AD1698" t="s">
        <v>24685</v>
      </c>
    </row>
    <row r="1699" spans="1:30">
      <c r="A1699" t="s">
        <v>24686</v>
      </c>
      <c r="B1699">
        <v>2</v>
      </c>
      <c r="C1699">
        <v>8</v>
      </c>
      <c r="D1699">
        <v>1993</v>
      </c>
      <c r="E1699" s="1">
        <v>34008</v>
      </c>
      <c r="F1699" t="s">
        <v>24687</v>
      </c>
      <c r="G1699">
        <v>1</v>
      </c>
      <c r="H1699">
        <v>0</v>
      </c>
      <c r="I1699">
        <v>1</v>
      </c>
      <c r="J1699">
        <v>0</v>
      </c>
      <c r="L1699" t="s">
        <v>24688</v>
      </c>
      <c r="M1699" t="s">
        <v>24689</v>
      </c>
      <c r="N1699" t="s">
        <v>24690</v>
      </c>
      <c r="O1699" t="s">
        <v>24691</v>
      </c>
      <c r="P1699" t="s">
        <v>24692</v>
      </c>
      <c r="Q1699" t="s">
        <v>24693</v>
      </c>
      <c r="R1699" t="s">
        <v>24694</v>
      </c>
      <c r="S1699" t="s">
        <v>24695</v>
      </c>
      <c r="T1699" s="2">
        <v>0.45833333333333331</v>
      </c>
      <c r="U1699">
        <v>1</v>
      </c>
      <c r="V1699" t="s">
        <v>24696</v>
      </c>
      <c r="W1699" t="s">
        <v>24697</v>
      </c>
      <c r="X1699" t="s">
        <v>24698</v>
      </c>
      <c r="Y1699" t="s">
        <v>24699</v>
      </c>
      <c r="Z1699" t="s">
        <v>24699</v>
      </c>
      <c r="AA1699" t="s">
        <v>24699</v>
      </c>
      <c r="AB1699" t="s">
        <v>24699</v>
      </c>
      <c r="AC1699" t="s">
        <v>24699</v>
      </c>
    </row>
    <row r="1700" spans="1:30">
      <c r="A1700" t="s">
        <v>24700</v>
      </c>
      <c r="B1700">
        <v>2</v>
      </c>
      <c r="C1700">
        <v>8</v>
      </c>
      <c r="D1700">
        <v>1993</v>
      </c>
      <c r="E1700" s="1">
        <v>34008</v>
      </c>
      <c r="F1700" t="s">
        <v>24701</v>
      </c>
      <c r="G1700">
        <v>0</v>
      </c>
      <c r="H1700">
        <v>0</v>
      </c>
      <c r="I1700">
        <v>0</v>
      </c>
      <c r="J1700">
        <v>1</v>
      </c>
      <c r="L1700" t="s">
        <v>24702</v>
      </c>
      <c r="M1700" t="s">
        <v>24703</v>
      </c>
      <c r="N1700" t="s">
        <v>24704</v>
      </c>
      <c r="O1700" t="s">
        <v>24705</v>
      </c>
      <c r="P1700" t="s">
        <v>24706</v>
      </c>
      <c r="Q1700" t="s">
        <v>24707</v>
      </c>
      <c r="R1700" t="s">
        <v>24708</v>
      </c>
      <c r="U1700">
        <v>1</v>
      </c>
      <c r="V1700" t="s">
        <v>24709</v>
      </c>
      <c r="W1700" t="s">
        <v>24710</v>
      </c>
      <c r="X1700" t="s">
        <v>24711</v>
      </c>
      <c r="Y1700" t="s">
        <v>24712</v>
      </c>
      <c r="Z1700" t="s">
        <v>24712</v>
      </c>
      <c r="AA1700" t="s">
        <v>24712</v>
      </c>
      <c r="AC1700" t="s">
        <v>24712</v>
      </c>
    </row>
    <row r="1701" spans="1:30">
      <c r="A1701" t="s">
        <v>24713</v>
      </c>
      <c r="B1701">
        <v>2</v>
      </c>
      <c r="C1701">
        <v>4</v>
      </c>
      <c r="D1701">
        <v>1993</v>
      </c>
      <c r="E1701" s="1">
        <v>34004</v>
      </c>
      <c r="F1701" t="s">
        <v>24714</v>
      </c>
      <c r="G1701">
        <v>1</v>
      </c>
      <c r="H1701">
        <v>0</v>
      </c>
      <c r="I1701">
        <v>1</v>
      </c>
      <c r="J1701">
        <v>0</v>
      </c>
      <c r="L1701" t="s">
        <v>24715</v>
      </c>
      <c r="M1701" t="s">
        <v>24716</v>
      </c>
      <c r="N1701" t="s">
        <v>24717</v>
      </c>
      <c r="O1701" t="s">
        <v>24718</v>
      </c>
      <c r="P1701" t="s">
        <v>24719</v>
      </c>
      <c r="Q1701" t="s">
        <v>24720</v>
      </c>
      <c r="R1701" t="s">
        <v>24721</v>
      </c>
      <c r="S1701" t="s">
        <v>24722</v>
      </c>
      <c r="T1701" s="2">
        <v>0.64583333333333337</v>
      </c>
      <c r="U1701">
        <v>1</v>
      </c>
      <c r="V1701" t="s">
        <v>24723</v>
      </c>
      <c r="W1701" t="s">
        <v>24724</v>
      </c>
      <c r="X1701" t="s">
        <v>24725</v>
      </c>
      <c r="Z1701" t="s">
        <v>24726</v>
      </c>
      <c r="AA1701" t="s">
        <v>24726</v>
      </c>
      <c r="AB1701" t="s">
        <v>24726</v>
      </c>
      <c r="AC1701" t="s">
        <v>24726</v>
      </c>
    </row>
    <row r="1702" spans="1:30">
      <c r="A1702" t="s">
        <v>24727</v>
      </c>
      <c r="B1702">
        <v>2</v>
      </c>
      <c r="C1702">
        <v>3</v>
      </c>
      <c r="D1702">
        <v>1993</v>
      </c>
      <c r="E1702" s="1">
        <v>34003</v>
      </c>
      <c r="F1702" t="s">
        <v>24728</v>
      </c>
      <c r="G1702">
        <v>0</v>
      </c>
      <c r="H1702">
        <v>1</v>
      </c>
      <c r="I1702">
        <v>1</v>
      </c>
      <c r="J1702">
        <v>0</v>
      </c>
      <c r="K1702" t="s">
        <v>24729</v>
      </c>
      <c r="L1702" t="s">
        <v>24730</v>
      </c>
      <c r="M1702" t="s">
        <v>24731</v>
      </c>
      <c r="N1702" t="s">
        <v>24732</v>
      </c>
      <c r="O1702" t="s">
        <v>24733</v>
      </c>
      <c r="P1702" t="s">
        <v>24734</v>
      </c>
      <c r="Q1702" t="s">
        <v>24735</v>
      </c>
      <c r="R1702" t="s">
        <v>24736</v>
      </c>
      <c r="S1702" t="s">
        <v>24737</v>
      </c>
      <c r="T1702" s="2">
        <v>0.83333333333333337</v>
      </c>
      <c r="U1702">
        <v>1</v>
      </c>
      <c r="V1702" t="s">
        <v>24738</v>
      </c>
      <c r="X1702" t="s">
        <v>24739</v>
      </c>
      <c r="Y1702" t="s">
        <v>24740</v>
      </c>
      <c r="Z1702" t="s">
        <v>24740</v>
      </c>
      <c r="AA1702" t="s">
        <v>24740</v>
      </c>
      <c r="AB1702" t="s">
        <v>24740</v>
      </c>
      <c r="AC1702" t="s">
        <v>24740</v>
      </c>
      <c r="AD1702" t="s">
        <v>24740</v>
      </c>
    </row>
    <row r="1703" spans="1:30">
      <c r="A1703" t="s">
        <v>24741</v>
      </c>
      <c r="B1703">
        <v>2</v>
      </c>
      <c r="C1703">
        <v>3</v>
      </c>
      <c r="D1703">
        <v>1993</v>
      </c>
      <c r="E1703" s="1">
        <v>34003</v>
      </c>
      <c r="F1703" t="s">
        <v>24742</v>
      </c>
      <c r="G1703">
        <v>0</v>
      </c>
      <c r="H1703">
        <v>1</v>
      </c>
      <c r="I1703">
        <v>1</v>
      </c>
      <c r="J1703">
        <v>0</v>
      </c>
      <c r="K1703" t="s">
        <v>24743</v>
      </c>
      <c r="L1703" t="s">
        <v>24744</v>
      </c>
      <c r="M1703" t="s">
        <v>24745</v>
      </c>
      <c r="N1703" t="s">
        <v>24746</v>
      </c>
      <c r="O1703" t="s">
        <v>24747</v>
      </c>
      <c r="P1703" t="s">
        <v>24748</v>
      </c>
      <c r="Q1703" t="s">
        <v>24748</v>
      </c>
      <c r="R1703" t="s">
        <v>24749</v>
      </c>
      <c r="U1703">
        <v>1</v>
      </c>
      <c r="V1703" t="s">
        <v>24750</v>
      </c>
      <c r="W1703" t="s">
        <v>24751</v>
      </c>
      <c r="X1703" t="s">
        <v>24752</v>
      </c>
      <c r="Y1703" t="s">
        <v>24753</v>
      </c>
      <c r="Z1703" t="s">
        <v>24753</v>
      </c>
      <c r="AA1703" t="s">
        <v>24753</v>
      </c>
      <c r="AB1703" t="s">
        <v>24753</v>
      </c>
      <c r="AC1703" t="s">
        <v>24753</v>
      </c>
      <c r="AD1703" t="s">
        <v>24753</v>
      </c>
    </row>
    <row r="1704" spans="1:30">
      <c r="A1704" t="s">
        <v>24754</v>
      </c>
      <c r="B1704">
        <v>2</v>
      </c>
      <c r="C1704">
        <v>1</v>
      </c>
      <c r="D1704">
        <v>1993</v>
      </c>
      <c r="E1704" s="1">
        <v>34001</v>
      </c>
      <c r="F1704" t="s">
        <v>24755</v>
      </c>
      <c r="G1704">
        <v>1</v>
      </c>
      <c r="H1704">
        <v>1</v>
      </c>
      <c r="I1704">
        <v>2</v>
      </c>
      <c r="J1704">
        <v>0</v>
      </c>
      <c r="L1704" t="s">
        <v>24756</v>
      </c>
      <c r="M1704" t="s">
        <v>24757</v>
      </c>
      <c r="N1704" t="s">
        <v>24758</v>
      </c>
      <c r="O1704" t="s">
        <v>24759</v>
      </c>
      <c r="P1704" t="s">
        <v>24760</v>
      </c>
      <c r="Q1704" t="s">
        <v>24761</v>
      </c>
      <c r="R1704" t="s">
        <v>24762</v>
      </c>
      <c r="S1704" t="s">
        <v>24763</v>
      </c>
      <c r="T1704" s="2">
        <v>0.59375</v>
      </c>
      <c r="U1704">
        <v>1</v>
      </c>
      <c r="V1704" t="s">
        <v>24764</v>
      </c>
      <c r="W1704" t="s">
        <v>24765</v>
      </c>
      <c r="X1704" t="s">
        <v>24766</v>
      </c>
      <c r="Y1704" t="s">
        <v>24767</v>
      </c>
      <c r="Z1704" t="s">
        <v>24767</v>
      </c>
      <c r="AA1704" t="s">
        <v>24767</v>
      </c>
      <c r="AC1704" t="s">
        <v>24767</v>
      </c>
    </row>
    <row r="1705" spans="1:30">
      <c r="A1705" t="s">
        <v>24768</v>
      </c>
      <c r="B1705">
        <v>2</v>
      </c>
      <c r="C1705">
        <v>1</v>
      </c>
      <c r="D1705">
        <v>1993</v>
      </c>
      <c r="E1705" s="1">
        <v>34001</v>
      </c>
      <c r="F1705" t="s">
        <v>24769</v>
      </c>
      <c r="G1705">
        <v>0</v>
      </c>
      <c r="H1705">
        <v>0</v>
      </c>
      <c r="I1705">
        <v>0</v>
      </c>
      <c r="J1705">
        <v>1</v>
      </c>
      <c r="L1705" t="s">
        <v>24770</v>
      </c>
      <c r="M1705" t="s">
        <v>24771</v>
      </c>
      <c r="N1705" t="s">
        <v>24772</v>
      </c>
      <c r="O1705" t="s">
        <v>24773</v>
      </c>
      <c r="P1705" t="s">
        <v>24774</v>
      </c>
      <c r="Q1705" t="s">
        <v>24774</v>
      </c>
      <c r="R1705" t="s">
        <v>24775</v>
      </c>
      <c r="S1705" t="s">
        <v>24776</v>
      </c>
      <c r="T1705" s="2">
        <v>0.27083333333333331</v>
      </c>
      <c r="U1705">
        <v>1</v>
      </c>
      <c r="V1705" t="s">
        <v>24777</v>
      </c>
      <c r="W1705" t="s">
        <v>24778</v>
      </c>
      <c r="X1705" t="s">
        <v>24779</v>
      </c>
      <c r="Y1705" t="s">
        <v>24780</v>
      </c>
      <c r="Z1705" t="s">
        <v>24780</v>
      </c>
      <c r="AA1705" t="s">
        <v>24780</v>
      </c>
      <c r="AC1705" t="s">
        <v>24780</v>
      </c>
    </row>
    <row r="1706" spans="1:30">
      <c r="A1706" t="s">
        <v>24781</v>
      </c>
      <c r="B1706">
        <v>1</v>
      </c>
      <c r="C1706">
        <v>21</v>
      </c>
      <c r="D1706">
        <v>1993</v>
      </c>
      <c r="E1706" s="1">
        <v>33990</v>
      </c>
      <c r="F1706" t="s">
        <v>24782</v>
      </c>
      <c r="G1706">
        <v>1</v>
      </c>
      <c r="H1706">
        <v>1</v>
      </c>
      <c r="I1706">
        <v>2</v>
      </c>
      <c r="J1706">
        <v>0</v>
      </c>
      <c r="L1706" t="s">
        <v>24783</v>
      </c>
      <c r="M1706" t="s">
        <v>24784</v>
      </c>
      <c r="N1706" t="s">
        <v>24785</v>
      </c>
      <c r="O1706" t="s">
        <v>24786</v>
      </c>
      <c r="P1706" t="s">
        <v>24787</v>
      </c>
      <c r="Q1706" t="s">
        <v>24788</v>
      </c>
      <c r="R1706" t="s">
        <v>24789</v>
      </c>
      <c r="U1706">
        <v>1</v>
      </c>
      <c r="V1706" t="s">
        <v>24790</v>
      </c>
      <c r="W1706" t="s">
        <v>24791</v>
      </c>
      <c r="X1706" t="s">
        <v>24792</v>
      </c>
      <c r="Z1706" t="s">
        <v>24793</v>
      </c>
      <c r="AA1706" t="s">
        <v>24793</v>
      </c>
      <c r="AB1706" t="s">
        <v>24793</v>
      </c>
      <c r="AC1706" t="s">
        <v>24793</v>
      </c>
    </row>
    <row r="1707" spans="1:30">
      <c r="A1707" t="s">
        <v>24794</v>
      </c>
      <c r="B1707">
        <v>1</v>
      </c>
      <c r="C1707">
        <v>18</v>
      </c>
      <c r="D1707">
        <v>1993</v>
      </c>
      <c r="E1707" s="1">
        <v>33987</v>
      </c>
      <c r="F1707" t="s">
        <v>24795</v>
      </c>
      <c r="G1707">
        <v>2</v>
      </c>
      <c r="H1707">
        <v>0</v>
      </c>
      <c r="I1707">
        <v>2</v>
      </c>
      <c r="J1707">
        <v>0</v>
      </c>
      <c r="L1707" t="s">
        <v>24796</v>
      </c>
      <c r="M1707" t="s">
        <v>24797</v>
      </c>
      <c r="N1707" t="s">
        <v>24798</v>
      </c>
      <c r="O1707" t="s">
        <v>24799</v>
      </c>
      <c r="P1707" t="s">
        <v>24800</v>
      </c>
      <c r="Q1707" t="s">
        <v>24801</v>
      </c>
      <c r="R1707" t="s">
        <v>24802</v>
      </c>
      <c r="S1707" t="s">
        <v>24803</v>
      </c>
      <c r="T1707" s="2">
        <v>0.61111111111111116</v>
      </c>
      <c r="U1707">
        <v>21</v>
      </c>
      <c r="V1707" t="s">
        <v>24804</v>
      </c>
      <c r="W1707" t="s">
        <v>24805</v>
      </c>
      <c r="X1707" t="s">
        <v>24806</v>
      </c>
      <c r="Y1707" t="s">
        <v>24807</v>
      </c>
      <c r="Z1707" t="s">
        <v>24808</v>
      </c>
      <c r="AA1707" t="s">
        <v>24808</v>
      </c>
      <c r="AB1707" t="s">
        <v>24808</v>
      </c>
      <c r="AC1707" t="s">
        <v>24809</v>
      </c>
      <c r="AD1707" t="s">
        <v>24810</v>
      </c>
    </row>
    <row r="1708" spans="1:30">
      <c r="A1708" t="s">
        <v>24811</v>
      </c>
      <c r="B1708">
        <v>1</v>
      </c>
      <c r="C1708">
        <v>12</v>
      </c>
      <c r="D1708">
        <v>1993</v>
      </c>
      <c r="E1708" s="1">
        <v>33981</v>
      </c>
      <c r="F1708" t="s">
        <v>24812</v>
      </c>
      <c r="G1708">
        <v>1</v>
      </c>
      <c r="H1708">
        <v>0</v>
      </c>
      <c r="I1708">
        <v>1</v>
      </c>
      <c r="J1708">
        <v>0</v>
      </c>
      <c r="L1708" t="s">
        <v>24813</v>
      </c>
      <c r="M1708" t="s">
        <v>24814</v>
      </c>
      <c r="N1708" t="s">
        <v>24815</v>
      </c>
      <c r="O1708" t="s">
        <v>24816</v>
      </c>
      <c r="P1708" t="s">
        <v>24817</v>
      </c>
      <c r="Q1708" t="s">
        <v>24818</v>
      </c>
      <c r="R1708" t="s">
        <v>24819</v>
      </c>
      <c r="S1708" t="s">
        <v>24820</v>
      </c>
      <c r="T1708" s="2">
        <v>0.63541666666666663</v>
      </c>
      <c r="U1708">
        <v>1</v>
      </c>
      <c r="V1708" t="s">
        <v>24821</v>
      </c>
      <c r="W1708" t="s">
        <v>24822</v>
      </c>
      <c r="X1708" t="s">
        <v>24823</v>
      </c>
      <c r="Y1708" t="s">
        <v>24824</v>
      </c>
      <c r="Z1708" t="s">
        <v>24824</v>
      </c>
      <c r="AA1708" t="s">
        <v>24824</v>
      </c>
      <c r="AB1708" t="s">
        <v>24824</v>
      </c>
      <c r="AC1708" t="s">
        <v>24824</v>
      </c>
    </row>
    <row r="1709" spans="1:30">
      <c r="A1709" t="s">
        <v>24825</v>
      </c>
      <c r="B1709">
        <v>1</v>
      </c>
      <c r="C1709">
        <v>8</v>
      </c>
      <c r="D1709">
        <v>1993</v>
      </c>
      <c r="E1709" s="1">
        <v>33977</v>
      </c>
      <c r="F1709" t="s">
        <v>24826</v>
      </c>
      <c r="G1709">
        <v>0</v>
      </c>
      <c r="H1709">
        <v>1</v>
      </c>
      <c r="I1709">
        <v>1</v>
      </c>
      <c r="J1709">
        <v>0</v>
      </c>
      <c r="K1709" t="s">
        <v>24827</v>
      </c>
      <c r="L1709" t="s">
        <v>24828</v>
      </c>
      <c r="M1709" t="s">
        <v>24829</v>
      </c>
      <c r="N1709" t="s">
        <v>24830</v>
      </c>
      <c r="O1709" t="s">
        <v>24831</v>
      </c>
      <c r="P1709" t="s">
        <v>24832</v>
      </c>
      <c r="Q1709" t="s">
        <v>24833</v>
      </c>
      <c r="R1709" t="s">
        <v>24834</v>
      </c>
      <c r="S1709" t="s">
        <v>24835</v>
      </c>
      <c r="T1709" s="2">
        <v>0.33333333333333331</v>
      </c>
      <c r="U1709">
        <v>1</v>
      </c>
      <c r="V1709" t="s">
        <v>24836</v>
      </c>
      <c r="X1709" t="s">
        <v>24837</v>
      </c>
      <c r="Y1709" t="s">
        <v>24838</v>
      </c>
      <c r="Z1709" t="s">
        <v>24838</v>
      </c>
      <c r="AA1709" t="s">
        <v>24838</v>
      </c>
      <c r="AB1709" t="s">
        <v>24838</v>
      </c>
      <c r="AC1709" t="s">
        <v>24838</v>
      </c>
      <c r="AD1709" t="s">
        <v>24838</v>
      </c>
    </row>
    <row r="1710" spans="1:30">
      <c r="A1710" t="s">
        <v>24839</v>
      </c>
      <c r="B1710">
        <v>1</v>
      </c>
      <c r="C1710">
        <v>5</v>
      </c>
      <c r="D1710">
        <v>1993</v>
      </c>
      <c r="E1710" s="1">
        <v>33974</v>
      </c>
      <c r="F1710" t="s">
        <v>24840</v>
      </c>
      <c r="G1710">
        <v>0</v>
      </c>
      <c r="H1710">
        <v>1</v>
      </c>
      <c r="I1710">
        <v>1</v>
      </c>
      <c r="J1710">
        <v>0</v>
      </c>
      <c r="L1710" t="s">
        <v>24841</v>
      </c>
      <c r="M1710" t="s">
        <v>24842</v>
      </c>
      <c r="N1710" t="s">
        <v>24843</v>
      </c>
      <c r="O1710" t="s">
        <v>24844</v>
      </c>
      <c r="P1710" t="s">
        <v>24845</v>
      </c>
      <c r="Q1710" t="s">
        <v>24846</v>
      </c>
      <c r="R1710" t="s">
        <v>24847</v>
      </c>
      <c r="S1710" t="s">
        <v>24848</v>
      </c>
      <c r="T1710" s="2">
        <v>0.72708333333333341</v>
      </c>
      <c r="U1710">
        <v>1</v>
      </c>
      <c r="V1710" t="s">
        <v>24849</v>
      </c>
      <c r="W1710" t="s">
        <v>24850</v>
      </c>
      <c r="X1710" t="s">
        <v>24851</v>
      </c>
      <c r="Y1710" t="s">
        <v>24852</v>
      </c>
      <c r="Z1710" t="s">
        <v>24852</v>
      </c>
      <c r="AA1710" t="s">
        <v>24852</v>
      </c>
      <c r="AB1710" t="s">
        <v>24852</v>
      </c>
      <c r="AC1710" t="s">
        <v>24852</v>
      </c>
    </row>
    <row r="1711" spans="1:30">
      <c r="A1711" t="s">
        <v>24853</v>
      </c>
      <c r="B1711">
        <v>12</v>
      </c>
      <c r="C1711">
        <v>14</v>
      </c>
      <c r="D1711">
        <v>1992</v>
      </c>
      <c r="E1711" s="1">
        <v>33952</v>
      </c>
      <c r="F1711" t="s">
        <v>24854</v>
      </c>
      <c r="G1711">
        <v>0</v>
      </c>
      <c r="H1711">
        <v>1</v>
      </c>
      <c r="I1711">
        <v>1</v>
      </c>
      <c r="J1711">
        <v>0</v>
      </c>
      <c r="L1711" t="s">
        <v>24855</v>
      </c>
      <c r="M1711" t="s">
        <v>24856</v>
      </c>
      <c r="N1711" t="s">
        <v>24857</v>
      </c>
      <c r="O1711" t="s">
        <v>24858</v>
      </c>
      <c r="P1711" t="s">
        <v>24859</v>
      </c>
      <c r="Q1711" t="s">
        <v>24860</v>
      </c>
      <c r="R1711" t="s">
        <v>24861</v>
      </c>
      <c r="S1711" t="s">
        <v>24862</v>
      </c>
      <c r="T1711" s="2">
        <v>0.38472222222222224</v>
      </c>
      <c r="U1711">
        <v>1</v>
      </c>
      <c r="V1711" t="s">
        <v>24863</v>
      </c>
      <c r="W1711" t="s">
        <v>24864</v>
      </c>
      <c r="X1711" t="s">
        <v>24865</v>
      </c>
      <c r="Z1711" t="s">
        <v>24866</v>
      </c>
      <c r="AA1711" t="s">
        <v>24866</v>
      </c>
      <c r="AB1711" t="s">
        <v>24866</v>
      </c>
      <c r="AC1711" t="s">
        <v>24866</v>
      </c>
    </row>
    <row r="1712" spans="1:30">
      <c r="A1712" t="s">
        <v>24867</v>
      </c>
      <c r="B1712">
        <v>12</v>
      </c>
      <c r="C1712">
        <v>3</v>
      </c>
      <c r="D1712">
        <v>1992</v>
      </c>
      <c r="E1712" s="1">
        <v>33941</v>
      </c>
      <c r="F1712" t="s">
        <v>24868</v>
      </c>
      <c r="G1712">
        <v>1</v>
      </c>
      <c r="H1712">
        <v>1</v>
      </c>
      <c r="I1712">
        <v>2</v>
      </c>
      <c r="J1712">
        <v>0</v>
      </c>
      <c r="L1712" t="s">
        <v>24869</v>
      </c>
      <c r="M1712" t="s">
        <v>24870</v>
      </c>
      <c r="N1712" t="s">
        <v>24871</v>
      </c>
      <c r="O1712" t="s">
        <v>24872</v>
      </c>
      <c r="P1712" t="s">
        <v>24873</v>
      </c>
      <c r="Q1712" t="s">
        <v>24874</v>
      </c>
      <c r="R1712" t="s">
        <v>24875</v>
      </c>
      <c r="S1712" t="s">
        <v>24876</v>
      </c>
      <c r="T1712" s="2">
        <v>0.79166666666666663</v>
      </c>
      <c r="U1712">
        <v>1</v>
      </c>
      <c r="V1712" t="s">
        <v>24877</v>
      </c>
      <c r="W1712" t="s">
        <v>24878</v>
      </c>
      <c r="X1712" t="s">
        <v>24879</v>
      </c>
      <c r="Y1712" t="s">
        <v>24880</v>
      </c>
      <c r="Z1712" t="s">
        <v>24881</v>
      </c>
      <c r="AA1712" t="s">
        <v>24881</v>
      </c>
      <c r="AB1712" t="s">
        <v>24881</v>
      </c>
      <c r="AC1712" t="s">
        <v>24881</v>
      </c>
    </row>
    <row r="1713" spans="1:30">
      <c r="A1713" t="s">
        <v>24882</v>
      </c>
      <c r="B1713">
        <v>11</v>
      </c>
      <c r="C1713">
        <v>30</v>
      </c>
      <c r="D1713">
        <v>1992</v>
      </c>
      <c r="E1713" s="1">
        <v>33938</v>
      </c>
      <c r="F1713" t="s">
        <v>24883</v>
      </c>
      <c r="G1713">
        <v>0</v>
      </c>
      <c r="H1713">
        <v>1</v>
      </c>
      <c r="I1713">
        <v>1</v>
      </c>
      <c r="J1713">
        <v>0</v>
      </c>
      <c r="L1713" t="s">
        <v>24884</v>
      </c>
      <c r="M1713" t="s">
        <v>24885</v>
      </c>
      <c r="N1713" t="s">
        <v>24886</v>
      </c>
      <c r="O1713" t="s">
        <v>24887</v>
      </c>
      <c r="P1713" t="s">
        <v>24888</v>
      </c>
      <c r="Q1713" t="s">
        <v>24889</v>
      </c>
      <c r="R1713" t="s">
        <v>24890</v>
      </c>
      <c r="S1713" t="s">
        <v>24891</v>
      </c>
      <c r="V1713" t="s">
        <v>24892</v>
      </c>
      <c r="W1713" t="s">
        <v>24893</v>
      </c>
      <c r="X1713" t="s">
        <v>24894</v>
      </c>
      <c r="Y1713" t="s">
        <v>24895</v>
      </c>
      <c r="Z1713" t="s">
        <v>24895</v>
      </c>
      <c r="AA1713" t="s">
        <v>24895</v>
      </c>
      <c r="AB1713" t="s">
        <v>24895</v>
      </c>
      <c r="AC1713" t="s">
        <v>24895</v>
      </c>
    </row>
    <row r="1714" spans="1:30">
      <c r="A1714" t="s">
        <v>24896</v>
      </c>
      <c r="B1714">
        <v>11</v>
      </c>
      <c r="C1714">
        <v>24</v>
      </c>
      <c r="D1714">
        <v>1992</v>
      </c>
      <c r="E1714" s="1">
        <v>33932</v>
      </c>
      <c r="F1714" t="s">
        <v>24897</v>
      </c>
      <c r="G1714">
        <v>0</v>
      </c>
      <c r="H1714">
        <v>1</v>
      </c>
      <c r="I1714">
        <v>1</v>
      </c>
      <c r="J1714">
        <v>0</v>
      </c>
      <c r="L1714" t="s">
        <v>24898</v>
      </c>
      <c r="M1714" t="s">
        <v>24899</v>
      </c>
      <c r="N1714" t="s">
        <v>24900</v>
      </c>
      <c r="O1714" t="s">
        <v>24901</v>
      </c>
      <c r="P1714" t="s">
        <v>24902</v>
      </c>
      <c r="Q1714" t="s">
        <v>24903</v>
      </c>
      <c r="R1714" t="s">
        <v>24904</v>
      </c>
      <c r="U1714">
        <v>1</v>
      </c>
      <c r="V1714" t="s">
        <v>24905</v>
      </c>
      <c r="W1714" t="s">
        <v>24906</v>
      </c>
      <c r="X1714" t="s">
        <v>24907</v>
      </c>
      <c r="Y1714" t="s">
        <v>24908</v>
      </c>
      <c r="Z1714" t="s">
        <v>24908</v>
      </c>
      <c r="AA1714" t="s">
        <v>24908</v>
      </c>
      <c r="AB1714" t="s">
        <v>24908</v>
      </c>
      <c r="AC1714" t="s">
        <v>24908</v>
      </c>
    </row>
    <row r="1715" spans="1:30">
      <c r="A1715" t="s">
        <v>24909</v>
      </c>
      <c r="B1715">
        <v>11</v>
      </c>
      <c r="C1715">
        <v>20</v>
      </c>
      <c r="D1715">
        <v>1992</v>
      </c>
      <c r="E1715" s="1">
        <v>33928</v>
      </c>
      <c r="F1715" t="s">
        <v>24910</v>
      </c>
      <c r="G1715">
        <v>1</v>
      </c>
      <c r="H1715">
        <v>2</v>
      </c>
      <c r="I1715">
        <v>3</v>
      </c>
      <c r="J1715">
        <v>0</v>
      </c>
      <c r="L1715" t="s">
        <v>24911</v>
      </c>
      <c r="M1715" t="s">
        <v>24912</v>
      </c>
      <c r="N1715" t="s">
        <v>24913</v>
      </c>
      <c r="O1715" t="s">
        <v>24914</v>
      </c>
      <c r="P1715" t="s">
        <v>24915</v>
      </c>
      <c r="Q1715" t="s">
        <v>24916</v>
      </c>
      <c r="R1715" t="s">
        <v>24917</v>
      </c>
      <c r="S1715" t="s">
        <v>24918</v>
      </c>
      <c r="T1715" s="2">
        <v>0.41666666666666669</v>
      </c>
      <c r="U1715">
        <v>1</v>
      </c>
      <c r="V1715" t="s">
        <v>24919</v>
      </c>
      <c r="W1715" t="s">
        <v>24920</v>
      </c>
      <c r="X1715" t="s">
        <v>24921</v>
      </c>
      <c r="Y1715" t="s">
        <v>24922</v>
      </c>
      <c r="Z1715" t="s">
        <v>24922</v>
      </c>
      <c r="AA1715" t="s">
        <v>24922</v>
      </c>
      <c r="AB1715" t="s">
        <v>24922</v>
      </c>
      <c r="AC1715" t="s">
        <v>24922</v>
      </c>
    </row>
    <row r="1716" spans="1:30">
      <c r="A1716" t="s">
        <v>24923</v>
      </c>
      <c r="B1716">
        <v>11</v>
      </c>
      <c r="C1716">
        <v>16</v>
      </c>
      <c r="D1716">
        <v>1992</v>
      </c>
      <c r="E1716" s="1">
        <v>33924</v>
      </c>
      <c r="F1716" t="s">
        <v>24924</v>
      </c>
      <c r="G1716">
        <v>1</v>
      </c>
      <c r="H1716">
        <v>0</v>
      </c>
      <c r="I1716">
        <v>1</v>
      </c>
      <c r="J1716">
        <v>0</v>
      </c>
      <c r="L1716" t="s">
        <v>24925</v>
      </c>
      <c r="M1716" t="s">
        <v>24926</v>
      </c>
      <c r="N1716" t="s">
        <v>24927</v>
      </c>
      <c r="O1716" t="s">
        <v>24928</v>
      </c>
      <c r="P1716" t="s">
        <v>24929</v>
      </c>
      <c r="Q1716" t="s">
        <v>24930</v>
      </c>
      <c r="R1716" t="s">
        <v>24931</v>
      </c>
      <c r="U1716">
        <v>1</v>
      </c>
      <c r="V1716" t="s">
        <v>24932</v>
      </c>
      <c r="W1716" t="s">
        <v>24933</v>
      </c>
      <c r="X1716" t="s">
        <v>24934</v>
      </c>
      <c r="Y1716" t="s">
        <v>24935</v>
      </c>
      <c r="Z1716" t="s">
        <v>24936</v>
      </c>
      <c r="AA1716" t="s">
        <v>24936</v>
      </c>
      <c r="AB1716" t="s">
        <v>24936</v>
      </c>
      <c r="AC1716" t="s">
        <v>24936</v>
      </c>
    </row>
    <row r="1717" spans="1:30">
      <c r="A1717" t="s">
        <v>24937</v>
      </c>
      <c r="B1717">
        <v>11</v>
      </c>
      <c r="C1717">
        <v>13</v>
      </c>
      <c r="D1717">
        <v>1992</v>
      </c>
      <c r="E1717" s="1">
        <v>33921</v>
      </c>
      <c r="F1717" t="s">
        <v>24938</v>
      </c>
      <c r="G1717">
        <v>1</v>
      </c>
      <c r="H1717">
        <v>0</v>
      </c>
      <c r="I1717">
        <v>1</v>
      </c>
      <c r="J1717">
        <v>1</v>
      </c>
      <c r="L1717" t="s">
        <v>24939</v>
      </c>
      <c r="M1717" t="s">
        <v>24940</v>
      </c>
      <c r="N1717" t="s">
        <v>24941</v>
      </c>
      <c r="O1717" t="s">
        <v>24942</v>
      </c>
      <c r="P1717" t="s">
        <v>24943</v>
      </c>
      <c r="Q1717" t="s">
        <v>24944</v>
      </c>
      <c r="R1717" t="s">
        <v>24945</v>
      </c>
      <c r="S1717" t="s">
        <v>24946</v>
      </c>
      <c r="T1717" s="2">
        <v>0.58333333333333337</v>
      </c>
      <c r="U1717">
        <v>1</v>
      </c>
      <c r="V1717" t="s">
        <v>24947</v>
      </c>
      <c r="W1717" t="s">
        <v>24948</v>
      </c>
      <c r="X1717" t="s">
        <v>24949</v>
      </c>
      <c r="Y1717" t="s">
        <v>24950</v>
      </c>
      <c r="Z1717" t="s">
        <v>24950</v>
      </c>
      <c r="AA1717" t="s">
        <v>24950</v>
      </c>
      <c r="AB1717" t="s">
        <v>24950</v>
      </c>
      <c r="AC1717" t="s">
        <v>24951</v>
      </c>
    </row>
    <row r="1718" spans="1:30">
      <c r="A1718" t="s">
        <v>24952</v>
      </c>
      <c r="B1718">
        <v>11</v>
      </c>
      <c r="C1718">
        <v>10</v>
      </c>
      <c r="D1718">
        <v>1992</v>
      </c>
      <c r="E1718" s="1">
        <v>33918</v>
      </c>
      <c r="F1718" t="s">
        <v>24953</v>
      </c>
      <c r="G1718">
        <v>0</v>
      </c>
      <c r="H1718">
        <v>0</v>
      </c>
      <c r="I1718">
        <v>0</v>
      </c>
      <c r="J1718">
        <v>1</v>
      </c>
      <c r="L1718" t="s">
        <v>24954</v>
      </c>
      <c r="M1718" t="s">
        <v>24955</v>
      </c>
      <c r="N1718" t="s">
        <v>24956</v>
      </c>
      <c r="O1718" t="s">
        <v>24957</v>
      </c>
      <c r="P1718" t="s">
        <v>24958</v>
      </c>
      <c r="Q1718" t="s">
        <v>24959</v>
      </c>
      <c r="R1718" t="s">
        <v>24960</v>
      </c>
      <c r="U1718">
        <v>1</v>
      </c>
      <c r="V1718" t="s">
        <v>24961</v>
      </c>
      <c r="W1718" t="s">
        <v>24962</v>
      </c>
      <c r="X1718" t="s">
        <v>24963</v>
      </c>
      <c r="Y1718" t="s">
        <v>24964</v>
      </c>
      <c r="Z1718" t="s">
        <v>24964</v>
      </c>
      <c r="AA1718" t="s">
        <v>24964</v>
      </c>
      <c r="AB1718" t="s">
        <v>24964</v>
      </c>
      <c r="AC1718" t="s">
        <v>24964</v>
      </c>
    </row>
    <row r="1719" spans="1:30">
      <c r="A1719" t="s">
        <v>24965</v>
      </c>
      <c r="B1719">
        <v>11</v>
      </c>
      <c r="C1719">
        <v>4</v>
      </c>
      <c r="D1719">
        <v>1992</v>
      </c>
      <c r="E1719" s="1">
        <v>33912</v>
      </c>
      <c r="F1719" t="s">
        <v>24966</v>
      </c>
      <c r="G1719">
        <v>0</v>
      </c>
      <c r="H1719">
        <v>3</v>
      </c>
      <c r="I1719">
        <v>3</v>
      </c>
      <c r="J1719">
        <v>0</v>
      </c>
      <c r="L1719" t="s">
        <v>24967</v>
      </c>
      <c r="M1719" t="s">
        <v>24968</v>
      </c>
      <c r="N1719" t="s">
        <v>24969</v>
      </c>
      <c r="O1719" t="s">
        <v>24970</v>
      </c>
      <c r="P1719" t="s">
        <v>24971</v>
      </c>
      <c r="Q1719" t="s">
        <v>24972</v>
      </c>
      <c r="R1719" t="s">
        <v>24973</v>
      </c>
      <c r="S1719" t="s">
        <v>24974</v>
      </c>
      <c r="T1719" s="2">
        <v>0.61458333333333337</v>
      </c>
      <c r="U1719">
        <v>1</v>
      </c>
      <c r="V1719" t="s">
        <v>24975</v>
      </c>
      <c r="W1719" t="s">
        <v>24976</v>
      </c>
      <c r="Y1719" t="s">
        <v>24977</v>
      </c>
      <c r="Z1719" t="s">
        <v>24978</v>
      </c>
      <c r="AA1719" t="s">
        <v>24978</v>
      </c>
      <c r="AB1719" t="s">
        <v>24978</v>
      </c>
      <c r="AC1719" t="s">
        <v>24978</v>
      </c>
    </row>
    <row r="1720" spans="1:30">
      <c r="A1720" t="s">
        <v>24979</v>
      </c>
      <c r="B1720">
        <v>11</v>
      </c>
      <c r="C1720">
        <v>4</v>
      </c>
      <c r="D1720">
        <v>1992</v>
      </c>
      <c r="E1720" s="1">
        <v>33912</v>
      </c>
      <c r="F1720" t="s">
        <v>24980</v>
      </c>
      <c r="G1720">
        <v>0</v>
      </c>
      <c r="H1720">
        <v>1</v>
      </c>
      <c r="I1720">
        <v>1</v>
      </c>
      <c r="J1720">
        <v>0</v>
      </c>
      <c r="L1720" t="s">
        <v>24981</v>
      </c>
      <c r="M1720" t="s">
        <v>24982</v>
      </c>
      <c r="N1720" t="s">
        <v>24983</v>
      </c>
      <c r="O1720" t="s">
        <v>24984</v>
      </c>
      <c r="P1720" t="s">
        <v>24985</v>
      </c>
      <c r="Q1720" t="s">
        <v>24986</v>
      </c>
      <c r="R1720" t="s">
        <v>24987</v>
      </c>
      <c r="S1720" t="s">
        <v>24988</v>
      </c>
      <c r="T1720" s="2">
        <v>0.61458333333333337</v>
      </c>
      <c r="U1720">
        <v>1</v>
      </c>
      <c r="V1720" t="s">
        <v>24989</v>
      </c>
      <c r="W1720" t="s">
        <v>24990</v>
      </c>
      <c r="Y1720" t="s">
        <v>24991</v>
      </c>
      <c r="Z1720" t="s">
        <v>24991</v>
      </c>
      <c r="AA1720" t="s">
        <v>24991</v>
      </c>
      <c r="AB1720" t="s">
        <v>24991</v>
      </c>
      <c r="AC1720" t="s">
        <v>24991</v>
      </c>
    </row>
    <row r="1721" spans="1:30">
      <c r="A1721" t="s">
        <v>24992</v>
      </c>
      <c r="B1721">
        <v>11</v>
      </c>
      <c r="C1721">
        <v>4</v>
      </c>
      <c r="D1721">
        <v>1992</v>
      </c>
      <c r="E1721" s="1">
        <v>33912</v>
      </c>
      <c r="F1721" t="s">
        <v>24993</v>
      </c>
      <c r="G1721">
        <v>0</v>
      </c>
      <c r="H1721">
        <v>0</v>
      </c>
      <c r="I1721">
        <v>0</v>
      </c>
      <c r="J1721">
        <v>0</v>
      </c>
      <c r="L1721" t="s">
        <v>24994</v>
      </c>
      <c r="M1721" t="s">
        <v>24995</v>
      </c>
      <c r="N1721" t="s">
        <v>24996</v>
      </c>
      <c r="O1721" t="s">
        <v>24997</v>
      </c>
      <c r="P1721" t="s">
        <v>24998</v>
      </c>
      <c r="Q1721" t="s">
        <v>24999</v>
      </c>
      <c r="R1721" t="s">
        <v>25000</v>
      </c>
      <c r="S1721" t="s">
        <v>25001</v>
      </c>
      <c r="T1721" s="2">
        <v>0.4375</v>
      </c>
      <c r="U1721">
        <v>1</v>
      </c>
      <c r="V1721" t="s">
        <v>25002</v>
      </c>
      <c r="W1721" t="s">
        <v>25003</v>
      </c>
      <c r="X1721" t="s">
        <v>25004</v>
      </c>
      <c r="Y1721" t="s">
        <v>25005</v>
      </c>
      <c r="Z1721" t="s">
        <v>25006</v>
      </c>
      <c r="AA1721" t="s">
        <v>25006</v>
      </c>
      <c r="AB1721" t="s">
        <v>25006</v>
      </c>
      <c r="AC1721" t="s">
        <v>25006</v>
      </c>
    </row>
    <row r="1722" spans="1:30">
      <c r="A1722" t="s">
        <v>25007</v>
      </c>
      <c r="B1722">
        <v>10</v>
      </c>
      <c r="C1722">
        <v>19</v>
      </c>
      <c r="D1722">
        <v>1992</v>
      </c>
      <c r="E1722" s="1">
        <v>33896</v>
      </c>
      <c r="F1722" t="s">
        <v>25008</v>
      </c>
      <c r="G1722">
        <v>0</v>
      </c>
      <c r="H1722">
        <v>3</v>
      </c>
      <c r="I1722">
        <v>3</v>
      </c>
      <c r="J1722">
        <v>0</v>
      </c>
      <c r="L1722" t="s">
        <v>25009</v>
      </c>
      <c r="M1722" t="s">
        <v>25010</v>
      </c>
      <c r="N1722" t="s">
        <v>25011</v>
      </c>
      <c r="O1722" t="s">
        <v>25012</v>
      </c>
      <c r="P1722" t="s">
        <v>25013</v>
      </c>
      <c r="Q1722" t="s">
        <v>25014</v>
      </c>
      <c r="R1722" t="s">
        <v>25015</v>
      </c>
      <c r="S1722" t="s">
        <v>25016</v>
      </c>
      <c r="T1722" s="2">
        <v>0.57430555555555551</v>
      </c>
      <c r="U1722">
        <v>1</v>
      </c>
      <c r="V1722" t="s">
        <v>25017</v>
      </c>
      <c r="W1722" t="s">
        <v>25018</v>
      </c>
      <c r="X1722" t="s">
        <v>25019</v>
      </c>
      <c r="Y1722" t="s">
        <v>25020</v>
      </c>
      <c r="Z1722" t="s">
        <v>25020</v>
      </c>
      <c r="AA1722" t="s">
        <v>25020</v>
      </c>
      <c r="AB1722" t="s">
        <v>25020</v>
      </c>
      <c r="AC1722" t="s">
        <v>25020</v>
      </c>
    </row>
    <row r="1723" spans="1:30">
      <c r="A1723" t="s">
        <v>25021</v>
      </c>
      <c r="B1723">
        <v>10</v>
      </c>
      <c r="C1723">
        <v>13</v>
      </c>
      <c r="D1723">
        <v>1992</v>
      </c>
      <c r="E1723" s="1">
        <v>33890</v>
      </c>
      <c r="F1723" t="s">
        <v>25022</v>
      </c>
      <c r="G1723">
        <v>1</v>
      </c>
      <c r="H1723">
        <v>0</v>
      </c>
      <c r="I1723">
        <v>1</v>
      </c>
      <c r="J1723">
        <v>0</v>
      </c>
      <c r="L1723" t="s">
        <v>25023</v>
      </c>
      <c r="M1723" t="s">
        <v>25024</v>
      </c>
      <c r="N1723" t="s">
        <v>25025</v>
      </c>
      <c r="O1723" t="s">
        <v>25026</v>
      </c>
      <c r="P1723" t="s">
        <v>25027</v>
      </c>
      <c r="Q1723" t="s">
        <v>25028</v>
      </c>
      <c r="R1723" t="s">
        <v>25029</v>
      </c>
      <c r="S1723" t="s">
        <v>25030</v>
      </c>
      <c r="U1723">
        <v>1</v>
      </c>
      <c r="V1723" t="s">
        <v>25031</v>
      </c>
      <c r="W1723" t="s">
        <v>25032</v>
      </c>
      <c r="X1723" t="s">
        <v>25033</v>
      </c>
      <c r="Y1723" t="s">
        <v>25034</v>
      </c>
      <c r="Z1723" t="s">
        <v>25034</v>
      </c>
      <c r="AA1723" t="s">
        <v>25034</v>
      </c>
      <c r="AB1723" t="s">
        <v>25034</v>
      </c>
      <c r="AC1723" t="s">
        <v>25034</v>
      </c>
    </row>
    <row r="1724" spans="1:30">
      <c r="A1724" t="s">
        <v>25035</v>
      </c>
      <c r="B1724">
        <v>9</v>
      </c>
      <c r="C1724">
        <v>30</v>
      </c>
      <c r="D1724">
        <v>1992</v>
      </c>
      <c r="E1724" s="1">
        <v>33877</v>
      </c>
      <c r="F1724" t="s">
        <v>25036</v>
      </c>
      <c r="G1724">
        <v>1</v>
      </c>
      <c r="H1724">
        <v>0</v>
      </c>
      <c r="I1724">
        <v>1</v>
      </c>
      <c r="J1724">
        <v>0</v>
      </c>
      <c r="K1724" t="s">
        <v>25037</v>
      </c>
      <c r="L1724" t="s">
        <v>25038</v>
      </c>
      <c r="M1724" t="s">
        <v>25039</v>
      </c>
      <c r="N1724" t="s">
        <v>25040</v>
      </c>
      <c r="O1724" t="s">
        <v>25041</v>
      </c>
      <c r="P1724" t="s">
        <v>25042</v>
      </c>
      <c r="Q1724" t="s">
        <v>25043</v>
      </c>
      <c r="R1724" t="s">
        <v>25044</v>
      </c>
      <c r="S1724" t="s">
        <v>25045</v>
      </c>
      <c r="T1724" s="2">
        <v>0.625</v>
      </c>
      <c r="U1724">
        <v>1</v>
      </c>
      <c r="V1724" t="s">
        <v>25046</v>
      </c>
      <c r="W1724" t="s">
        <v>25047</v>
      </c>
      <c r="X1724" t="s">
        <v>25048</v>
      </c>
      <c r="Y1724" t="s">
        <v>25049</v>
      </c>
      <c r="Z1724" t="s">
        <v>25049</v>
      </c>
      <c r="AA1724" t="s">
        <v>25049</v>
      </c>
      <c r="AB1724" t="s">
        <v>25049</v>
      </c>
      <c r="AC1724" t="s">
        <v>25049</v>
      </c>
      <c r="AD1724" t="s">
        <v>25049</v>
      </c>
    </row>
    <row r="1725" spans="1:30">
      <c r="A1725" t="s">
        <v>25050</v>
      </c>
      <c r="B1725">
        <v>9</v>
      </c>
      <c r="C1725">
        <v>30</v>
      </c>
      <c r="D1725">
        <v>1992</v>
      </c>
      <c r="E1725" s="1">
        <v>33877</v>
      </c>
      <c r="F1725" t="s">
        <v>25051</v>
      </c>
      <c r="G1725">
        <v>1</v>
      </c>
      <c r="H1725">
        <v>1</v>
      </c>
      <c r="I1725">
        <v>2</v>
      </c>
      <c r="J1725">
        <v>0</v>
      </c>
      <c r="L1725" t="s">
        <v>25052</v>
      </c>
      <c r="M1725" t="s">
        <v>25053</v>
      </c>
      <c r="N1725" t="s">
        <v>25054</v>
      </c>
      <c r="O1725" t="s">
        <v>25055</v>
      </c>
      <c r="P1725" t="s">
        <v>25056</v>
      </c>
      <c r="Q1725" t="s">
        <v>25056</v>
      </c>
      <c r="R1725" t="s">
        <v>25057</v>
      </c>
      <c r="S1725" t="s">
        <v>25058</v>
      </c>
      <c r="T1725" s="2">
        <v>0.9375</v>
      </c>
      <c r="U1725">
        <v>1</v>
      </c>
      <c r="V1725" t="s">
        <v>25059</v>
      </c>
      <c r="W1725" t="s">
        <v>25060</v>
      </c>
      <c r="X1725" t="s">
        <v>25061</v>
      </c>
      <c r="Y1725" t="s">
        <v>25062</v>
      </c>
      <c r="Z1725" t="s">
        <v>25062</v>
      </c>
      <c r="AA1725" t="s">
        <v>25062</v>
      </c>
      <c r="AB1725" t="s">
        <v>25062</v>
      </c>
      <c r="AC1725" t="s">
        <v>25062</v>
      </c>
    </row>
    <row r="1726" spans="1:30">
      <c r="A1726" t="s">
        <v>25063</v>
      </c>
      <c r="B1726">
        <v>9</v>
      </c>
      <c r="C1726">
        <v>28</v>
      </c>
      <c r="D1726">
        <v>1992</v>
      </c>
      <c r="E1726" s="1">
        <v>33875</v>
      </c>
      <c r="F1726" t="s">
        <v>25064</v>
      </c>
      <c r="G1726">
        <v>0</v>
      </c>
      <c r="H1726">
        <v>2</v>
      </c>
      <c r="I1726">
        <v>2</v>
      </c>
      <c r="J1726">
        <v>0</v>
      </c>
      <c r="L1726" t="s">
        <v>25065</v>
      </c>
      <c r="M1726" t="s">
        <v>25066</v>
      </c>
      <c r="N1726" t="s">
        <v>25067</v>
      </c>
      <c r="O1726" t="s">
        <v>25068</v>
      </c>
      <c r="P1726" t="s">
        <v>25069</v>
      </c>
      <c r="Q1726" t="s">
        <v>25070</v>
      </c>
      <c r="R1726" t="s">
        <v>25071</v>
      </c>
      <c r="S1726" t="s">
        <v>25072</v>
      </c>
      <c r="T1726" s="2">
        <v>0.63194444444444442</v>
      </c>
      <c r="U1726">
        <v>1</v>
      </c>
      <c r="V1726" t="s">
        <v>25073</v>
      </c>
      <c r="W1726" t="s">
        <v>25074</v>
      </c>
      <c r="X1726" t="s">
        <v>25075</v>
      </c>
      <c r="Y1726" t="s">
        <v>25076</v>
      </c>
      <c r="Z1726" t="s">
        <v>25077</v>
      </c>
      <c r="AA1726" t="s">
        <v>25077</v>
      </c>
      <c r="AB1726" t="s">
        <v>25077</v>
      </c>
      <c r="AC1726" t="s">
        <v>25077</v>
      </c>
    </row>
    <row r="1727" spans="1:30">
      <c r="A1727" t="s">
        <v>25078</v>
      </c>
      <c r="B1727">
        <v>9</v>
      </c>
      <c r="C1727">
        <v>11</v>
      </c>
      <c r="D1727">
        <v>1992</v>
      </c>
      <c r="E1727" s="1">
        <v>33858</v>
      </c>
      <c r="F1727" t="s">
        <v>25079</v>
      </c>
      <c r="G1727">
        <v>0</v>
      </c>
      <c r="H1727">
        <v>7</v>
      </c>
      <c r="I1727">
        <v>7</v>
      </c>
      <c r="J1727">
        <v>0</v>
      </c>
      <c r="L1727" t="s">
        <v>25080</v>
      </c>
      <c r="M1727" t="s">
        <v>25081</v>
      </c>
      <c r="N1727" t="s">
        <v>25082</v>
      </c>
      <c r="O1727" t="s">
        <v>25083</v>
      </c>
      <c r="P1727" t="s">
        <v>25084</v>
      </c>
      <c r="Q1727" t="s">
        <v>25085</v>
      </c>
      <c r="R1727" t="s">
        <v>25086</v>
      </c>
      <c r="S1727" t="s">
        <v>25087</v>
      </c>
      <c r="T1727" s="2">
        <v>0.41666666666666669</v>
      </c>
      <c r="U1727">
        <v>1</v>
      </c>
      <c r="V1727" t="s">
        <v>25088</v>
      </c>
      <c r="W1727" t="s">
        <v>25089</v>
      </c>
      <c r="X1727" t="s">
        <v>25090</v>
      </c>
      <c r="Y1727" t="s">
        <v>25091</v>
      </c>
      <c r="Z1727" t="s">
        <v>25091</v>
      </c>
      <c r="AA1727" t="s">
        <v>25091</v>
      </c>
      <c r="AB1727" t="s">
        <v>25091</v>
      </c>
      <c r="AC1727" t="s">
        <v>25091</v>
      </c>
    </row>
    <row r="1728" spans="1:30">
      <c r="A1728" t="s">
        <v>25092</v>
      </c>
      <c r="B1728">
        <v>6</v>
      </c>
      <c r="C1728">
        <v>6</v>
      </c>
      <c r="D1728">
        <v>1992</v>
      </c>
      <c r="E1728" s="1">
        <v>33761</v>
      </c>
      <c r="F1728" t="s">
        <v>25093</v>
      </c>
      <c r="G1728">
        <v>0</v>
      </c>
      <c r="H1728">
        <v>1</v>
      </c>
      <c r="I1728">
        <v>1</v>
      </c>
      <c r="J1728">
        <v>0</v>
      </c>
      <c r="L1728" t="s">
        <v>25094</v>
      </c>
      <c r="M1728" t="s">
        <v>25095</v>
      </c>
      <c r="N1728" t="s">
        <v>25096</v>
      </c>
      <c r="O1728" t="s">
        <v>25097</v>
      </c>
      <c r="P1728" t="s">
        <v>25098</v>
      </c>
      <c r="Q1728" t="s">
        <v>25099</v>
      </c>
      <c r="R1728" t="s">
        <v>25100</v>
      </c>
      <c r="S1728" t="s">
        <v>25101</v>
      </c>
      <c r="T1728" s="2">
        <v>0.97083333333333333</v>
      </c>
      <c r="U1728">
        <v>1</v>
      </c>
      <c r="V1728" t="s">
        <v>25102</v>
      </c>
      <c r="W1728" t="s">
        <v>25103</v>
      </c>
      <c r="X1728" t="s">
        <v>25104</v>
      </c>
      <c r="Y1728" t="s">
        <v>25105</v>
      </c>
      <c r="Z1728" t="s">
        <v>25105</v>
      </c>
      <c r="AA1728" t="s">
        <v>25105</v>
      </c>
      <c r="AB1728" t="s">
        <v>25105</v>
      </c>
      <c r="AC1728" t="s">
        <v>25105</v>
      </c>
    </row>
    <row r="1729" spans="1:30">
      <c r="A1729" t="s">
        <v>25106</v>
      </c>
      <c r="B1729">
        <v>5</v>
      </c>
      <c r="C1729">
        <v>30</v>
      </c>
      <c r="D1729">
        <v>1992</v>
      </c>
      <c r="E1729" s="1">
        <v>33754</v>
      </c>
      <c r="F1729" t="s">
        <v>25107</v>
      </c>
      <c r="G1729">
        <v>1</v>
      </c>
      <c r="H1729">
        <v>4</v>
      </c>
      <c r="I1729">
        <v>5</v>
      </c>
      <c r="J1729">
        <v>0</v>
      </c>
      <c r="K1729" t="s">
        <v>25108</v>
      </c>
      <c r="L1729" t="s">
        <v>25109</v>
      </c>
      <c r="M1729" t="s">
        <v>25110</v>
      </c>
      <c r="N1729" t="s">
        <v>25111</v>
      </c>
      <c r="O1729" t="s">
        <v>25112</v>
      </c>
      <c r="P1729" t="s">
        <v>25113</v>
      </c>
      <c r="Q1729" t="s">
        <v>25114</v>
      </c>
      <c r="R1729" t="s">
        <v>25115</v>
      </c>
      <c r="S1729" t="s">
        <v>25116</v>
      </c>
      <c r="T1729" s="2">
        <v>0.99305555555555558</v>
      </c>
      <c r="U1729">
        <v>1</v>
      </c>
      <c r="V1729" t="s">
        <v>25117</v>
      </c>
      <c r="W1729" t="s">
        <v>25118</v>
      </c>
      <c r="X1729" t="s">
        <v>25119</v>
      </c>
      <c r="Y1729" t="s">
        <v>25120</v>
      </c>
      <c r="Z1729" t="s">
        <v>25120</v>
      </c>
      <c r="AA1729" t="s">
        <v>25120</v>
      </c>
      <c r="AB1729" t="s">
        <v>25120</v>
      </c>
      <c r="AC1729" t="s">
        <v>25120</v>
      </c>
      <c r="AD1729" t="s">
        <v>25120</v>
      </c>
    </row>
    <row r="1730" spans="1:30">
      <c r="A1730" t="s">
        <v>25121</v>
      </c>
      <c r="B1730">
        <v>5</v>
      </c>
      <c r="C1730">
        <v>29</v>
      </c>
      <c r="D1730">
        <v>1992</v>
      </c>
      <c r="E1730" s="1">
        <v>33753</v>
      </c>
      <c r="F1730" t="s">
        <v>25122</v>
      </c>
      <c r="G1730">
        <v>0</v>
      </c>
      <c r="H1730">
        <v>3</v>
      </c>
      <c r="I1730">
        <v>3</v>
      </c>
      <c r="J1730">
        <v>0</v>
      </c>
      <c r="L1730" t="s">
        <v>25123</v>
      </c>
      <c r="M1730" t="s">
        <v>25124</v>
      </c>
      <c r="N1730" t="s">
        <v>25125</v>
      </c>
      <c r="O1730" t="s">
        <v>25126</v>
      </c>
      <c r="P1730" t="s">
        <v>25127</v>
      </c>
      <c r="Q1730" t="s">
        <v>25128</v>
      </c>
      <c r="R1730" t="s">
        <v>25129</v>
      </c>
      <c r="U1730">
        <v>1</v>
      </c>
      <c r="V1730" t="s">
        <v>25130</v>
      </c>
      <c r="W1730" t="s">
        <v>25131</v>
      </c>
      <c r="X1730" t="s">
        <v>25132</v>
      </c>
      <c r="Y1730" t="s">
        <v>25133</v>
      </c>
      <c r="Z1730" t="s">
        <v>25133</v>
      </c>
      <c r="AA1730" t="s">
        <v>25133</v>
      </c>
      <c r="AB1730" t="s">
        <v>25133</v>
      </c>
      <c r="AC1730" t="s">
        <v>25133</v>
      </c>
    </row>
    <row r="1731" spans="1:30">
      <c r="A1731" t="s">
        <v>25134</v>
      </c>
      <c r="B1731">
        <v>5</v>
      </c>
      <c r="C1731">
        <v>14</v>
      </c>
      <c r="D1731">
        <v>1992</v>
      </c>
      <c r="E1731" s="1">
        <v>33738</v>
      </c>
      <c r="F1731" t="s">
        <v>25135</v>
      </c>
      <c r="G1731">
        <v>0</v>
      </c>
      <c r="H1731">
        <v>2</v>
      </c>
      <c r="I1731">
        <v>2</v>
      </c>
      <c r="J1731">
        <v>0</v>
      </c>
      <c r="L1731" t="s">
        <v>25136</v>
      </c>
      <c r="M1731" t="s">
        <v>25137</v>
      </c>
      <c r="N1731" t="s">
        <v>25138</v>
      </c>
      <c r="O1731" t="s">
        <v>25139</v>
      </c>
      <c r="P1731" t="s">
        <v>25140</v>
      </c>
      <c r="Q1731" t="s">
        <v>25141</v>
      </c>
      <c r="R1731" t="s">
        <v>25142</v>
      </c>
      <c r="S1731" t="s">
        <v>25143</v>
      </c>
      <c r="T1731" s="2">
        <v>0.34375</v>
      </c>
      <c r="V1731" t="s">
        <v>25144</v>
      </c>
      <c r="W1731" t="s">
        <v>25145</v>
      </c>
      <c r="Z1731" t="s">
        <v>25146</v>
      </c>
      <c r="AA1731" t="s">
        <v>25146</v>
      </c>
      <c r="AB1731" t="s">
        <v>25147</v>
      </c>
      <c r="AC1731" t="s">
        <v>25148</v>
      </c>
      <c r="AD1731" t="s">
        <v>25149</v>
      </c>
    </row>
    <row r="1732" spans="1:30">
      <c r="A1732" t="s">
        <v>25150</v>
      </c>
      <c r="B1732">
        <v>5</v>
      </c>
      <c r="C1732">
        <v>14</v>
      </c>
      <c r="D1732">
        <v>1992</v>
      </c>
      <c r="E1732" s="1">
        <v>33738</v>
      </c>
      <c r="F1732" t="s">
        <v>25151</v>
      </c>
      <c r="G1732">
        <v>0</v>
      </c>
      <c r="H1732">
        <v>1</v>
      </c>
      <c r="I1732">
        <v>1</v>
      </c>
      <c r="J1732">
        <v>0</v>
      </c>
      <c r="L1732" t="s">
        <v>25152</v>
      </c>
      <c r="M1732" t="s">
        <v>25153</v>
      </c>
      <c r="N1732" t="s">
        <v>25154</v>
      </c>
      <c r="O1732" t="s">
        <v>25155</v>
      </c>
      <c r="P1732" t="s">
        <v>25156</v>
      </c>
      <c r="Q1732" t="s">
        <v>25157</v>
      </c>
      <c r="R1732" t="s">
        <v>25158</v>
      </c>
      <c r="S1732" t="s">
        <v>25159</v>
      </c>
      <c r="T1732" s="2">
        <v>0.32291666666666669</v>
      </c>
      <c r="U1732">
        <v>1</v>
      </c>
      <c r="V1732" t="s">
        <v>25160</v>
      </c>
      <c r="W1732" t="s">
        <v>25161</v>
      </c>
      <c r="X1732" t="s">
        <v>25162</v>
      </c>
      <c r="Z1732" t="s">
        <v>25163</v>
      </c>
      <c r="AA1732" t="s">
        <v>25163</v>
      </c>
      <c r="AB1732" t="s">
        <v>25163</v>
      </c>
      <c r="AC1732" t="s">
        <v>25163</v>
      </c>
    </row>
    <row r="1733" spans="1:30">
      <c r="A1733" t="s">
        <v>25164</v>
      </c>
      <c r="B1733">
        <v>5</v>
      </c>
      <c r="C1733">
        <v>1</v>
      </c>
      <c r="D1733">
        <v>1992</v>
      </c>
      <c r="E1733" s="1">
        <v>33725</v>
      </c>
      <c r="F1733" t="s">
        <v>25165</v>
      </c>
      <c r="G1733">
        <v>4</v>
      </c>
      <c r="H1733">
        <v>10</v>
      </c>
      <c r="I1733">
        <v>14</v>
      </c>
      <c r="J1733">
        <v>0</v>
      </c>
      <c r="L1733" t="s">
        <v>25166</v>
      </c>
      <c r="M1733" t="s">
        <v>25167</v>
      </c>
      <c r="N1733" t="s">
        <v>25168</v>
      </c>
      <c r="O1733" t="s">
        <v>25169</v>
      </c>
      <c r="P1733" t="s">
        <v>25170</v>
      </c>
      <c r="Q1733" t="s">
        <v>25171</v>
      </c>
      <c r="R1733" t="s">
        <v>25172</v>
      </c>
      <c r="S1733" t="s">
        <v>25173</v>
      </c>
      <c r="U1733">
        <v>480</v>
      </c>
      <c r="V1733" t="s">
        <v>25174</v>
      </c>
      <c r="W1733" t="s">
        <v>25175</v>
      </c>
      <c r="X1733" t="s">
        <v>25176</v>
      </c>
      <c r="Y1733" t="s">
        <v>25177</v>
      </c>
      <c r="Z1733" t="s">
        <v>25178</v>
      </c>
      <c r="AA1733" t="s">
        <v>25178</v>
      </c>
      <c r="AB1733" t="s">
        <v>25179</v>
      </c>
      <c r="AC1733" t="s">
        <v>25179</v>
      </c>
      <c r="AD1733" t="s">
        <v>25180</v>
      </c>
    </row>
    <row r="1734" spans="1:30">
      <c r="A1734" t="s">
        <v>25181</v>
      </c>
      <c r="B1734">
        <v>4</v>
      </c>
      <c r="C1734">
        <v>17</v>
      </c>
      <c r="D1734">
        <v>1992</v>
      </c>
      <c r="E1734" s="1">
        <v>33711</v>
      </c>
      <c r="F1734" t="s">
        <v>25182</v>
      </c>
      <c r="G1734">
        <v>1</v>
      </c>
      <c r="H1734">
        <v>0</v>
      </c>
      <c r="I1734">
        <v>1</v>
      </c>
      <c r="J1734">
        <v>0</v>
      </c>
      <c r="L1734" t="s">
        <v>25183</v>
      </c>
      <c r="M1734" t="s">
        <v>25184</v>
      </c>
      <c r="N1734" t="s">
        <v>25185</v>
      </c>
      <c r="O1734" t="s">
        <v>25186</v>
      </c>
      <c r="P1734" t="s">
        <v>25187</v>
      </c>
      <c r="Q1734" t="s">
        <v>25188</v>
      </c>
      <c r="R1734" t="s">
        <v>25189</v>
      </c>
      <c r="S1734" t="s">
        <v>25190</v>
      </c>
      <c r="V1734" t="s">
        <v>25191</v>
      </c>
      <c r="W1734" t="s">
        <v>25192</v>
      </c>
      <c r="X1734" t="s">
        <v>25193</v>
      </c>
      <c r="Z1734" t="s">
        <v>25194</v>
      </c>
      <c r="AA1734" t="s">
        <v>25194</v>
      </c>
      <c r="AB1734" t="s">
        <v>25194</v>
      </c>
      <c r="AC1734" t="s">
        <v>25194</v>
      </c>
    </row>
    <row r="1735" spans="1:30">
      <c r="A1735" t="s">
        <v>25195</v>
      </c>
      <c r="B1735">
        <v>4</v>
      </c>
      <c r="C1735">
        <v>9</v>
      </c>
      <c r="D1735">
        <v>1992</v>
      </c>
      <c r="E1735" s="1">
        <v>33703</v>
      </c>
      <c r="F1735" t="s">
        <v>25196</v>
      </c>
      <c r="G1735">
        <v>0</v>
      </c>
      <c r="H1735">
        <v>1</v>
      </c>
      <c r="I1735">
        <v>1</v>
      </c>
      <c r="J1735">
        <v>0</v>
      </c>
      <c r="L1735" t="s">
        <v>25197</v>
      </c>
      <c r="M1735" t="s">
        <v>25198</v>
      </c>
      <c r="N1735" t="s">
        <v>25199</v>
      </c>
      <c r="O1735" t="s">
        <v>25200</v>
      </c>
      <c r="P1735" t="s">
        <v>25201</v>
      </c>
      <c r="Q1735" t="s">
        <v>25202</v>
      </c>
      <c r="R1735" t="s">
        <v>25203</v>
      </c>
      <c r="S1735" t="s">
        <v>25204</v>
      </c>
      <c r="T1735" s="2">
        <v>0.38541666666666669</v>
      </c>
      <c r="U1735">
        <v>1</v>
      </c>
      <c r="V1735" t="s">
        <v>25205</v>
      </c>
      <c r="W1735" t="s">
        <v>25206</v>
      </c>
      <c r="X1735" t="s">
        <v>25207</v>
      </c>
      <c r="Y1735" t="s">
        <v>25208</v>
      </c>
      <c r="Z1735" t="s">
        <v>25208</v>
      </c>
      <c r="AA1735" t="s">
        <v>25208</v>
      </c>
      <c r="AB1735" t="s">
        <v>25208</v>
      </c>
      <c r="AC1735" t="s">
        <v>25208</v>
      </c>
    </row>
    <row r="1736" spans="1:30">
      <c r="A1736" t="s">
        <v>25209</v>
      </c>
      <c r="B1736">
        <v>3</v>
      </c>
      <c r="C1736">
        <v>31</v>
      </c>
      <c r="D1736">
        <v>1992</v>
      </c>
      <c r="E1736" s="1">
        <v>33694</v>
      </c>
      <c r="F1736" t="s">
        <v>25210</v>
      </c>
      <c r="G1736">
        <v>1</v>
      </c>
      <c r="H1736">
        <v>0</v>
      </c>
      <c r="I1736">
        <v>1</v>
      </c>
      <c r="J1736">
        <v>0</v>
      </c>
      <c r="L1736" t="s">
        <v>25211</v>
      </c>
      <c r="M1736" t="s">
        <v>25212</v>
      </c>
      <c r="N1736" t="s">
        <v>25213</v>
      </c>
      <c r="O1736" t="s">
        <v>25214</v>
      </c>
      <c r="P1736" t="s">
        <v>25215</v>
      </c>
      <c r="Q1736" t="s">
        <v>25216</v>
      </c>
      <c r="R1736" t="s">
        <v>25217</v>
      </c>
      <c r="S1736" t="s">
        <v>25218</v>
      </c>
      <c r="T1736" s="2">
        <v>0.34375</v>
      </c>
      <c r="U1736">
        <v>1</v>
      </c>
      <c r="V1736" t="s">
        <v>25219</v>
      </c>
      <c r="W1736" t="s">
        <v>25220</v>
      </c>
      <c r="X1736" t="s">
        <v>25221</v>
      </c>
      <c r="Z1736" t="s">
        <v>25222</v>
      </c>
      <c r="AA1736" t="s">
        <v>25222</v>
      </c>
      <c r="AB1736" t="s">
        <v>25222</v>
      </c>
      <c r="AC1736" t="s">
        <v>25222</v>
      </c>
    </row>
    <row r="1737" spans="1:30">
      <c r="A1737" t="s">
        <v>25223</v>
      </c>
      <c r="B1737">
        <v>3</v>
      </c>
      <c r="C1737">
        <v>5</v>
      </c>
      <c r="D1737">
        <v>1992</v>
      </c>
      <c r="E1737" s="1">
        <v>33668</v>
      </c>
      <c r="F1737" t="s">
        <v>25224</v>
      </c>
      <c r="G1737">
        <v>0</v>
      </c>
      <c r="H1737">
        <v>1</v>
      </c>
      <c r="I1737">
        <v>1</v>
      </c>
      <c r="J1737">
        <v>0</v>
      </c>
      <c r="L1737" t="s">
        <v>25225</v>
      </c>
      <c r="M1737" t="s">
        <v>25226</v>
      </c>
      <c r="N1737" t="s">
        <v>25227</v>
      </c>
      <c r="O1737" t="s">
        <v>25228</v>
      </c>
      <c r="P1737" t="s">
        <v>25229</v>
      </c>
      <c r="Q1737" t="s">
        <v>25230</v>
      </c>
      <c r="R1737" t="s">
        <v>25231</v>
      </c>
      <c r="S1737" t="s">
        <v>25232</v>
      </c>
      <c r="U1737">
        <v>1</v>
      </c>
      <c r="V1737" t="s">
        <v>25233</v>
      </c>
      <c r="W1737" t="s">
        <v>25234</v>
      </c>
      <c r="X1737" t="s">
        <v>25235</v>
      </c>
      <c r="Y1737" t="s">
        <v>25236</v>
      </c>
      <c r="Z1737" t="s">
        <v>25236</v>
      </c>
      <c r="AA1737" t="s">
        <v>25236</v>
      </c>
      <c r="AC1737" t="s">
        <v>25236</v>
      </c>
    </row>
    <row r="1738" spans="1:30">
      <c r="A1738" t="s">
        <v>25237</v>
      </c>
      <c r="B1738">
        <v>2</v>
      </c>
      <c r="C1738">
        <v>26</v>
      </c>
      <c r="D1738">
        <v>1992</v>
      </c>
      <c r="E1738" s="1">
        <v>33660</v>
      </c>
      <c r="F1738" t="s">
        <v>25238</v>
      </c>
      <c r="G1738">
        <v>2</v>
      </c>
      <c r="H1738">
        <v>0</v>
      </c>
      <c r="I1738">
        <v>2</v>
      </c>
      <c r="J1738">
        <v>0</v>
      </c>
      <c r="L1738" t="s">
        <v>25239</v>
      </c>
      <c r="M1738" t="s">
        <v>25240</v>
      </c>
      <c r="N1738" t="s">
        <v>25241</v>
      </c>
      <c r="O1738" t="s">
        <v>25242</v>
      </c>
      <c r="P1738" t="s">
        <v>25243</v>
      </c>
      <c r="Q1738" t="s">
        <v>25244</v>
      </c>
      <c r="R1738" t="s">
        <v>25245</v>
      </c>
      <c r="S1738" t="s">
        <v>25246</v>
      </c>
      <c r="T1738" s="2">
        <v>0.3611111111111111</v>
      </c>
      <c r="U1738">
        <v>1</v>
      </c>
      <c r="V1738" t="s">
        <v>25247</v>
      </c>
      <c r="W1738" t="s">
        <v>25248</v>
      </c>
      <c r="X1738" t="s">
        <v>25249</v>
      </c>
      <c r="Y1738" t="s">
        <v>25250</v>
      </c>
      <c r="Z1738" t="s">
        <v>25250</v>
      </c>
      <c r="AA1738" t="s">
        <v>25250</v>
      </c>
      <c r="AC1738" t="s">
        <v>25250</v>
      </c>
    </row>
    <row r="1739" spans="1:30">
      <c r="A1739" t="s">
        <v>25251</v>
      </c>
      <c r="B1739">
        <v>2</v>
      </c>
      <c r="C1739">
        <v>7</v>
      </c>
      <c r="D1739">
        <v>1992</v>
      </c>
      <c r="E1739" s="1">
        <v>33641</v>
      </c>
      <c r="F1739" t="s">
        <v>25252</v>
      </c>
      <c r="G1739">
        <v>1</v>
      </c>
      <c r="H1739">
        <v>1</v>
      </c>
      <c r="I1739">
        <v>2</v>
      </c>
      <c r="J1739">
        <v>0</v>
      </c>
      <c r="L1739" t="s">
        <v>25253</v>
      </c>
      <c r="M1739" t="s">
        <v>25254</v>
      </c>
      <c r="N1739" t="s">
        <v>25255</v>
      </c>
      <c r="O1739" t="s">
        <v>25256</v>
      </c>
      <c r="P1739" t="s">
        <v>25257</v>
      </c>
      <c r="Q1739" t="s">
        <v>25258</v>
      </c>
      <c r="R1739" t="s">
        <v>25259</v>
      </c>
      <c r="S1739" t="s">
        <v>25260</v>
      </c>
      <c r="T1739" s="2">
        <v>0.53263888888888888</v>
      </c>
      <c r="U1739">
        <v>1</v>
      </c>
      <c r="V1739" t="s">
        <v>25261</v>
      </c>
      <c r="W1739" t="s">
        <v>25262</v>
      </c>
      <c r="X1739" t="s">
        <v>25263</v>
      </c>
      <c r="Y1739" t="s">
        <v>25264</v>
      </c>
      <c r="Z1739" t="s">
        <v>25264</v>
      </c>
      <c r="AA1739" t="s">
        <v>25264</v>
      </c>
      <c r="AB1739" t="s">
        <v>25264</v>
      </c>
      <c r="AC1739" t="s">
        <v>25264</v>
      </c>
    </row>
    <row r="1740" spans="1:30">
      <c r="A1740" t="s">
        <v>25265</v>
      </c>
      <c r="B1740">
        <v>2</v>
      </c>
      <c r="C1740">
        <v>6</v>
      </c>
      <c r="D1740">
        <v>1992</v>
      </c>
      <c r="E1740" s="1">
        <v>33640</v>
      </c>
      <c r="F1740" t="s">
        <v>25266</v>
      </c>
      <c r="G1740">
        <v>1</v>
      </c>
      <c r="H1740">
        <v>0</v>
      </c>
      <c r="I1740">
        <v>1</v>
      </c>
      <c r="J1740">
        <v>0</v>
      </c>
      <c r="L1740" t="s">
        <v>25267</v>
      </c>
      <c r="M1740" t="s">
        <v>25268</v>
      </c>
      <c r="N1740" t="s">
        <v>25269</v>
      </c>
      <c r="O1740" t="s">
        <v>25270</v>
      </c>
      <c r="P1740" t="s">
        <v>25271</v>
      </c>
      <c r="Q1740" t="s">
        <v>25271</v>
      </c>
      <c r="R1740" t="s">
        <v>25272</v>
      </c>
      <c r="S1740" t="s">
        <v>25273</v>
      </c>
      <c r="T1740" s="2">
        <v>0.59722222222222221</v>
      </c>
      <c r="U1740">
        <v>1</v>
      </c>
      <c r="V1740" t="s">
        <v>25274</v>
      </c>
      <c r="W1740" t="s">
        <v>25275</v>
      </c>
      <c r="X1740" t="s">
        <v>25276</v>
      </c>
      <c r="Y1740" t="s">
        <v>25277</v>
      </c>
      <c r="Z1740" t="s">
        <v>25277</v>
      </c>
      <c r="AA1740" t="s">
        <v>25277</v>
      </c>
      <c r="AB1740" t="s">
        <v>25277</v>
      </c>
      <c r="AC1740" t="s">
        <v>25277</v>
      </c>
    </row>
    <row r="1741" spans="1:30">
      <c r="A1741" t="s">
        <v>25278</v>
      </c>
      <c r="B1741">
        <v>1</v>
      </c>
      <c r="C1741">
        <v>31</v>
      </c>
      <c r="D1741">
        <v>1992</v>
      </c>
      <c r="E1741" s="1">
        <v>33634</v>
      </c>
      <c r="F1741" t="s">
        <v>25279</v>
      </c>
      <c r="G1741">
        <v>0</v>
      </c>
      <c r="H1741">
        <v>1</v>
      </c>
      <c r="I1741">
        <v>1</v>
      </c>
      <c r="J1741">
        <v>0</v>
      </c>
      <c r="L1741" t="s">
        <v>25280</v>
      </c>
      <c r="M1741" t="s">
        <v>25281</v>
      </c>
      <c r="N1741" t="s">
        <v>25282</v>
      </c>
      <c r="O1741" t="s">
        <v>25283</v>
      </c>
      <c r="P1741" t="s">
        <v>25284</v>
      </c>
      <c r="Q1741" t="s">
        <v>25285</v>
      </c>
      <c r="R1741" t="s">
        <v>25286</v>
      </c>
      <c r="S1741" t="s">
        <v>25287</v>
      </c>
      <c r="T1741" s="2">
        <v>0.5625</v>
      </c>
      <c r="U1741">
        <v>1</v>
      </c>
      <c r="V1741" t="s">
        <v>25288</v>
      </c>
      <c r="W1741" t="s">
        <v>25289</v>
      </c>
      <c r="X1741" t="s">
        <v>25290</v>
      </c>
      <c r="Y1741" t="s">
        <v>25291</v>
      </c>
      <c r="Z1741" t="s">
        <v>25292</v>
      </c>
      <c r="AA1741" t="s">
        <v>25292</v>
      </c>
      <c r="AB1741" t="s">
        <v>25292</v>
      </c>
      <c r="AC1741" t="s">
        <v>25292</v>
      </c>
    </row>
    <row r="1742" spans="1:30">
      <c r="A1742" t="s">
        <v>25293</v>
      </c>
      <c r="B1742">
        <v>1</v>
      </c>
      <c r="C1742">
        <v>28</v>
      </c>
      <c r="D1742">
        <v>1992</v>
      </c>
      <c r="E1742" s="1">
        <v>33631</v>
      </c>
      <c r="F1742" t="s">
        <v>25294</v>
      </c>
      <c r="G1742">
        <v>0</v>
      </c>
      <c r="H1742">
        <v>1</v>
      </c>
      <c r="I1742">
        <v>1</v>
      </c>
      <c r="J1742">
        <v>0</v>
      </c>
      <c r="L1742" t="s">
        <v>25295</v>
      </c>
      <c r="M1742" t="s">
        <v>25296</v>
      </c>
      <c r="N1742" t="s">
        <v>25297</v>
      </c>
      <c r="O1742" t="s">
        <v>25298</v>
      </c>
      <c r="P1742" t="s">
        <v>25299</v>
      </c>
      <c r="Q1742" t="s">
        <v>25300</v>
      </c>
      <c r="U1742">
        <v>1</v>
      </c>
      <c r="V1742" t="s">
        <v>25301</v>
      </c>
      <c r="W1742" t="s">
        <v>25302</v>
      </c>
      <c r="X1742" t="s">
        <v>25303</v>
      </c>
      <c r="Y1742" t="s">
        <v>25304</v>
      </c>
      <c r="Z1742" t="s">
        <v>25304</v>
      </c>
      <c r="AA1742" t="s">
        <v>25304</v>
      </c>
      <c r="AB1742" t="s">
        <v>25304</v>
      </c>
      <c r="AC1742" t="s">
        <v>25304</v>
      </c>
    </row>
    <row r="1743" spans="1:30">
      <c r="A1743" t="s">
        <v>25305</v>
      </c>
      <c r="B1743">
        <v>1</v>
      </c>
      <c r="C1743">
        <v>17</v>
      </c>
      <c r="D1743">
        <v>1992</v>
      </c>
      <c r="E1743" s="1">
        <v>33620</v>
      </c>
      <c r="F1743" t="s">
        <v>25306</v>
      </c>
      <c r="G1743">
        <v>0</v>
      </c>
      <c r="H1743">
        <v>1</v>
      </c>
      <c r="I1743">
        <v>1</v>
      </c>
      <c r="J1743">
        <v>0</v>
      </c>
      <c r="K1743" t="s">
        <v>25307</v>
      </c>
      <c r="L1743" t="s">
        <v>25308</v>
      </c>
      <c r="M1743" t="s">
        <v>25309</v>
      </c>
      <c r="N1743" t="s">
        <v>25310</v>
      </c>
      <c r="O1743" t="s">
        <v>25311</v>
      </c>
      <c r="P1743" t="s">
        <v>25312</v>
      </c>
      <c r="Q1743" t="s">
        <v>25313</v>
      </c>
      <c r="R1743" t="s">
        <v>25314</v>
      </c>
      <c r="S1743" t="s">
        <v>25315</v>
      </c>
      <c r="T1743" s="2">
        <v>0.5</v>
      </c>
      <c r="U1743">
        <v>1</v>
      </c>
      <c r="V1743" t="s">
        <v>25316</v>
      </c>
      <c r="W1743" t="s">
        <v>25317</v>
      </c>
      <c r="X1743" t="s">
        <v>25318</v>
      </c>
      <c r="Y1743" t="s">
        <v>25319</v>
      </c>
      <c r="Z1743" t="s">
        <v>25319</v>
      </c>
      <c r="AA1743" t="s">
        <v>25319</v>
      </c>
      <c r="AB1743" t="s">
        <v>25319</v>
      </c>
      <c r="AC1743" t="s">
        <v>25319</v>
      </c>
      <c r="AD1743" t="s">
        <v>25319</v>
      </c>
    </row>
    <row r="1744" spans="1:30">
      <c r="A1744" t="s">
        <v>25320</v>
      </c>
      <c r="B1744">
        <v>12</v>
      </c>
      <c r="C1744">
        <v>26</v>
      </c>
      <c r="D1744">
        <v>1991</v>
      </c>
      <c r="E1744" s="1">
        <v>33598</v>
      </c>
      <c r="F1744" t="s">
        <v>25321</v>
      </c>
      <c r="G1744">
        <v>0</v>
      </c>
      <c r="H1744">
        <v>2</v>
      </c>
      <c r="I1744">
        <v>2</v>
      </c>
      <c r="J1744">
        <v>0</v>
      </c>
      <c r="L1744" t="s">
        <v>25322</v>
      </c>
      <c r="M1744" t="s">
        <v>25323</v>
      </c>
      <c r="N1744" t="s">
        <v>25324</v>
      </c>
      <c r="O1744" t="s">
        <v>25325</v>
      </c>
      <c r="P1744" t="s">
        <v>25326</v>
      </c>
      <c r="Q1744" t="s">
        <v>25327</v>
      </c>
      <c r="R1744" t="s">
        <v>25328</v>
      </c>
      <c r="S1744" t="s">
        <v>25329</v>
      </c>
      <c r="U1744">
        <v>1</v>
      </c>
      <c r="V1744" t="s">
        <v>25330</v>
      </c>
      <c r="W1744" t="s">
        <v>25331</v>
      </c>
      <c r="X1744" t="s">
        <v>25332</v>
      </c>
      <c r="Y1744" t="s">
        <v>25333</v>
      </c>
      <c r="Z1744" t="s">
        <v>25333</v>
      </c>
      <c r="AA1744" t="s">
        <v>25333</v>
      </c>
      <c r="AB1744" t="s">
        <v>25333</v>
      </c>
      <c r="AC1744" t="s">
        <v>25333</v>
      </c>
    </row>
    <row r="1745" spans="1:30">
      <c r="A1745" t="s">
        <v>25334</v>
      </c>
      <c r="B1745">
        <v>11</v>
      </c>
      <c r="C1745">
        <v>25</v>
      </c>
      <c r="D1745">
        <v>1991</v>
      </c>
      <c r="E1745" s="1">
        <v>33567</v>
      </c>
      <c r="F1745" t="s">
        <v>25335</v>
      </c>
      <c r="G1745">
        <v>1</v>
      </c>
      <c r="H1745">
        <v>1</v>
      </c>
      <c r="I1745">
        <v>2</v>
      </c>
      <c r="J1745">
        <v>0</v>
      </c>
      <c r="L1745" t="s">
        <v>25336</v>
      </c>
      <c r="M1745" t="s">
        <v>25337</v>
      </c>
      <c r="N1745" t="s">
        <v>25338</v>
      </c>
      <c r="O1745" t="s">
        <v>25339</v>
      </c>
      <c r="P1745" t="s">
        <v>25340</v>
      </c>
      <c r="Q1745" t="s">
        <v>25341</v>
      </c>
      <c r="R1745" t="s">
        <v>25342</v>
      </c>
      <c r="S1745" t="s">
        <v>25343</v>
      </c>
      <c r="T1745" s="2">
        <v>0.4375</v>
      </c>
      <c r="U1745">
        <v>1</v>
      </c>
      <c r="V1745" t="s">
        <v>25344</v>
      </c>
      <c r="W1745" t="s">
        <v>25345</v>
      </c>
      <c r="X1745" t="s">
        <v>25346</v>
      </c>
      <c r="Y1745" t="s">
        <v>25347</v>
      </c>
      <c r="Z1745" t="s">
        <v>25347</v>
      </c>
      <c r="AA1745" t="s">
        <v>25347</v>
      </c>
      <c r="AB1745" t="s">
        <v>25347</v>
      </c>
      <c r="AC1745" t="s">
        <v>25347</v>
      </c>
    </row>
    <row r="1746" spans="1:30">
      <c r="A1746" t="s">
        <v>25348</v>
      </c>
      <c r="B1746">
        <v>11</v>
      </c>
      <c r="C1746">
        <v>14</v>
      </c>
      <c r="D1746">
        <v>1991</v>
      </c>
      <c r="E1746" s="1">
        <v>33556</v>
      </c>
      <c r="F1746" t="s">
        <v>25349</v>
      </c>
      <c r="G1746">
        <v>0</v>
      </c>
      <c r="H1746">
        <v>1</v>
      </c>
      <c r="I1746">
        <v>1</v>
      </c>
      <c r="J1746">
        <v>0</v>
      </c>
      <c r="L1746" t="s">
        <v>25350</v>
      </c>
      <c r="M1746" t="s">
        <v>25351</v>
      </c>
      <c r="N1746" t="s">
        <v>25352</v>
      </c>
      <c r="O1746" t="s">
        <v>25353</v>
      </c>
      <c r="P1746" t="s">
        <v>25354</v>
      </c>
      <c r="Q1746" t="s">
        <v>25355</v>
      </c>
      <c r="R1746" t="s">
        <v>25356</v>
      </c>
      <c r="S1746" t="s">
        <v>25357</v>
      </c>
      <c r="T1746" s="2">
        <v>0</v>
      </c>
      <c r="U1746">
        <v>1</v>
      </c>
      <c r="V1746" t="s">
        <v>25358</v>
      </c>
      <c r="W1746" t="s">
        <v>25359</v>
      </c>
      <c r="Y1746" t="s">
        <v>25360</v>
      </c>
      <c r="Z1746" t="s">
        <v>25360</v>
      </c>
      <c r="AA1746" t="s">
        <v>25360</v>
      </c>
      <c r="AC1746" t="s">
        <v>25360</v>
      </c>
    </row>
    <row r="1747" spans="1:30">
      <c r="A1747" t="s">
        <v>25361</v>
      </c>
      <c r="B1747">
        <v>11</v>
      </c>
      <c r="C1747">
        <v>11</v>
      </c>
      <c r="D1747">
        <v>1991</v>
      </c>
      <c r="E1747" s="1">
        <v>33553</v>
      </c>
      <c r="F1747" t="s">
        <v>25362</v>
      </c>
      <c r="G1747">
        <v>1</v>
      </c>
      <c r="H1747">
        <v>1</v>
      </c>
      <c r="I1747">
        <v>2</v>
      </c>
      <c r="J1747">
        <v>0</v>
      </c>
      <c r="L1747" t="s">
        <v>25363</v>
      </c>
      <c r="M1747" t="s">
        <v>25364</v>
      </c>
      <c r="N1747" t="s">
        <v>25365</v>
      </c>
      <c r="O1747" t="s">
        <v>25366</v>
      </c>
      <c r="P1747" t="s">
        <v>25367</v>
      </c>
      <c r="Q1747" t="s">
        <v>25368</v>
      </c>
      <c r="R1747" t="s">
        <v>25369</v>
      </c>
      <c r="S1747" t="s">
        <v>25370</v>
      </c>
      <c r="U1747">
        <v>1</v>
      </c>
      <c r="V1747" t="s">
        <v>25371</v>
      </c>
      <c r="W1747" t="s">
        <v>25372</v>
      </c>
      <c r="Y1747" t="s">
        <v>25373</v>
      </c>
      <c r="Z1747" t="s">
        <v>25374</v>
      </c>
      <c r="AA1747" t="s">
        <v>25374</v>
      </c>
      <c r="AB1747" t="s">
        <v>25374</v>
      </c>
      <c r="AC1747" t="s">
        <v>25374</v>
      </c>
    </row>
    <row r="1748" spans="1:30">
      <c r="A1748" t="s">
        <v>25375</v>
      </c>
      <c r="B1748">
        <v>11</v>
      </c>
      <c r="C1748">
        <v>6</v>
      </c>
      <c r="D1748">
        <v>1991</v>
      </c>
      <c r="E1748" s="1">
        <v>33548</v>
      </c>
      <c r="F1748" t="s">
        <v>25376</v>
      </c>
      <c r="G1748">
        <v>1</v>
      </c>
      <c r="H1748">
        <v>1</v>
      </c>
      <c r="I1748">
        <v>2</v>
      </c>
      <c r="J1748">
        <v>0</v>
      </c>
      <c r="L1748" t="s">
        <v>25377</v>
      </c>
      <c r="M1748" t="s">
        <v>25378</v>
      </c>
      <c r="N1748" t="s">
        <v>25379</v>
      </c>
      <c r="O1748" t="s">
        <v>25380</v>
      </c>
      <c r="P1748" t="s">
        <v>25381</v>
      </c>
      <c r="Q1748" t="s">
        <v>25382</v>
      </c>
      <c r="R1748" t="s">
        <v>25383</v>
      </c>
      <c r="S1748" t="s">
        <v>25384</v>
      </c>
      <c r="T1748" s="2">
        <v>0.64583333333333337</v>
      </c>
      <c r="U1748">
        <v>1</v>
      </c>
      <c r="V1748" t="s">
        <v>25385</v>
      </c>
      <c r="W1748" t="s">
        <v>25386</v>
      </c>
      <c r="X1748" t="s">
        <v>25387</v>
      </c>
      <c r="Y1748" t="s">
        <v>25388</v>
      </c>
      <c r="Z1748" t="s">
        <v>25388</v>
      </c>
      <c r="AA1748" t="s">
        <v>25388</v>
      </c>
      <c r="AB1748" t="s">
        <v>25388</v>
      </c>
      <c r="AC1748" t="s">
        <v>25388</v>
      </c>
    </row>
    <row r="1749" spans="1:30">
      <c r="A1749" t="s">
        <v>25389</v>
      </c>
      <c r="B1749">
        <v>10</v>
      </c>
      <c r="C1749">
        <v>23</v>
      </c>
      <c r="D1749">
        <v>1991</v>
      </c>
      <c r="E1749" s="1">
        <v>33534</v>
      </c>
      <c r="F1749" t="s">
        <v>25390</v>
      </c>
      <c r="G1749">
        <v>1</v>
      </c>
      <c r="H1749">
        <v>0</v>
      </c>
      <c r="I1749">
        <v>1</v>
      </c>
      <c r="J1749">
        <v>0</v>
      </c>
      <c r="L1749" t="s">
        <v>25391</v>
      </c>
      <c r="M1749" t="s">
        <v>25392</v>
      </c>
      <c r="N1749" t="s">
        <v>25393</v>
      </c>
      <c r="O1749" t="s">
        <v>25394</v>
      </c>
      <c r="P1749" t="s">
        <v>25395</v>
      </c>
      <c r="Q1749" t="s">
        <v>25396</v>
      </c>
      <c r="R1749" t="s">
        <v>25397</v>
      </c>
      <c r="S1749" t="s">
        <v>25398</v>
      </c>
      <c r="T1749" s="2">
        <v>0.32291666666666669</v>
      </c>
      <c r="U1749">
        <v>1</v>
      </c>
      <c r="V1749" t="s">
        <v>25399</v>
      </c>
      <c r="W1749" t="s">
        <v>25400</v>
      </c>
      <c r="X1749" t="s">
        <v>25401</v>
      </c>
      <c r="Y1749" t="s">
        <v>25402</v>
      </c>
      <c r="Z1749" t="s">
        <v>25402</v>
      </c>
      <c r="AA1749" t="s">
        <v>25402</v>
      </c>
      <c r="AB1749" t="s">
        <v>25403</v>
      </c>
      <c r="AC1749" t="s">
        <v>25404</v>
      </c>
    </row>
    <row r="1750" spans="1:30">
      <c r="A1750" t="s">
        <v>25405</v>
      </c>
      <c r="B1750">
        <v>10</v>
      </c>
      <c r="C1750">
        <v>15</v>
      </c>
      <c r="D1750">
        <v>1991</v>
      </c>
      <c r="E1750" s="1">
        <v>33526</v>
      </c>
      <c r="F1750" t="s">
        <v>25406</v>
      </c>
      <c r="G1750">
        <v>0</v>
      </c>
      <c r="H1750">
        <v>1</v>
      </c>
      <c r="I1750">
        <v>1</v>
      </c>
      <c r="J1750">
        <v>0</v>
      </c>
      <c r="L1750" t="s">
        <v>25407</v>
      </c>
      <c r="M1750" t="s">
        <v>25408</v>
      </c>
      <c r="N1750" t="s">
        <v>25409</v>
      </c>
      <c r="O1750" t="s">
        <v>25410</v>
      </c>
      <c r="P1750" t="s">
        <v>25411</v>
      </c>
      <c r="Q1750" t="s">
        <v>25412</v>
      </c>
      <c r="R1750" t="s">
        <v>25413</v>
      </c>
      <c r="S1750" t="s">
        <v>25414</v>
      </c>
      <c r="T1750" s="2">
        <v>0.55208333333333326</v>
      </c>
      <c r="U1750">
        <v>1</v>
      </c>
      <c r="V1750" t="s">
        <v>25415</v>
      </c>
      <c r="W1750" t="s">
        <v>25416</v>
      </c>
      <c r="X1750" t="s">
        <v>25417</v>
      </c>
      <c r="Y1750" t="s">
        <v>25418</v>
      </c>
      <c r="Z1750" t="s">
        <v>25418</v>
      </c>
      <c r="AA1750" t="s">
        <v>25418</v>
      </c>
      <c r="AB1750" t="s">
        <v>25418</v>
      </c>
      <c r="AC1750" t="s">
        <v>25418</v>
      </c>
    </row>
    <row r="1751" spans="1:30">
      <c r="A1751" t="s">
        <v>25419</v>
      </c>
      <c r="B1751">
        <v>10</v>
      </c>
      <c r="C1751">
        <v>15</v>
      </c>
      <c r="D1751">
        <v>1991</v>
      </c>
      <c r="E1751" s="1">
        <v>33526</v>
      </c>
      <c r="F1751" t="s">
        <v>25420</v>
      </c>
      <c r="G1751">
        <v>0</v>
      </c>
      <c r="H1751">
        <v>0</v>
      </c>
      <c r="I1751">
        <v>0</v>
      </c>
      <c r="J1751">
        <v>0</v>
      </c>
      <c r="L1751" t="s">
        <v>25421</v>
      </c>
      <c r="M1751" t="s">
        <v>25422</v>
      </c>
      <c r="N1751" t="s">
        <v>25423</v>
      </c>
      <c r="O1751" t="s">
        <v>25424</v>
      </c>
      <c r="P1751" t="s">
        <v>25425</v>
      </c>
      <c r="Q1751" t="s">
        <v>25426</v>
      </c>
      <c r="R1751" t="s">
        <v>25427</v>
      </c>
      <c r="S1751" t="s">
        <v>25428</v>
      </c>
      <c r="T1751" s="2">
        <v>0.52083333333333337</v>
      </c>
      <c r="U1751">
        <v>1</v>
      </c>
      <c r="V1751" t="s">
        <v>25429</v>
      </c>
      <c r="W1751" t="s">
        <v>25430</v>
      </c>
      <c r="X1751" t="s">
        <v>25431</v>
      </c>
      <c r="Y1751" t="s">
        <v>25432</v>
      </c>
      <c r="Z1751" t="s">
        <v>25432</v>
      </c>
      <c r="AA1751" t="s">
        <v>25432</v>
      </c>
      <c r="AB1751" t="s">
        <v>25433</v>
      </c>
      <c r="AC1751" t="s">
        <v>25434</v>
      </c>
    </row>
    <row r="1752" spans="1:30">
      <c r="A1752" t="s">
        <v>25435</v>
      </c>
      <c r="B1752">
        <v>10</v>
      </c>
      <c r="C1752">
        <v>15</v>
      </c>
      <c r="D1752">
        <v>1991</v>
      </c>
      <c r="E1752" s="1">
        <v>33526</v>
      </c>
      <c r="F1752" t="s">
        <v>25436</v>
      </c>
      <c r="G1752">
        <v>0</v>
      </c>
      <c r="H1752">
        <v>2</v>
      </c>
      <c r="I1752">
        <v>2</v>
      </c>
      <c r="J1752">
        <v>0</v>
      </c>
      <c r="L1752" t="s">
        <v>25437</v>
      </c>
      <c r="M1752" t="s">
        <v>25438</v>
      </c>
      <c r="N1752" t="s">
        <v>25439</v>
      </c>
      <c r="O1752" t="s">
        <v>25440</v>
      </c>
      <c r="P1752" t="s">
        <v>25441</v>
      </c>
      <c r="Q1752" t="s">
        <v>25442</v>
      </c>
      <c r="R1752" t="s">
        <v>25443</v>
      </c>
      <c r="S1752" t="s">
        <v>25444</v>
      </c>
      <c r="U1752">
        <v>15</v>
      </c>
      <c r="V1752" t="s">
        <v>25445</v>
      </c>
      <c r="W1752" t="s">
        <v>25446</v>
      </c>
      <c r="X1752" t="s">
        <v>25447</v>
      </c>
      <c r="Y1752" t="s">
        <v>25448</v>
      </c>
      <c r="Z1752" t="s">
        <v>25448</v>
      </c>
      <c r="AA1752" t="s">
        <v>25449</v>
      </c>
      <c r="AB1752" t="s">
        <v>25450</v>
      </c>
      <c r="AD1752" t="s">
        <v>25451</v>
      </c>
    </row>
    <row r="1753" spans="1:30">
      <c r="A1753" t="s">
        <v>25452</v>
      </c>
      <c r="B1753">
        <v>10</v>
      </c>
      <c r="C1753">
        <v>11</v>
      </c>
      <c r="D1753">
        <v>1991</v>
      </c>
      <c r="E1753" s="1">
        <v>33522</v>
      </c>
      <c r="F1753" t="s">
        <v>25453</v>
      </c>
      <c r="G1753">
        <v>0</v>
      </c>
      <c r="H1753">
        <v>1</v>
      </c>
      <c r="I1753">
        <v>1</v>
      </c>
      <c r="J1753">
        <v>0</v>
      </c>
      <c r="K1753" t="s">
        <v>25454</v>
      </c>
      <c r="L1753" t="s">
        <v>25455</v>
      </c>
      <c r="M1753" t="s">
        <v>25456</v>
      </c>
      <c r="N1753" t="s">
        <v>25457</v>
      </c>
      <c r="O1753" t="s">
        <v>25458</v>
      </c>
      <c r="P1753" t="s">
        <v>25459</v>
      </c>
      <c r="Q1753" t="s">
        <v>25460</v>
      </c>
      <c r="R1753" t="s">
        <v>25461</v>
      </c>
      <c r="S1753" t="s">
        <v>25462</v>
      </c>
      <c r="T1753" s="2">
        <v>0.66319444444444442</v>
      </c>
      <c r="U1753">
        <v>1</v>
      </c>
      <c r="V1753" t="s">
        <v>25463</v>
      </c>
      <c r="W1753" t="s">
        <v>25464</v>
      </c>
      <c r="X1753" t="s">
        <v>25465</v>
      </c>
      <c r="Y1753" t="s">
        <v>25466</v>
      </c>
      <c r="Z1753" t="s">
        <v>25467</v>
      </c>
      <c r="AA1753" t="s">
        <v>25467</v>
      </c>
      <c r="AB1753" t="s">
        <v>25467</v>
      </c>
      <c r="AC1753" t="s">
        <v>25467</v>
      </c>
      <c r="AD1753" t="s">
        <v>25467</v>
      </c>
    </row>
    <row r="1754" spans="1:30">
      <c r="A1754" t="s">
        <v>25468</v>
      </c>
      <c r="B1754">
        <v>10</v>
      </c>
      <c r="C1754">
        <v>9</v>
      </c>
      <c r="D1754">
        <v>1991</v>
      </c>
      <c r="E1754" s="1">
        <v>33520</v>
      </c>
      <c r="F1754" t="s">
        <v>25469</v>
      </c>
      <c r="G1754">
        <v>1</v>
      </c>
      <c r="H1754">
        <v>0</v>
      </c>
      <c r="I1754">
        <v>1</v>
      </c>
      <c r="J1754">
        <v>0</v>
      </c>
      <c r="L1754" t="s">
        <v>25470</v>
      </c>
      <c r="M1754" t="s">
        <v>25471</v>
      </c>
      <c r="N1754" t="s">
        <v>25472</v>
      </c>
      <c r="O1754" t="s">
        <v>25473</v>
      </c>
      <c r="P1754" t="s">
        <v>25474</v>
      </c>
      <c r="Q1754" t="s">
        <v>25474</v>
      </c>
      <c r="R1754" t="s">
        <v>25475</v>
      </c>
      <c r="S1754" t="s">
        <v>25476</v>
      </c>
      <c r="T1754" s="2">
        <v>0.38541666666666669</v>
      </c>
      <c r="U1754">
        <v>1</v>
      </c>
      <c r="V1754" t="s">
        <v>25477</v>
      </c>
      <c r="W1754" t="s">
        <v>25478</v>
      </c>
      <c r="X1754" t="s">
        <v>25479</v>
      </c>
      <c r="Y1754" t="s">
        <v>25480</v>
      </c>
      <c r="Z1754" t="s">
        <v>25480</v>
      </c>
      <c r="AA1754" t="s">
        <v>25480</v>
      </c>
      <c r="AB1754" t="s">
        <v>25480</v>
      </c>
      <c r="AC1754" t="s">
        <v>25480</v>
      </c>
    </row>
    <row r="1755" spans="1:30">
      <c r="A1755" t="s">
        <v>25481</v>
      </c>
      <c r="B1755">
        <v>10</v>
      </c>
      <c r="C1755">
        <v>4</v>
      </c>
      <c r="D1755">
        <v>1991</v>
      </c>
      <c r="E1755" s="1">
        <v>33515</v>
      </c>
      <c r="F1755" t="s">
        <v>25482</v>
      </c>
      <c r="G1755">
        <v>0</v>
      </c>
      <c r="H1755">
        <v>0</v>
      </c>
      <c r="I1755">
        <v>0</v>
      </c>
      <c r="J1755">
        <v>0</v>
      </c>
      <c r="L1755" t="s">
        <v>25483</v>
      </c>
      <c r="M1755" t="s">
        <v>25484</v>
      </c>
      <c r="N1755" t="s">
        <v>25485</v>
      </c>
      <c r="O1755" t="s">
        <v>25486</v>
      </c>
      <c r="P1755" t="s">
        <v>25487</v>
      </c>
      <c r="Q1755" t="s">
        <v>25488</v>
      </c>
      <c r="R1755" t="s">
        <v>25489</v>
      </c>
      <c r="S1755" t="s">
        <v>25490</v>
      </c>
      <c r="U1755">
        <v>1</v>
      </c>
      <c r="V1755" t="s">
        <v>25491</v>
      </c>
      <c r="W1755" t="s">
        <v>25492</v>
      </c>
      <c r="Y1755" t="s">
        <v>25493</v>
      </c>
      <c r="Z1755" t="s">
        <v>25493</v>
      </c>
      <c r="AA1755" t="s">
        <v>25493</v>
      </c>
      <c r="AB1755" t="s">
        <v>25493</v>
      </c>
      <c r="AC1755" t="s">
        <v>25493</v>
      </c>
    </row>
    <row r="1756" spans="1:30">
      <c r="A1756" t="s">
        <v>25494</v>
      </c>
      <c r="B1756">
        <v>10</v>
      </c>
      <c r="C1756">
        <v>4</v>
      </c>
      <c r="D1756">
        <v>1991</v>
      </c>
      <c r="E1756" s="1">
        <v>33515</v>
      </c>
      <c r="F1756" t="s">
        <v>25495</v>
      </c>
      <c r="G1756">
        <v>0</v>
      </c>
      <c r="H1756">
        <v>2</v>
      </c>
      <c r="I1756">
        <v>2</v>
      </c>
      <c r="J1756">
        <v>0</v>
      </c>
      <c r="L1756" t="s">
        <v>25496</v>
      </c>
      <c r="M1756" t="s">
        <v>25497</v>
      </c>
      <c r="N1756" t="s">
        <v>25498</v>
      </c>
      <c r="O1756" t="s">
        <v>25499</v>
      </c>
      <c r="P1756" t="s">
        <v>25500</v>
      </c>
      <c r="Q1756" t="s">
        <v>25501</v>
      </c>
      <c r="R1756" t="s">
        <v>25502</v>
      </c>
      <c r="S1756" t="s">
        <v>25503</v>
      </c>
      <c r="T1756" s="2">
        <v>0.72708333333333341</v>
      </c>
      <c r="U1756">
        <v>3</v>
      </c>
      <c r="V1756" t="s">
        <v>25504</v>
      </c>
      <c r="W1756" t="s">
        <v>25505</v>
      </c>
      <c r="X1756" t="s">
        <v>25506</v>
      </c>
      <c r="Y1756" t="s">
        <v>25507</v>
      </c>
      <c r="Z1756" t="s">
        <v>25507</v>
      </c>
      <c r="AA1756" t="s">
        <v>25507</v>
      </c>
      <c r="AB1756" t="s">
        <v>25507</v>
      </c>
      <c r="AC1756" t="s">
        <v>25507</v>
      </c>
    </row>
    <row r="1757" spans="1:30">
      <c r="A1757" t="s">
        <v>25508</v>
      </c>
      <c r="B1757">
        <v>10</v>
      </c>
      <c r="C1757">
        <v>2</v>
      </c>
      <c r="D1757">
        <v>1991</v>
      </c>
      <c r="E1757" s="1">
        <v>33513</v>
      </c>
      <c r="F1757" t="s">
        <v>25509</v>
      </c>
      <c r="G1757">
        <v>0</v>
      </c>
      <c r="H1757">
        <v>1</v>
      </c>
      <c r="I1757">
        <v>1</v>
      </c>
      <c r="J1757">
        <v>0</v>
      </c>
      <c r="L1757" t="s">
        <v>25510</v>
      </c>
      <c r="M1757" t="s">
        <v>25511</v>
      </c>
      <c r="N1757" t="s">
        <v>25512</v>
      </c>
      <c r="O1757" t="s">
        <v>25513</v>
      </c>
      <c r="P1757" t="s">
        <v>25514</v>
      </c>
      <c r="Q1757" t="s">
        <v>25514</v>
      </c>
      <c r="R1757" t="s">
        <v>25515</v>
      </c>
      <c r="S1757" t="s">
        <v>25516</v>
      </c>
      <c r="T1757" s="2">
        <v>0.30138888888888893</v>
      </c>
      <c r="U1757">
        <v>1</v>
      </c>
      <c r="V1757" t="s">
        <v>25517</v>
      </c>
      <c r="W1757" t="s">
        <v>25518</v>
      </c>
      <c r="X1757" t="s">
        <v>25519</v>
      </c>
      <c r="Y1757" t="s">
        <v>25520</v>
      </c>
      <c r="Z1757" t="s">
        <v>25520</v>
      </c>
      <c r="AA1757" t="s">
        <v>25520</v>
      </c>
      <c r="AB1757" t="s">
        <v>25520</v>
      </c>
      <c r="AC1757" t="s">
        <v>25520</v>
      </c>
    </row>
    <row r="1758" spans="1:30">
      <c r="A1758" t="s">
        <v>25521</v>
      </c>
      <c r="B1758">
        <v>9</v>
      </c>
      <c r="C1758">
        <v>18</v>
      </c>
      <c r="D1758">
        <v>1991</v>
      </c>
      <c r="E1758" s="1">
        <v>33499</v>
      </c>
      <c r="F1758" t="s">
        <v>25522</v>
      </c>
      <c r="G1758">
        <v>1</v>
      </c>
      <c r="H1758">
        <v>0</v>
      </c>
      <c r="I1758">
        <v>1</v>
      </c>
      <c r="J1758">
        <v>0</v>
      </c>
      <c r="L1758" t="s">
        <v>25523</v>
      </c>
      <c r="M1758" t="s">
        <v>25524</v>
      </c>
      <c r="N1758" t="s">
        <v>25525</v>
      </c>
      <c r="O1758" t="s">
        <v>25526</v>
      </c>
      <c r="P1758" t="s">
        <v>25527</v>
      </c>
      <c r="Q1758" t="s">
        <v>25528</v>
      </c>
      <c r="R1758" t="s">
        <v>25529</v>
      </c>
      <c r="S1758" t="s">
        <v>25530</v>
      </c>
      <c r="U1758">
        <v>1</v>
      </c>
      <c r="V1758" t="s">
        <v>25531</v>
      </c>
      <c r="W1758" t="s">
        <v>25532</v>
      </c>
      <c r="X1758" t="s">
        <v>25533</v>
      </c>
      <c r="Y1758" t="s">
        <v>25534</v>
      </c>
      <c r="Z1758" t="s">
        <v>25534</v>
      </c>
      <c r="AA1758" t="s">
        <v>25534</v>
      </c>
      <c r="AB1758" t="s">
        <v>25534</v>
      </c>
      <c r="AC1758" t="s">
        <v>25534</v>
      </c>
    </row>
    <row r="1759" spans="1:30">
      <c r="A1759" t="s">
        <v>25535</v>
      </c>
      <c r="B1759">
        <v>9</v>
      </c>
      <c r="C1759">
        <v>17</v>
      </c>
      <c r="D1759">
        <v>1991</v>
      </c>
      <c r="E1759" s="1">
        <v>33498</v>
      </c>
      <c r="F1759" t="s">
        <v>25536</v>
      </c>
      <c r="G1759">
        <v>0</v>
      </c>
      <c r="H1759">
        <v>1</v>
      </c>
      <c r="I1759">
        <v>1</v>
      </c>
      <c r="J1759">
        <v>0</v>
      </c>
      <c r="L1759" t="s">
        <v>25537</v>
      </c>
      <c r="M1759" t="s">
        <v>25538</v>
      </c>
      <c r="N1759" t="s">
        <v>25539</v>
      </c>
      <c r="O1759" t="s">
        <v>25540</v>
      </c>
      <c r="P1759" t="s">
        <v>25541</v>
      </c>
      <c r="Q1759" t="s">
        <v>25542</v>
      </c>
      <c r="R1759" t="s">
        <v>25543</v>
      </c>
      <c r="S1759" t="s">
        <v>25544</v>
      </c>
      <c r="T1759" s="2">
        <v>0.70833333333333337</v>
      </c>
      <c r="U1759">
        <v>1</v>
      </c>
      <c r="V1759" t="s">
        <v>25545</v>
      </c>
      <c r="W1759" t="s">
        <v>25546</v>
      </c>
      <c r="X1759" t="s">
        <v>25547</v>
      </c>
      <c r="Y1759" t="s">
        <v>25548</v>
      </c>
      <c r="Z1759" t="s">
        <v>25548</v>
      </c>
      <c r="AA1759" t="s">
        <v>25548</v>
      </c>
      <c r="AB1759" t="s">
        <v>25548</v>
      </c>
      <c r="AC1759" t="s">
        <v>25548</v>
      </c>
    </row>
    <row r="1760" spans="1:30">
      <c r="A1760" t="s">
        <v>25549</v>
      </c>
      <c r="B1760">
        <v>9</v>
      </c>
      <c r="C1760">
        <v>13</v>
      </c>
      <c r="D1760">
        <v>1991</v>
      </c>
      <c r="E1760" s="1">
        <v>33494</v>
      </c>
      <c r="F1760" t="s">
        <v>25550</v>
      </c>
      <c r="G1760">
        <v>1</v>
      </c>
      <c r="H1760">
        <v>0</v>
      </c>
      <c r="I1760">
        <v>1</v>
      </c>
      <c r="J1760">
        <v>0</v>
      </c>
      <c r="L1760" t="s">
        <v>25551</v>
      </c>
      <c r="M1760" t="s">
        <v>25552</v>
      </c>
      <c r="N1760" t="s">
        <v>25553</v>
      </c>
      <c r="O1760" t="s">
        <v>25554</v>
      </c>
      <c r="P1760" t="s">
        <v>25555</v>
      </c>
      <c r="Q1760" t="s">
        <v>25556</v>
      </c>
      <c r="R1760" t="s">
        <v>25557</v>
      </c>
      <c r="S1760" t="s">
        <v>25558</v>
      </c>
      <c r="T1760" s="2">
        <v>0.95833333333333337</v>
      </c>
      <c r="U1760">
        <v>1</v>
      </c>
      <c r="V1760" t="s">
        <v>25559</v>
      </c>
      <c r="W1760" t="s">
        <v>25560</v>
      </c>
      <c r="X1760" t="s">
        <v>25561</v>
      </c>
      <c r="Y1760" t="s">
        <v>25562</v>
      </c>
      <c r="Z1760" t="s">
        <v>25562</v>
      </c>
      <c r="AA1760" t="s">
        <v>25562</v>
      </c>
      <c r="AB1760" t="s">
        <v>25562</v>
      </c>
      <c r="AC1760" t="s">
        <v>25562</v>
      </c>
    </row>
    <row r="1761" spans="1:30">
      <c r="A1761" t="s">
        <v>25563</v>
      </c>
      <c r="B1761">
        <v>7</v>
      </c>
      <c r="C1761">
        <v>30</v>
      </c>
      <c r="D1761">
        <v>1991</v>
      </c>
      <c r="E1761" s="1">
        <v>33449</v>
      </c>
      <c r="F1761" t="s">
        <v>25564</v>
      </c>
      <c r="G1761">
        <v>0</v>
      </c>
      <c r="H1761">
        <v>1</v>
      </c>
      <c r="I1761">
        <v>1</v>
      </c>
      <c r="J1761">
        <v>0</v>
      </c>
      <c r="L1761" t="s">
        <v>25565</v>
      </c>
      <c r="M1761" t="s">
        <v>25566</v>
      </c>
      <c r="N1761" t="s">
        <v>25567</v>
      </c>
      <c r="O1761" t="s">
        <v>25568</v>
      </c>
      <c r="P1761" t="s">
        <v>25569</v>
      </c>
      <c r="Q1761" t="s">
        <v>25570</v>
      </c>
      <c r="R1761" t="s">
        <v>25571</v>
      </c>
      <c r="S1761" t="s">
        <v>25572</v>
      </c>
      <c r="U1761">
        <v>1</v>
      </c>
      <c r="V1761" t="s">
        <v>25573</v>
      </c>
      <c r="W1761" t="s">
        <v>25574</v>
      </c>
      <c r="X1761" t="s">
        <v>25575</v>
      </c>
      <c r="Y1761" t="s">
        <v>25576</v>
      </c>
      <c r="Z1761" t="s">
        <v>25576</v>
      </c>
      <c r="AA1761" t="s">
        <v>25576</v>
      </c>
      <c r="AB1761" t="s">
        <v>25576</v>
      </c>
      <c r="AC1761" t="s">
        <v>25576</v>
      </c>
    </row>
    <row r="1762" spans="1:30">
      <c r="A1762" t="s">
        <v>25577</v>
      </c>
      <c r="B1762">
        <v>7</v>
      </c>
      <c r="C1762">
        <v>22</v>
      </c>
      <c r="D1762">
        <v>1991</v>
      </c>
      <c r="E1762" s="1">
        <v>33441</v>
      </c>
      <c r="F1762" t="s">
        <v>25578</v>
      </c>
      <c r="G1762">
        <v>0</v>
      </c>
      <c r="H1762">
        <v>1</v>
      </c>
      <c r="I1762">
        <v>1</v>
      </c>
      <c r="J1762">
        <v>0</v>
      </c>
      <c r="L1762" t="s">
        <v>25579</v>
      </c>
      <c r="M1762" t="s">
        <v>25580</v>
      </c>
      <c r="N1762" t="s">
        <v>25581</v>
      </c>
      <c r="O1762" t="s">
        <v>25582</v>
      </c>
      <c r="P1762" t="s">
        <v>25583</v>
      </c>
      <c r="Q1762" t="s">
        <v>25584</v>
      </c>
      <c r="R1762" t="s">
        <v>25585</v>
      </c>
      <c r="S1762" t="s">
        <v>25586</v>
      </c>
      <c r="T1762" s="2">
        <v>0.4375</v>
      </c>
      <c r="U1762">
        <v>1</v>
      </c>
      <c r="V1762" t="s">
        <v>25587</v>
      </c>
      <c r="W1762" t="s">
        <v>25588</v>
      </c>
      <c r="X1762" t="s">
        <v>25589</v>
      </c>
      <c r="Y1762" t="s">
        <v>25590</v>
      </c>
      <c r="Z1762" t="s">
        <v>25590</v>
      </c>
      <c r="AA1762" t="s">
        <v>25590</v>
      </c>
      <c r="AB1762" t="s">
        <v>25590</v>
      </c>
      <c r="AC1762" t="s">
        <v>25590</v>
      </c>
    </row>
    <row r="1763" spans="1:30">
      <c r="A1763" t="s">
        <v>25591</v>
      </c>
      <c r="B1763">
        <v>5</v>
      </c>
      <c r="C1763">
        <v>21</v>
      </c>
      <c r="D1763">
        <v>1991</v>
      </c>
      <c r="E1763" s="1">
        <v>33379</v>
      </c>
      <c r="F1763" t="s">
        <v>25592</v>
      </c>
      <c r="G1763">
        <v>1</v>
      </c>
      <c r="H1763">
        <v>0</v>
      </c>
      <c r="I1763">
        <v>1</v>
      </c>
      <c r="J1763">
        <v>0</v>
      </c>
      <c r="L1763" t="s">
        <v>25593</v>
      </c>
      <c r="M1763" t="s">
        <v>25594</v>
      </c>
      <c r="N1763" t="s">
        <v>25595</v>
      </c>
      <c r="O1763" t="s">
        <v>25596</v>
      </c>
      <c r="P1763" t="s">
        <v>25597</v>
      </c>
      <c r="Q1763" t="s">
        <v>25598</v>
      </c>
      <c r="R1763" t="s">
        <v>25599</v>
      </c>
      <c r="S1763" t="s">
        <v>25600</v>
      </c>
      <c r="U1763">
        <v>1</v>
      </c>
      <c r="V1763" t="s">
        <v>25601</v>
      </c>
      <c r="W1763" t="s">
        <v>25602</v>
      </c>
      <c r="X1763" t="s">
        <v>25603</v>
      </c>
      <c r="Y1763" t="s">
        <v>25604</v>
      </c>
      <c r="Z1763" t="s">
        <v>25604</v>
      </c>
      <c r="AA1763" t="s">
        <v>25604</v>
      </c>
      <c r="AB1763" t="s">
        <v>25604</v>
      </c>
      <c r="AC1763" t="s">
        <v>25604</v>
      </c>
    </row>
    <row r="1764" spans="1:30">
      <c r="A1764" t="s">
        <v>25605</v>
      </c>
      <c r="B1764">
        <v>5</v>
      </c>
      <c r="C1764">
        <v>21</v>
      </c>
      <c r="D1764">
        <v>1991</v>
      </c>
      <c r="E1764" s="1">
        <v>33379</v>
      </c>
      <c r="F1764" t="s">
        <v>25606</v>
      </c>
      <c r="G1764">
        <v>1</v>
      </c>
      <c r="H1764">
        <v>2</v>
      </c>
      <c r="I1764">
        <v>3</v>
      </c>
      <c r="J1764">
        <v>0</v>
      </c>
      <c r="L1764" t="s">
        <v>25607</v>
      </c>
      <c r="M1764" t="s">
        <v>25608</v>
      </c>
      <c r="N1764" t="s">
        <v>25609</v>
      </c>
      <c r="O1764" t="s">
        <v>25610</v>
      </c>
      <c r="P1764" t="s">
        <v>25611</v>
      </c>
      <c r="Q1764" t="s">
        <v>25612</v>
      </c>
      <c r="R1764" t="s">
        <v>25613</v>
      </c>
      <c r="S1764" t="s">
        <v>25614</v>
      </c>
      <c r="T1764" s="2">
        <v>0.4375</v>
      </c>
      <c r="U1764">
        <v>1</v>
      </c>
      <c r="V1764" t="s">
        <v>25615</v>
      </c>
      <c r="W1764" t="s">
        <v>25616</v>
      </c>
      <c r="X1764" t="s">
        <v>25617</v>
      </c>
      <c r="Y1764" t="s">
        <v>25618</v>
      </c>
      <c r="Z1764" t="s">
        <v>25618</v>
      </c>
      <c r="AA1764" t="s">
        <v>25618</v>
      </c>
      <c r="AB1764" t="s">
        <v>25618</v>
      </c>
      <c r="AC1764" t="s">
        <v>25618</v>
      </c>
      <c r="AD1764" t="s">
        <v>25618</v>
      </c>
    </row>
    <row r="1765" spans="1:30">
      <c r="A1765" t="s">
        <v>25619</v>
      </c>
      <c r="B1765">
        <v>5</v>
      </c>
      <c r="C1765">
        <v>16</v>
      </c>
      <c r="D1765">
        <v>1991</v>
      </c>
      <c r="E1765" s="1">
        <v>33374</v>
      </c>
      <c r="F1765" t="s">
        <v>25620</v>
      </c>
      <c r="G1765">
        <v>0</v>
      </c>
      <c r="H1765">
        <v>2</v>
      </c>
      <c r="I1765">
        <v>2</v>
      </c>
      <c r="J1765">
        <v>0</v>
      </c>
      <c r="L1765" t="s">
        <v>25621</v>
      </c>
      <c r="M1765" t="s">
        <v>25622</v>
      </c>
      <c r="N1765" t="s">
        <v>25623</v>
      </c>
      <c r="O1765" t="s">
        <v>25624</v>
      </c>
      <c r="P1765" t="s">
        <v>25625</v>
      </c>
      <c r="Q1765" t="s">
        <v>25625</v>
      </c>
      <c r="R1765" t="s">
        <v>25626</v>
      </c>
      <c r="U1765">
        <v>1</v>
      </c>
      <c r="V1765" t="s">
        <v>25627</v>
      </c>
      <c r="W1765" t="s">
        <v>25628</v>
      </c>
      <c r="Y1765" t="s">
        <v>25629</v>
      </c>
      <c r="Z1765" t="s">
        <v>25630</v>
      </c>
      <c r="AA1765" t="s">
        <v>25630</v>
      </c>
      <c r="AB1765" t="s">
        <v>25630</v>
      </c>
      <c r="AC1765" t="s">
        <v>25630</v>
      </c>
    </row>
    <row r="1766" spans="1:30">
      <c r="A1766" t="s">
        <v>25631</v>
      </c>
      <c r="B1766">
        <v>5</v>
      </c>
      <c r="C1766">
        <v>10</v>
      </c>
      <c r="D1766">
        <v>1991</v>
      </c>
      <c r="E1766" s="1">
        <v>33368</v>
      </c>
      <c r="F1766" t="s">
        <v>25632</v>
      </c>
      <c r="G1766">
        <v>1</v>
      </c>
      <c r="H1766">
        <v>0</v>
      </c>
      <c r="I1766">
        <v>1</v>
      </c>
      <c r="J1766">
        <v>0</v>
      </c>
      <c r="L1766" t="s">
        <v>25633</v>
      </c>
      <c r="M1766" t="s">
        <v>25634</v>
      </c>
      <c r="N1766" t="s">
        <v>25635</v>
      </c>
      <c r="O1766" t="s">
        <v>25636</v>
      </c>
      <c r="P1766" t="s">
        <v>25637</v>
      </c>
      <c r="Q1766" t="s">
        <v>25638</v>
      </c>
      <c r="R1766" t="s">
        <v>25639</v>
      </c>
      <c r="S1766" t="s">
        <v>25640</v>
      </c>
      <c r="T1766" s="2">
        <v>0.58333333333333337</v>
      </c>
      <c r="U1766">
        <v>1</v>
      </c>
      <c r="V1766" t="s">
        <v>25641</v>
      </c>
      <c r="W1766" t="s">
        <v>25642</v>
      </c>
      <c r="X1766" t="s">
        <v>25643</v>
      </c>
      <c r="Y1766" t="s">
        <v>25644</v>
      </c>
      <c r="Z1766" t="s">
        <v>25644</v>
      </c>
      <c r="AA1766" t="s">
        <v>25644</v>
      </c>
      <c r="AB1766" t="s">
        <v>25644</v>
      </c>
      <c r="AC1766" t="s">
        <v>25644</v>
      </c>
    </row>
    <row r="1767" spans="1:30">
      <c r="A1767" t="s">
        <v>25645</v>
      </c>
      <c r="B1767">
        <v>4</v>
      </c>
      <c r="C1767">
        <v>23</v>
      </c>
      <c r="D1767">
        <v>1991</v>
      </c>
      <c r="E1767" s="1">
        <v>33351</v>
      </c>
      <c r="F1767" t="s">
        <v>25646</v>
      </c>
      <c r="G1767">
        <v>0</v>
      </c>
      <c r="H1767">
        <v>1</v>
      </c>
      <c r="I1767">
        <v>1</v>
      </c>
      <c r="J1767">
        <v>0</v>
      </c>
      <c r="L1767" t="s">
        <v>25647</v>
      </c>
      <c r="M1767" t="s">
        <v>25648</v>
      </c>
      <c r="N1767" t="s">
        <v>25649</v>
      </c>
      <c r="O1767" t="s">
        <v>25650</v>
      </c>
      <c r="P1767" t="s">
        <v>25651</v>
      </c>
      <c r="Q1767" t="s">
        <v>25652</v>
      </c>
      <c r="R1767" t="s">
        <v>25653</v>
      </c>
      <c r="S1767" t="s">
        <v>25654</v>
      </c>
      <c r="U1767">
        <v>1</v>
      </c>
      <c r="V1767" t="s">
        <v>25655</v>
      </c>
      <c r="W1767" t="s">
        <v>25656</v>
      </c>
      <c r="X1767" t="s">
        <v>25657</v>
      </c>
      <c r="Y1767" t="s">
        <v>25658</v>
      </c>
      <c r="Z1767" t="s">
        <v>25658</v>
      </c>
      <c r="AA1767" t="s">
        <v>25658</v>
      </c>
      <c r="AB1767" t="s">
        <v>25658</v>
      </c>
      <c r="AC1767" t="s">
        <v>25658</v>
      </c>
    </row>
    <row r="1768" spans="1:30">
      <c r="A1768" t="s">
        <v>25659</v>
      </c>
      <c r="B1768">
        <v>4</v>
      </c>
      <c r="C1768">
        <v>23</v>
      </c>
      <c r="D1768">
        <v>1991</v>
      </c>
      <c r="E1768" s="1">
        <v>33351</v>
      </c>
      <c r="F1768" t="s">
        <v>25660</v>
      </c>
      <c r="G1768">
        <v>1</v>
      </c>
      <c r="H1768">
        <v>0</v>
      </c>
      <c r="I1768">
        <v>1</v>
      </c>
      <c r="J1768">
        <v>0</v>
      </c>
      <c r="L1768" t="s">
        <v>25661</v>
      </c>
      <c r="M1768" t="s">
        <v>25662</v>
      </c>
      <c r="N1768" t="s">
        <v>25663</v>
      </c>
      <c r="O1768" t="s">
        <v>25664</v>
      </c>
      <c r="P1768" t="s">
        <v>25665</v>
      </c>
      <c r="Q1768" t="s">
        <v>25666</v>
      </c>
      <c r="R1768" t="s">
        <v>25667</v>
      </c>
      <c r="U1768">
        <v>1</v>
      </c>
      <c r="V1768" t="s">
        <v>25668</v>
      </c>
      <c r="W1768" t="s">
        <v>25669</v>
      </c>
      <c r="X1768" t="s">
        <v>25670</v>
      </c>
      <c r="Y1768" t="s">
        <v>25671</v>
      </c>
      <c r="Z1768" t="s">
        <v>25671</v>
      </c>
      <c r="AA1768" t="s">
        <v>25671</v>
      </c>
      <c r="AB1768" t="s">
        <v>25671</v>
      </c>
      <c r="AC1768" t="s">
        <v>25671</v>
      </c>
    </row>
    <row r="1769" spans="1:30">
      <c r="A1769" t="s">
        <v>25672</v>
      </c>
      <c r="B1769">
        <v>4</v>
      </c>
      <c r="C1769">
        <v>11</v>
      </c>
      <c r="D1769">
        <v>1991</v>
      </c>
      <c r="E1769" s="1">
        <v>33339</v>
      </c>
      <c r="F1769" t="s">
        <v>25673</v>
      </c>
      <c r="G1769">
        <v>0</v>
      </c>
      <c r="H1769">
        <v>0</v>
      </c>
      <c r="I1769">
        <v>0</v>
      </c>
      <c r="J1769">
        <v>1</v>
      </c>
      <c r="L1769" t="s">
        <v>25674</v>
      </c>
      <c r="M1769" t="s">
        <v>25675</v>
      </c>
      <c r="N1769" t="s">
        <v>25676</v>
      </c>
      <c r="O1769" t="s">
        <v>25677</v>
      </c>
      <c r="P1769" t="s">
        <v>25678</v>
      </c>
      <c r="Q1769" t="s">
        <v>25679</v>
      </c>
      <c r="R1769" t="s">
        <v>25680</v>
      </c>
      <c r="S1769" t="s">
        <v>25681</v>
      </c>
      <c r="T1769" s="2">
        <v>0.33333333333333331</v>
      </c>
      <c r="U1769">
        <v>1</v>
      </c>
      <c r="V1769" t="s">
        <v>25682</v>
      </c>
      <c r="W1769" t="s">
        <v>25683</v>
      </c>
      <c r="X1769" t="s">
        <v>25684</v>
      </c>
      <c r="Y1769" t="s">
        <v>25685</v>
      </c>
      <c r="Z1769" t="s">
        <v>25685</v>
      </c>
      <c r="AA1769" t="s">
        <v>25685</v>
      </c>
      <c r="AB1769" t="s">
        <v>25685</v>
      </c>
      <c r="AC1769" t="s">
        <v>25685</v>
      </c>
    </row>
    <row r="1770" spans="1:30">
      <c r="A1770" t="s">
        <v>25686</v>
      </c>
      <c r="B1770">
        <v>3</v>
      </c>
      <c r="C1770">
        <v>25</v>
      </c>
      <c r="D1770">
        <v>1991</v>
      </c>
      <c r="E1770" s="1">
        <v>33322</v>
      </c>
      <c r="F1770" t="s">
        <v>25687</v>
      </c>
      <c r="G1770">
        <v>1</v>
      </c>
      <c r="H1770">
        <v>0</v>
      </c>
      <c r="I1770">
        <v>1</v>
      </c>
      <c r="J1770">
        <v>0</v>
      </c>
      <c r="L1770" t="s">
        <v>25688</v>
      </c>
      <c r="M1770" t="s">
        <v>25689</v>
      </c>
      <c r="N1770" t="s">
        <v>25690</v>
      </c>
      <c r="O1770" t="s">
        <v>25691</v>
      </c>
      <c r="P1770" t="s">
        <v>25692</v>
      </c>
      <c r="Q1770" t="s">
        <v>25693</v>
      </c>
      <c r="R1770" t="s">
        <v>25694</v>
      </c>
      <c r="S1770" t="s">
        <v>25695</v>
      </c>
      <c r="T1770" s="2">
        <v>0.59722222222222221</v>
      </c>
      <c r="U1770">
        <v>1</v>
      </c>
      <c r="V1770" t="s">
        <v>25696</v>
      </c>
      <c r="W1770" t="s">
        <v>25697</v>
      </c>
      <c r="X1770" t="s">
        <v>25698</v>
      </c>
      <c r="Y1770" t="s">
        <v>25699</v>
      </c>
      <c r="Z1770" t="s">
        <v>25699</v>
      </c>
      <c r="AA1770" t="s">
        <v>25699</v>
      </c>
      <c r="AB1770" t="s">
        <v>25699</v>
      </c>
      <c r="AC1770" t="s">
        <v>25699</v>
      </c>
    </row>
    <row r="1771" spans="1:30">
      <c r="A1771" t="s">
        <v>25700</v>
      </c>
      <c r="B1771">
        <v>3</v>
      </c>
      <c r="C1771">
        <v>14</v>
      </c>
      <c r="D1771">
        <v>1991</v>
      </c>
      <c r="E1771" s="1">
        <v>33311</v>
      </c>
      <c r="F1771" t="s">
        <v>25701</v>
      </c>
      <c r="G1771">
        <v>0</v>
      </c>
      <c r="H1771">
        <v>4</v>
      </c>
      <c r="I1771">
        <v>4</v>
      </c>
      <c r="J1771">
        <v>0</v>
      </c>
      <c r="L1771" t="s">
        <v>25702</v>
      </c>
      <c r="M1771" t="s">
        <v>25703</v>
      </c>
      <c r="N1771" t="s">
        <v>25704</v>
      </c>
      <c r="O1771" t="s">
        <v>25705</v>
      </c>
      <c r="P1771" t="s">
        <v>25706</v>
      </c>
      <c r="Q1771" t="s">
        <v>25707</v>
      </c>
      <c r="R1771" t="s">
        <v>25708</v>
      </c>
      <c r="S1771" t="s">
        <v>25709</v>
      </c>
      <c r="V1771" t="s">
        <v>25710</v>
      </c>
      <c r="W1771" t="s">
        <v>25711</v>
      </c>
      <c r="X1771" t="s">
        <v>25712</v>
      </c>
      <c r="Y1771" t="s">
        <v>25713</v>
      </c>
      <c r="Z1771" t="s">
        <v>25714</v>
      </c>
      <c r="AA1771" t="s">
        <v>25714</v>
      </c>
      <c r="AB1771" t="s">
        <v>25714</v>
      </c>
      <c r="AC1771" t="s">
        <v>25714</v>
      </c>
    </row>
    <row r="1772" spans="1:30">
      <c r="A1772" t="s">
        <v>25715</v>
      </c>
      <c r="B1772">
        <v>3</v>
      </c>
      <c r="C1772">
        <v>13</v>
      </c>
      <c r="D1772">
        <v>1991</v>
      </c>
      <c r="E1772" s="1">
        <v>33310</v>
      </c>
      <c r="F1772" t="s">
        <v>25716</v>
      </c>
      <c r="G1772">
        <v>0</v>
      </c>
      <c r="H1772">
        <v>2</v>
      </c>
      <c r="I1772">
        <v>2</v>
      </c>
      <c r="J1772">
        <v>0</v>
      </c>
      <c r="L1772" t="s">
        <v>25717</v>
      </c>
      <c r="M1772" t="s">
        <v>25718</v>
      </c>
      <c r="N1772" t="s">
        <v>25719</v>
      </c>
      <c r="O1772" t="s">
        <v>25720</v>
      </c>
      <c r="P1772" t="s">
        <v>25721</v>
      </c>
      <c r="Q1772" t="s">
        <v>25722</v>
      </c>
      <c r="R1772" t="s">
        <v>25723</v>
      </c>
      <c r="S1772" t="s">
        <v>25724</v>
      </c>
      <c r="T1772" s="2">
        <v>0.39930555555555558</v>
      </c>
      <c r="U1772">
        <v>1</v>
      </c>
      <c r="V1772" t="s">
        <v>25725</v>
      </c>
      <c r="W1772" t="s">
        <v>25726</v>
      </c>
      <c r="X1772" t="s">
        <v>25727</v>
      </c>
      <c r="Y1772" t="s">
        <v>25728</v>
      </c>
      <c r="Z1772" t="s">
        <v>25728</v>
      </c>
      <c r="AA1772" t="s">
        <v>25728</v>
      </c>
      <c r="AB1772" t="s">
        <v>25728</v>
      </c>
      <c r="AC1772" t="s">
        <v>25728</v>
      </c>
    </row>
    <row r="1773" spans="1:30">
      <c r="A1773" t="s">
        <v>25729</v>
      </c>
      <c r="B1773">
        <v>2</v>
      </c>
      <c r="C1773">
        <v>19</v>
      </c>
      <c r="D1773">
        <v>1991</v>
      </c>
      <c r="E1773" s="1">
        <v>33288</v>
      </c>
      <c r="F1773" t="s">
        <v>25730</v>
      </c>
      <c r="G1773">
        <v>1</v>
      </c>
      <c r="H1773">
        <v>1</v>
      </c>
      <c r="I1773">
        <v>2</v>
      </c>
      <c r="J1773">
        <v>0</v>
      </c>
      <c r="K1773" t="s">
        <v>25731</v>
      </c>
      <c r="L1773" t="s">
        <v>25732</v>
      </c>
      <c r="M1773" t="s">
        <v>25733</v>
      </c>
      <c r="N1773" t="s">
        <v>25734</v>
      </c>
      <c r="O1773" t="s">
        <v>25735</v>
      </c>
      <c r="P1773" t="s">
        <v>25736</v>
      </c>
      <c r="Q1773" t="s">
        <v>25736</v>
      </c>
      <c r="R1773" t="s">
        <v>25737</v>
      </c>
      <c r="S1773" t="s">
        <v>25738</v>
      </c>
      <c r="T1773" s="2">
        <v>0.54166666666666663</v>
      </c>
      <c r="U1773">
        <v>1</v>
      </c>
      <c r="V1773" t="s">
        <v>25739</v>
      </c>
      <c r="W1773" t="s">
        <v>25740</v>
      </c>
      <c r="X1773" t="s">
        <v>25741</v>
      </c>
      <c r="Y1773" t="s">
        <v>25742</v>
      </c>
      <c r="Z1773" t="s">
        <v>25742</v>
      </c>
      <c r="AA1773" t="s">
        <v>25742</v>
      </c>
      <c r="AB1773" t="s">
        <v>25742</v>
      </c>
      <c r="AC1773" t="s">
        <v>25742</v>
      </c>
    </row>
    <row r="1774" spans="1:30">
      <c r="A1774" t="s">
        <v>25743</v>
      </c>
      <c r="B1774">
        <v>1</v>
      </c>
      <c r="C1774">
        <v>17</v>
      </c>
      <c r="D1774">
        <v>1991</v>
      </c>
      <c r="E1774" s="1">
        <v>33255</v>
      </c>
      <c r="F1774" t="s">
        <v>25744</v>
      </c>
      <c r="G1774">
        <v>0</v>
      </c>
      <c r="H1774">
        <v>1</v>
      </c>
      <c r="I1774">
        <v>1</v>
      </c>
      <c r="J1774">
        <v>0</v>
      </c>
      <c r="L1774" t="s">
        <v>25745</v>
      </c>
      <c r="M1774" t="s">
        <v>25746</v>
      </c>
      <c r="N1774" t="s">
        <v>25747</v>
      </c>
      <c r="O1774" t="s">
        <v>25748</v>
      </c>
      <c r="P1774" t="s">
        <v>25749</v>
      </c>
      <c r="Q1774" t="s">
        <v>25749</v>
      </c>
      <c r="R1774" t="s">
        <v>25750</v>
      </c>
      <c r="S1774" t="s">
        <v>25751</v>
      </c>
      <c r="V1774" t="s">
        <v>25752</v>
      </c>
      <c r="W1774" t="s">
        <v>25753</v>
      </c>
      <c r="X1774" t="s">
        <v>25754</v>
      </c>
      <c r="Y1774" t="s">
        <v>25755</v>
      </c>
      <c r="Z1774" t="s">
        <v>25756</v>
      </c>
      <c r="AA1774" t="s">
        <v>25756</v>
      </c>
      <c r="AB1774" t="s">
        <v>25756</v>
      </c>
      <c r="AC1774" t="s">
        <v>25756</v>
      </c>
    </row>
    <row r="1775" spans="1:30">
      <c r="A1775" t="s">
        <v>25757</v>
      </c>
      <c r="B1775">
        <v>1</v>
      </c>
      <c r="C1775">
        <v>8</v>
      </c>
      <c r="D1775">
        <v>1991</v>
      </c>
      <c r="E1775" s="1">
        <v>33246</v>
      </c>
      <c r="F1775" t="s">
        <v>25758</v>
      </c>
      <c r="G1775">
        <v>0</v>
      </c>
      <c r="H1775">
        <v>0</v>
      </c>
      <c r="I1775">
        <v>0</v>
      </c>
      <c r="J1775">
        <v>1</v>
      </c>
      <c r="L1775" t="s">
        <v>25759</v>
      </c>
      <c r="M1775" t="s">
        <v>25760</v>
      </c>
      <c r="N1775" t="s">
        <v>25761</v>
      </c>
      <c r="O1775" t="s">
        <v>25762</v>
      </c>
      <c r="P1775" t="s">
        <v>25763</v>
      </c>
      <c r="Q1775" t="s">
        <v>25764</v>
      </c>
      <c r="R1775" t="s">
        <v>25765</v>
      </c>
      <c r="S1775" t="s">
        <v>25766</v>
      </c>
      <c r="T1775" s="2">
        <v>0.40625</v>
      </c>
      <c r="U1775">
        <v>1</v>
      </c>
      <c r="V1775" t="s">
        <v>25767</v>
      </c>
      <c r="W1775" t="s">
        <v>25768</v>
      </c>
      <c r="X1775" t="s">
        <v>25769</v>
      </c>
      <c r="Y1775" t="s">
        <v>25770</v>
      </c>
      <c r="Z1775" t="s">
        <v>25770</v>
      </c>
      <c r="AA1775" t="s">
        <v>25770</v>
      </c>
      <c r="AB1775" t="s">
        <v>25770</v>
      </c>
      <c r="AC1775" t="s">
        <v>25770</v>
      </c>
    </row>
    <row r="1776" spans="1:30">
      <c r="A1776" t="s">
        <v>25771</v>
      </c>
      <c r="B1776">
        <v>12</v>
      </c>
      <c r="C1776">
        <v>13</v>
      </c>
      <c r="D1776">
        <v>1990</v>
      </c>
      <c r="E1776" s="1">
        <v>33220</v>
      </c>
      <c r="F1776" t="s">
        <v>25772</v>
      </c>
      <c r="G1776">
        <v>0</v>
      </c>
      <c r="H1776">
        <v>0</v>
      </c>
      <c r="I1776">
        <v>0</v>
      </c>
      <c r="J1776">
        <v>0</v>
      </c>
      <c r="L1776" t="s">
        <v>25773</v>
      </c>
      <c r="M1776" t="s">
        <v>25774</v>
      </c>
      <c r="N1776" t="s">
        <v>25775</v>
      </c>
      <c r="O1776" t="s">
        <v>25776</v>
      </c>
      <c r="P1776" t="s">
        <v>25777</v>
      </c>
      <c r="Q1776" t="s">
        <v>25778</v>
      </c>
      <c r="R1776" t="s">
        <v>25779</v>
      </c>
      <c r="S1776" t="s">
        <v>25780</v>
      </c>
      <c r="T1776" s="2">
        <v>0.86944444444444446</v>
      </c>
      <c r="U1776">
        <v>1</v>
      </c>
      <c r="V1776" t="s">
        <v>25781</v>
      </c>
      <c r="W1776" t="s">
        <v>25782</v>
      </c>
      <c r="X1776" t="s">
        <v>25783</v>
      </c>
      <c r="Y1776" t="s">
        <v>25784</v>
      </c>
      <c r="Z1776" t="s">
        <v>25784</v>
      </c>
      <c r="AA1776" t="s">
        <v>25784</v>
      </c>
      <c r="AB1776" t="s">
        <v>25784</v>
      </c>
      <c r="AC1776" t="s">
        <v>25784</v>
      </c>
    </row>
    <row r="1777" spans="1:30">
      <c r="A1777" t="s">
        <v>25785</v>
      </c>
      <c r="B1777">
        <v>11</v>
      </c>
      <c r="C1777">
        <v>10</v>
      </c>
      <c r="D1777">
        <v>1990</v>
      </c>
      <c r="E1777" s="1">
        <v>33187</v>
      </c>
      <c r="F1777" t="s">
        <v>25786</v>
      </c>
      <c r="G1777">
        <v>0</v>
      </c>
      <c r="H1777">
        <v>1</v>
      </c>
      <c r="I1777">
        <v>1</v>
      </c>
      <c r="J1777">
        <v>0</v>
      </c>
      <c r="K1777" t="s">
        <v>25787</v>
      </c>
      <c r="L1777" t="s">
        <v>25788</v>
      </c>
      <c r="M1777" t="s">
        <v>25789</v>
      </c>
      <c r="N1777" t="s">
        <v>25790</v>
      </c>
      <c r="O1777" t="s">
        <v>25791</v>
      </c>
      <c r="P1777" t="s">
        <v>25792</v>
      </c>
      <c r="Q1777" t="s">
        <v>25793</v>
      </c>
      <c r="R1777" t="s">
        <v>25794</v>
      </c>
      <c r="S1777" t="s">
        <v>25795</v>
      </c>
      <c r="T1777" s="2">
        <v>0.86111111111111116</v>
      </c>
      <c r="U1777">
        <v>1</v>
      </c>
      <c r="V1777" t="s">
        <v>25796</v>
      </c>
      <c r="W1777" t="s">
        <v>25797</v>
      </c>
      <c r="X1777" t="s">
        <v>25798</v>
      </c>
      <c r="Y1777" t="s">
        <v>25799</v>
      </c>
      <c r="Z1777" t="s">
        <v>25799</v>
      </c>
      <c r="AA1777" t="s">
        <v>25799</v>
      </c>
      <c r="AB1777" t="s">
        <v>25799</v>
      </c>
      <c r="AC1777" t="s">
        <v>25799</v>
      </c>
      <c r="AD1777" t="s">
        <v>25799</v>
      </c>
    </row>
    <row r="1778" spans="1:30">
      <c r="A1778" t="s">
        <v>25800</v>
      </c>
      <c r="B1778">
        <v>10</v>
      </c>
      <c r="C1778">
        <v>30</v>
      </c>
      <c r="D1778">
        <v>1990</v>
      </c>
      <c r="E1778" s="1">
        <v>33176</v>
      </c>
      <c r="F1778" t="s">
        <v>25801</v>
      </c>
      <c r="G1778">
        <v>0</v>
      </c>
      <c r="H1778">
        <v>1</v>
      </c>
      <c r="I1778">
        <v>1</v>
      </c>
      <c r="J1778">
        <v>0</v>
      </c>
      <c r="L1778" t="s">
        <v>25802</v>
      </c>
      <c r="M1778" t="s">
        <v>25803</v>
      </c>
      <c r="N1778" t="s">
        <v>25804</v>
      </c>
      <c r="O1778" t="s">
        <v>25805</v>
      </c>
      <c r="P1778" t="s">
        <v>25806</v>
      </c>
      <c r="Q1778" t="s">
        <v>25807</v>
      </c>
      <c r="R1778" t="s">
        <v>25808</v>
      </c>
      <c r="S1778" t="s">
        <v>25809</v>
      </c>
      <c r="U1778">
        <v>1</v>
      </c>
      <c r="V1778" t="s">
        <v>25810</v>
      </c>
      <c r="W1778" t="s">
        <v>25811</v>
      </c>
      <c r="X1778" t="s">
        <v>25812</v>
      </c>
      <c r="Y1778" t="s">
        <v>25813</v>
      </c>
      <c r="Z1778" t="s">
        <v>25813</v>
      </c>
      <c r="AA1778" t="s">
        <v>25813</v>
      </c>
      <c r="AB1778" t="s">
        <v>25813</v>
      </c>
      <c r="AC1778" t="s">
        <v>25813</v>
      </c>
    </row>
    <row r="1779" spans="1:30">
      <c r="A1779" t="s">
        <v>25814</v>
      </c>
      <c r="B1779">
        <v>10</v>
      </c>
      <c r="C1779">
        <v>29</v>
      </c>
      <c r="D1779">
        <v>1990</v>
      </c>
      <c r="E1779" s="1">
        <v>33175</v>
      </c>
      <c r="F1779" t="s">
        <v>25815</v>
      </c>
      <c r="G1779">
        <v>0</v>
      </c>
      <c r="H1779">
        <v>0</v>
      </c>
      <c r="I1779">
        <v>0</v>
      </c>
      <c r="J1779">
        <v>0</v>
      </c>
      <c r="K1779" t="s">
        <v>25816</v>
      </c>
      <c r="L1779" t="s">
        <v>25817</v>
      </c>
      <c r="M1779" t="s">
        <v>25818</v>
      </c>
      <c r="N1779" t="s">
        <v>25819</v>
      </c>
      <c r="O1779" t="s">
        <v>25820</v>
      </c>
      <c r="P1779" t="s">
        <v>25821</v>
      </c>
      <c r="Q1779" t="s">
        <v>25822</v>
      </c>
      <c r="R1779" t="s">
        <v>25823</v>
      </c>
      <c r="S1779" t="s">
        <v>25824</v>
      </c>
      <c r="T1779" s="2">
        <v>0.46527777777777773</v>
      </c>
      <c r="U1779">
        <v>500</v>
      </c>
      <c r="V1779" t="s">
        <v>25825</v>
      </c>
      <c r="W1779" t="s">
        <v>25826</v>
      </c>
      <c r="X1779" t="s">
        <v>25827</v>
      </c>
      <c r="Y1779" t="s">
        <v>25828</v>
      </c>
      <c r="Z1779" t="s">
        <v>25829</v>
      </c>
      <c r="AA1779" t="s">
        <v>25829</v>
      </c>
      <c r="AB1779" t="s">
        <v>25830</v>
      </c>
      <c r="AC1779" t="s">
        <v>25830</v>
      </c>
      <c r="AD1779" t="s">
        <v>25831</v>
      </c>
    </row>
    <row r="1780" spans="1:30">
      <c r="A1780" t="s">
        <v>25832</v>
      </c>
      <c r="B1780">
        <v>10</v>
      </c>
      <c r="C1780">
        <v>2</v>
      </c>
      <c r="D1780">
        <v>1990</v>
      </c>
      <c r="E1780" s="1">
        <v>33148</v>
      </c>
      <c r="F1780" t="s">
        <v>25833</v>
      </c>
      <c r="G1780">
        <v>0</v>
      </c>
      <c r="H1780">
        <v>1</v>
      </c>
      <c r="I1780">
        <v>1</v>
      </c>
      <c r="J1780">
        <v>0</v>
      </c>
      <c r="L1780" t="s">
        <v>25834</v>
      </c>
      <c r="M1780" t="s">
        <v>25835</v>
      </c>
      <c r="N1780" t="s">
        <v>25836</v>
      </c>
      <c r="O1780" t="s">
        <v>25837</v>
      </c>
      <c r="P1780" t="s">
        <v>25838</v>
      </c>
      <c r="Q1780" t="s">
        <v>25839</v>
      </c>
      <c r="R1780" t="s">
        <v>25840</v>
      </c>
      <c r="S1780" t="s">
        <v>25841</v>
      </c>
      <c r="T1780" s="2">
        <v>0.70138888888888884</v>
      </c>
      <c r="U1780">
        <v>1</v>
      </c>
      <c r="V1780" t="s">
        <v>25842</v>
      </c>
      <c r="W1780" t="s">
        <v>25843</v>
      </c>
      <c r="X1780" t="s">
        <v>25844</v>
      </c>
      <c r="Y1780" t="s">
        <v>25845</v>
      </c>
      <c r="Z1780" t="s">
        <v>25846</v>
      </c>
      <c r="AA1780" t="s">
        <v>25846</v>
      </c>
      <c r="AB1780" t="s">
        <v>25846</v>
      </c>
      <c r="AC1780" t="s">
        <v>25846</v>
      </c>
    </row>
    <row r="1781" spans="1:30">
      <c r="A1781" t="s">
        <v>25847</v>
      </c>
      <c r="B1781">
        <v>9</v>
      </c>
      <c r="C1781">
        <v>22</v>
      </c>
      <c r="D1781">
        <v>1990</v>
      </c>
      <c r="E1781" s="1">
        <v>33138</v>
      </c>
      <c r="F1781" t="s">
        <v>25848</v>
      </c>
      <c r="G1781">
        <v>0</v>
      </c>
      <c r="H1781">
        <v>2</v>
      </c>
      <c r="I1781">
        <v>2</v>
      </c>
      <c r="J1781">
        <v>0</v>
      </c>
      <c r="L1781" t="s">
        <v>25849</v>
      </c>
      <c r="M1781" t="s">
        <v>25850</v>
      </c>
      <c r="N1781" t="s">
        <v>25851</v>
      </c>
      <c r="O1781" t="s">
        <v>25852</v>
      </c>
      <c r="P1781" t="s">
        <v>25853</v>
      </c>
      <c r="Q1781" t="s">
        <v>25854</v>
      </c>
      <c r="R1781" t="s">
        <v>25855</v>
      </c>
      <c r="S1781" t="s">
        <v>25856</v>
      </c>
      <c r="U1781">
        <v>1</v>
      </c>
      <c r="V1781" t="s">
        <v>25857</v>
      </c>
      <c r="W1781" t="s">
        <v>25858</v>
      </c>
      <c r="Y1781" t="s">
        <v>25859</v>
      </c>
      <c r="Z1781" t="s">
        <v>25859</v>
      </c>
      <c r="AA1781" t="s">
        <v>25859</v>
      </c>
      <c r="AB1781" t="s">
        <v>25859</v>
      </c>
      <c r="AC1781" t="s">
        <v>25859</v>
      </c>
      <c r="AD1781" t="s">
        <v>25859</v>
      </c>
    </row>
    <row r="1782" spans="1:30">
      <c r="A1782" t="s">
        <v>25860</v>
      </c>
      <c r="B1782">
        <v>9</v>
      </c>
      <c r="C1782">
        <v>11</v>
      </c>
      <c r="D1782">
        <v>1990</v>
      </c>
      <c r="E1782" s="1">
        <v>33127</v>
      </c>
      <c r="F1782" t="s">
        <v>25861</v>
      </c>
      <c r="G1782">
        <v>0</v>
      </c>
      <c r="H1782">
        <v>3</v>
      </c>
      <c r="I1782">
        <v>3</v>
      </c>
      <c r="J1782">
        <v>0</v>
      </c>
      <c r="L1782" t="s">
        <v>25862</v>
      </c>
      <c r="M1782" t="s">
        <v>25863</v>
      </c>
      <c r="N1782" t="s">
        <v>25864</v>
      </c>
      <c r="O1782" t="s">
        <v>25865</v>
      </c>
      <c r="P1782" t="s">
        <v>25866</v>
      </c>
      <c r="Q1782" t="s">
        <v>25867</v>
      </c>
      <c r="R1782" t="s">
        <v>25868</v>
      </c>
      <c r="S1782" t="s">
        <v>25869</v>
      </c>
      <c r="T1782" s="2">
        <v>0.49652777777777779</v>
      </c>
      <c r="U1782">
        <v>1</v>
      </c>
      <c r="V1782" t="s">
        <v>25870</v>
      </c>
      <c r="W1782" t="s">
        <v>25871</v>
      </c>
      <c r="X1782" t="s">
        <v>25872</v>
      </c>
      <c r="Y1782" t="s">
        <v>25873</v>
      </c>
      <c r="Z1782" t="s">
        <v>25874</v>
      </c>
      <c r="AA1782" t="s">
        <v>25874</v>
      </c>
      <c r="AB1782" t="s">
        <v>25874</v>
      </c>
      <c r="AC1782" t="s">
        <v>25874</v>
      </c>
    </row>
    <row r="1783" spans="1:30">
      <c r="A1783" t="s">
        <v>25875</v>
      </c>
      <c r="B1783">
        <v>9</v>
      </c>
      <c r="C1783">
        <v>6</v>
      </c>
      <c r="D1783">
        <v>1990</v>
      </c>
      <c r="E1783" s="1">
        <v>33122</v>
      </c>
      <c r="F1783" t="s">
        <v>25876</v>
      </c>
      <c r="G1783">
        <v>0</v>
      </c>
      <c r="H1783">
        <v>0</v>
      </c>
      <c r="I1783">
        <v>0</v>
      </c>
      <c r="J1783">
        <v>0</v>
      </c>
      <c r="K1783" t="s">
        <v>25877</v>
      </c>
      <c r="L1783" t="s">
        <v>25878</v>
      </c>
      <c r="M1783" t="s">
        <v>25879</v>
      </c>
      <c r="N1783" t="s">
        <v>25880</v>
      </c>
      <c r="O1783" t="s">
        <v>25881</v>
      </c>
      <c r="P1783" t="s">
        <v>25882</v>
      </c>
      <c r="Q1783" t="s">
        <v>25883</v>
      </c>
      <c r="R1783" t="s">
        <v>25884</v>
      </c>
      <c r="S1783" t="s">
        <v>25885</v>
      </c>
      <c r="T1783" s="2">
        <v>0.35069444444444442</v>
      </c>
      <c r="U1783">
        <v>330</v>
      </c>
      <c r="V1783" t="s">
        <v>25886</v>
      </c>
      <c r="W1783" t="s">
        <v>25887</v>
      </c>
      <c r="X1783" t="s">
        <v>25888</v>
      </c>
      <c r="Y1783" t="s">
        <v>25889</v>
      </c>
      <c r="Z1783" t="s">
        <v>25890</v>
      </c>
      <c r="AA1783" t="s">
        <v>25890</v>
      </c>
      <c r="AC1783" t="s">
        <v>25891</v>
      </c>
      <c r="AD1783" t="s">
        <v>25892</v>
      </c>
    </row>
    <row r="1784" spans="1:30">
      <c r="A1784" t="s">
        <v>25893</v>
      </c>
      <c r="B1784">
        <v>8</v>
      </c>
      <c r="C1784">
        <v>27</v>
      </c>
      <c r="D1784">
        <v>1990</v>
      </c>
      <c r="E1784" s="1">
        <v>33112</v>
      </c>
      <c r="F1784" t="s">
        <v>25894</v>
      </c>
      <c r="G1784">
        <v>1</v>
      </c>
      <c r="H1784">
        <v>0</v>
      </c>
      <c r="I1784">
        <v>1</v>
      </c>
      <c r="J1784">
        <v>0</v>
      </c>
      <c r="L1784" t="s">
        <v>25895</v>
      </c>
      <c r="M1784" t="s">
        <v>25896</v>
      </c>
      <c r="N1784" t="s">
        <v>25897</v>
      </c>
      <c r="O1784" t="s">
        <v>25898</v>
      </c>
      <c r="P1784" t="s">
        <v>25899</v>
      </c>
      <c r="Q1784" t="s">
        <v>25900</v>
      </c>
      <c r="R1784" t="s">
        <v>25901</v>
      </c>
      <c r="S1784" t="s">
        <v>25902</v>
      </c>
      <c r="T1784" s="2">
        <v>0.30208333333333337</v>
      </c>
      <c r="U1784">
        <v>1</v>
      </c>
      <c r="V1784" t="s">
        <v>25903</v>
      </c>
      <c r="W1784" t="s">
        <v>25904</v>
      </c>
      <c r="X1784" t="s">
        <v>25905</v>
      </c>
      <c r="Y1784" t="s">
        <v>25906</v>
      </c>
      <c r="Z1784" t="s">
        <v>25906</v>
      </c>
      <c r="AA1784" t="s">
        <v>25906</v>
      </c>
      <c r="AB1784" t="s">
        <v>25906</v>
      </c>
      <c r="AC1784" t="s">
        <v>25906</v>
      </c>
    </row>
    <row r="1785" spans="1:30">
      <c r="A1785" t="s">
        <v>25907</v>
      </c>
      <c r="B1785">
        <v>8</v>
      </c>
      <c r="C1785">
        <v>27</v>
      </c>
      <c r="D1785">
        <v>1990</v>
      </c>
      <c r="E1785" s="1">
        <v>33112</v>
      </c>
      <c r="F1785" t="s">
        <v>25908</v>
      </c>
      <c r="G1785">
        <v>0</v>
      </c>
      <c r="H1785">
        <v>0</v>
      </c>
      <c r="I1785">
        <v>0</v>
      </c>
      <c r="J1785">
        <v>0</v>
      </c>
      <c r="L1785" t="s">
        <v>25909</v>
      </c>
      <c r="M1785" t="s">
        <v>25910</v>
      </c>
      <c r="N1785" t="s">
        <v>25911</v>
      </c>
      <c r="O1785" t="s">
        <v>25912</v>
      </c>
      <c r="P1785" t="s">
        <v>25913</v>
      </c>
      <c r="Q1785" t="s">
        <v>25913</v>
      </c>
      <c r="R1785" t="s">
        <v>25914</v>
      </c>
      <c r="S1785" t="s">
        <v>25915</v>
      </c>
      <c r="T1785" s="2">
        <v>0.42708333333333337</v>
      </c>
      <c r="U1785">
        <v>1</v>
      </c>
      <c r="V1785" t="s">
        <v>25916</v>
      </c>
      <c r="W1785" t="s">
        <v>25917</v>
      </c>
      <c r="X1785" t="s">
        <v>25918</v>
      </c>
      <c r="Y1785" t="s">
        <v>25919</v>
      </c>
      <c r="Z1785" t="s">
        <v>25920</v>
      </c>
      <c r="AA1785" t="s">
        <v>25920</v>
      </c>
      <c r="AB1785" t="s">
        <v>25920</v>
      </c>
      <c r="AC1785" t="s">
        <v>25920</v>
      </c>
    </row>
    <row r="1786" spans="1:30">
      <c r="A1786" t="s">
        <v>25921</v>
      </c>
      <c r="B1786">
        <v>8</v>
      </c>
      <c r="C1786">
        <v>24</v>
      </c>
      <c r="D1786">
        <v>1990</v>
      </c>
      <c r="E1786" s="1">
        <v>33109</v>
      </c>
      <c r="F1786" t="s">
        <v>25922</v>
      </c>
      <c r="G1786">
        <v>1</v>
      </c>
      <c r="H1786">
        <v>0</v>
      </c>
      <c r="I1786">
        <v>1</v>
      </c>
      <c r="J1786">
        <v>0</v>
      </c>
      <c r="L1786" t="s">
        <v>25923</v>
      </c>
      <c r="M1786" t="s">
        <v>25924</v>
      </c>
      <c r="N1786" t="s">
        <v>25925</v>
      </c>
      <c r="O1786" t="s">
        <v>25926</v>
      </c>
      <c r="P1786" t="s">
        <v>25927</v>
      </c>
      <c r="Q1786" t="s">
        <v>25928</v>
      </c>
      <c r="R1786" t="s">
        <v>25929</v>
      </c>
      <c r="S1786" t="s">
        <v>25930</v>
      </c>
      <c r="U1786">
        <v>1</v>
      </c>
      <c r="V1786" t="s">
        <v>25931</v>
      </c>
      <c r="W1786" t="s">
        <v>25932</v>
      </c>
      <c r="Y1786" t="s">
        <v>25933</v>
      </c>
      <c r="Z1786" t="s">
        <v>25933</v>
      </c>
      <c r="AA1786" t="s">
        <v>25933</v>
      </c>
      <c r="AB1786" t="s">
        <v>25933</v>
      </c>
      <c r="AC1786" t="s">
        <v>25933</v>
      </c>
    </row>
    <row r="1787" spans="1:30">
      <c r="A1787" t="s">
        <v>25934</v>
      </c>
      <c r="B1787">
        <v>5</v>
      </c>
      <c r="C1787">
        <v>31</v>
      </c>
      <c r="D1787">
        <v>1990</v>
      </c>
      <c r="E1787" s="1">
        <v>33024</v>
      </c>
      <c r="F1787" t="s">
        <v>25935</v>
      </c>
      <c r="G1787">
        <v>0</v>
      </c>
      <c r="H1787">
        <v>2</v>
      </c>
      <c r="I1787">
        <v>2</v>
      </c>
      <c r="J1787">
        <v>0</v>
      </c>
      <c r="L1787" t="s">
        <v>25936</v>
      </c>
      <c r="M1787" t="s">
        <v>25937</v>
      </c>
      <c r="N1787" t="s">
        <v>25938</v>
      </c>
      <c r="O1787" t="s">
        <v>25939</v>
      </c>
      <c r="P1787" t="s">
        <v>25940</v>
      </c>
      <c r="Q1787" t="s">
        <v>25941</v>
      </c>
      <c r="R1787" t="s">
        <v>25942</v>
      </c>
      <c r="S1787" t="s">
        <v>25943</v>
      </c>
      <c r="T1787" s="2">
        <v>0.42708333333333337</v>
      </c>
      <c r="U1787">
        <v>1</v>
      </c>
      <c r="V1787" t="s">
        <v>25944</v>
      </c>
      <c r="W1787" t="s">
        <v>25945</v>
      </c>
      <c r="X1787" t="s">
        <v>25946</v>
      </c>
      <c r="Y1787" t="s">
        <v>25947</v>
      </c>
      <c r="Z1787" t="s">
        <v>25947</v>
      </c>
      <c r="AA1787" t="s">
        <v>25947</v>
      </c>
      <c r="AB1787" t="s">
        <v>25947</v>
      </c>
      <c r="AC1787" t="s">
        <v>25947</v>
      </c>
    </row>
    <row r="1788" spans="1:30">
      <c r="A1788" t="s">
        <v>25948</v>
      </c>
      <c r="B1788">
        <v>5</v>
      </c>
      <c r="C1788">
        <v>20</v>
      </c>
      <c r="D1788">
        <v>1990</v>
      </c>
      <c r="E1788" s="1">
        <v>33013</v>
      </c>
      <c r="F1788" t="s">
        <v>25949</v>
      </c>
      <c r="G1788">
        <v>1</v>
      </c>
      <c r="H1788">
        <v>0</v>
      </c>
      <c r="I1788">
        <v>1</v>
      </c>
      <c r="J1788">
        <v>0</v>
      </c>
      <c r="L1788" t="s">
        <v>25950</v>
      </c>
      <c r="M1788" t="s">
        <v>25951</v>
      </c>
      <c r="N1788" t="s">
        <v>25952</v>
      </c>
      <c r="O1788" t="s">
        <v>25953</v>
      </c>
      <c r="P1788" t="s">
        <v>25954</v>
      </c>
      <c r="Q1788" t="s">
        <v>25955</v>
      </c>
      <c r="R1788" t="s">
        <v>25956</v>
      </c>
      <c r="S1788" t="s">
        <v>25957</v>
      </c>
      <c r="T1788" s="2">
        <v>0.375</v>
      </c>
      <c r="V1788" t="s">
        <v>25958</v>
      </c>
      <c r="W1788" t="s">
        <v>25959</v>
      </c>
      <c r="X1788" t="s">
        <v>25960</v>
      </c>
      <c r="Y1788" t="s">
        <v>25961</v>
      </c>
      <c r="Z1788" t="s">
        <v>25961</v>
      </c>
      <c r="AA1788" t="s">
        <v>25961</v>
      </c>
      <c r="AB1788" t="s">
        <v>25961</v>
      </c>
      <c r="AC1788" t="s">
        <v>25961</v>
      </c>
    </row>
    <row r="1789" spans="1:30">
      <c r="A1789" t="s">
        <v>25962</v>
      </c>
      <c r="B1789">
        <v>5</v>
      </c>
      <c r="C1789">
        <v>4</v>
      </c>
      <c r="D1789">
        <v>1990</v>
      </c>
      <c r="E1789" s="1">
        <v>32997</v>
      </c>
      <c r="F1789" t="s">
        <v>25963</v>
      </c>
      <c r="G1789">
        <v>1</v>
      </c>
      <c r="H1789">
        <v>1</v>
      </c>
      <c r="I1789">
        <v>2</v>
      </c>
      <c r="J1789">
        <v>0</v>
      </c>
      <c r="L1789" t="s">
        <v>25964</v>
      </c>
      <c r="M1789" t="s">
        <v>25965</v>
      </c>
      <c r="N1789" t="s">
        <v>25966</v>
      </c>
      <c r="O1789" t="s">
        <v>25967</v>
      </c>
      <c r="P1789" t="s">
        <v>25968</v>
      </c>
      <c r="Q1789" t="s">
        <v>25969</v>
      </c>
      <c r="R1789" t="s">
        <v>25970</v>
      </c>
      <c r="U1789">
        <v>1</v>
      </c>
      <c r="V1789" t="s">
        <v>25971</v>
      </c>
      <c r="W1789" t="s">
        <v>25972</v>
      </c>
      <c r="X1789" t="s">
        <v>25973</v>
      </c>
      <c r="Y1789" t="s">
        <v>25974</v>
      </c>
      <c r="Z1789" t="s">
        <v>25975</v>
      </c>
      <c r="AA1789" t="s">
        <v>25975</v>
      </c>
      <c r="AB1789" t="s">
        <v>25975</v>
      </c>
      <c r="AC1789" t="s">
        <v>25975</v>
      </c>
    </row>
    <row r="1790" spans="1:30">
      <c r="A1790" t="s">
        <v>25976</v>
      </c>
      <c r="B1790">
        <v>4</v>
      </c>
      <c r="C1790">
        <v>3</v>
      </c>
      <c r="D1790">
        <v>1990</v>
      </c>
      <c r="E1790" s="1">
        <v>32966</v>
      </c>
      <c r="F1790" t="s">
        <v>25977</v>
      </c>
      <c r="G1790">
        <v>0</v>
      </c>
      <c r="H1790">
        <v>1</v>
      </c>
      <c r="I1790">
        <v>1</v>
      </c>
      <c r="J1790">
        <v>0</v>
      </c>
      <c r="L1790" t="s">
        <v>25978</v>
      </c>
      <c r="M1790" t="s">
        <v>25979</v>
      </c>
      <c r="N1790" t="s">
        <v>25980</v>
      </c>
      <c r="O1790" t="s">
        <v>25981</v>
      </c>
      <c r="P1790" t="s">
        <v>25982</v>
      </c>
      <c r="Q1790" t="s">
        <v>25983</v>
      </c>
      <c r="R1790" t="s">
        <v>25984</v>
      </c>
      <c r="V1790" t="s">
        <v>25985</v>
      </c>
      <c r="W1790" t="s">
        <v>25986</v>
      </c>
      <c r="X1790" t="s">
        <v>25987</v>
      </c>
      <c r="Y1790" t="s">
        <v>25988</v>
      </c>
      <c r="Z1790" t="s">
        <v>25988</v>
      </c>
      <c r="AA1790" t="s">
        <v>25988</v>
      </c>
      <c r="AB1790" t="s">
        <v>25988</v>
      </c>
      <c r="AC1790" t="s">
        <v>25988</v>
      </c>
    </row>
    <row r="1791" spans="1:30">
      <c r="A1791" t="s">
        <v>25989</v>
      </c>
      <c r="B1791">
        <v>3</v>
      </c>
      <c r="C1791">
        <v>27</v>
      </c>
      <c r="D1791">
        <v>1990</v>
      </c>
      <c r="E1791" s="1">
        <v>32959</v>
      </c>
      <c r="F1791" t="s">
        <v>25990</v>
      </c>
      <c r="G1791">
        <v>0</v>
      </c>
      <c r="H1791">
        <v>1</v>
      </c>
      <c r="I1791">
        <v>1</v>
      </c>
      <c r="J1791">
        <v>0</v>
      </c>
      <c r="L1791" t="s">
        <v>25991</v>
      </c>
      <c r="M1791" t="s">
        <v>25992</v>
      </c>
      <c r="N1791" t="s">
        <v>25993</v>
      </c>
      <c r="O1791" t="s">
        <v>25994</v>
      </c>
      <c r="P1791" t="s">
        <v>25995</v>
      </c>
      <c r="Q1791" t="s">
        <v>25996</v>
      </c>
      <c r="R1791" t="s">
        <v>25997</v>
      </c>
      <c r="S1791" t="s">
        <v>25998</v>
      </c>
      <c r="T1791" s="2">
        <v>0.3611111111111111</v>
      </c>
      <c r="U1791">
        <v>1</v>
      </c>
      <c r="V1791" t="s">
        <v>25999</v>
      </c>
      <c r="W1791" t="s">
        <v>26000</v>
      </c>
      <c r="X1791" t="s">
        <v>26001</v>
      </c>
      <c r="Y1791" t="s">
        <v>26002</v>
      </c>
      <c r="Z1791" t="s">
        <v>26003</v>
      </c>
      <c r="AA1791" t="s">
        <v>26003</v>
      </c>
      <c r="AB1791" t="s">
        <v>26003</v>
      </c>
      <c r="AC1791" t="s">
        <v>26003</v>
      </c>
    </row>
    <row r="1792" spans="1:30">
      <c r="A1792" t="s">
        <v>26004</v>
      </c>
      <c r="B1792">
        <v>2</v>
      </c>
      <c r="C1792">
        <v>20</v>
      </c>
      <c r="D1792">
        <v>1990</v>
      </c>
      <c r="E1792" s="1">
        <v>32924</v>
      </c>
      <c r="F1792" t="s">
        <v>26005</v>
      </c>
      <c r="G1792">
        <v>1</v>
      </c>
      <c r="H1792">
        <v>0</v>
      </c>
      <c r="I1792">
        <v>1</v>
      </c>
      <c r="J1792">
        <v>0</v>
      </c>
      <c r="L1792" t="s">
        <v>26006</v>
      </c>
      <c r="M1792" t="s">
        <v>26007</v>
      </c>
      <c r="N1792" t="s">
        <v>26008</v>
      </c>
      <c r="O1792" t="s">
        <v>26009</v>
      </c>
      <c r="P1792" t="s">
        <v>26010</v>
      </c>
      <c r="Q1792" t="s">
        <v>26010</v>
      </c>
      <c r="R1792" t="s">
        <v>26011</v>
      </c>
      <c r="S1792" t="s">
        <v>26012</v>
      </c>
      <c r="T1792" s="2">
        <v>0.625</v>
      </c>
      <c r="U1792">
        <v>1</v>
      </c>
      <c r="V1792" t="s">
        <v>26013</v>
      </c>
      <c r="W1792" t="s">
        <v>26014</v>
      </c>
      <c r="X1792" t="s">
        <v>26015</v>
      </c>
      <c r="Y1792" t="s">
        <v>26016</v>
      </c>
      <c r="Z1792" t="s">
        <v>26016</v>
      </c>
      <c r="AA1792" t="s">
        <v>26016</v>
      </c>
      <c r="AB1792" t="s">
        <v>26016</v>
      </c>
      <c r="AC1792" t="s">
        <v>26016</v>
      </c>
    </row>
    <row r="1793" spans="1:30">
      <c r="A1793" t="s">
        <v>26017</v>
      </c>
      <c r="B1793">
        <v>1</v>
      </c>
      <c r="C1793">
        <v>16</v>
      </c>
      <c r="D1793">
        <v>1990</v>
      </c>
      <c r="E1793" s="1">
        <v>32889</v>
      </c>
      <c r="F1793" t="s">
        <v>26018</v>
      </c>
      <c r="G1793">
        <v>0</v>
      </c>
      <c r="H1793">
        <v>2</v>
      </c>
      <c r="I1793">
        <v>2</v>
      </c>
      <c r="J1793">
        <v>0</v>
      </c>
      <c r="L1793" t="s">
        <v>26019</v>
      </c>
      <c r="M1793" t="s">
        <v>26020</v>
      </c>
      <c r="N1793" t="s">
        <v>26021</v>
      </c>
      <c r="O1793" t="s">
        <v>26022</v>
      </c>
      <c r="P1793" t="s">
        <v>26023</v>
      </c>
      <c r="Q1793" t="s">
        <v>26024</v>
      </c>
      <c r="R1793" t="s">
        <v>26025</v>
      </c>
      <c r="S1793" t="s">
        <v>26026</v>
      </c>
      <c r="U1793">
        <v>1</v>
      </c>
      <c r="V1793" t="s">
        <v>26027</v>
      </c>
      <c r="W1793" t="s">
        <v>26028</v>
      </c>
      <c r="X1793" t="s">
        <v>26029</v>
      </c>
      <c r="Y1793" t="s">
        <v>26030</v>
      </c>
      <c r="Z1793" t="s">
        <v>26030</v>
      </c>
      <c r="AA1793" t="s">
        <v>26030</v>
      </c>
      <c r="AB1793" t="s">
        <v>26031</v>
      </c>
      <c r="AC1793" t="s">
        <v>26032</v>
      </c>
    </row>
    <row r="1794" spans="1:30">
      <c r="A1794" t="s">
        <v>26033</v>
      </c>
      <c r="B1794">
        <v>12</v>
      </c>
      <c r="C1794">
        <v>12</v>
      </c>
      <c r="D1794">
        <v>1989</v>
      </c>
      <c r="E1794" s="1">
        <v>32854</v>
      </c>
      <c r="F1794" t="s">
        <v>26034</v>
      </c>
      <c r="G1794">
        <v>0</v>
      </c>
      <c r="H1794">
        <v>1</v>
      </c>
      <c r="I1794">
        <v>1</v>
      </c>
      <c r="J1794">
        <v>0</v>
      </c>
      <c r="L1794" t="s">
        <v>26035</v>
      </c>
      <c r="M1794" t="s">
        <v>26036</v>
      </c>
      <c r="N1794" t="s">
        <v>26037</v>
      </c>
      <c r="O1794" t="s">
        <v>26038</v>
      </c>
      <c r="P1794" t="s">
        <v>26039</v>
      </c>
      <c r="Q1794" t="s">
        <v>26040</v>
      </c>
      <c r="R1794" t="s">
        <v>26041</v>
      </c>
      <c r="S1794" t="s">
        <v>26042</v>
      </c>
      <c r="U1794">
        <v>1</v>
      </c>
      <c r="V1794" t="s">
        <v>26043</v>
      </c>
      <c r="W1794" t="s">
        <v>26044</v>
      </c>
      <c r="X1794" t="s">
        <v>26045</v>
      </c>
      <c r="Y1794" t="s">
        <v>26046</v>
      </c>
      <c r="Z1794" t="s">
        <v>26046</v>
      </c>
      <c r="AA1794" t="s">
        <v>26046</v>
      </c>
      <c r="AB1794" t="s">
        <v>26046</v>
      </c>
      <c r="AC1794" t="s">
        <v>26046</v>
      </c>
    </row>
    <row r="1795" spans="1:30">
      <c r="A1795" t="s">
        <v>26047</v>
      </c>
      <c r="B1795">
        <v>12</v>
      </c>
      <c r="C1795">
        <v>5</v>
      </c>
      <c r="D1795">
        <v>1989</v>
      </c>
      <c r="E1795" s="1">
        <v>32847</v>
      </c>
      <c r="F1795" t="s">
        <v>26048</v>
      </c>
      <c r="G1795">
        <v>0</v>
      </c>
      <c r="H1795">
        <v>1</v>
      </c>
      <c r="I1795">
        <v>1</v>
      </c>
      <c r="J1795">
        <v>1</v>
      </c>
      <c r="K1795" t="s">
        <v>26049</v>
      </c>
      <c r="L1795" t="s">
        <v>26050</v>
      </c>
      <c r="M1795" t="s">
        <v>26051</v>
      </c>
      <c r="N1795" t="s">
        <v>26052</v>
      </c>
      <c r="O1795" t="s">
        <v>26053</v>
      </c>
      <c r="P1795" t="s">
        <v>26054</v>
      </c>
      <c r="Q1795" t="s">
        <v>26054</v>
      </c>
      <c r="R1795" t="s">
        <v>26055</v>
      </c>
      <c r="S1795" t="s">
        <v>26056</v>
      </c>
      <c r="V1795" t="s">
        <v>26057</v>
      </c>
      <c r="W1795" t="s">
        <v>26058</v>
      </c>
      <c r="X1795" t="s">
        <v>26059</v>
      </c>
      <c r="Y1795" t="s">
        <v>26060</v>
      </c>
      <c r="Z1795" t="s">
        <v>26060</v>
      </c>
      <c r="AA1795" t="s">
        <v>26060</v>
      </c>
      <c r="AB1795" t="s">
        <v>26060</v>
      </c>
      <c r="AC1795" t="s">
        <v>26060</v>
      </c>
    </row>
    <row r="1796" spans="1:30">
      <c r="A1796" t="s">
        <v>26061</v>
      </c>
      <c r="B1796">
        <v>12</v>
      </c>
      <c r="C1796">
        <v>5</v>
      </c>
      <c r="D1796">
        <v>1989</v>
      </c>
      <c r="E1796" s="1">
        <v>32847</v>
      </c>
      <c r="F1796" t="s">
        <v>26062</v>
      </c>
      <c r="G1796">
        <v>0</v>
      </c>
      <c r="H1796">
        <v>1</v>
      </c>
      <c r="I1796">
        <v>1</v>
      </c>
      <c r="J1796">
        <v>0</v>
      </c>
      <c r="L1796" t="s">
        <v>26063</v>
      </c>
      <c r="M1796" t="s">
        <v>26064</v>
      </c>
      <c r="N1796" t="s">
        <v>26065</v>
      </c>
      <c r="O1796" t="s">
        <v>26066</v>
      </c>
      <c r="P1796" t="s">
        <v>26067</v>
      </c>
      <c r="Q1796" t="s">
        <v>26068</v>
      </c>
      <c r="R1796" t="s">
        <v>26069</v>
      </c>
      <c r="S1796" t="s">
        <v>26070</v>
      </c>
      <c r="T1796" s="2">
        <v>0.34722222222222221</v>
      </c>
      <c r="U1796">
        <v>1</v>
      </c>
      <c r="V1796" t="s">
        <v>26071</v>
      </c>
      <c r="W1796" t="s">
        <v>26072</v>
      </c>
      <c r="X1796" t="s">
        <v>26073</v>
      </c>
      <c r="Y1796" t="s">
        <v>26074</v>
      </c>
      <c r="Z1796" t="s">
        <v>26074</v>
      </c>
      <c r="AA1796" t="s">
        <v>26074</v>
      </c>
      <c r="AB1796" t="s">
        <v>26074</v>
      </c>
      <c r="AC1796" t="s">
        <v>26074</v>
      </c>
    </row>
    <row r="1797" spans="1:30">
      <c r="A1797" t="s">
        <v>26075</v>
      </c>
      <c r="B1797">
        <v>12</v>
      </c>
      <c r="C1797">
        <v>4</v>
      </c>
      <c r="D1797">
        <v>1989</v>
      </c>
      <c r="E1797" s="1">
        <v>32846</v>
      </c>
      <c r="F1797" t="s">
        <v>26076</v>
      </c>
      <c r="G1797">
        <v>0</v>
      </c>
      <c r="H1797">
        <v>1</v>
      </c>
      <c r="I1797">
        <v>1</v>
      </c>
      <c r="J1797">
        <v>0</v>
      </c>
      <c r="L1797" t="s">
        <v>26077</v>
      </c>
      <c r="M1797" t="s">
        <v>26078</v>
      </c>
      <c r="N1797" t="s">
        <v>26079</v>
      </c>
      <c r="O1797" t="s">
        <v>26080</v>
      </c>
      <c r="P1797" t="s">
        <v>26081</v>
      </c>
      <c r="Q1797" t="s">
        <v>26081</v>
      </c>
      <c r="R1797" t="s">
        <v>26082</v>
      </c>
      <c r="S1797" t="s">
        <v>26083</v>
      </c>
      <c r="U1797">
        <v>1</v>
      </c>
      <c r="V1797" t="s">
        <v>26084</v>
      </c>
      <c r="W1797" t="s">
        <v>26085</v>
      </c>
      <c r="X1797" t="s">
        <v>26086</v>
      </c>
      <c r="Y1797" t="s">
        <v>26087</v>
      </c>
      <c r="Z1797" t="s">
        <v>26087</v>
      </c>
      <c r="AA1797" t="s">
        <v>26087</v>
      </c>
      <c r="AB1797" t="s">
        <v>26087</v>
      </c>
      <c r="AC1797" t="s">
        <v>26087</v>
      </c>
    </row>
    <row r="1798" spans="1:30">
      <c r="A1798" t="s">
        <v>26088</v>
      </c>
      <c r="B1798">
        <v>11</v>
      </c>
      <c r="C1798">
        <v>22</v>
      </c>
      <c r="D1798">
        <v>1989</v>
      </c>
      <c r="E1798" s="1">
        <v>32834</v>
      </c>
      <c r="F1798" t="s">
        <v>26089</v>
      </c>
      <c r="G1798">
        <v>1</v>
      </c>
      <c r="H1798">
        <v>0</v>
      </c>
      <c r="I1798">
        <v>1</v>
      </c>
      <c r="J1798">
        <v>0</v>
      </c>
      <c r="L1798" t="s">
        <v>26090</v>
      </c>
      <c r="M1798" t="s">
        <v>26091</v>
      </c>
      <c r="N1798" t="s">
        <v>26092</v>
      </c>
      <c r="O1798" t="s">
        <v>26093</v>
      </c>
      <c r="P1798" t="s">
        <v>26094</v>
      </c>
      <c r="Q1798" t="s">
        <v>26095</v>
      </c>
      <c r="R1798" t="s">
        <v>26096</v>
      </c>
      <c r="S1798" t="s">
        <v>26097</v>
      </c>
      <c r="T1798" s="2">
        <v>0.625</v>
      </c>
      <c r="U1798">
        <v>1</v>
      </c>
      <c r="V1798" t="s">
        <v>26098</v>
      </c>
      <c r="W1798" t="s">
        <v>26099</v>
      </c>
      <c r="X1798" t="s">
        <v>26100</v>
      </c>
      <c r="Y1798" t="s">
        <v>26101</v>
      </c>
      <c r="Z1798" t="s">
        <v>26101</v>
      </c>
      <c r="AA1798" t="s">
        <v>26101</v>
      </c>
      <c r="AB1798" t="s">
        <v>26101</v>
      </c>
      <c r="AC1798" t="s">
        <v>26101</v>
      </c>
    </row>
    <row r="1799" spans="1:30">
      <c r="A1799" t="s">
        <v>26102</v>
      </c>
      <c r="B1799">
        <v>11</v>
      </c>
      <c r="C1799">
        <v>15</v>
      </c>
      <c r="D1799">
        <v>1989</v>
      </c>
      <c r="E1799" s="1">
        <v>32827</v>
      </c>
      <c r="F1799" t="s">
        <v>26103</v>
      </c>
      <c r="G1799">
        <v>0</v>
      </c>
      <c r="H1799">
        <v>1</v>
      </c>
      <c r="I1799">
        <v>1</v>
      </c>
      <c r="J1799">
        <v>0</v>
      </c>
      <c r="L1799" t="s">
        <v>26104</v>
      </c>
      <c r="M1799" t="s">
        <v>26105</v>
      </c>
      <c r="N1799" t="s">
        <v>26106</v>
      </c>
      <c r="O1799" t="s">
        <v>26107</v>
      </c>
      <c r="P1799" t="s">
        <v>26108</v>
      </c>
      <c r="Q1799" t="s">
        <v>26109</v>
      </c>
      <c r="R1799" t="s">
        <v>26110</v>
      </c>
      <c r="S1799" t="s">
        <v>26111</v>
      </c>
      <c r="T1799" s="2">
        <v>0.65625</v>
      </c>
      <c r="U1799">
        <v>1</v>
      </c>
      <c r="V1799" t="s">
        <v>26112</v>
      </c>
      <c r="W1799" t="s">
        <v>26113</v>
      </c>
      <c r="X1799" t="s">
        <v>26114</v>
      </c>
      <c r="Y1799" t="s">
        <v>26115</v>
      </c>
      <c r="Z1799" t="s">
        <v>26115</v>
      </c>
      <c r="AA1799" t="s">
        <v>26115</v>
      </c>
      <c r="AB1799" t="s">
        <v>26115</v>
      </c>
      <c r="AC1799" t="s">
        <v>26115</v>
      </c>
      <c r="AD1799" t="s">
        <v>26115</v>
      </c>
    </row>
    <row r="1800" spans="1:30">
      <c r="A1800" t="s">
        <v>26116</v>
      </c>
      <c r="B1800">
        <v>11</v>
      </c>
      <c r="C1800">
        <v>13</v>
      </c>
      <c r="D1800">
        <v>1989</v>
      </c>
      <c r="E1800" s="1">
        <v>32825</v>
      </c>
      <c r="F1800" t="s">
        <v>26117</v>
      </c>
      <c r="G1800">
        <v>1</v>
      </c>
      <c r="H1800">
        <v>0</v>
      </c>
      <c r="I1800">
        <v>1</v>
      </c>
      <c r="J1800">
        <v>0</v>
      </c>
      <c r="L1800" t="s">
        <v>26118</v>
      </c>
      <c r="M1800" t="s">
        <v>26119</v>
      </c>
      <c r="N1800" t="s">
        <v>26120</v>
      </c>
      <c r="O1800" t="s">
        <v>26121</v>
      </c>
      <c r="P1800" t="s">
        <v>26122</v>
      </c>
      <c r="Q1800" t="s">
        <v>26122</v>
      </c>
      <c r="R1800" t="s">
        <v>26123</v>
      </c>
      <c r="S1800" t="s">
        <v>26124</v>
      </c>
      <c r="U1800">
        <v>1</v>
      </c>
      <c r="V1800" t="s">
        <v>26125</v>
      </c>
      <c r="W1800" t="s">
        <v>26126</v>
      </c>
      <c r="X1800" t="s">
        <v>26127</v>
      </c>
      <c r="Y1800" t="s">
        <v>26128</v>
      </c>
      <c r="Z1800" t="s">
        <v>26128</v>
      </c>
      <c r="AA1800" t="s">
        <v>26128</v>
      </c>
      <c r="AB1800" t="s">
        <v>26128</v>
      </c>
      <c r="AC1800" t="s">
        <v>26128</v>
      </c>
    </row>
    <row r="1801" spans="1:30">
      <c r="A1801" t="s">
        <v>26129</v>
      </c>
      <c r="B1801">
        <v>10</v>
      </c>
      <c r="C1801">
        <v>31</v>
      </c>
      <c r="D1801">
        <v>1989</v>
      </c>
      <c r="E1801" s="1">
        <v>32812</v>
      </c>
      <c r="F1801" t="s">
        <v>26130</v>
      </c>
      <c r="G1801">
        <v>0</v>
      </c>
      <c r="H1801">
        <v>1</v>
      </c>
      <c r="I1801">
        <v>1</v>
      </c>
      <c r="J1801">
        <v>0</v>
      </c>
      <c r="L1801" t="s">
        <v>26131</v>
      </c>
      <c r="M1801" t="s">
        <v>26132</v>
      </c>
      <c r="N1801" t="s">
        <v>26133</v>
      </c>
      <c r="O1801" t="s">
        <v>26134</v>
      </c>
      <c r="P1801" t="s">
        <v>26135</v>
      </c>
      <c r="Q1801" t="s">
        <v>26135</v>
      </c>
      <c r="R1801" t="s">
        <v>26136</v>
      </c>
      <c r="S1801" t="s">
        <v>26137</v>
      </c>
      <c r="U1801">
        <v>1</v>
      </c>
      <c r="V1801" t="s">
        <v>26138</v>
      </c>
      <c r="W1801" t="s">
        <v>26139</v>
      </c>
      <c r="X1801" t="s">
        <v>26140</v>
      </c>
      <c r="Z1801" t="s">
        <v>26141</v>
      </c>
      <c r="AA1801" t="s">
        <v>26141</v>
      </c>
      <c r="AB1801" t="s">
        <v>26141</v>
      </c>
      <c r="AC1801" t="s">
        <v>26141</v>
      </c>
    </row>
    <row r="1802" spans="1:30">
      <c r="A1802" t="s">
        <v>26142</v>
      </c>
      <c r="B1802">
        <v>10</v>
      </c>
      <c r="C1802">
        <v>5</v>
      </c>
      <c r="D1802">
        <v>1989</v>
      </c>
      <c r="E1802" s="1">
        <v>32786</v>
      </c>
      <c r="F1802" t="s">
        <v>26143</v>
      </c>
      <c r="G1802">
        <v>0</v>
      </c>
      <c r="H1802">
        <v>1</v>
      </c>
      <c r="I1802">
        <v>1</v>
      </c>
      <c r="J1802">
        <v>0</v>
      </c>
      <c r="L1802" t="s">
        <v>26144</v>
      </c>
      <c r="M1802" t="s">
        <v>26145</v>
      </c>
      <c r="N1802" t="s">
        <v>26146</v>
      </c>
      <c r="O1802" t="s">
        <v>26147</v>
      </c>
      <c r="P1802" t="s">
        <v>26148</v>
      </c>
      <c r="Q1802" t="s">
        <v>26149</v>
      </c>
      <c r="R1802" t="s">
        <v>26150</v>
      </c>
      <c r="S1802" t="s">
        <v>26151</v>
      </c>
      <c r="T1802" s="2">
        <v>0.39583333333333331</v>
      </c>
      <c r="U1802">
        <v>40</v>
      </c>
      <c r="V1802" t="s">
        <v>26152</v>
      </c>
      <c r="W1802" t="s">
        <v>26153</v>
      </c>
      <c r="X1802" t="s">
        <v>26154</v>
      </c>
      <c r="Y1802" t="s">
        <v>26155</v>
      </c>
      <c r="Z1802" t="s">
        <v>26156</v>
      </c>
      <c r="AA1802" t="s">
        <v>26156</v>
      </c>
      <c r="AB1802" t="s">
        <v>26157</v>
      </c>
      <c r="AC1802" t="s">
        <v>26157</v>
      </c>
      <c r="AD1802" t="s">
        <v>26158</v>
      </c>
    </row>
    <row r="1803" spans="1:30">
      <c r="A1803" t="s">
        <v>26159</v>
      </c>
      <c r="B1803">
        <v>9</v>
      </c>
      <c r="C1803">
        <v>18</v>
      </c>
      <c r="D1803">
        <v>1989</v>
      </c>
      <c r="E1803" s="1">
        <v>32769</v>
      </c>
      <c r="F1803" t="s">
        <v>26160</v>
      </c>
      <c r="G1803">
        <v>0</v>
      </c>
      <c r="H1803">
        <v>0</v>
      </c>
      <c r="I1803">
        <v>0</v>
      </c>
      <c r="J1803">
        <v>0</v>
      </c>
      <c r="L1803" t="s">
        <v>26161</v>
      </c>
      <c r="M1803" t="s">
        <v>26162</v>
      </c>
      <c r="N1803" t="s">
        <v>26163</v>
      </c>
      <c r="O1803" t="s">
        <v>26164</v>
      </c>
      <c r="P1803" t="s">
        <v>26165</v>
      </c>
      <c r="Q1803" t="s">
        <v>26166</v>
      </c>
      <c r="R1803" t="s">
        <v>26167</v>
      </c>
      <c r="V1803" t="s">
        <v>26168</v>
      </c>
      <c r="W1803" t="s">
        <v>26169</v>
      </c>
      <c r="X1803" t="s">
        <v>26170</v>
      </c>
      <c r="Z1803" t="s">
        <v>26171</v>
      </c>
      <c r="AA1803" t="s">
        <v>26171</v>
      </c>
      <c r="AB1803" t="s">
        <v>26171</v>
      </c>
      <c r="AC1803" t="s">
        <v>26172</v>
      </c>
      <c r="AD1803" t="s">
        <v>26173</v>
      </c>
    </row>
    <row r="1804" spans="1:30">
      <c r="A1804" t="s">
        <v>26174</v>
      </c>
      <c r="B1804">
        <v>9</v>
      </c>
      <c r="C1804">
        <v>11</v>
      </c>
      <c r="D1804">
        <v>1989</v>
      </c>
      <c r="E1804" s="1">
        <v>32762</v>
      </c>
      <c r="F1804" t="s">
        <v>26175</v>
      </c>
      <c r="G1804">
        <v>1</v>
      </c>
      <c r="H1804">
        <v>0</v>
      </c>
      <c r="I1804">
        <v>1</v>
      </c>
      <c r="J1804">
        <v>0</v>
      </c>
      <c r="L1804" t="s">
        <v>26176</v>
      </c>
      <c r="M1804" t="s">
        <v>26177</v>
      </c>
      <c r="N1804" t="s">
        <v>26178</v>
      </c>
      <c r="O1804" t="s">
        <v>26179</v>
      </c>
      <c r="P1804" t="s">
        <v>26180</v>
      </c>
      <c r="Q1804" t="s">
        <v>26180</v>
      </c>
      <c r="R1804" t="s">
        <v>26181</v>
      </c>
      <c r="S1804" t="s">
        <v>26182</v>
      </c>
      <c r="T1804" s="2">
        <v>0.3125</v>
      </c>
      <c r="U1804">
        <v>1</v>
      </c>
      <c r="V1804" t="s">
        <v>26183</v>
      </c>
      <c r="W1804" t="s">
        <v>26184</v>
      </c>
      <c r="X1804" t="s">
        <v>26185</v>
      </c>
      <c r="Y1804" t="s">
        <v>26186</v>
      </c>
      <c r="Z1804" t="s">
        <v>26186</v>
      </c>
      <c r="AA1804" t="s">
        <v>26186</v>
      </c>
      <c r="AB1804" t="s">
        <v>26186</v>
      </c>
      <c r="AC1804" t="s">
        <v>26186</v>
      </c>
    </row>
    <row r="1805" spans="1:30">
      <c r="A1805" t="s">
        <v>26187</v>
      </c>
      <c r="B1805">
        <v>9</v>
      </c>
      <c r="C1805">
        <v>1</v>
      </c>
      <c r="D1805">
        <v>1989</v>
      </c>
      <c r="E1805" s="1">
        <v>32752</v>
      </c>
      <c r="F1805" t="s">
        <v>26188</v>
      </c>
      <c r="G1805">
        <v>0</v>
      </c>
      <c r="H1805">
        <v>2</v>
      </c>
      <c r="I1805">
        <v>2</v>
      </c>
      <c r="J1805">
        <v>0</v>
      </c>
      <c r="K1805" t="s">
        <v>26189</v>
      </c>
      <c r="L1805" t="s">
        <v>26190</v>
      </c>
      <c r="M1805" t="s">
        <v>26191</v>
      </c>
      <c r="N1805" t="s">
        <v>26192</v>
      </c>
      <c r="O1805" t="s">
        <v>26193</v>
      </c>
      <c r="P1805" t="s">
        <v>26194</v>
      </c>
      <c r="Q1805" t="s">
        <v>26195</v>
      </c>
      <c r="R1805" t="s">
        <v>26196</v>
      </c>
      <c r="S1805" t="s">
        <v>26197</v>
      </c>
      <c r="T1805" s="2">
        <v>0.875</v>
      </c>
      <c r="U1805">
        <v>1</v>
      </c>
      <c r="V1805" t="s">
        <v>26198</v>
      </c>
      <c r="W1805" t="s">
        <v>26199</v>
      </c>
      <c r="X1805" t="s">
        <v>26200</v>
      </c>
      <c r="Y1805" t="s">
        <v>26201</v>
      </c>
      <c r="Z1805" t="s">
        <v>26202</v>
      </c>
      <c r="AA1805" t="s">
        <v>26202</v>
      </c>
      <c r="AB1805" t="s">
        <v>26202</v>
      </c>
      <c r="AC1805" t="s">
        <v>26202</v>
      </c>
      <c r="AD1805" t="s">
        <v>26202</v>
      </c>
    </row>
    <row r="1806" spans="1:30">
      <c r="A1806" t="s">
        <v>26203</v>
      </c>
      <c r="B1806">
        <v>4</v>
      </c>
      <c r="C1806">
        <v>26</v>
      </c>
      <c r="D1806">
        <v>1989</v>
      </c>
      <c r="E1806" s="1">
        <v>32624</v>
      </c>
      <c r="F1806" t="s">
        <v>26204</v>
      </c>
      <c r="G1806">
        <v>0</v>
      </c>
      <c r="H1806">
        <v>1</v>
      </c>
      <c r="I1806">
        <v>1</v>
      </c>
      <c r="J1806">
        <v>0</v>
      </c>
      <c r="L1806" t="s">
        <v>26205</v>
      </c>
      <c r="M1806" t="s">
        <v>26206</v>
      </c>
      <c r="N1806" t="s">
        <v>26207</v>
      </c>
      <c r="O1806" t="s">
        <v>26208</v>
      </c>
      <c r="P1806" t="s">
        <v>26209</v>
      </c>
      <c r="Q1806" t="s">
        <v>26210</v>
      </c>
      <c r="R1806" t="s">
        <v>26211</v>
      </c>
      <c r="S1806" t="s">
        <v>26212</v>
      </c>
      <c r="U1806">
        <v>1</v>
      </c>
      <c r="V1806" t="s">
        <v>26213</v>
      </c>
      <c r="W1806" t="s">
        <v>26214</v>
      </c>
      <c r="X1806" t="s">
        <v>26215</v>
      </c>
      <c r="Y1806" t="s">
        <v>26216</v>
      </c>
      <c r="Z1806" t="s">
        <v>26217</v>
      </c>
      <c r="AA1806" t="s">
        <v>26217</v>
      </c>
      <c r="AB1806" t="s">
        <v>26217</v>
      </c>
      <c r="AC1806" t="s">
        <v>26218</v>
      </c>
    </row>
    <row r="1807" spans="1:30">
      <c r="A1807" t="s">
        <v>26219</v>
      </c>
      <c r="B1807">
        <v>3</v>
      </c>
      <c r="C1807">
        <v>3</v>
      </c>
      <c r="D1807">
        <v>1989</v>
      </c>
      <c r="E1807" s="1">
        <v>32570</v>
      </c>
      <c r="F1807" t="s">
        <v>26220</v>
      </c>
      <c r="G1807">
        <v>1</v>
      </c>
      <c r="H1807">
        <v>0</v>
      </c>
      <c r="I1807">
        <v>1</v>
      </c>
      <c r="J1807">
        <v>0</v>
      </c>
      <c r="L1807" t="s">
        <v>26221</v>
      </c>
      <c r="M1807" t="s">
        <v>26222</v>
      </c>
      <c r="N1807" t="s">
        <v>26223</v>
      </c>
      <c r="O1807" t="s">
        <v>26224</v>
      </c>
      <c r="P1807" t="s">
        <v>26225</v>
      </c>
      <c r="Q1807" t="s">
        <v>26226</v>
      </c>
      <c r="R1807" t="s">
        <v>26227</v>
      </c>
      <c r="S1807" t="s">
        <v>26228</v>
      </c>
      <c r="T1807" s="2">
        <v>0.50624999999999998</v>
      </c>
      <c r="U1807">
        <v>1</v>
      </c>
      <c r="V1807" t="s">
        <v>26229</v>
      </c>
      <c r="W1807" t="s">
        <v>26230</v>
      </c>
      <c r="X1807" t="s">
        <v>26231</v>
      </c>
      <c r="Y1807" t="s">
        <v>26232</v>
      </c>
      <c r="Z1807" t="s">
        <v>26232</v>
      </c>
      <c r="AA1807" t="s">
        <v>26232</v>
      </c>
      <c r="AB1807" t="s">
        <v>26232</v>
      </c>
      <c r="AC1807" t="s">
        <v>26232</v>
      </c>
    </row>
    <row r="1808" spans="1:30">
      <c r="A1808" t="s">
        <v>26233</v>
      </c>
      <c r="B1808">
        <v>2</v>
      </c>
      <c r="C1808">
        <v>10</v>
      </c>
      <c r="D1808">
        <v>1989</v>
      </c>
      <c r="E1808" s="1">
        <v>32549</v>
      </c>
      <c r="F1808" t="s">
        <v>26234</v>
      </c>
      <c r="G1808">
        <v>0</v>
      </c>
      <c r="H1808">
        <v>0</v>
      </c>
      <c r="I1808">
        <v>0</v>
      </c>
      <c r="J1808">
        <v>0</v>
      </c>
      <c r="L1808" t="s">
        <v>26235</v>
      </c>
      <c r="M1808" t="s">
        <v>26236</v>
      </c>
      <c r="N1808" t="s">
        <v>26237</v>
      </c>
      <c r="O1808" t="s">
        <v>26238</v>
      </c>
      <c r="P1808" t="s">
        <v>26239</v>
      </c>
      <c r="Q1808" t="s">
        <v>26240</v>
      </c>
      <c r="R1808" t="s">
        <v>26241</v>
      </c>
      <c r="U1808">
        <v>1</v>
      </c>
      <c r="V1808" t="s">
        <v>26242</v>
      </c>
      <c r="W1808" t="s">
        <v>26243</v>
      </c>
      <c r="X1808" t="s">
        <v>26244</v>
      </c>
      <c r="Y1808" t="s">
        <v>26245</v>
      </c>
      <c r="Z1808" t="s">
        <v>26245</v>
      </c>
      <c r="AA1808" t="s">
        <v>26245</v>
      </c>
      <c r="AC1808" t="s">
        <v>26245</v>
      </c>
    </row>
    <row r="1809" spans="1:30">
      <c r="A1809" t="s">
        <v>26246</v>
      </c>
      <c r="B1809">
        <v>2</v>
      </c>
      <c r="C1809">
        <v>9</v>
      </c>
      <c r="D1809">
        <v>1989</v>
      </c>
      <c r="E1809" s="1">
        <v>32548</v>
      </c>
      <c r="F1809" t="s">
        <v>26247</v>
      </c>
      <c r="G1809">
        <v>0</v>
      </c>
      <c r="H1809">
        <v>0</v>
      </c>
      <c r="I1809">
        <v>0</v>
      </c>
      <c r="J1809">
        <v>0</v>
      </c>
      <c r="K1809" t="s">
        <v>26248</v>
      </c>
      <c r="L1809" t="s">
        <v>26249</v>
      </c>
      <c r="M1809" t="s">
        <v>26250</v>
      </c>
      <c r="N1809" t="s">
        <v>26251</v>
      </c>
      <c r="T1809" s="2">
        <v>0.45833333333333331</v>
      </c>
      <c r="U1809">
        <v>60</v>
      </c>
      <c r="V1809" t="s">
        <v>26252</v>
      </c>
      <c r="W1809" t="s">
        <v>26253</v>
      </c>
      <c r="Y1809" t="s">
        <v>26254</v>
      </c>
      <c r="Z1809" t="s">
        <v>26255</v>
      </c>
      <c r="AA1809" t="s">
        <v>26256</v>
      </c>
      <c r="AD1809" t="s">
        <v>26257</v>
      </c>
    </row>
    <row r="1810" spans="1:30">
      <c r="A1810" t="s">
        <v>26258</v>
      </c>
      <c r="B1810">
        <v>1</v>
      </c>
      <c r="C1810">
        <v>26</v>
      </c>
      <c r="D1810">
        <v>1989</v>
      </c>
      <c r="E1810" s="1">
        <v>32534</v>
      </c>
      <c r="F1810" t="s">
        <v>26259</v>
      </c>
      <c r="G1810">
        <v>0</v>
      </c>
      <c r="H1810">
        <v>4</v>
      </c>
      <c r="I1810">
        <v>4</v>
      </c>
      <c r="J1810">
        <v>0</v>
      </c>
      <c r="L1810" t="s">
        <v>26260</v>
      </c>
      <c r="M1810" t="s">
        <v>26261</v>
      </c>
      <c r="N1810" t="s">
        <v>26262</v>
      </c>
      <c r="O1810" t="s">
        <v>26263</v>
      </c>
      <c r="P1810" t="s">
        <v>26264</v>
      </c>
      <c r="Q1810" t="s">
        <v>26265</v>
      </c>
      <c r="R1810" t="s">
        <v>26266</v>
      </c>
      <c r="S1810" t="s">
        <v>26267</v>
      </c>
      <c r="T1810" s="2">
        <v>0.60069444444444453</v>
      </c>
      <c r="U1810">
        <v>1</v>
      </c>
      <c r="V1810" t="s">
        <v>26268</v>
      </c>
      <c r="W1810" t="s">
        <v>26269</v>
      </c>
      <c r="X1810" t="s">
        <v>26270</v>
      </c>
      <c r="Y1810" t="s">
        <v>26271</v>
      </c>
      <c r="Z1810" t="s">
        <v>26271</v>
      </c>
      <c r="AA1810" t="s">
        <v>26271</v>
      </c>
      <c r="AB1810" t="s">
        <v>26271</v>
      </c>
      <c r="AC1810" t="s">
        <v>26271</v>
      </c>
    </row>
    <row r="1811" spans="1:30">
      <c r="A1811" t="s">
        <v>26272</v>
      </c>
      <c r="B1811">
        <v>1</v>
      </c>
      <c r="C1811">
        <v>17</v>
      </c>
      <c r="D1811">
        <v>1989</v>
      </c>
      <c r="E1811" s="1">
        <v>32525</v>
      </c>
      <c r="F1811" t="s">
        <v>26273</v>
      </c>
      <c r="G1811">
        <v>5</v>
      </c>
      <c r="H1811">
        <v>30</v>
      </c>
      <c r="I1811">
        <v>35</v>
      </c>
      <c r="J1811">
        <v>1</v>
      </c>
      <c r="K1811" t="s">
        <v>26274</v>
      </c>
      <c r="L1811" t="s">
        <v>26275</v>
      </c>
      <c r="M1811" t="s">
        <v>26276</v>
      </c>
      <c r="N1811" t="s">
        <v>26277</v>
      </c>
      <c r="O1811" t="s">
        <v>26278</v>
      </c>
      <c r="P1811" t="s">
        <v>26279</v>
      </c>
      <c r="Q1811" t="s">
        <v>26280</v>
      </c>
      <c r="R1811" t="s">
        <v>26281</v>
      </c>
      <c r="T1811" s="2">
        <v>0.49930555555555556</v>
      </c>
      <c r="U1811">
        <v>3</v>
      </c>
      <c r="V1811" t="s">
        <v>26282</v>
      </c>
      <c r="W1811" t="s">
        <v>26283</v>
      </c>
      <c r="X1811" t="s">
        <v>26284</v>
      </c>
      <c r="Y1811" t="s">
        <v>26285</v>
      </c>
      <c r="Z1811" t="s">
        <v>26285</v>
      </c>
      <c r="AA1811" t="s">
        <v>26285</v>
      </c>
      <c r="AC1811" t="s">
        <v>26285</v>
      </c>
      <c r="AD1811" t="s">
        <v>26286</v>
      </c>
    </row>
    <row r="1812" spans="1:30">
      <c r="A1812" t="s">
        <v>26287</v>
      </c>
      <c r="B1812">
        <v>1</v>
      </c>
      <c r="C1812">
        <v>5</v>
      </c>
      <c r="D1812">
        <v>1989</v>
      </c>
      <c r="E1812" s="1">
        <v>32513</v>
      </c>
      <c r="F1812" t="s">
        <v>26288</v>
      </c>
      <c r="G1812">
        <v>1</v>
      </c>
      <c r="H1812">
        <v>0</v>
      </c>
      <c r="I1812">
        <v>1</v>
      </c>
      <c r="J1812">
        <v>0</v>
      </c>
      <c r="L1812" t="s">
        <v>26289</v>
      </c>
      <c r="M1812" t="s">
        <v>26290</v>
      </c>
      <c r="N1812" t="s">
        <v>26291</v>
      </c>
      <c r="O1812" t="s">
        <v>26292</v>
      </c>
      <c r="P1812" t="s">
        <v>26293</v>
      </c>
      <c r="Q1812" t="s">
        <v>26294</v>
      </c>
      <c r="R1812" t="s">
        <v>26295</v>
      </c>
      <c r="S1812" t="s">
        <v>26296</v>
      </c>
      <c r="T1812" s="2">
        <v>0.33333333333333331</v>
      </c>
      <c r="U1812">
        <v>1</v>
      </c>
      <c r="V1812" t="s">
        <v>26297</v>
      </c>
      <c r="W1812" t="s">
        <v>26298</v>
      </c>
      <c r="X1812" t="s">
        <v>26299</v>
      </c>
      <c r="Y1812" t="s">
        <v>26300</v>
      </c>
      <c r="Z1812" t="s">
        <v>26300</v>
      </c>
      <c r="AB1812" t="s">
        <v>26300</v>
      </c>
      <c r="AC1812" t="s">
        <v>26300</v>
      </c>
      <c r="AD1812" t="s">
        <v>26300</v>
      </c>
    </row>
    <row r="1813" spans="1:30">
      <c r="A1813" t="s">
        <v>26301</v>
      </c>
      <c r="B1813">
        <v>12</v>
      </c>
      <c r="C1813">
        <v>16</v>
      </c>
      <c r="D1813">
        <v>1988</v>
      </c>
      <c r="E1813" s="1">
        <v>32493</v>
      </c>
      <c r="F1813" t="s">
        <v>26302</v>
      </c>
      <c r="G1813">
        <v>1</v>
      </c>
      <c r="H1813">
        <v>1</v>
      </c>
      <c r="I1813">
        <v>2</v>
      </c>
      <c r="J1813">
        <v>0</v>
      </c>
      <c r="K1813" t="s">
        <v>26303</v>
      </c>
      <c r="L1813" t="s">
        <v>26304</v>
      </c>
      <c r="M1813" t="s">
        <v>26305</v>
      </c>
      <c r="N1813" t="s">
        <v>26306</v>
      </c>
      <c r="O1813" t="s">
        <v>26307</v>
      </c>
      <c r="P1813" t="s">
        <v>26308</v>
      </c>
      <c r="Q1813" t="s">
        <v>26309</v>
      </c>
      <c r="R1813" t="s">
        <v>26310</v>
      </c>
      <c r="S1813" t="s">
        <v>26311</v>
      </c>
      <c r="T1813" s="2">
        <v>0.4375</v>
      </c>
      <c r="U1813">
        <v>1</v>
      </c>
      <c r="V1813" t="s">
        <v>26312</v>
      </c>
      <c r="W1813" t="s">
        <v>26313</v>
      </c>
      <c r="X1813" t="s">
        <v>26314</v>
      </c>
      <c r="Y1813" t="s">
        <v>26315</v>
      </c>
      <c r="Z1813" t="s">
        <v>26315</v>
      </c>
      <c r="AA1813" t="s">
        <v>26315</v>
      </c>
      <c r="AB1813" t="s">
        <v>26316</v>
      </c>
      <c r="AC1813" t="s">
        <v>26317</v>
      </c>
      <c r="AD1813" t="s">
        <v>26318</v>
      </c>
    </row>
    <row r="1814" spans="1:30">
      <c r="A1814" t="s">
        <v>26319</v>
      </c>
      <c r="B1814">
        <v>11</v>
      </c>
      <c r="C1814">
        <v>22</v>
      </c>
      <c r="D1814">
        <v>1988</v>
      </c>
      <c r="E1814" s="1">
        <v>32469</v>
      </c>
      <c r="F1814" t="s">
        <v>26320</v>
      </c>
      <c r="G1814">
        <v>0</v>
      </c>
      <c r="H1814">
        <v>1</v>
      </c>
      <c r="I1814">
        <v>1</v>
      </c>
      <c r="J1814">
        <v>0</v>
      </c>
      <c r="L1814" t="s">
        <v>26321</v>
      </c>
      <c r="M1814" t="s">
        <v>26322</v>
      </c>
      <c r="N1814" t="s">
        <v>26323</v>
      </c>
      <c r="O1814" t="s">
        <v>26324</v>
      </c>
      <c r="P1814" t="s">
        <v>26325</v>
      </c>
      <c r="Q1814" t="s">
        <v>26326</v>
      </c>
      <c r="R1814" t="s">
        <v>26327</v>
      </c>
      <c r="S1814" t="s">
        <v>26328</v>
      </c>
      <c r="V1814" t="s">
        <v>26329</v>
      </c>
      <c r="W1814" t="s">
        <v>26330</v>
      </c>
      <c r="X1814" t="s">
        <v>26331</v>
      </c>
      <c r="Y1814" t="s">
        <v>26332</v>
      </c>
      <c r="Z1814" t="s">
        <v>26332</v>
      </c>
      <c r="AA1814" t="s">
        <v>26332</v>
      </c>
      <c r="AC1814" t="s">
        <v>26332</v>
      </c>
    </row>
    <row r="1815" spans="1:30">
      <c r="A1815" t="s">
        <v>26333</v>
      </c>
      <c r="B1815">
        <v>11</v>
      </c>
      <c r="C1815">
        <v>7</v>
      </c>
      <c r="D1815">
        <v>1988</v>
      </c>
      <c r="E1815" s="1">
        <v>32454</v>
      </c>
      <c r="F1815" t="s">
        <v>26334</v>
      </c>
      <c r="G1815">
        <v>0</v>
      </c>
      <c r="H1815">
        <v>1</v>
      </c>
      <c r="I1815">
        <v>1</v>
      </c>
      <c r="J1815">
        <v>0</v>
      </c>
      <c r="L1815" t="s">
        <v>26335</v>
      </c>
      <c r="M1815" t="s">
        <v>26336</v>
      </c>
      <c r="N1815" t="s">
        <v>26337</v>
      </c>
      <c r="O1815" t="s">
        <v>26338</v>
      </c>
      <c r="P1815" t="s">
        <v>26339</v>
      </c>
      <c r="Q1815" t="s">
        <v>26340</v>
      </c>
      <c r="R1815" t="s">
        <v>26341</v>
      </c>
      <c r="U1815">
        <v>1</v>
      </c>
      <c r="V1815" t="s">
        <v>26342</v>
      </c>
      <c r="W1815" t="s">
        <v>26343</v>
      </c>
      <c r="Y1815" t="s">
        <v>26344</v>
      </c>
      <c r="Z1815" t="s">
        <v>26344</v>
      </c>
      <c r="AA1815" t="s">
        <v>26344</v>
      </c>
      <c r="AC1815" t="s">
        <v>26344</v>
      </c>
    </row>
    <row r="1816" spans="1:30">
      <c r="A1816" t="s">
        <v>26345</v>
      </c>
      <c r="B1816">
        <v>11</v>
      </c>
      <c r="C1816">
        <v>1</v>
      </c>
      <c r="D1816">
        <v>1988</v>
      </c>
      <c r="E1816" s="1">
        <v>32448</v>
      </c>
      <c r="F1816" t="s">
        <v>26346</v>
      </c>
      <c r="G1816">
        <v>0</v>
      </c>
      <c r="H1816">
        <v>0</v>
      </c>
      <c r="I1816">
        <v>0</v>
      </c>
      <c r="J1816">
        <v>0</v>
      </c>
      <c r="L1816" t="s">
        <v>26347</v>
      </c>
      <c r="M1816" t="s">
        <v>26348</v>
      </c>
      <c r="N1816" t="s">
        <v>26349</v>
      </c>
      <c r="O1816" t="s">
        <v>26350</v>
      </c>
      <c r="P1816" t="s">
        <v>26351</v>
      </c>
      <c r="Q1816" t="s">
        <v>26351</v>
      </c>
      <c r="R1816" t="s">
        <v>26352</v>
      </c>
      <c r="U1816">
        <v>1</v>
      </c>
      <c r="V1816" t="s">
        <v>26353</v>
      </c>
      <c r="W1816" t="s">
        <v>26354</v>
      </c>
      <c r="X1816" t="s">
        <v>26355</v>
      </c>
      <c r="Y1816" t="s">
        <v>26356</v>
      </c>
      <c r="Z1816" t="s">
        <v>26356</v>
      </c>
      <c r="AA1816" t="s">
        <v>26356</v>
      </c>
    </row>
    <row r="1817" spans="1:30">
      <c r="A1817" t="s">
        <v>26357</v>
      </c>
      <c r="B1817">
        <v>10</v>
      </c>
      <c r="C1817">
        <v>7</v>
      </c>
      <c r="D1817">
        <v>1988</v>
      </c>
      <c r="E1817" s="1">
        <v>32423</v>
      </c>
      <c r="F1817" t="s">
        <v>26358</v>
      </c>
      <c r="G1817">
        <v>0</v>
      </c>
      <c r="H1817">
        <v>1</v>
      </c>
      <c r="I1817">
        <v>1</v>
      </c>
      <c r="J1817">
        <v>0</v>
      </c>
      <c r="L1817" t="s">
        <v>26359</v>
      </c>
      <c r="M1817" t="s">
        <v>26360</v>
      </c>
      <c r="N1817" t="s">
        <v>26361</v>
      </c>
      <c r="O1817" t="s">
        <v>26362</v>
      </c>
      <c r="P1817" t="s">
        <v>26363</v>
      </c>
      <c r="Q1817" t="s">
        <v>26363</v>
      </c>
      <c r="R1817" t="s">
        <v>26364</v>
      </c>
      <c r="S1817" t="s">
        <v>26365</v>
      </c>
      <c r="T1817" s="2">
        <v>0.34722222222222221</v>
      </c>
      <c r="U1817">
        <v>1</v>
      </c>
      <c r="V1817" t="s">
        <v>26366</v>
      </c>
      <c r="W1817" t="s">
        <v>26367</v>
      </c>
      <c r="X1817" t="s">
        <v>26368</v>
      </c>
      <c r="Y1817" t="s">
        <v>26369</v>
      </c>
      <c r="Z1817" t="s">
        <v>26369</v>
      </c>
      <c r="AA1817" t="s">
        <v>26369</v>
      </c>
      <c r="AB1817" t="s">
        <v>26369</v>
      </c>
      <c r="AC1817" t="s">
        <v>26369</v>
      </c>
    </row>
    <row r="1818" spans="1:30">
      <c r="A1818" t="s">
        <v>26370</v>
      </c>
      <c r="B1818">
        <v>10</v>
      </c>
      <c r="C1818">
        <v>7</v>
      </c>
      <c r="D1818">
        <v>1988</v>
      </c>
      <c r="E1818" s="1">
        <v>32423</v>
      </c>
      <c r="F1818" t="s">
        <v>26371</v>
      </c>
      <c r="G1818">
        <v>0</v>
      </c>
      <c r="H1818">
        <v>1</v>
      </c>
      <c r="I1818">
        <v>1</v>
      </c>
      <c r="J1818">
        <v>0</v>
      </c>
      <c r="L1818" t="s">
        <v>26372</v>
      </c>
      <c r="M1818" t="s">
        <v>26373</v>
      </c>
      <c r="N1818" t="s">
        <v>26374</v>
      </c>
      <c r="O1818" t="s">
        <v>26375</v>
      </c>
      <c r="P1818" t="s">
        <v>26376</v>
      </c>
      <c r="Q1818" t="s">
        <v>26376</v>
      </c>
      <c r="R1818" t="s">
        <v>26377</v>
      </c>
      <c r="U1818">
        <v>1</v>
      </c>
      <c r="V1818" t="s">
        <v>26378</v>
      </c>
      <c r="W1818" t="s">
        <v>26379</v>
      </c>
      <c r="X1818" t="s">
        <v>26380</v>
      </c>
      <c r="Y1818" t="s">
        <v>26381</v>
      </c>
      <c r="Z1818" t="s">
        <v>26382</v>
      </c>
      <c r="AA1818" t="s">
        <v>26382</v>
      </c>
      <c r="AB1818" t="s">
        <v>26382</v>
      </c>
      <c r="AC1818" t="s">
        <v>26382</v>
      </c>
    </row>
    <row r="1819" spans="1:30">
      <c r="A1819" t="s">
        <v>26383</v>
      </c>
      <c r="B1819">
        <v>10</v>
      </c>
      <c r="C1819">
        <v>6</v>
      </c>
      <c r="D1819">
        <v>1988</v>
      </c>
      <c r="E1819" s="1">
        <v>32422</v>
      </c>
      <c r="F1819" t="s">
        <v>26384</v>
      </c>
      <c r="G1819">
        <v>0</v>
      </c>
      <c r="H1819">
        <v>1</v>
      </c>
      <c r="I1819">
        <v>1</v>
      </c>
      <c r="J1819">
        <v>0</v>
      </c>
      <c r="L1819" t="s">
        <v>26385</v>
      </c>
      <c r="M1819" t="s">
        <v>26386</v>
      </c>
      <c r="N1819" t="s">
        <v>26387</v>
      </c>
      <c r="O1819" t="s">
        <v>26388</v>
      </c>
      <c r="P1819" t="s">
        <v>26389</v>
      </c>
      <c r="Q1819" t="s">
        <v>26390</v>
      </c>
      <c r="R1819" t="s">
        <v>26391</v>
      </c>
      <c r="U1819">
        <v>1</v>
      </c>
      <c r="V1819" t="s">
        <v>26392</v>
      </c>
      <c r="W1819" t="s">
        <v>26393</v>
      </c>
      <c r="X1819" t="s">
        <v>26394</v>
      </c>
      <c r="Y1819" t="s">
        <v>26395</v>
      </c>
      <c r="Z1819" t="s">
        <v>26395</v>
      </c>
      <c r="AA1819" t="s">
        <v>26395</v>
      </c>
      <c r="AB1819" t="s">
        <v>26395</v>
      </c>
      <c r="AC1819" t="s">
        <v>26396</v>
      </c>
    </row>
    <row r="1820" spans="1:30">
      <c r="A1820" t="s">
        <v>26397</v>
      </c>
      <c r="B1820">
        <v>10</v>
      </c>
      <c r="C1820">
        <v>5</v>
      </c>
      <c r="D1820">
        <v>1988</v>
      </c>
      <c r="E1820" s="1">
        <v>32421</v>
      </c>
      <c r="F1820" t="s">
        <v>26398</v>
      </c>
      <c r="G1820">
        <v>0</v>
      </c>
      <c r="H1820">
        <v>1</v>
      </c>
      <c r="I1820">
        <v>1</v>
      </c>
      <c r="J1820">
        <v>0</v>
      </c>
      <c r="L1820" t="s">
        <v>26399</v>
      </c>
      <c r="M1820" t="s">
        <v>26400</v>
      </c>
      <c r="N1820" t="s">
        <v>26401</v>
      </c>
      <c r="O1820" t="s">
        <v>26402</v>
      </c>
      <c r="P1820" t="s">
        <v>26403</v>
      </c>
      <c r="Q1820" t="s">
        <v>26403</v>
      </c>
      <c r="R1820" t="s">
        <v>26404</v>
      </c>
      <c r="S1820" t="s">
        <v>26405</v>
      </c>
      <c r="T1820" s="2">
        <v>0.5</v>
      </c>
      <c r="U1820">
        <v>1</v>
      </c>
      <c r="V1820" t="s">
        <v>26406</v>
      </c>
      <c r="W1820" t="s">
        <v>26407</v>
      </c>
      <c r="X1820" t="s">
        <v>26408</v>
      </c>
      <c r="Y1820" t="s">
        <v>26409</v>
      </c>
      <c r="Z1820" t="s">
        <v>26409</v>
      </c>
      <c r="AA1820" t="s">
        <v>26409</v>
      </c>
      <c r="AB1820" t="s">
        <v>26409</v>
      </c>
      <c r="AC1820" t="s">
        <v>26409</v>
      </c>
    </row>
    <row r="1821" spans="1:30">
      <c r="A1821" t="s">
        <v>26410</v>
      </c>
      <c r="B1821">
        <v>10</v>
      </c>
      <c r="C1821">
        <v>4</v>
      </c>
      <c r="D1821">
        <v>1988</v>
      </c>
      <c r="E1821" s="1">
        <v>32420</v>
      </c>
      <c r="F1821" t="s">
        <v>26411</v>
      </c>
      <c r="G1821">
        <v>0</v>
      </c>
      <c r="H1821">
        <v>5</v>
      </c>
      <c r="I1821">
        <v>5</v>
      </c>
      <c r="J1821">
        <v>0</v>
      </c>
      <c r="L1821" t="s">
        <v>26412</v>
      </c>
      <c r="M1821" t="s">
        <v>26413</v>
      </c>
      <c r="N1821" t="s">
        <v>26414</v>
      </c>
      <c r="O1821" t="s">
        <v>26415</v>
      </c>
      <c r="P1821" t="s">
        <v>26416</v>
      </c>
      <c r="Q1821" t="s">
        <v>26416</v>
      </c>
      <c r="R1821" t="s">
        <v>26417</v>
      </c>
      <c r="S1821" t="s">
        <v>26418</v>
      </c>
      <c r="U1821">
        <v>1</v>
      </c>
      <c r="V1821" t="s">
        <v>26419</v>
      </c>
      <c r="W1821" t="s">
        <v>26420</v>
      </c>
      <c r="X1821" t="s">
        <v>26421</v>
      </c>
      <c r="Y1821" t="s">
        <v>26422</v>
      </c>
      <c r="Z1821" t="s">
        <v>26422</v>
      </c>
      <c r="AA1821" t="s">
        <v>26422</v>
      </c>
      <c r="AB1821" t="s">
        <v>26422</v>
      </c>
      <c r="AC1821" t="s">
        <v>26422</v>
      </c>
    </row>
    <row r="1822" spans="1:30">
      <c r="A1822" t="s">
        <v>26423</v>
      </c>
      <c r="B1822">
        <v>10</v>
      </c>
      <c r="C1822">
        <v>4</v>
      </c>
      <c r="D1822">
        <v>1988</v>
      </c>
      <c r="E1822" s="1">
        <v>32420</v>
      </c>
      <c r="F1822" t="s">
        <v>26424</v>
      </c>
      <c r="G1822">
        <v>0</v>
      </c>
      <c r="H1822">
        <v>0</v>
      </c>
      <c r="I1822">
        <v>0</v>
      </c>
      <c r="J1822">
        <v>0</v>
      </c>
      <c r="L1822" t="s">
        <v>26425</v>
      </c>
      <c r="M1822" t="s">
        <v>26426</v>
      </c>
      <c r="N1822" t="s">
        <v>26427</v>
      </c>
      <c r="O1822" t="s">
        <v>26428</v>
      </c>
      <c r="P1822" t="s">
        <v>26429</v>
      </c>
      <c r="Q1822" t="s">
        <v>26430</v>
      </c>
      <c r="U1822">
        <v>1</v>
      </c>
      <c r="V1822" t="s">
        <v>26431</v>
      </c>
      <c r="W1822" t="s">
        <v>26432</v>
      </c>
      <c r="X1822" t="s">
        <v>26433</v>
      </c>
      <c r="Y1822" t="s">
        <v>26434</v>
      </c>
      <c r="Z1822" t="s">
        <v>26434</v>
      </c>
      <c r="AA1822" t="s">
        <v>26434</v>
      </c>
      <c r="AB1822" t="s">
        <v>26434</v>
      </c>
      <c r="AC1822" t="s">
        <v>26434</v>
      </c>
    </row>
    <row r="1823" spans="1:30">
      <c r="A1823" t="s">
        <v>26435</v>
      </c>
      <c r="B1823">
        <v>10</v>
      </c>
      <c r="C1823">
        <v>3</v>
      </c>
      <c r="D1823">
        <v>1988</v>
      </c>
      <c r="E1823" s="1">
        <v>32419</v>
      </c>
      <c r="F1823" t="s">
        <v>26436</v>
      </c>
      <c r="G1823">
        <v>0</v>
      </c>
      <c r="H1823">
        <v>1</v>
      </c>
      <c r="I1823">
        <v>1</v>
      </c>
      <c r="J1823">
        <v>0</v>
      </c>
      <c r="K1823" t="s">
        <v>26437</v>
      </c>
      <c r="L1823" t="s">
        <v>26438</v>
      </c>
      <c r="M1823" t="s">
        <v>26439</v>
      </c>
      <c r="N1823" t="s">
        <v>26440</v>
      </c>
      <c r="O1823" t="s">
        <v>26441</v>
      </c>
      <c r="P1823" t="s">
        <v>26442</v>
      </c>
      <c r="Q1823" t="s">
        <v>26443</v>
      </c>
      <c r="R1823" t="s">
        <v>26444</v>
      </c>
      <c r="S1823" t="s">
        <v>26445</v>
      </c>
      <c r="T1823" s="2">
        <v>0.45833333333333331</v>
      </c>
      <c r="U1823">
        <v>1</v>
      </c>
      <c r="V1823" t="s">
        <v>26446</v>
      </c>
      <c r="W1823" t="s">
        <v>26447</v>
      </c>
      <c r="Y1823" t="s">
        <v>26448</v>
      </c>
      <c r="Z1823" t="s">
        <v>26448</v>
      </c>
      <c r="AA1823" t="s">
        <v>26448</v>
      </c>
      <c r="AC1823" t="s">
        <v>26448</v>
      </c>
      <c r="AD1823" t="s">
        <v>26449</v>
      </c>
    </row>
    <row r="1824" spans="1:30">
      <c r="A1824" t="s">
        <v>26450</v>
      </c>
      <c r="B1824">
        <v>9</v>
      </c>
      <c r="C1824">
        <v>26</v>
      </c>
      <c r="D1824">
        <v>1988</v>
      </c>
      <c r="E1824" s="1">
        <v>32412</v>
      </c>
      <c r="F1824" t="s">
        <v>26451</v>
      </c>
      <c r="G1824">
        <v>2</v>
      </c>
      <c r="H1824">
        <v>9</v>
      </c>
      <c r="I1824">
        <v>11</v>
      </c>
      <c r="J1824">
        <v>0</v>
      </c>
      <c r="K1824" t="s">
        <v>26452</v>
      </c>
      <c r="L1824" t="s">
        <v>26453</v>
      </c>
      <c r="M1824" t="s">
        <v>26454</v>
      </c>
      <c r="N1824" t="s">
        <v>26455</v>
      </c>
      <c r="O1824" t="s">
        <v>26456</v>
      </c>
      <c r="P1824" t="s">
        <v>26457</v>
      </c>
      <c r="Q1824" t="s">
        <v>26458</v>
      </c>
      <c r="R1824" t="s">
        <v>26459</v>
      </c>
      <c r="S1824" t="s">
        <v>26460</v>
      </c>
      <c r="T1824" s="2">
        <v>0.47916666666666663</v>
      </c>
      <c r="V1824" t="s">
        <v>26461</v>
      </c>
      <c r="W1824" t="s">
        <v>26462</v>
      </c>
      <c r="X1824" t="s">
        <v>26463</v>
      </c>
      <c r="Y1824" t="s">
        <v>26464</v>
      </c>
      <c r="Z1824" t="s">
        <v>26464</v>
      </c>
      <c r="AA1824" t="s">
        <v>26464</v>
      </c>
      <c r="AB1824" t="s">
        <v>26465</v>
      </c>
      <c r="AC1824" t="s">
        <v>26466</v>
      </c>
      <c r="AD1824" t="s">
        <v>26467</v>
      </c>
    </row>
    <row r="1825" spans="1:30">
      <c r="A1825" t="s">
        <v>26468</v>
      </c>
      <c r="B1825">
        <v>9</v>
      </c>
      <c r="C1825">
        <v>22</v>
      </c>
      <c r="D1825">
        <v>1988</v>
      </c>
      <c r="E1825" s="1">
        <v>32408</v>
      </c>
      <c r="F1825" t="s">
        <v>26469</v>
      </c>
      <c r="G1825">
        <v>4</v>
      </c>
      <c r="H1825">
        <v>2</v>
      </c>
      <c r="I1825">
        <v>6</v>
      </c>
      <c r="J1825">
        <v>1</v>
      </c>
      <c r="L1825" t="s">
        <v>26470</v>
      </c>
      <c r="M1825" t="s">
        <v>26471</v>
      </c>
      <c r="N1825" t="s">
        <v>26472</v>
      </c>
      <c r="O1825" t="s">
        <v>26473</v>
      </c>
      <c r="P1825" t="s">
        <v>26474</v>
      </c>
      <c r="Q1825" t="s">
        <v>26475</v>
      </c>
      <c r="R1825" t="s">
        <v>26476</v>
      </c>
      <c r="S1825" t="s">
        <v>26477</v>
      </c>
      <c r="T1825" s="2">
        <v>0.41666666666666669</v>
      </c>
      <c r="U1825">
        <v>20</v>
      </c>
      <c r="V1825" t="s">
        <v>26478</v>
      </c>
      <c r="W1825" t="s">
        <v>26479</v>
      </c>
      <c r="X1825" t="s">
        <v>26480</v>
      </c>
      <c r="Y1825" t="s">
        <v>26481</v>
      </c>
      <c r="Z1825" t="s">
        <v>26481</v>
      </c>
      <c r="AA1825" t="s">
        <v>26481</v>
      </c>
      <c r="AB1825" t="s">
        <v>26481</v>
      </c>
      <c r="AC1825" t="s">
        <v>26481</v>
      </c>
      <c r="AD1825" t="s">
        <v>26482</v>
      </c>
    </row>
    <row r="1826" spans="1:30">
      <c r="A1826" t="s">
        <v>26483</v>
      </c>
      <c r="B1826">
        <v>9</v>
      </c>
      <c r="C1826">
        <v>3</v>
      </c>
      <c r="D1826">
        <v>1988</v>
      </c>
      <c r="E1826" s="1">
        <v>32389</v>
      </c>
      <c r="F1826" t="s">
        <v>26484</v>
      </c>
      <c r="G1826">
        <v>0</v>
      </c>
      <c r="H1826">
        <v>2</v>
      </c>
      <c r="I1826">
        <v>2</v>
      </c>
      <c r="J1826">
        <v>0</v>
      </c>
      <c r="L1826" t="s">
        <v>26485</v>
      </c>
      <c r="M1826" t="s">
        <v>26486</v>
      </c>
      <c r="N1826" t="s">
        <v>26487</v>
      </c>
      <c r="O1826" t="s">
        <v>26488</v>
      </c>
      <c r="P1826" t="s">
        <v>26489</v>
      </c>
      <c r="Q1826" t="s">
        <v>26490</v>
      </c>
      <c r="R1826" t="s">
        <v>26491</v>
      </c>
      <c r="S1826" t="s">
        <v>26492</v>
      </c>
      <c r="U1826">
        <v>1</v>
      </c>
      <c r="V1826" t="s">
        <v>26493</v>
      </c>
      <c r="W1826" t="s">
        <v>26494</v>
      </c>
      <c r="X1826" t="s">
        <v>26495</v>
      </c>
      <c r="Y1826" t="s">
        <v>26496</v>
      </c>
      <c r="Z1826" t="s">
        <v>26497</v>
      </c>
      <c r="AA1826" t="s">
        <v>26497</v>
      </c>
      <c r="AB1826" t="s">
        <v>26497</v>
      </c>
      <c r="AC1826" t="s">
        <v>26497</v>
      </c>
    </row>
    <row r="1827" spans="1:30">
      <c r="A1827" t="s">
        <v>26498</v>
      </c>
      <c r="B1827">
        <v>9</v>
      </c>
      <c r="C1827">
        <v>2</v>
      </c>
      <c r="D1827">
        <v>1988</v>
      </c>
      <c r="E1827" s="1">
        <v>32388</v>
      </c>
      <c r="F1827" t="s">
        <v>26499</v>
      </c>
      <c r="G1827">
        <v>0</v>
      </c>
      <c r="H1827">
        <v>4</v>
      </c>
      <c r="I1827">
        <v>4</v>
      </c>
      <c r="J1827">
        <v>0</v>
      </c>
      <c r="K1827" t="s">
        <v>26500</v>
      </c>
      <c r="L1827" t="s">
        <v>26501</v>
      </c>
      <c r="M1827" t="s">
        <v>26502</v>
      </c>
      <c r="N1827" t="s">
        <v>26503</v>
      </c>
      <c r="O1827" t="s">
        <v>26504</v>
      </c>
      <c r="P1827" t="s">
        <v>26505</v>
      </c>
      <c r="Q1827" t="s">
        <v>26506</v>
      </c>
      <c r="R1827" t="s">
        <v>26507</v>
      </c>
      <c r="S1827" t="s">
        <v>26508</v>
      </c>
      <c r="T1827" s="2">
        <v>0.89583333333333337</v>
      </c>
      <c r="U1827">
        <v>1</v>
      </c>
      <c r="V1827" t="s">
        <v>26509</v>
      </c>
      <c r="W1827" t="s">
        <v>26510</v>
      </c>
      <c r="X1827" t="s">
        <v>26511</v>
      </c>
      <c r="Y1827" t="s">
        <v>26512</v>
      </c>
      <c r="Z1827" t="s">
        <v>26512</v>
      </c>
      <c r="AA1827" t="s">
        <v>26512</v>
      </c>
      <c r="AB1827" t="s">
        <v>26512</v>
      </c>
      <c r="AC1827" t="s">
        <v>26512</v>
      </c>
    </row>
    <row r="1828" spans="1:30">
      <c r="A1828" t="s">
        <v>26513</v>
      </c>
      <c r="B1828">
        <v>9</v>
      </c>
      <c r="C1828">
        <v>2</v>
      </c>
      <c r="D1828">
        <v>1988</v>
      </c>
      <c r="E1828" s="1">
        <v>32388</v>
      </c>
      <c r="F1828" t="s">
        <v>26514</v>
      </c>
      <c r="G1828">
        <v>0</v>
      </c>
      <c r="H1828">
        <v>2</v>
      </c>
      <c r="I1828">
        <v>2</v>
      </c>
      <c r="J1828">
        <v>0</v>
      </c>
      <c r="K1828" t="s">
        <v>26515</v>
      </c>
      <c r="L1828" t="s">
        <v>26516</v>
      </c>
      <c r="M1828" t="s">
        <v>26517</v>
      </c>
      <c r="N1828" t="s">
        <v>26518</v>
      </c>
      <c r="O1828" t="s">
        <v>26519</v>
      </c>
      <c r="P1828" t="s">
        <v>26520</v>
      </c>
      <c r="Q1828" t="s">
        <v>26521</v>
      </c>
      <c r="R1828" t="s">
        <v>26522</v>
      </c>
      <c r="S1828" t="s">
        <v>26523</v>
      </c>
      <c r="T1828" s="2">
        <v>0.95486111111111105</v>
      </c>
      <c r="U1828">
        <v>1</v>
      </c>
      <c r="V1828" t="s">
        <v>26524</v>
      </c>
      <c r="W1828" t="s">
        <v>26525</v>
      </c>
      <c r="X1828" t="s">
        <v>26526</v>
      </c>
      <c r="Y1828" t="s">
        <v>26527</v>
      </c>
      <c r="Z1828" t="s">
        <v>26527</v>
      </c>
      <c r="AA1828" t="s">
        <v>26527</v>
      </c>
      <c r="AB1828" t="s">
        <v>26527</v>
      </c>
      <c r="AC1828" t="s">
        <v>26527</v>
      </c>
    </row>
    <row r="1829" spans="1:30">
      <c r="A1829" t="s">
        <v>26528</v>
      </c>
      <c r="B1829">
        <v>8</v>
      </c>
      <c r="C1829">
        <v>31</v>
      </c>
      <c r="D1829">
        <v>1988</v>
      </c>
      <c r="E1829" s="1">
        <v>32386</v>
      </c>
      <c r="F1829" t="s">
        <v>26529</v>
      </c>
      <c r="G1829">
        <v>0</v>
      </c>
      <c r="H1829">
        <v>1</v>
      </c>
      <c r="I1829">
        <v>1</v>
      </c>
      <c r="J1829">
        <v>0</v>
      </c>
      <c r="L1829" t="s">
        <v>26530</v>
      </c>
      <c r="M1829" t="s">
        <v>26531</v>
      </c>
      <c r="N1829" t="s">
        <v>26532</v>
      </c>
      <c r="O1829" t="s">
        <v>26533</v>
      </c>
      <c r="P1829" t="s">
        <v>26534</v>
      </c>
      <c r="Q1829" t="s">
        <v>26535</v>
      </c>
      <c r="R1829" t="s">
        <v>26536</v>
      </c>
      <c r="S1829" t="s">
        <v>26537</v>
      </c>
      <c r="T1829" s="2">
        <v>0.4513888888888889</v>
      </c>
      <c r="U1829">
        <v>1</v>
      </c>
      <c r="V1829" t="s">
        <v>26538</v>
      </c>
      <c r="W1829" t="s">
        <v>26539</v>
      </c>
      <c r="X1829" t="s">
        <v>26540</v>
      </c>
      <c r="Y1829" t="s">
        <v>26541</v>
      </c>
      <c r="Z1829" t="s">
        <v>26541</v>
      </c>
      <c r="AA1829" t="s">
        <v>26541</v>
      </c>
      <c r="AB1829" t="s">
        <v>26541</v>
      </c>
      <c r="AC1829" t="s">
        <v>26541</v>
      </c>
    </row>
    <row r="1830" spans="1:30">
      <c r="A1830" t="s">
        <v>26542</v>
      </c>
      <c r="B1830">
        <v>8</v>
      </c>
      <c r="C1830">
        <v>31</v>
      </c>
      <c r="D1830">
        <v>1988</v>
      </c>
      <c r="E1830" s="1">
        <v>32386</v>
      </c>
      <c r="F1830" t="s">
        <v>26543</v>
      </c>
      <c r="G1830">
        <v>1</v>
      </c>
      <c r="H1830">
        <v>0</v>
      </c>
      <c r="I1830">
        <v>1</v>
      </c>
      <c r="J1830">
        <v>0</v>
      </c>
      <c r="L1830" t="s">
        <v>26544</v>
      </c>
      <c r="M1830" t="s">
        <v>26545</v>
      </c>
      <c r="N1830" t="s">
        <v>26546</v>
      </c>
      <c r="O1830" t="s">
        <v>26547</v>
      </c>
      <c r="P1830" t="s">
        <v>26548</v>
      </c>
      <c r="Q1830" t="s">
        <v>26549</v>
      </c>
      <c r="R1830" t="s">
        <v>26550</v>
      </c>
      <c r="S1830" t="s">
        <v>26551</v>
      </c>
      <c r="T1830" s="2">
        <v>0.91666666666666663</v>
      </c>
      <c r="U1830">
        <v>1</v>
      </c>
      <c r="V1830" t="s">
        <v>26552</v>
      </c>
      <c r="W1830" t="s">
        <v>26553</v>
      </c>
      <c r="X1830" t="s">
        <v>26554</v>
      </c>
      <c r="Y1830" t="s">
        <v>26555</v>
      </c>
      <c r="Z1830" t="s">
        <v>26556</v>
      </c>
      <c r="AA1830" t="s">
        <v>26556</v>
      </c>
      <c r="AB1830" t="s">
        <v>26556</v>
      </c>
      <c r="AC1830" t="s">
        <v>26556</v>
      </c>
    </row>
    <row r="1831" spans="1:30">
      <c r="A1831" t="s">
        <v>26557</v>
      </c>
      <c r="B1831">
        <v>7</v>
      </c>
      <c r="C1831">
        <v>11</v>
      </c>
      <c r="D1831">
        <v>1988</v>
      </c>
      <c r="E1831" s="1">
        <v>32335</v>
      </c>
      <c r="F1831" t="s">
        <v>26558</v>
      </c>
      <c r="G1831">
        <v>0</v>
      </c>
      <c r="H1831">
        <v>1</v>
      </c>
      <c r="I1831">
        <v>1</v>
      </c>
      <c r="J1831">
        <v>0</v>
      </c>
      <c r="L1831" t="s">
        <v>26559</v>
      </c>
      <c r="M1831" t="s">
        <v>26560</v>
      </c>
      <c r="N1831" t="s">
        <v>26561</v>
      </c>
      <c r="O1831" t="s">
        <v>26562</v>
      </c>
      <c r="P1831" t="s">
        <v>26563</v>
      </c>
      <c r="Q1831" t="s">
        <v>26564</v>
      </c>
      <c r="R1831" t="s">
        <v>26565</v>
      </c>
      <c r="S1831" t="s">
        <v>26566</v>
      </c>
      <c r="T1831" s="2">
        <v>0.4465277777777778</v>
      </c>
      <c r="U1831">
        <v>2</v>
      </c>
      <c r="V1831" t="s">
        <v>26567</v>
      </c>
      <c r="W1831" t="s">
        <v>26568</v>
      </c>
      <c r="X1831" t="s">
        <v>26569</v>
      </c>
      <c r="Y1831" t="s">
        <v>26570</v>
      </c>
      <c r="Z1831" t="s">
        <v>26570</v>
      </c>
      <c r="AA1831" t="s">
        <v>26570</v>
      </c>
      <c r="AC1831" t="s">
        <v>26570</v>
      </c>
    </row>
    <row r="1832" spans="1:30">
      <c r="A1832" t="s">
        <v>26571</v>
      </c>
      <c r="B1832">
        <v>7</v>
      </c>
      <c r="C1832">
        <v>10</v>
      </c>
      <c r="D1832">
        <v>1988</v>
      </c>
      <c r="E1832" s="1">
        <v>32334</v>
      </c>
      <c r="F1832" t="s">
        <v>26572</v>
      </c>
      <c r="G1832">
        <v>0</v>
      </c>
      <c r="H1832">
        <v>1</v>
      </c>
      <c r="I1832">
        <v>1</v>
      </c>
      <c r="J1832">
        <v>0</v>
      </c>
      <c r="K1832" t="s">
        <v>26573</v>
      </c>
      <c r="L1832" t="s">
        <v>26574</v>
      </c>
      <c r="M1832" t="s">
        <v>26575</v>
      </c>
      <c r="N1832" t="s">
        <v>26576</v>
      </c>
      <c r="O1832" t="s">
        <v>26577</v>
      </c>
      <c r="P1832" t="s">
        <v>26578</v>
      </c>
      <c r="Q1832" t="s">
        <v>26579</v>
      </c>
      <c r="R1832" t="s">
        <v>26580</v>
      </c>
      <c r="S1832" t="s">
        <v>26581</v>
      </c>
      <c r="T1832" s="2">
        <v>0.82291666666666663</v>
      </c>
      <c r="U1832">
        <v>1</v>
      </c>
      <c r="V1832" t="s">
        <v>26582</v>
      </c>
      <c r="W1832" t="s">
        <v>26583</v>
      </c>
      <c r="X1832" t="s">
        <v>26584</v>
      </c>
      <c r="Y1832" t="s">
        <v>26585</v>
      </c>
      <c r="Z1832" t="s">
        <v>26585</v>
      </c>
      <c r="AA1832" t="s">
        <v>26585</v>
      </c>
      <c r="AC1832" t="s">
        <v>26585</v>
      </c>
    </row>
    <row r="1833" spans="1:30">
      <c r="A1833" t="s">
        <v>26586</v>
      </c>
      <c r="B1833">
        <v>6</v>
      </c>
      <c r="C1833">
        <v>30</v>
      </c>
      <c r="D1833">
        <v>1988</v>
      </c>
      <c r="E1833" s="1">
        <v>32324</v>
      </c>
      <c r="F1833" t="s">
        <v>26587</v>
      </c>
      <c r="G1833">
        <v>0</v>
      </c>
      <c r="H1833">
        <v>1</v>
      </c>
      <c r="I1833">
        <v>1</v>
      </c>
      <c r="J1833">
        <v>0</v>
      </c>
      <c r="L1833" t="s">
        <v>26588</v>
      </c>
      <c r="M1833" t="s">
        <v>26589</v>
      </c>
      <c r="N1833" t="s">
        <v>26590</v>
      </c>
      <c r="O1833" t="s">
        <v>26591</v>
      </c>
      <c r="P1833" t="s">
        <v>26592</v>
      </c>
      <c r="Q1833" t="s">
        <v>26593</v>
      </c>
      <c r="R1833" t="s">
        <v>26594</v>
      </c>
      <c r="S1833" t="s">
        <v>26595</v>
      </c>
      <c r="T1833" s="2">
        <v>0.43402777777777779</v>
      </c>
      <c r="U1833">
        <v>1</v>
      </c>
      <c r="V1833" t="s">
        <v>26596</v>
      </c>
      <c r="W1833" t="s">
        <v>26597</v>
      </c>
      <c r="X1833" t="s">
        <v>26598</v>
      </c>
      <c r="Y1833" t="s">
        <v>26599</v>
      </c>
      <c r="Z1833" t="s">
        <v>26599</v>
      </c>
      <c r="AA1833" t="s">
        <v>26599</v>
      </c>
      <c r="AB1833" t="s">
        <v>26599</v>
      </c>
      <c r="AC1833" t="s">
        <v>26599</v>
      </c>
    </row>
    <row r="1834" spans="1:30">
      <c r="A1834" t="s">
        <v>26600</v>
      </c>
      <c r="B1834">
        <v>6</v>
      </c>
      <c r="C1834">
        <v>17</v>
      </c>
      <c r="D1834">
        <v>1988</v>
      </c>
      <c r="E1834" s="1">
        <v>32311</v>
      </c>
      <c r="F1834" t="s">
        <v>26601</v>
      </c>
      <c r="G1834">
        <v>0</v>
      </c>
      <c r="H1834">
        <v>1</v>
      </c>
      <c r="I1834">
        <v>1</v>
      </c>
      <c r="J1834">
        <v>0</v>
      </c>
      <c r="L1834" t="s">
        <v>26602</v>
      </c>
      <c r="M1834" t="s">
        <v>26603</v>
      </c>
      <c r="N1834" t="s">
        <v>26604</v>
      </c>
      <c r="O1834" t="s">
        <v>26605</v>
      </c>
      <c r="P1834" t="s">
        <v>26606</v>
      </c>
      <c r="Q1834" t="s">
        <v>26607</v>
      </c>
      <c r="R1834" t="s">
        <v>26608</v>
      </c>
      <c r="S1834" t="s">
        <v>26609</v>
      </c>
      <c r="T1834" s="2">
        <v>0.39583333333333331</v>
      </c>
      <c r="U1834">
        <v>1</v>
      </c>
      <c r="V1834" t="s">
        <v>26610</v>
      </c>
      <c r="W1834" t="s">
        <v>26611</v>
      </c>
      <c r="X1834" t="s">
        <v>26612</v>
      </c>
      <c r="Y1834" t="s">
        <v>26613</v>
      </c>
      <c r="Z1834" t="s">
        <v>26613</v>
      </c>
      <c r="AA1834" t="s">
        <v>26613</v>
      </c>
      <c r="AB1834" t="s">
        <v>26613</v>
      </c>
      <c r="AC1834" t="s">
        <v>26613</v>
      </c>
    </row>
    <row r="1835" spans="1:30">
      <c r="A1835" t="s">
        <v>26614</v>
      </c>
      <c r="B1835">
        <v>6</v>
      </c>
      <c r="C1835">
        <v>2</v>
      </c>
      <c r="D1835">
        <v>1988</v>
      </c>
      <c r="E1835" s="1">
        <v>32296</v>
      </c>
      <c r="F1835" t="s">
        <v>26615</v>
      </c>
      <c r="G1835">
        <v>0</v>
      </c>
      <c r="H1835">
        <v>2</v>
      </c>
      <c r="I1835">
        <v>2</v>
      </c>
      <c r="J1835">
        <v>0</v>
      </c>
      <c r="L1835" t="s">
        <v>26616</v>
      </c>
      <c r="M1835" t="s">
        <v>26617</v>
      </c>
      <c r="N1835" t="s">
        <v>26618</v>
      </c>
      <c r="O1835" t="s">
        <v>26619</v>
      </c>
      <c r="P1835" t="s">
        <v>26620</v>
      </c>
      <c r="Q1835" t="s">
        <v>26620</v>
      </c>
      <c r="R1835" t="s">
        <v>26621</v>
      </c>
      <c r="S1835" t="s">
        <v>26622</v>
      </c>
      <c r="T1835" s="2">
        <v>0.52083333333333337</v>
      </c>
      <c r="U1835">
        <v>1</v>
      </c>
      <c r="V1835" t="s">
        <v>26623</v>
      </c>
      <c r="W1835" t="s">
        <v>26624</v>
      </c>
      <c r="X1835" t="s">
        <v>26625</v>
      </c>
      <c r="Y1835" t="s">
        <v>26626</v>
      </c>
      <c r="Z1835" t="s">
        <v>26627</v>
      </c>
      <c r="AA1835" t="s">
        <v>26627</v>
      </c>
      <c r="AB1835" t="s">
        <v>26627</v>
      </c>
      <c r="AC1835" t="s">
        <v>26627</v>
      </c>
    </row>
    <row r="1836" spans="1:30">
      <c r="A1836" t="s">
        <v>26628</v>
      </c>
      <c r="B1836">
        <v>5</v>
      </c>
      <c r="C1836">
        <v>31</v>
      </c>
      <c r="D1836">
        <v>1988</v>
      </c>
      <c r="E1836" s="1">
        <v>32294</v>
      </c>
      <c r="F1836" t="s">
        <v>26629</v>
      </c>
      <c r="G1836">
        <v>0</v>
      </c>
      <c r="H1836">
        <v>1</v>
      </c>
      <c r="I1836">
        <v>1</v>
      </c>
      <c r="J1836">
        <v>0</v>
      </c>
      <c r="L1836" t="s">
        <v>26630</v>
      </c>
      <c r="M1836" t="s">
        <v>26631</v>
      </c>
      <c r="N1836" t="s">
        <v>26632</v>
      </c>
      <c r="O1836" t="s">
        <v>26633</v>
      </c>
      <c r="P1836" t="s">
        <v>26634</v>
      </c>
      <c r="Q1836" t="s">
        <v>26635</v>
      </c>
      <c r="R1836" t="s">
        <v>26636</v>
      </c>
      <c r="S1836" t="s">
        <v>26637</v>
      </c>
      <c r="U1836">
        <v>1</v>
      </c>
      <c r="V1836" t="s">
        <v>26638</v>
      </c>
      <c r="W1836" t="s">
        <v>26639</v>
      </c>
      <c r="X1836" t="s">
        <v>26640</v>
      </c>
      <c r="Y1836" t="s">
        <v>26641</v>
      </c>
      <c r="Z1836" t="s">
        <v>26641</v>
      </c>
      <c r="AA1836" t="s">
        <v>26641</v>
      </c>
      <c r="AB1836" t="s">
        <v>26641</v>
      </c>
      <c r="AC1836" t="s">
        <v>26641</v>
      </c>
    </row>
    <row r="1837" spans="1:30">
      <c r="A1837" t="s">
        <v>26642</v>
      </c>
      <c r="B1837">
        <v>5</v>
      </c>
      <c r="C1837">
        <v>20</v>
      </c>
      <c r="D1837">
        <v>1988</v>
      </c>
      <c r="E1837" s="1">
        <v>32283</v>
      </c>
      <c r="F1837" t="s">
        <v>26643</v>
      </c>
      <c r="G1837">
        <v>1</v>
      </c>
      <c r="H1837">
        <v>6</v>
      </c>
      <c r="I1837">
        <v>7</v>
      </c>
      <c r="J1837">
        <v>1</v>
      </c>
      <c r="L1837" t="s">
        <v>26644</v>
      </c>
      <c r="M1837" t="s">
        <v>26645</v>
      </c>
      <c r="N1837" t="s">
        <v>26646</v>
      </c>
      <c r="O1837" t="s">
        <v>26647</v>
      </c>
      <c r="P1837" t="s">
        <v>26648</v>
      </c>
      <c r="Q1837" t="s">
        <v>26649</v>
      </c>
      <c r="R1837" t="s">
        <v>26650</v>
      </c>
      <c r="S1837" t="s">
        <v>26651</v>
      </c>
      <c r="T1837" s="2">
        <v>0.375</v>
      </c>
      <c r="U1837">
        <v>720</v>
      </c>
      <c r="V1837" t="s">
        <v>26652</v>
      </c>
      <c r="W1837" t="s">
        <v>26653</v>
      </c>
      <c r="X1837" t="s">
        <v>26654</v>
      </c>
      <c r="Y1837" t="s">
        <v>26655</v>
      </c>
      <c r="Z1837" t="s">
        <v>26655</v>
      </c>
      <c r="AA1837" t="s">
        <v>26655</v>
      </c>
      <c r="AB1837" t="s">
        <v>26655</v>
      </c>
      <c r="AC1837" t="s">
        <v>26655</v>
      </c>
      <c r="AD1837" t="s">
        <v>26656</v>
      </c>
    </row>
    <row r="1838" spans="1:30">
      <c r="A1838" t="s">
        <v>26657</v>
      </c>
      <c r="B1838">
        <v>5</v>
      </c>
      <c r="C1838">
        <v>16</v>
      </c>
      <c r="D1838">
        <v>1988</v>
      </c>
      <c r="E1838" s="1">
        <v>32279</v>
      </c>
      <c r="F1838" t="s">
        <v>26658</v>
      </c>
      <c r="G1838">
        <v>0</v>
      </c>
      <c r="H1838">
        <v>1</v>
      </c>
      <c r="I1838">
        <v>1</v>
      </c>
      <c r="J1838">
        <v>0</v>
      </c>
      <c r="L1838" t="s">
        <v>26659</v>
      </c>
      <c r="M1838" t="s">
        <v>26660</v>
      </c>
      <c r="N1838" t="s">
        <v>26661</v>
      </c>
      <c r="O1838" t="s">
        <v>26662</v>
      </c>
      <c r="P1838" t="s">
        <v>26663</v>
      </c>
      <c r="Q1838" t="s">
        <v>26663</v>
      </c>
      <c r="R1838" t="s">
        <v>26664</v>
      </c>
      <c r="S1838" t="s">
        <v>26665</v>
      </c>
      <c r="T1838" s="2">
        <v>0.65486111111111112</v>
      </c>
      <c r="U1838">
        <v>1</v>
      </c>
      <c r="V1838" t="s">
        <v>26666</v>
      </c>
      <c r="W1838" t="s">
        <v>26667</v>
      </c>
      <c r="X1838" t="s">
        <v>26668</v>
      </c>
      <c r="Y1838" t="s">
        <v>26669</v>
      </c>
      <c r="Z1838" t="s">
        <v>26669</v>
      </c>
      <c r="AA1838" t="s">
        <v>26669</v>
      </c>
      <c r="AC1838" t="s">
        <v>26669</v>
      </c>
    </row>
    <row r="1839" spans="1:30">
      <c r="A1839" t="s">
        <v>26670</v>
      </c>
      <c r="B1839">
        <v>5</v>
      </c>
      <c r="C1839">
        <v>5</v>
      </c>
      <c r="D1839">
        <v>1988</v>
      </c>
      <c r="E1839" s="1">
        <v>32268</v>
      </c>
      <c r="F1839" t="s">
        <v>26671</v>
      </c>
      <c r="G1839">
        <v>0</v>
      </c>
      <c r="H1839">
        <v>1</v>
      </c>
      <c r="I1839">
        <v>1</v>
      </c>
      <c r="J1839">
        <v>0</v>
      </c>
      <c r="L1839" t="s">
        <v>26672</v>
      </c>
      <c r="M1839" t="s">
        <v>26673</v>
      </c>
      <c r="N1839" t="s">
        <v>26674</v>
      </c>
      <c r="O1839" t="s">
        <v>26675</v>
      </c>
      <c r="P1839" t="s">
        <v>26676</v>
      </c>
      <c r="Q1839" t="s">
        <v>26677</v>
      </c>
      <c r="R1839" t="s">
        <v>26678</v>
      </c>
      <c r="U1839">
        <v>1</v>
      </c>
      <c r="V1839" t="s">
        <v>26679</v>
      </c>
      <c r="W1839" t="s">
        <v>26680</v>
      </c>
      <c r="X1839" t="s">
        <v>26681</v>
      </c>
      <c r="Z1839" t="s">
        <v>26682</v>
      </c>
      <c r="AA1839" t="s">
        <v>26682</v>
      </c>
      <c r="AB1839" t="s">
        <v>26682</v>
      </c>
      <c r="AC1839" t="s">
        <v>26682</v>
      </c>
    </row>
    <row r="1840" spans="1:30">
      <c r="A1840" t="s">
        <v>26683</v>
      </c>
      <c r="B1840">
        <v>3</v>
      </c>
      <c r="C1840">
        <v>24</v>
      </c>
      <c r="D1840">
        <v>1988</v>
      </c>
      <c r="E1840" s="1">
        <v>32226</v>
      </c>
      <c r="F1840" t="s">
        <v>26684</v>
      </c>
      <c r="G1840">
        <v>0</v>
      </c>
      <c r="H1840">
        <v>0</v>
      </c>
      <c r="I1840">
        <v>0</v>
      </c>
      <c r="J1840">
        <v>0</v>
      </c>
      <c r="L1840" t="s">
        <v>26685</v>
      </c>
      <c r="M1840" t="s">
        <v>26686</v>
      </c>
      <c r="N1840" t="s">
        <v>26687</v>
      </c>
      <c r="O1840" t="s">
        <v>26688</v>
      </c>
      <c r="P1840" t="s">
        <v>26689</v>
      </c>
      <c r="Q1840" t="s">
        <v>26689</v>
      </c>
      <c r="R1840" t="s">
        <v>26690</v>
      </c>
      <c r="S1840" t="s">
        <v>26691</v>
      </c>
      <c r="T1840" s="2">
        <v>0.67708333333333326</v>
      </c>
      <c r="U1840">
        <v>1</v>
      </c>
      <c r="V1840" t="s">
        <v>26692</v>
      </c>
      <c r="W1840" t="s">
        <v>26693</v>
      </c>
      <c r="Y1840" t="s">
        <v>26694</v>
      </c>
      <c r="Z1840" t="s">
        <v>26695</v>
      </c>
      <c r="AA1840" t="s">
        <v>26695</v>
      </c>
    </row>
    <row r="1841" spans="1:30">
      <c r="A1841" t="s">
        <v>26696</v>
      </c>
      <c r="B1841">
        <v>3</v>
      </c>
      <c r="C1841">
        <v>23</v>
      </c>
      <c r="D1841">
        <v>1988</v>
      </c>
      <c r="E1841" s="1">
        <v>32225</v>
      </c>
      <c r="F1841" t="s">
        <v>26697</v>
      </c>
      <c r="G1841">
        <v>0</v>
      </c>
      <c r="H1841">
        <v>0</v>
      </c>
      <c r="I1841">
        <v>0</v>
      </c>
      <c r="J1841">
        <v>0</v>
      </c>
      <c r="L1841" t="s">
        <v>26698</v>
      </c>
      <c r="M1841" t="s">
        <v>26699</v>
      </c>
      <c r="N1841" t="s">
        <v>26700</v>
      </c>
      <c r="O1841" t="s">
        <v>26701</v>
      </c>
      <c r="P1841" t="s">
        <v>26702</v>
      </c>
      <c r="Q1841" t="s">
        <v>26703</v>
      </c>
      <c r="R1841" t="s">
        <v>26704</v>
      </c>
      <c r="S1841" t="s">
        <v>26705</v>
      </c>
      <c r="U1841">
        <v>1</v>
      </c>
      <c r="V1841" t="s">
        <v>26706</v>
      </c>
      <c r="W1841" t="s">
        <v>26707</v>
      </c>
      <c r="Y1841" t="s">
        <v>26708</v>
      </c>
      <c r="Z1841" t="s">
        <v>26708</v>
      </c>
      <c r="AA1841" t="s">
        <v>26708</v>
      </c>
    </row>
    <row r="1842" spans="1:30">
      <c r="A1842" t="s">
        <v>26709</v>
      </c>
      <c r="B1842">
        <v>3</v>
      </c>
      <c r="C1842">
        <v>4</v>
      </c>
      <c r="D1842">
        <v>1988</v>
      </c>
      <c r="E1842" s="1">
        <v>32206</v>
      </c>
      <c r="F1842" t="s">
        <v>26710</v>
      </c>
      <c r="G1842">
        <v>0</v>
      </c>
      <c r="H1842">
        <v>1</v>
      </c>
      <c r="I1842">
        <v>1</v>
      </c>
      <c r="J1842">
        <v>0</v>
      </c>
      <c r="L1842" t="s">
        <v>26711</v>
      </c>
      <c r="M1842" t="s">
        <v>26712</v>
      </c>
      <c r="N1842" t="s">
        <v>26713</v>
      </c>
      <c r="O1842" t="s">
        <v>26714</v>
      </c>
      <c r="P1842" t="s">
        <v>26715</v>
      </c>
      <c r="Q1842" t="s">
        <v>26715</v>
      </c>
      <c r="R1842" t="s">
        <v>26716</v>
      </c>
      <c r="U1842">
        <v>1</v>
      </c>
      <c r="V1842" t="s">
        <v>26717</v>
      </c>
      <c r="W1842" t="s">
        <v>26718</v>
      </c>
      <c r="X1842" t="s">
        <v>26719</v>
      </c>
      <c r="Y1842" t="s">
        <v>26720</v>
      </c>
      <c r="Z1842" t="s">
        <v>26720</v>
      </c>
      <c r="AA1842" t="s">
        <v>26720</v>
      </c>
      <c r="AB1842" t="s">
        <v>26720</v>
      </c>
      <c r="AC1842" t="s">
        <v>26720</v>
      </c>
    </row>
    <row r="1843" spans="1:30">
      <c r="A1843" t="s">
        <v>26721</v>
      </c>
      <c r="B1843">
        <v>2</v>
      </c>
      <c r="C1843">
        <v>26</v>
      </c>
      <c r="D1843">
        <v>1988</v>
      </c>
      <c r="E1843" s="1">
        <v>32199</v>
      </c>
      <c r="F1843" t="s">
        <v>26722</v>
      </c>
      <c r="G1843">
        <v>0</v>
      </c>
      <c r="H1843">
        <v>1</v>
      </c>
      <c r="I1843">
        <v>1</v>
      </c>
      <c r="J1843">
        <v>0</v>
      </c>
      <c r="L1843" t="s">
        <v>26723</v>
      </c>
      <c r="M1843" t="s">
        <v>26724</v>
      </c>
      <c r="N1843" t="s">
        <v>26725</v>
      </c>
      <c r="O1843" t="s">
        <v>26726</v>
      </c>
      <c r="P1843" t="s">
        <v>26727</v>
      </c>
      <c r="Q1843" t="s">
        <v>26728</v>
      </c>
      <c r="R1843" t="s">
        <v>26729</v>
      </c>
      <c r="S1843" t="s">
        <v>26730</v>
      </c>
      <c r="T1843" s="2">
        <v>0.49374999999999997</v>
      </c>
      <c r="U1843">
        <v>1</v>
      </c>
      <c r="V1843" t="s">
        <v>26731</v>
      </c>
      <c r="W1843" t="s">
        <v>26732</v>
      </c>
      <c r="X1843" t="s">
        <v>26733</v>
      </c>
      <c r="Y1843" t="s">
        <v>26734</v>
      </c>
      <c r="Z1843" t="s">
        <v>26734</v>
      </c>
      <c r="AA1843" t="s">
        <v>26734</v>
      </c>
      <c r="AB1843" t="s">
        <v>26734</v>
      </c>
      <c r="AC1843" t="s">
        <v>26734</v>
      </c>
    </row>
    <row r="1844" spans="1:30">
      <c r="A1844" t="s">
        <v>26735</v>
      </c>
      <c r="B1844">
        <v>2</v>
      </c>
      <c r="C1844">
        <v>11</v>
      </c>
      <c r="D1844">
        <v>1988</v>
      </c>
      <c r="E1844" s="1">
        <v>32184</v>
      </c>
      <c r="F1844" t="s">
        <v>26736</v>
      </c>
      <c r="G1844">
        <v>1</v>
      </c>
      <c r="H1844">
        <v>2</v>
      </c>
      <c r="I1844">
        <v>3</v>
      </c>
      <c r="J1844">
        <v>0</v>
      </c>
      <c r="K1844" t="s">
        <v>26737</v>
      </c>
      <c r="L1844" t="s">
        <v>26738</v>
      </c>
      <c r="M1844" t="s">
        <v>26739</v>
      </c>
      <c r="N1844" t="s">
        <v>26740</v>
      </c>
      <c r="O1844" t="s">
        <v>26741</v>
      </c>
      <c r="P1844" t="s">
        <v>26742</v>
      </c>
      <c r="Q1844" t="s">
        <v>26743</v>
      </c>
      <c r="R1844" t="s">
        <v>26744</v>
      </c>
      <c r="S1844" t="s">
        <v>26745</v>
      </c>
      <c r="U1844">
        <v>1</v>
      </c>
      <c r="V1844" t="s">
        <v>26746</v>
      </c>
      <c r="W1844" t="s">
        <v>26747</v>
      </c>
      <c r="X1844" t="s">
        <v>26748</v>
      </c>
      <c r="Y1844" t="s">
        <v>26749</v>
      </c>
      <c r="Z1844" t="s">
        <v>26750</v>
      </c>
      <c r="AA1844" t="s">
        <v>26750</v>
      </c>
      <c r="AB1844" t="s">
        <v>26750</v>
      </c>
      <c r="AC1844" t="s">
        <v>26750</v>
      </c>
      <c r="AD1844" t="s">
        <v>26751</v>
      </c>
    </row>
    <row r="1845" spans="1:30">
      <c r="A1845" t="s">
        <v>26752</v>
      </c>
      <c r="B1845">
        <v>2</v>
      </c>
      <c r="C1845">
        <v>2</v>
      </c>
      <c r="D1845">
        <v>1988</v>
      </c>
      <c r="E1845" s="1">
        <v>32175</v>
      </c>
      <c r="F1845" t="s">
        <v>26753</v>
      </c>
      <c r="G1845">
        <v>0</v>
      </c>
      <c r="H1845">
        <v>0</v>
      </c>
      <c r="I1845">
        <v>0</v>
      </c>
      <c r="J1845">
        <v>0</v>
      </c>
      <c r="L1845" t="s">
        <v>26754</v>
      </c>
      <c r="M1845" t="s">
        <v>26755</v>
      </c>
      <c r="N1845" t="s">
        <v>26756</v>
      </c>
      <c r="O1845" t="s">
        <v>26757</v>
      </c>
      <c r="P1845" t="s">
        <v>26758</v>
      </c>
      <c r="Q1845" t="s">
        <v>26759</v>
      </c>
      <c r="R1845" t="s">
        <v>26760</v>
      </c>
      <c r="S1845" t="s">
        <v>26761</v>
      </c>
      <c r="T1845" s="2">
        <v>0.3611111111111111</v>
      </c>
      <c r="U1845">
        <v>710</v>
      </c>
      <c r="V1845" t="s">
        <v>26762</v>
      </c>
      <c r="W1845" t="s">
        <v>26763</v>
      </c>
      <c r="X1845" t="s">
        <v>26764</v>
      </c>
      <c r="Y1845" t="s">
        <v>26765</v>
      </c>
      <c r="Z1845" t="s">
        <v>26765</v>
      </c>
      <c r="AA1845" t="s">
        <v>26765</v>
      </c>
      <c r="AB1845" t="s">
        <v>26766</v>
      </c>
      <c r="AC1845" t="s">
        <v>26766</v>
      </c>
      <c r="AD1845" t="s">
        <v>26767</v>
      </c>
    </row>
    <row r="1846" spans="1:30">
      <c r="A1846" t="s">
        <v>26768</v>
      </c>
      <c r="B1846">
        <v>1</v>
      </c>
      <c r="C1846">
        <v>29</v>
      </c>
      <c r="D1846">
        <v>1988</v>
      </c>
      <c r="E1846" s="1">
        <v>32171</v>
      </c>
      <c r="F1846" t="s">
        <v>26769</v>
      </c>
      <c r="G1846">
        <v>1</v>
      </c>
      <c r="H1846">
        <v>0</v>
      </c>
      <c r="I1846">
        <v>1</v>
      </c>
      <c r="J1846">
        <v>0</v>
      </c>
      <c r="L1846" t="s">
        <v>26770</v>
      </c>
      <c r="M1846" t="s">
        <v>26771</v>
      </c>
      <c r="N1846" t="s">
        <v>26772</v>
      </c>
      <c r="O1846" t="s">
        <v>26773</v>
      </c>
      <c r="P1846" t="s">
        <v>26774</v>
      </c>
      <c r="Q1846" t="s">
        <v>26775</v>
      </c>
      <c r="R1846" t="s">
        <v>26776</v>
      </c>
      <c r="S1846" t="s">
        <v>26777</v>
      </c>
      <c r="T1846" s="2">
        <v>0.86458333333333337</v>
      </c>
      <c r="U1846">
        <v>1</v>
      </c>
      <c r="V1846" t="s">
        <v>26778</v>
      </c>
      <c r="W1846" t="s">
        <v>26779</v>
      </c>
      <c r="X1846" t="s">
        <v>26780</v>
      </c>
      <c r="Y1846" t="s">
        <v>26781</v>
      </c>
      <c r="Z1846" t="s">
        <v>26781</v>
      </c>
      <c r="AA1846" t="s">
        <v>26781</v>
      </c>
      <c r="AB1846" t="s">
        <v>26781</v>
      </c>
      <c r="AC1846" t="s">
        <v>26781</v>
      </c>
    </row>
    <row r="1847" spans="1:30">
      <c r="A1847" t="s">
        <v>26782</v>
      </c>
      <c r="B1847">
        <v>1</v>
      </c>
      <c r="C1847">
        <v>20</v>
      </c>
      <c r="D1847">
        <v>1988</v>
      </c>
      <c r="E1847" s="1">
        <v>32162</v>
      </c>
      <c r="F1847" t="s">
        <v>26783</v>
      </c>
      <c r="G1847">
        <v>1</v>
      </c>
      <c r="H1847">
        <v>0</v>
      </c>
      <c r="I1847">
        <v>1</v>
      </c>
      <c r="J1847">
        <v>0</v>
      </c>
      <c r="L1847" t="s">
        <v>26784</v>
      </c>
      <c r="M1847" t="s">
        <v>26785</v>
      </c>
      <c r="N1847" t="s">
        <v>26786</v>
      </c>
      <c r="O1847" t="s">
        <v>26787</v>
      </c>
      <c r="P1847" t="s">
        <v>26788</v>
      </c>
      <c r="Q1847" t="s">
        <v>26789</v>
      </c>
      <c r="R1847" t="s">
        <v>26790</v>
      </c>
      <c r="S1847" t="s">
        <v>26791</v>
      </c>
      <c r="T1847" s="2">
        <v>0.33333333333333331</v>
      </c>
      <c r="U1847">
        <v>1</v>
      </c>
      <c r="V1847" t="s">
        <v>26792</v>
      </c>
      <c r="W1847" t="s">
        <v>26793</v>
      </c>
      <c r="X1847" t="s">
        <v>26794</v>
      </c>
      <c r="Y1847" t="s">
        <v>26795</v>
      </c>
      <c r="Z1847" t="s">
        <v>26795</v>
      </c>
      <c r="AA1847" t="s">
        <v>26795</v>
      </c>
      <c r="AB1847" t="s">
        <v>26795</v>
      </c>
      <c r="AC1847" t="s">
        <v>26795</v>
      </c>
    </row>
    <row r="1848" spans="1:30">
      <c r="A1848" t="s">
        <v>26796</v>
      </c>
      <c r="B1848">
        <v>1</v>
      </c>
      <c r="C1848">
        <v>8</v>
      </c>
      <c r="D1848">
        <v>1988</v>
      </c>
      <c r="E1848" s="1">
        <v>32150</v>
      </c>
      <c r="F1848" t="s">
        <v>26797</v>
      </c>
      <c r="G1848">
        <v>0</v>
      </c>
      <c r="H1848">
        <v>1</v>
      </c>
      <c r="I1848">
        <v>1</v>
      </c>
      <c r="J1848">
        <v>0</v>
      </c>
      <c r="L1848" t="s">
        <v>26798</v>
      </c>
      <c r="M1848" t="s">
        <v>26799</v>
      </c>
      <c r="N1848" t="s">
        <v>26800</v>
      </c>
      <c r="O1848" t="s">
        <v>26801</v>
      </c>
      <c r="P1848" t="s">
        <v>26802</v>
      </c>
      <c r="Q1848" t="s">
        <v>26802</v>
      </c>
      <c r="R1848" t="s">
        <v>26803</v>
      </c>
      <c r="S1848" t="s">
        <v>26804</v>
      </c>
      <c r="T1848" s="2">
        <v>0.36458333333333331</v>
      </c>
      <c r="U1848">
        <v>1</v>
      </c>
      <c r="V1848" t="s">
        <v>26805</v>
      </c>
      <c r="W1848" t="s">
        <v>26806</v>
      </c>
      <c r="Y1848" t="s">
        <v>26807</v>
      </c>
      <c r="Z1848" t="s">
        <v>26807</v>
      </c>
      <c r="AA1848" t="s">
        <v>26807</v>
      </c>
    </row>
    <row r="1849" spans="1:30">
      <c r="A1849" t="s">
        <v>26808</v>
      </c>
      <c r="B1849">
        <v>1</v>
      </c>
      <c r="C1849">
        <v>6</v>
      </c>
      <c r="D1849">
        <v>1988</v>
      </c>
      <c r="E1849" s="1">
        <v>32148</v>
      </c>
      <c r="F1849" t="s">
        <v>26809</v>
      </c>
      <c r="G1849">
        <v>0</v>
      </c>
      <c r="H1849">
        <v>0</v>
      </c>
      <c r="I1849">
        <v>0</v>
      </c>
      <c r="J1849">
        <v>0</v>
      </c>
      <c r="L1849" t="s">
        <v>26810</v>
      </c>
      <c r="M1849" t="s">
        <v>26811</v>
      </c>
      <c r="N1849" t="s">
        <v>26812</v>
      </c>
      <c r="O1849" t="s">
        <v>26813</v>
      </c>
      <c r="P1849" t="s">
        <v>26814</v>
      </c>
      <c r="Q1849" t="s">
        <v>26815</v>
      </c>
      <c r="R1849" t="s">
        <v>26816</v>
      </c>
      <c r="S1849" t="s">
        <v>26817</v>
      </c>
      <c r="T1849" s="2">
        <v>0.45833333333333331</v>
      </c>
      <c r="U1849">
        <v>1</v>
      </c>
      <c r="V1849" t="s">
        <v>26818</v>
      </c>
      <c r="W1849" t="s">
        <v>26819</v>
      </c>
      <c r="X1849" t="s">
        <v>26820</v>
      </c>
      <c r="Y1849" t="s">
        <v>26821</v>
      </c>
      <c r="Z1849" t="s">
        <v>26821</v>
      </c>
      <c r="AA1849" t="s">
        <v>26821</v>
      </c>
      <c r="AB1849" t="s">
        <v>26821</v>
      </c>
      <c r="AC1849" t="s">
        <v>26821</v>
      </c>
    </row>
    <row r="1850" spans="1:30">
      <c r="A1850" t="s">
        <v>26822</v>
      </c>
      <c r="B1850">
        <v>1</v>
      </c>
      <c r="C1850">
        <v>5</v>
      </c>
      <c r="D1850">
        <v>1988</v>
      </c>
      <c r="E1850" s="1">
        <v>32147</v>
      </c>
      <c r="F1850" t="s">
        <v>26823</v>
      </c>
      <c r="G1850">
        <v>0</v>
      </c>
      <c r="H1850">
        <v>1</v>
      </c>
      <c r="I1850">
        <v>1</v>
      </c>
      <c r="J1850">
        <v>0</v>
      </c>
      <c r="L1850" t="s">
        <v>26824</v>
      </c>
      <c r="M1850" t="s">
        <v>26825</v>
      </c>
      <c r="N1850" t="s">
        <v>26826</v>
      </c>
      <c r="O1850" t="s">
        <v>26827</v>
      </c>
      <c r="P1850" t="s">
        <v>26828</v>
      </c>
      <c r="Q1850" t="s">
        <v>26829</v>
      </c>
      <c r="R1850" t="s">
        <v>26830</v>
      </c>
      <c r="S1850" t="s">
        <v>26831</v>
      </c>
      <c r="T1850" s="2">
        <v>0.875</v>
      </c>
      <c r="U1850">
        <v>1</v>
      </c>
      <c r="V1850" t="s">
        <v>26832</v>
      </c>
      <c r="W1850" t="s">
        <v>26833</v>
      </c>
      <c r="X1850" t="s">
        <v>26834</v>
      </c>
      <c r="Y1850" t="s">
        <v>26835</v>
      </c>
      <c r="Z1850" t="s">
        <v>26835</v>
      </c>
      <c r="AA1850" t="s">
        <v>26835</v>
      </c>
      <c r="AB1850" t="s">
        <v>26835</v>
      </c>
      <c r="AC1850" t="s">
        <v>26835</v>
      </c>
    </row>
    <row r="1851" spans="1:30">
      <c r="A1851" t="s">
        <v>26836</v>
      </c>
      <c r="B1851">
        <v>12</v>
      </c>
      <c r="C1851">
        <v>16</v>
      </c>
      <c r="D1851">
        <v>1987</v>
      </c>
      <c r="E1851" s="1">
        <v>32127</v>
      </c>
      <c r="F1851" t="s">
        <v>26837</v>
      </c>
      <c r="G1851">
        <v>0</v>
      </c>
      <c r="H1851">
        <v>0</v>
      </c>
      <c r="I1851">
        <v>0</v>
      </c>
      <c r="J1851">
        <v>1</v>
      </c>
      <c r="L1851" t="s">
        <v>26838</v>
      </c>
      <c r="M1851" t="s">
        <v>26839</v>
      </c>
      <c r="N1851" t="s">
        <v>26840</v>
      </c>
      <c r="O1851" t="s">
        <v>26841</v>
      </c>
      <c r="P1851" t="s">
        <v>26842</v>
      </c>
      <c r="Q1851" t="s">
        <v>26843</v>
      </c>
      <c r="R1851" t="s">
        <v>26844</v>
      </c>
      <c r="S1851" t="s">
        <v>26845</v>
      </c>
      <c r="T1851" s="2">
        <v>0.41666666666666669</v>
      </c>
      <c r="U1851">
        <v>1</v>
      </c>
      <c r="V1851" t="s">
        <v>26846</v>
      </c>
      <c r="W1851" t="s">
        <v>26847</v>
      </c>
      <c r="Y1851" t="s">
        <v>26848</v>
      </c>
      <c r="Z1851" t="s">
        <v>26848</v>
      </c>
      <c r="AA1851" t="s">
        <v>26848</v>
      </c>
      <c r="AC1851" t="s">
        <v>26848</v>
      </c>
    </row>
    <row r="1852" spans="1:30">
      <c r="A1852" t="s">
        <v>26849</v>
      </c>
      <c r="B1852">
        <v>12</v>
      </c>
      <c r="C1852">
        <v>15</v>
      </c>
      <c r="D1852">
        <v>1987</v>
      </c>
      <c r="E1852" s="1">
        <v>32126</v>
      </c>
      <c r="F1852" t="s">
        <v>26850</v>
      </c>
      <c r="G1852">
        <v>0</v>
      </c>
      <c r="H1852">
        <v>1</v>
      </c>
      <c r="I1852">
        <v>1</v>
      </c>
      <c r="J1852">
        <v>0</v>
      </c>
      <c r="L1852" t="s">
        <v>26851</v>
      </c>
      <c r="M1852" t="s">
        <v>26852</v>
      </c>
      <c r="N1852" t="s">
        <v>26853</v>
      </c>
      <c r="O1852" t="s">
        <v>26854</v>
      </c>
      <c r="P1852" t="s">
        <v>26855</v>
      </c>
      <c r="Q1852" t="s">
        <v>26855</v>
      </c>
      <c r="R1852" t="s">
        <v>26856</v>
      </c>
      <c r="S1852" t="s">
        <v>26857</v>
      </c>
      <c r="T1852" s="2">
        <v>0.40625</v>
      </c>
      <c r="U1852">
        <v>1</v>
      </c>
      <c r="V1852" t="s">
        <v>26858</v>
      </c>
      <c r="W1852" t="s">
        <v>26859</v>
      </c>
      <c r="X1852" t="s">
        <v>26860</v>
      </c>
      <c r="Y1852" t="s">
        <v>26861</v>
      </c>
      <c r="Z1852" t="s">
        <v>26861</v>
      </c>
      <c r="AA1852" t="s">
        <v>26861</v>
      </c>
      <c r="AB1852" t="s">
        <v>26861</v>
      </c>
      <c r="AC1852" t="s">
        <v>26861</v>
      </c>
    </row>
    <row r="1853" spans="1:30">
      <c r="A1853" t="s">
        <v>26862</v>
      </c>
      <c r="B1853">
        <v>12</v>
      </c>
      <c r="C1853">
        <v>4</v>
      </c>
      <c r="D1853">
        <v>1987</v>
      </c>
      <c r="E1853" s="1">
        <v>32115</v>
      </c>
      <c r="F1853" t="s">
        <v>26863</v>
      </c>
      <c r="G1853">
        <v>0</v>
      </c>
      <c r="H1853">
        <v>1</v>
      </c>
      <c r="I1853">
        <v>1</v>
      </c>
      <c r="J1853">
        <v>0</v>
      </c>
      <c r="L1853" t="s">
        <v>26864</v>
      </c>
      <c r="M1853" t="s">
        <v>26865</v>
      </c>
      <c r="N1853" t="s">
        <v>26866</v>
      </c>
      <c r="O1853" t="s">
        <v>26867</v>
      </c>
      <c r="P1853" t="s">
        <v>26868</v>
      </c>
      <c r="Q1853" t="s">
        <v>26869</v>
      </c>
      <c r="R1853" t="s">
        <v>26870</v>
      </c>
      <c r="S1853" t="s">
        <v>26871</v>
      </c>
      <c r="T1853" s="2">
        <v>0.53819444444444442</v>
      </c>
      <c r="U1853">
        <v>1</v>
      </c>
      <c r="V1853" t="s">
        <v>26872</v>
      </c>
      <c r="W1853" t="s">
        <v>26873</v>
      </c>
      <c r="X1853" t="s">
        <v>26874</v>
      </c>
      <c r="Y1853" t="s">
        <v>26875</v>
      </c>
      <c r="Z1853" t="s">
        <v>26875</v>
      </c>
      <c r="AA1853" t="s">
        <v>26875</v>
      </c>
      <c r="AB1853" t="s">
        <v>26875</v>
      </c>
      <c r="AC1853" t="s">
        <v>26875</v>
      </c>
    </row>
    <row r="1854" spans="1:30">
      <c r="A1854" t="s">
        <v>26876</v>
      </c>
      <c r="B1854">
        <v>12</v>
      </c>
      <c r="C1854">
        <v>2</v>
      </c>
      <c r="D1854">
        <v>1987</v>
      </c>
      <c r="E1854" s="1">
        <v>32113</v>
      </c>
      <c r="F1854" t="s">
        <v>26877</v>
      </c>
      <c r="G1854">
        <v>0</v>
      </c>
      <c r="H1854">
        <v>0</v>
      </c>
      <c r="I1854">
        <v>0</v>
      </c>
      <c r="J1854">
        <v>0</v>
      </c>
      <c r="L1854" t="s">
        <v>26878</v>
      </c>
      <c r="M1854" t="s">
        <v>26879</v>
      </c>
      <c r="N1854" t="s">
        <v>26880</v>
      </c>
      <c r="O1854" t="s">
        <v>26881</v>
      </c>
      <c r="P1854" t="s">
        <v>26882</v>
      </c>
      <c r="Q1854" t="s">
        <v>26883</v>
      </c>
      <c r="R1854" t="s">
        <v>26884</v>
      </c>
      <c r="V1854" t="s">
        <v>26885</v>
      </c>
      <c r="W1854" t="s">
        <v>26886</v>
      </c>
      <c r="X1854" t="s">
        <v>26887</v>
      </c>
      <c r="Y1854" t="s">
        <v>26888</v>
      </c>
      <c r="Z1854" t="s">
        <v>26888</v>
      </c>
      <c r="AA1854" t="s">
        <v>26888</v>
      </c>
    </row>
    <row r="1855" spans="1:30">
      <c r="A1855" t="s">
        <v>26889</v>
      </c>
      <c r="B1855">
        <v>11</v>
      </c>
      <c r="C1855">
        <v>30</v>
      </c>
      <c r="D1855">
        <v>1987</v>
      </c>
      <c r="E1855" s="1">
        <v>32111</v>
      </c>
      <c r="F1855" t="s">
        <v>26890</v>
      </c>
      <c r="G1855">
        <v>1</v>
      </c>
      <c r="H1855">
        <v>0</v>
      </c>
      <c r="I1855">
        <v>1</v>
      </c>
      <c r="J1855">
        <v>1</v>
      </c>
      <c r="L1855" t="s">
        <v>26891</v>
      </c>
      <c r="M1855" t="s">
        <v>26892</v>
      </c>
      <c r="N1855" t="s">
        <v>26893</v>
      </c>
      <c r="O1855" t="s">
        <v>26894</v>
      </c>
      <c r="P1855" t="s">
        <v>26895</v>
      </c>
      <c r="Q1855" t="s">
        <v>26896</v>
      </c>
      <c r="R1855" t="s">
        <v>26897</v>
      </c>
      <c r="S1855" t="s">
        <v>26898</v>
      </c>
      <c r="T1855" s="2">
        <v>0.65972222222222221</v>
      </c>
      <c r="U1855">
        <v>1</v>
      </c>
      <c r="V1855" t="s">
        <v>26899</v>
      </c>
      <c r="W1855" t="s">
        <v>26900</v>
      </c>
      <c r="X1855" t="s">
        <v>26901</v>
      </c>
      <c r="Y1855" t="s">
        <v>26902</v>
      </c>
      <c r="Z1855" t="s">
        <v>26902</v>
      </c>
      <c r="AA1855" t="s">
        <v>26902</v>
      </c>
      <c r="AB1855" t="s">
        <v>26902</v>
      </c>
      <c r="AC1855" t="s">
        <v>26903</v>
      </c>
    </row>
    <row r="1856" spans="1:30">
      <c r="A1856" t="s">
        <v>26904</v>
      </c>
      <c r="B1856">
        <v>11</v>
      </c>
      <c r="C1856">
        <v>14</v>
      </c>
      <c r="D1856">
        <v>1987</v>
      </c>
      <c r="E1856" s="1">
        <v>32095</v>
      </c>
      <c r="F1856" t="s">
        <v>26905</v>
      </c>
      <c r="G1856">
        <v>0</v>
      </c>
      <c r="H1856">
        <v>0</v>
      </c>
      <c r="I1856">
        <v>0</v>
      </c>
      <c r="J1856">
        <v>1</v>
      </c>
      <c r="L1856" t="s">
        <v>26906</v>
      </c>
      <c r="M1856" t="s">
        <v>26907</v>
      </c>
      <c r="N1856" t="s">
        <v>26908</v>
      </c>
      <c r="O1856" t="s">
        <v>26909</v>
      </c>
      <c r="P1856" t="s">
        <v>26910</v>
      </c>
      <c r="Q1856" t="s">
        <v>26910</v>
      </c>
      <c r="R1856" t="s">
        <v>26911</v>
      </c>
      <c r="U1856">
        <v>1</v>
      </c>
      <c r="V1856" t="s">
        <v>26912</v>
      </c>
      <c r="W1856" t="s">
        <v>26913</v>
      </c>
      <c r="X1856" t="s">
        <v>26914</v>
      </c>
      <c r="Y1856" t="s">
        <v>26915</v>
      </c>
      <c r="Z1856" t="s">
        <v>26915</v>
      </c>
      <c r="AA1856" t="s">
        <v>26915</v>
      </c>
      <c r="AB1856" t="s">
        <v>26915</v>
      </c>
      <c r="AC1856" t="s">
        <v>26915</v>
      </c>
    </row>
    <row r="1857" spans="1:30">
      <c r="A1857" t="s">
        <v>26916</v>
      </c>
      <c r="B1857">
        <v>11</v>
      </c>
      <c r="C1857">
        <v>4</v>
      </c>
      <c r="D1857">
        <v>1987</v>
      </c>
      <c r="E1857" s="1">
        <v>32085</v>
      </c>
      <c r="F1857" t="s">
        <v>26917</v>
      </c>
      <c r="G1857">
        <v>0</v>
      </c>
      <c r="H1857">
        <v>1</v>
      </c>
      <c r="I1857">
        <v>1</v>
      </c>
      <c r="J1857">
        <v>0</v>
      </c>
      <c r="L1857" t="s">
        <v>26918</v>
      </c>
      <c r="M1857" t="s">
        <v>26919</v>
      </c>
      <c r="N1857" t="s">
        <v>26920</v>
      </c>
      <c r="O1857" t="s">
        <v>26921</v>
      </c>
      <c r="P1857" t="s">
        <v>26922</v>
      </c>
      <c r="Q1857" t="s">
        <v>26923</v>
      </c>
      <c r="R1857" t="s">
        <v>26924</v>
      </c>
      <c r="S1857" t="s">
        <v>26925</v>
      </c>
      <c r="T1857" s="2">
        <v>0.4513888888888889</v>
      </c>
      <c r="U1857">
        <v>1</v>
      </c>
      <c r="V1857" t="s">
        <v>26926</v>
      </c>
      <c r="W1857" t="s">
        <v>26927</v>
      </c>
      <c r="X1857" t="s">
        <v>26928</v>
      </c>
      <c r="Y1857" t="s">
        <v>26929</v>
      </c>
      <c r="Z1857" t="s">
        <v>26929</v>
      </c>
      <c r="AA1857" t="s">
        <v>26929</v>
      </c>
      <c r="AB1857" t="s">
        <v>26929</v>
      </c>
      <c r="AC1857" t="s">
        <v>26929</v>
      </c>
    </row>
    <row r="1858" spans="1:30">
      <c r="A1858" t="s">
        <v>26930</v>
      </c>
      <c r="B1858">
        <v>10</v>
      </c>
      <c r="C1858">
        <v>31</v>
      </c>
      <c r="D1858">
        <v>1987</v>
      </c>
      <c r="E1858" s="1">
        <v>32081</v>
      </c>
      <c r="F1858" t="s">
        <v>26931</v>
      </c>
      <c r="G1858">
        <v>0</v>
      </c>
      <c r="H1858">
        <v>8</v>
      </c>
      <c r="I1858">
        <v>8</v>
      </c>
      <c r="J1858">
        <v>0</v>
      </c>
      <c r="K1858" t="s">
        <v>26932</v>
      </c>
      <c r="L1858" t="s">
        <v>26933</v>
      </c>
      <c r="M1858" t="s">
        <v>26934</v>
      </c>
      <c r="N1858" t="s">
        <v>26935</v>
      </c>
      <c r="O1858" t="s">
        <v>26936</v>
      </c>
      <c r="P1858" t="s">
        <v>26937</v>
      </c>
      <c r="Q1858" t="s">
        <v>26938</v>
      </c>
      <c r="R1858" t="s">
        <v>26939</v>
      </c>
      <c r="S1858" t="s">
        <v>26940</v>
      </c>
      <c r="T1858" s="2">
        <v>0.83333333333333337</v>
      </c>
      <c r="U1858">
        <v>1</v>
      </c>
      <c r="V1858" t="s">
        <v>26941</v>
      </c>
      <c r="W1858" t="s">
        <v>26942</v>
      </c>
      <c r="X1858" t="s">
        <v>26943</v>
      </c>
      <c r="Y1858" t="s">
        <v>26944</v>
      </c>
      <c r="Z1858" t="s">
        <v>26944</v>
      </c>
      <c r="AA1858" t="s">
        <v>26944</v>
      </c>
      <c r="AC1858" t="s">
        <v>26944</v>
      </c>
      <c r="AD1858" t="s">
        <v>26944</v>
      </c>
    </row>
    <row r="1859" spans="1:30">
      <c r="A1859" t="s">
        <v>26945</v>
      </c>
      <c r="B1859">
        <v>10</v>
      </c>
      <c r="C1859">
        <v>30</v>
      </c>
      <c r="D1859">
        <v>1987</v>
      </c>
      <c r="E1859" s="1">
        <v>32080</v>
      </c>
      <c r="F1859" t="s">
        <v>26946</v>
      </c>
      <c r="G1859">
        <v>0</v>
      </c>
      <c r="H1859">
        <v>2</v>
      </c>
      <c r="I1859">
        <v>2</v>
      </c>
      <c r="J1859">
        <v>0</v>
      </c>
      <c r="L1859" t="s">
        <v>26947</v>
      </c>
      <c r="M1859" t="s">
        <v>26948</v>
      </c>
      <c r="N1859" t="s">
        <v>26949</v>
      </c>
      <c r="O1859" t="s">
        <v>26950</v>
      </c>
      <c r="P1859" t="s">
        <v>26951</v>
      </c>
      <c r="Q1859" t="s">
        <v>26952</v>
      </c>
      <c r="R1859" t="s">
        <v>26953</v>
      </c>
      <c r="S1859" t="s">
        <v>26954</v>
      </c>
      <c r="T1859" s="2">
        <v>0.875</v>
      </c>
      <c r="U1859">
        <v>1</v>
      </c>
      <c r="V1859" t="s">
        <v>26955</v>
      </c>
      <c r="W1859" t="s">
        <v>26956</v>
      </c>
      <c r="Y1859" t="s">
        <v>26957</v>
      </c>
      <c r="Z1859" t="s">
        <v>26958</v>
      </c>
      <c r="AA1859" t="s">
        <v>26958</v>
      </c>
      <c r="AB1859" t="s">
        <v>26958</v>
      </c>
      <c r="AC1859" t="s">
        <v>26958</v>
      </c>
    </row>
    <row r="1860" spans="1:30">
      <c r="A1860" t="s">
        <v>26959</v>
      </c>
      <c r="B1860">
        <v>10</v>
      </c>
      <c r="C1860">
        <v>14</v>
      </c>
      <c r="D1860">
        <v>1987</v>
      </c>
      <c r="E1860" s="1">
        <v>32064</v>
      </c>
      <c r="F1860" t="s">
        <v>26960</v>
      </c>
      <c r="G1860">
        <v>1</v>
      </c>
      <c r="H1860">
        <v>0</v>
      </c>
      <c r="I1860">
        <v>1</v>
      </c>
      <c r="J1860">
        <v>0</v>
      </c>
      <c r="L1860" t="s">
        <v>26961</v>
      </c>
      <c r="M1860" t="s">
        <v>26962</v>
      </c>
      <c r="N1860" t="s">
        <v>26963</v>
      </c>
      <c r="O1860" t="s">
        <v>26964</v>
      </c>
      <c r="P1860" t="s">
        <v>26965</v>
      </c>
      <c r="Q1860" t="s">
        <v>26966</v>
      </c>
      <c r="R1860" t="s">
        <v>26967</v>
      </c>
      <c r="S1860" t="s">
        <v>26968</v>
      </c>
      <c r="T1860" s="2">
        <v>0.33333333333333331</v>
      </c>
      <c r="U1860">
        <v>1</v>
      </c>
      <c r="V1860" t="s">
        <v>26969</v>
      </c>
      <c r="W1860" t="s">
        <v>26970</v>
      </c>
      <c r="Y1860" t="s">
        <v>26971</v>
      </c>
      <c r="Z1860" t="s">
        <v>26971</v>
      </c>
      <c r="AA1860" t="s">
        <v>26971</v>
      </c>
    </row>
    <row r="1861" spans="1:30">
      <c r="A1861" t="s">
        <v>26972</v>
      </c>
      <c r="B1861">
        <v>9</v>
      </c>
      <c r="C1861">
        <v>28</v>
      </c>
      <c r="D1861">
        <v>1987</v>
      </c>
      <c r="E1861" s="1">
        <v>32048</v>
      </c>
      <c r="F1861" t="s">
        <v>26973</v>
      </c>
      <c r="G1861">
        <v>0</v>
      </c>
      <c r="H1861">
        <v>1</v>
      </c>
      <c r="I1861">
        <v>1</v>
      </c>
      <c r="J1861">
        <v>0</v>
      </c>
      <c r="L1861" t="s">
        <v>26974</v>
      </c>
      <c r="M1861" t="s">
        <v>26975</v>
      </c>
      <c r="N1861" t="s">
        <v>26976</v>
      </c>
      <c r="O1861" t="s">
        <v>26977</v>
      </c>
      <c r="P1861" t="s">
        <v>26978</v>
      </c>
      <c r="Q1861" t="s">
        <v>26978</v>
      </c>
      <c r="R1861" t="s">
        <v>26979</v>
      </c>
      <c r="S1861" t="s">
        <v>26980</v>
      </c>
      <c r="U1861">
        <v>1</v>
      </c>
      <c r="V1861" t="s">
        <v>26981</v>
      </c>
      <c r="W1861" t="s">
        <v>26982</v>
      </c>
      <c r="Y1861" t="s">
        <v>26983</v>
      </c>
      <c r="Z1861" t="s">
        <v>26983</v>
      </c>
      <c r="AA1861" t="s">
        <v>26983</v>
      </c>
      <c r="AC1861" t="s">
        <v>26983</v>
      </c>
    </row>
    <row r="1862" spans="1:30">
      <c r="A1862" t="s">
        <v>26984</v>
      </c>
      <c r="B1862">
        <v>5</v>
      </c>
      <c r="C1862">
        <v>13</v>
      </c>
      <c r="D1862">
        <v>1987</v>
      </c>
      <c r="E1862" s="1">
        <v>31910</v>
      </c>
      <c r="F1862" t="s">
        <v>26985</v>
      </c>
      <c r="G1862">
        <v>0</v>
      </c>
      <c r="H1862">
        <v>0</v>
      </c>
      <c r="I1862">
        <v>0</v>
      </c>
      <c r="J1862">
        <v>0</v>
      </c>
      <c r="L1862" t="s">
        <v>26986</v>
      </c>
      <c r="M1862" t="s">
        <v>26987</v>
      </c>
      <c r="N1862" t="s">
        <v>26988</v>
      </c>
      <c r="O1862" t="s">
        <v>26989</v>
      </c>
      <c r="P1862" t="s">
        <v>26990</v>
      </c>
      <c r="Q1862" t="s">
        <v>26990</v>
      </c>
      <c r="R1862" t="s">
        <v>26991</v>
      </c>
      <c r="S1862" t="s">
        <v>26992</v>
      </c>
      <c r="U1862">
        <v>1</v>
      </c>
      <c r="V1862" t="s">
        <v>26993</v>
      </c>
      <c r="W1862" t="s">
        <v>26994</v>
      </c>
      <c r="X1862" t="s">
        <v>26995</v>
      </c>
      <c r="Y1862" t="s">
        <v>26996</v>
      </c>
      <c r="Z1862" t="s">
        <v>26996</v>
      </c>
      <c r="AA1862" t="s">
        <v>26996</v>
      </c>
      <c r="AB1862" t="s">
        <v>26996</v>
      </c>
      <c r="AC1862" t="s">
        <v>26996</v>
      </c>
    </row>
    <row r="1863" spans="1:30">
      <c r="A1863" t="s">
        <v>26997</v>
      </c>
      <c r="B1863">
        <v>5</v>
      </c>
      <c r="C1863">
        <v>6</v>
      </c>
      <c r="D1863">
        <v>1987</v>
      </c>
      <c r="E1863" s="1">
        <v>31903</v>
      </c>
      <c r="F1863" t="s">
        <v>26998</v>
      </c>
      <c r="G1863">
        <v>0</v>
      </c>
      <c r="H1863">
        <v>0</v>
      </c>
      <c r="I1863">
        <v>0</v>
      </c>
      <c r="J1863">
        <v>1</v>
      </c>
      <c r="L1863" t="s">
        <v>26999</v>
      </c>
      <c r="M1863" t="s">
        <v>27000</v>
      </c>
      <c r="N1863" t="s">
        <v>27001</v>
      </c>
      <c r="O1863" t="s">
        <v>27002</v>
      </c>
      <c r="P1863" t="s">
        <v>27003</v>
      </c>
      <c r="Q1863" t="s">
        <v>27004</v>
      </c>
      <c r="R1863" t="s">
        <v>27005</v>
      </c>
      <c r="S1863" t="s">
        <v>27006</v>
      </c>
      <c r="T1863" s="2">
        <v>0.3888888888888889</v>
      </c>
      <c r="U1863">
        <v>1</v>
      </c>
      <c r="V1863" t="s">
        <v>27007</v>
      </c>
      <c r="W1863" t="s">
        <v>27008</v>
      </c>
      <c r="X1863" t="s">
        <v>27009</v>
      </c>
      <c r="Y1863" t="s">
        <v>27010</v>
      </c>
      <c r="Z1863" t="s">
        <v>27010</v>
      </c>
      <c r="AA1863" t="s">
        <v>27010</v>
      </c>
      <c r="AB1863" t="s">
        <v>27010</v>
      </c>
      <c r="AC1863" t="s">
        <v>27010</v>
      </c>
    </row>
    <row r="1864" spans="1:30">
      <c r="A1864" t="s">
        <v>27011</v>
      </c>
      <c r="B1864">
        <v>5</v>
      </c>
      <c r="C1864">
        <v>6</v>
      </c>
      <c r="D1864">
        <v>1987</v>
      </c>
      <c r="E1864" s="1">
        <v>31903</v>
      </c>
      <c r="F1864" t="s">
        <v>27012</v>
      </c>
      <c r="G1864">
        <v>0</v>
      </c>
      <c r="H1864">
        <v>0</v>
      </c>
      <c r="I1864">
        <v>0</v>
      </c>
      <c r="J1864">
        <v>0</v>
      </c>
      <c r="L1864" t="s">
        <v>27013</v>
      </c>
      <c r="M1864" t="s">
        <v>27014</v>
      </c>
      <c r="N1864" t="s">
        <v>27015</v>
      </c>
      <c r="O1864" t="s">
        <v>27016</v>
      </c>
      <c r="P1864" t="s">
        <v>27017</v>
      </c>
      <c r="Q1864" t="s">
        <v>27018</v>
      </c>
      <c r="R1864" t="s">
        <v>27019</v>
      </c>
      <c r="S1864" t="s">
        <v>27020</v>
      </c>
      <c r="U1864">
        <v>1</v>
      </c>
      <c r="V1864" t="s">
        <v>27021</v>
      </c>
      <c r="W1864" t="s">
        <v>27022</v>
      </c>
      <c r="X1864" t="s">
        <v>27023</v>
      </c>
      <c r="Y1864" t="s">
        <v>27024</v>
      </c>
      <c r="Z1864" t="s">
        <v>27024</v>
      </c>
      <c r="AA1864" t="s">
        <v>27024</v>
      </c>
      <c r="AB1864" t="s">
        <v>27024</v>
      </c>
      <c r="AC1864" t="s">
        <v>27024</v>
      </c>
    </row>
    <row r="1865" spans="1:30">
      <c r="A1865" t="s">
        <v>27025</v>
      </c>
      <c r="B1865">
        <v>5</v>
      </c>
      <c r="C1865">
        <v>3</v>
      </c>
      <c r="D1865">
        <v>1987</v>
      </c>
      <c r="E1865" s="1">
        <v>31900</v>
      </c>
      <c r="F1865" t="s">
        <v>27026</v>
      </c>
      <c r="G1865">
        <v>0</v>
      </c>
      <c r="H1865">
        <v>1</v>
      </c>
      <c r="I1865">
        <v>1</v>
      </c>
      <c r="J1865">
        <v>0</v>
      </c>
      <c r="L1865" t="s">
        <v>27027</v>
      </c>
      <c r="M1865" t="s">
        <v>27028</v>
      </c>
      <c r="N1865" t="s">
        <v>27029</v>
      </c>
      <c r="O1865" t="s">
        <v>27030</v>
      </c>
      <c r="P1865" t="s">
        <v>27031</v>
      </c>
      <c r="Q1865" t="s">
        <v>27032</v>
      </c>
      <c r="R1865" t="s">
        <v>27033</v>
      </c>
      <c r="S1865" t="s">
        <v>27034</v>
      </c>
      <c r="T1865" s="2">
        <v>0.47916666666666663</v>
      </c>
      <c r="U1865">
        <v>1</v>
      </c>
      <c r="V1865" t="s">
        <v>27035</v>
      </c>
      <c r="W1865" t="s">
        <v>27036</v>
      </c>
      <c r="X1865" t="s">
        <v>27037</v>
      </c>
      <c r="Y1865" t="s">
        <v>27038</v>
      </c>
      <c r="Z1865" t="s">
        <v>27038</v>
      </c>
      <c r="AA1865" t="s">
        <v>27038</v>
      </c>
      <c r="AB1865" t="s">
        <v>27038</v>
      </c>
      <c r="AC1865" t="s">
        <v>27038</v>
      </c>
    </row>
    <row r="1866" spans="1:30">
      <c r="A1866" t="s">
        <v>27039</v>
      </c>
      <c r="B1866">
        <v>4</v>
      </c>
      <c r="C1866">
        <v>30</v>
      </c>
      <c r="D1866">
        <v>1987</v>
      </c>
      <c r="E1866" s="1">
        <v>31897</v>
      </c>
      <c r="F1866" t="s">
        <v>27040</v>
      </c>
      <c r="G1866">
        <v>1</v>
      </c>
      <c r="H1866">
        <v>0</v>
      </c>
      <c r="I1866">
        <v>1</v>
      </c>
      <c r="J1866">
        <v>0</v>
      </c>
      <c r="L1866" t="s">
        <v>27041</v>
      </c>
      <c r="M1866" t="s">
        <v>27042</v>
      </c>
      <c r="N1866" t="s">
        <v>27043</v>
      </c>
      <c r="O1866" t="s">
        <v>27044</v>
      </c>
      <c r="P1866" t="s">
        <v>27045</v>
      </c>
      <c r="Q1866" t="s">
        <v>27045</v>
      </c>
      <c r="R1866" t="s">
        <v>27046</v>
      </c>
      <c r="S1866" t="s">
        <v>27047</v>
      </c>
      <c r="T1866" s="2">
        <v>0.59375</v>
      </c>
      <c r="U1866">
        <v>1</v>
      </c>
      <c r="V1866" t="s">
        <v>27048</v>
      </c>
      <c r="W1866" t="s">
        <v>27049</v>
      </c>
      <c r="X1866" t="s">
        <v>27050</v>
      </c>
      <c r="Y1866" t="s">
        <v>27051</v>
      </c>
      <c r="Z1866" t="s">
        <v>27051</v>
      </c>
      <c r="AA1866" t="s">
        <v>27051</v>
      </c>
      <c r="AB1866" t="s">
        <v>27051</v>
      </c>
      <c r="AC1866" t="s">
        <v>27051</v>
      </c>
    </row>
    <row r="1867" spans="1:30">
      <c r="A1867" t="s">
        <v>27052</v>
      </c>
      <c r="B1867">
        <v>4</v>
      </c>
      <c r="C1867">
        <v>16</v>
      </c>
      <c r="D1867">
        <v>1987</v>
      </c>
      <c r="E1867" s="1">
        <v>31883</v>
      </c>
      <c r="F1867" t="s">
        <v>27053</v>
      </c>
      <c r="G1867">
        <v>1</v>
      </c>
      <c r="H1867">
        <v>1</v>
      </c>
      <c r="I1867">
        <v>2</v>
      </c>
      <c r="J1867">
        <v>0</v>
      </c>
      <c r="L1867" t="s">
        <v>27054</v>
      </c>
      <c r="M1867" t="s">
        <v>27055</v>
      </c>
      <c r="N1867" t="s">
        <v>27056</v>
      </c>
      <c r="O1867" t="s">
        <v>27057</v>
      </c>
      <c r="P1867" t="s">
        <v>27058</v>
      </c>
      <c r="Q1867" t="s">
        <v>27058</v>
      </c>
      <c r="R1867" t="s">
        <v>27059</v>
      </c>
      <c r="S1867" t="s">
        <v>27060</v>
      </c>
      <c r="T1867" s="2">
        <v>0.5</v>
      </c>
      <c r="U1867">
        <v>1</v>
      </c>
      <c r="V1867" t="s">
        <v>27061</v>
      </c>
      <c r="W1867" t="s">
        <v>27062</v>
      </c>
      <c r="X1867" t="s">
        <v>27063</v>
      </c>
      <c r="Y1867" t="s">
        <v>27064</v>
      </c>
      <c r="Z1867" t="s">
        <v>27064</v>
      </c>
      <c r="AA1867" t="s">
        <v>27064</v>
      </c>
      <c r="AC1867" t="s">
        <v>27064</v>
      </c>
    </row>
    <row r="1868" spans="1:30">
      <c r="A1868" t="s">
        <v>27065</v>
      </c>
      <c r="B1868">
        <v>3</v>
      </c>
      <c r="C1868">
        <v>30</v>
      </c>
      <c r="D1868">
        <v>1987</v>
      </c>
      <c r="E1868" s="1">
        <v>31866</v>
      </c>
      <c r="F1868" t="s">
        <v>27066</v>
      </c>
      <c r="G1868">
        <v>0</v>
      </c>
      <c r="H1868">
        <v>0</v>
      </c>
      <c r="I1868">
        <v>0</v>
      </c>
      <c r="J1868">
        <v>1</v>
      </c>
      <c r="L1868" t="s">
        <v>27067</v>
      </c>
      <c r="M1868" t="s">
        <v>27068</v>
      </c>
      <c r="N1868" t="s">
        <v>27069</v>
      </c>
      <c r="O1868" t="s">
        <v>27070</v>
      </c>
      <c r="P1868" t="s">
        <v>27071</v>
      </c>
      <c r="Q1868" t="s">
        <v>27072</v>
      </c>
      <c r="R1868" t="s">
        <v>27073</v>
      </c>
      <c r="S1868" t="s">
        <v>27074</v>
      </c>
      <c r="T1868" s="2">
        <v>0.47013888888888888</v>
      </c>
      <c r="U1868">
        <v>1</v>
      </c>
      <c r="V1868" t="s">
        <v>27075</v>
      </c>
      <c r="W1868" t="s">
        <v>27076</v>
      </c>
      <c r="X1868" t="s">
        <v>27077</v>
      </c>
      <c r="Y1868" t="s">
        <v>27078</v>
      </c>
      <c r="Z1868" t="s">
        <v>27078</v>
      </c>
      <c r="AA1868" t="s">
        <v>27078</v>
      </c>
      <c r="AB1868" t="s">
        <v>27078</v>
      </c>
      <c r="AC1868" t="s">
        <v>27078</v>
      </c>
    </row>
    <row r="1869" spans="1:30">
      <c r="A1869" t="s">
        <v>27079</v>
      </c>
      <c r="B1869">
        <v>3</v>
      </c>
      <c r="C1869">
        <v>6</v>
      </c>
      <c r="D1869">
        <v>1987</v>
      </c>
      <c r="E1869" s="1">
        <v>31842</v>
      </c>
      <c r="F1869" t="s">
        <v>27080</v>
      </c>
      <c r="G1869">
        <v>0</v>
      </c>
      <c r="H1869">
        <v>1</v>
      </c>
      <c r="I1869">
        <v>1</v>
      </c>
      <c r="J1869">
        <v>0</v>
      </c>
      <c r="L1869" t="s">
        <v>27081</v>
      </c>
      <c r="M1869" t="s">
        <v>27082</v>
      </c>
      <c r="N1869" t="s">
        <v>27083</v>
      </c>
      <c r="O1869" t="s">
        <v>27084</v>
      </c>
      <c r="P1869" t="s">
        <v>27085</v>
      </c>
      <c r="Q1869" t="s">
        <v>27086</v>
      </c>
      <c r="R1869" t="s">
        <v>27087</v>
      </c>
      <c r="S1869" t="s">
        <v>27088</v>
      </c>
      <c r="U1869">
        <v>1</v>
      </c>
      <c r="V1869" t="s">
        <v>27089</v>
      </c>
      <c r="W1869" t="s">
        <v>27090</v>
      </c>
      <c r="X1869" t="s">
        <v>27091</v>
      </c>
      <c r="Y1869" t="s">
        <v>27092</v>
      </c>
      <c r="Z1869" t="s">
        <v>27092</v>
      </c>
      <c r="AA1869" t="s">
        <v>27092</v>
      </c>
      <c r="AB1869" t="s">
        <v>27092</v>
      </c>
      <c r="AC1869" t="s">
        <v>27092</v>
      </c>
    </row>
    <row r="1870" spans="1:30">
      <c r="A1870" t="s">
        <v>27093</v>
      </c>
      <c r="B1870">
        <v>3</v>
      </c>
      <c r="C1870">
        <v>2</v>
      </c>
      <c r="D1870">
        <v>1987</v>
      </c>
      <c r="E1870" s="1">
        <v>31838</v>
      </c>
      <c r="F1870" t="s">
        <v>27094</v>
      </c>
      <c r="G1870">
        <v>1</v>
      </c>
      <c r="H1870">
        <v>0</v>
      </c>
      <c r="I1870">
        <v>1</v>
      </c>
      <c r="J1870">
        <v>1</v>
      </c>
      <c r="L1870" t="s">
        <v>27095</v>
      </c>
      <c r="M1870" t="s">
        <v>27096</v>
      </c>
      <c r="N1870" t="s">
        <v>27097</v>
      </c>
      <c r="O1870" t="s">
        <v>27098</v>
      </c>
      <c r="P1870" t="s">
        <v>27099</v>
      </c>
      <c r="Q1870" t="s">
        <v>27100</v>
      </c>
      <c r="R1870" t="s">
        <v>27101</v>
      </c>
      <c r="S1870" t="s">
        <v>27102</v>
      </c>
      <c r="T1870" s="2">
        <v>0.35069444444444442</v>
      </c>
      <c r="V1870" t="s">
        <v>27103</v>
      </c>
      <c r="W1870" t="s">
        <v>27104</v>
      </c>
      <c r="X1870" t="s">
        <v>27105</v>
      </c>
      <c r="Y1870" t="s">
        <v>27106</v>
      </c>
      <c r="Z1870" t="s">
        <v>27106</v>
      </c>
      <c r="AA1870" t="s">
        <v>27106</v>
      </c>
      <c r="AB1870" t="s">
        <v>27107</v>
      </c>
      <c r="AC1870" t="s">
        <v>27108</v>
      </c>
    </row>
    <row r="1871" spans="1:30">
      <c r="A1871" t="s">
        <v>27109</v>
      </c>
      <c r="B1871">
        <v>2</v>
      </c>
      <c r="C1871">
        <v>24</v>
      </c>
      <c r="D1871">
        <v>1987</v>
      </c>
      <c r="E1871" s="1">
        <v>31832</v>
      </c>
      <c r="F1871" t="s">
        <v>27110</v>
      </c>
      <c r="G1871">
        <v>0</v>
      </c>
      <c r="H1871">
        <v>1</v>
      </c>
      <c r="I1871">
        <v>1</v>
      </c>
      <c r="J1871">
        <v>0</v>
      </c>
      <c r="L1871" t="s">
        <v>27111</v>
      </c>
      <c r="M1871" t="s">
        <v>27112</v>
      </c>
      <c r="N1871" t="s">
        <v>27113</v>
      </c>
      <c r="O1871" t="s">
        <v>27114</v>
      </c>
      <c r="P1871" t="s">
        <v>27115</v>
      </c>
      <c r="Q1871" t="s">
        <v>27116</v>
      </c>
      <c r="R1871" t="s">
        <v>27117</v>
      </c>
      <c r="S1871" t="s">
        <v>27118</v>
      </c>
      <c r="T1871" s="2">
        <v>0.35416666666666663</v>
      </c>
      <c r="U1871">
        <v>1</v>
      </c>
      <c r="V1871" t="s">
        <v>27119</v>
      </c>
      <c r="W1871" t="s">
        <v>27120</v>
      </c>
      <c r="X1871" t="s">
        <v>27121</v>
      </c>
      <c r="Y1871" t="s">
        <v>27122</v>
      </c>
      <c r="Z1871" t="s">
        <v>27122</v>
      </c>
      <c r="AA1871" t="s">
        <v>27122</v>
      </c>
      <c r="AB1871" t="s">
        <v>27122</v>
      </c>
      <c r="AC1871" t="s">
        <v>27122</v>
      </c>
    </row>
    <row r="1872" spans="1:30">
      <c r="A1872" t="s">
        <v>27123</v>
      </c>
      <c r="B1872">
        <v>2</v>
      </c>
      <c r="C1872">
        <v>13</v>
      </c>
      <c r="D1872">
        <v>1987</v>
      </c>
      <c r="E1872" s="1">
        <v>31821</v>
      </c>
      <c r="F1872" t="s">
        <v>27124</v>
      </c>
      <c r="G1872">
        <v>1</v>
      </c>
      <c r="H1872">
        <v>2</v>
      </c>
      <c r="I1872">
        <v>3</v>
      </c>
      <c r="J1872">
        <v>0</v>
      </c>
      <c r="L1872" t="s">
        <v>27125</v>
      </c>
      <c r="M1872" t="s">
        <v>27126</v>
      </c>
      <c r="N1872" t="s">
        <v>27127</v>
      </c>
      <c r="O1872" t="s">
        <v>27128</v>
      </c>
      <c r="P1872" t="s">
        <v>27129</v>
      </c>
      <c r="Q1872" t="s">
        <v>27130</v>
      </c>
      <c r="R1872" t="s">
        <v>27131</v>
      </c>
      <c r="S1872" t="s">
        <v>27132</v>
      </c>
      <c r="T1872" s="2">
        <v>0.85416666666666674</v>
      </c>
      <c r="V1872" t="s">
        <v>27133</v>
      </c>
      <c r="W1872" t="s">
        <v>27134</v>
      </c>
      <c r="X1872" t="s">
        <v>27135</v>
      </c>
      <c r="Y1872" t="s">
        <v>27136</v>
      </c>
      <c r="Z1872" t="s">
        <v>27136</v>
      </c>
      <c r="AA1872" t="s">
        <v>27136</v>
      </c>
      <c r="AB1872" t="s">
        <v>27136</v>
      </c>
      <c r="AC1872" t="s">
        <v>27136</v>
      </c>
      <c r="AD1872" t="s">
        <v>27137</v>
      </c>
    </row>
    <row r="1873" spans="1:30">
      <c r="A1873" t="s">
        <v>27138</v>
      </c>
      <c r="B1873">
        <v>2</v>
      </c>
      <c r="C1873">
        <v>10</v>
      </c>
      <c r="D1873">
        <v>1987</v>
      </c>
      <c r="E1873" s="1">
        <v>31818</v>
      </c>
      <c r="F1873" t="s">
        <v>27139</v>
      </c>
      <c r="G1873">
        <v>0</v>
      </c>
      <c r="H1873">
        <v>0</v>
      </c>
      <c r="I1873">
        <v>0</v>
      </c>
      <c r="J1873">
        <v>1</v>
      </c>
      <c r="L1873" t="s">
        <v>27140</v>
      </c>
      <c r="M1873" t="s">
        <v>27141</v>
      </c>
      <c r="N1873" t="s">
        <v>27142</v>
      </c>
      <c r="O1873" t="s">
        <v>27143</v>
      </c>
      <c r="P1873" t="s">
        <v>27144</v>
      </c>
      <c r="Q1873" t="s">
        <v>27145</v>
      </c>
      <c r="R1873" t="s">
        <v>27146</v>
      </c>
      <c r="S1873" t="s">
        <v>27147</v>
      </c>
      <c r="T1873" s="2">
        <v>0.52083333333333337</v>
      </c>
      <c r="U1873">
        <v>1</v>
      </c>
      <c r="V1873" t="s">
        <v>27148</v>
      </c>
      <c r="W1873" t="s">
        <v>27149</v>
      </c>
      <c r="X1873" t="s">
        <v>27150</v>
      </c>
      <c r="Y1873" t="s">
        <v>27151</v>
      </c>
      <c r="Z1873" t="s">
        <v>27151</v>
      </c>
      <c r="AA1873" t="s">
        <v>27151</v>
      </c>
      <c r="AB1873" t="s">
        <v>27151</v>
      </c>
      <c r="AC1873" t="s">
        <v>27151</v>
      </c>
    </row>
    <row r="1874" spans="1:30">
      <c r="A1874" t="s">
        <v>27152</v>
      </c>
      <c r="B1874">
        <v>1</v>
      </c>
      <c r="C1874">
        <v>23</v>
      </c>
      <c r="D1874">
        <v>1987</v>
      </c>
      <c r="E1874" s="1">
        <v>31800</v>
      </c>
      <c r="F1874" t="s">
        <v>27153</v>
      </c>
      <c r="G1874">
        <v>0</v>
      </c>
      <c r="H1874">
        <v>1</v>
      </c>
      <c r="I1874">
        <v>1</v>
      </c>
      <c r="J1874">
        <v>0</v>
      </c>
      <c r="L1874" t="s">
        <v>27154</v>
      </c>
      <c r="M1874" t="s">
        <v>27155</v>
      </c>
      <c r="N1874" t="s">
        <v>27156</v>
      </c>
      <c r="O1874" t="s">
        <v>27157</v>
      </c>
      <c r="P1874" t="s">
        <v>27158</v>
      </c>
      <c r="Q1874" t="s">
        <v>27158</v>
      </c>
      <c r="R1874" t="s">
        <v>27159</v>
      </c>
      <c r="S1874" t="s">
        <v>27160</v>
      </c>
      <c r="T1874" s="2">
        <v>0.33680555555555552</v>
      </c>
      <c r="U1874">
        <v>1</v>
      </c>
      <c r="V1874" t="s">
        <v>27161</v>
      </c>
      <c r="W1874" t="s">
        <v>27162</v>
      </c>
      <c r="X1874" t="s">
        <v>27163</v>
      </c>
      <c r="Y1874" t="s">
        <v>27164</v>
      </c>
      <c r="Z1874" t="s">
        <v>27164</v>
      </c>
      <c r="AA1874" t="s">
        <v>27164</v>
      </c>
      <c r="AB1874" t="s">
        <v>27164</v>
      </c>
      <c r="AC1874" t="s">
        <v>27164</v>
      </c>
    </row>
    <row r="1875" spans="1:30">
      <c r="A1875" t="s">
        <v>27165</v>
      </c>
      <c r="B1875">
        <v>1</v>
      </c>
      <c r="C1875">
        <v>14</v>
      </c>
      <c r="D1875">
        <v>1987</v>
      </c>
      <c r="E1875" s="1">
        <v>31791</v>
      </c>
      <c r="F1875" t="s">
        <v>27166</v>
      </c>
      <c r="G1875">
        <v>0</v>
      </c>
      <c r="H1875">
        <v>0</v>
      </c>
      <c r="I1875">
        <v>0</v>
      </c>
      <c r="J1875">
        <v>0</v>
      </c>
      <c r="L1875" t="s">
        <v>27167</v>
      </c>
      <c r="M1875" t="s">
        <v>27168</v>
      </c>
      <c r="N1875" t="s">
        <v>27169</v>
      </c>
      <c r="O1875" t="s">
        <v>27170</v>
      </c>
      <c r="P1875" t="s">
        <v>27171</v>
      </c>
      <c r="Q1875" t="s">
        <v>27172</v>
      </c>
      <c r="R1875" t="s">
        <v>27173</v>
      </c>
      <c r="U1875">
        <v>1</v>
      </c>
      <c r="V1875" t="s">
        <v>27174</v>
      </c>
      <c r="W1875" t="s">
        <v>27175</v>
      </c>
      <c r="X1875" t="s">
        <v>27176</v>
      </c>
      <c r="Y1875" t="s">
        <v>27177</v>
      </c>
      <c r="Z1875" t="s">
        <v>27177</v>
      </c>
      <c r="AA1875" t="s">
        <v>27177</v>
      </c>
      <c r="AB1875" t="s">
        <v>27177</v>
      </c>
      <c r="AC1875" t="s">
        <v>27177</v>
      </c>
    </row>
    <row r="1876" spans="1:30">
      <c r="A1876" t="s">
        <v>27178</v>
      </c>
      <c r="B1876">
        <v>12</v>
      </c>
      <c r="C1876">
        <v>4</v>
      </c>
      <c r="D1876">
        <v>1986</v>
      </c>
      <c r="E1876" s="1">
        <v>31750</v>
      </c>
      <c r="F1876" t="s">
        <v>27179</v>
      </c>
      <c r="G1876">
        <v>1</v>
      </c>
      <c r="H1876">
        <v>1</v>
      </c>
      <c r="I1876">
        <v>2</v>
      </c>
      <c r="J1876">
        <v>0</v>
      </c>
      <c r="L1876" t="s">
        <v>27180</v>
      </c>
      <c r="M1876" t="s">
        <v>27181</v>
      </c>
      <c r="N1876" t="s">
        <v>27182</v>
      </c>
      <c r="O1876" t="s">
        <v>27183</v>
      </c>
      <c r="P1876" t="s">
        <v>27184</v>
      </c>
      <c r="Q1876" t="s">
        <v>27185</v>
      </c>
      <c r="R1876" t="s">
        <v>27186</v>
      </c>
      <c r="U1876">
        <v>1</v>
      </c>
      <c r="V1876" t="s">
        <v>27187</v>
      </c>
      <c r="W1876" t="s">
        <v>27188</v>
      </c>
      <c r="X1876" t="s">
        <v>27189</v>
      </c>
      <c r="Y1876" t="s">
        <v>27190</v>
      </c>
      <c r="Z1876" t="s">
        <v>27190</v>
      </c>
      <c r="AA1876" t="s">
        <v>27190</v>
      </c>
      <c r="AC1876" t="s">
        <v>27190</v>
      </c>
    </row>
    <row r="1877" spans="1:30">
      <c r="A1877" t="s">
        <v>27191</v>
      </c>
      <c r="B1877">
        <v>10</v>
      </c>
      <c r="C1877">
        <v>8</v>
      </c>
      <c r="D1877">
        <v>1986</v>
      </c>
      <c r="E1877" s="1">
        <v>31693</v>
      </c>
      <c r="F1877" t="s">
        <v>27192</v>
      </c>
      <c r="G1877">
        <v>1</v>
      </c>
      <c r="H1877">
        <v>0</v>
      </c>
      <c r="I1877">
        <v>1</v>
      </c>
      <c r="J1877">
        <v>0</v>
      </c>
      <c r="L1877" t="s">
        <v>27193</v>
      </c>
      <c r="M1877" t="s">
        <v>27194</v>
      </c>
      <c r="N1877" t="s">
        <v>27195</v>
      </c>
      <c r="O1877" t="s">
        <v>27196</v>
      </c>
      <c r="P1877" t="s">
        <v>27197</v>
      </c>
      <c r="Q1877" t="s">
        <v>27197</v>
      </c>
      <c r="R1877" t="s">
        <v>27198</v>
      </c>
      <c r="S1877" t="s">
        <v>27199</v>
      </c>
      <c r="T1877" s="2">
        <v>0.66666666666666663</v>
      </c>
      <c r="U1877">
        <v>1</v>
      </c>
      <c r="V1877" t="s">
        <v>27200</v>
      </c>
      <c r="W1877" t="s">
        <v>27201</v>
      </c>
      <c r="X1877" t="s">
        <v>27202</v>
      </c>
      <c r="Y1877" t="s">
        <v>27203</v>
      </c>
      <c r="Z1877" t="s">
        <v>27204</v>
      </c>
      <c r="AA1877" t="s">
        <v>27204</v>
      </c>
      <c r="AB1877" t="s">
        <v>27204</v>
      </c>
      <c r="AC1877" t="s">
        <v>27204</v>
      </c>
    </row>
    <row r="1878" spans="1:30">
      <c r="A1878" t="s">
        <v>27205</v>
      </c>
      <c r="B1878">
        <v>10</v>
      </c>
      <c r="C1878">
        <v>3</v>
      </c>
      <c r="D1878">
        <v>1986</v>
      </c>
      <c r="E1878" s="1">
        <v>31688</v>
      </c>
      <c r="F1878" t="s">
        <v>27206</v>
      </c>
      <c r="G1878">
        <v>0</v>
      </c>
      <c r="H1878">
        <v>2</v>
      </c>
      <c r="I1878">
        <v>2</v>
      </c>
      <c r="J1878">
        <v>0</v>
      </c>
      <c r="L1878" t="s">
        <v>27207</v>
      </c>
      <c r="M1878" t="s">
        <v>27208</v>
      </c>
      <c r="N1878" t="s">
        <v>27209</v>
      </c>
      <c r="O1878" t="s">
        <v>27210</v>
      </c>
      <c r="P1878" t="s">
        <v>27211</v>
      </c>
      <c r="Q1878" t="s">
        <v>27212</v>
      </c>
      <c r="R1878" t="s">
        <v>27213</v>
      </c>
      <c r="S1878" t="s">
        <v>27214</v>
      </c>
      <c r="U1878">
        <v>1</v>
      </c>
      <c r="V1878" t="s">
        <v>27215</v>
      </c>
      <c r="W1878" t="s">
        <v>27216</v>
      </c>
      <c r="X1878" t="s">
        <v>27217</v>
      </c>
      <c r="Y1878" t="s">
        <v>27218</v>
      </c>
      <c r="Z1878" t="s">
        <v>27219</v>
      </c>
      <c r="AA1878" t="s">
        <v>27219</v>
      </c>
      <c r="AB1878" t="s">
        <v>27219</v>
      </c>
      <c r="AC1878" t="s">
        <v>27219</v>
      </c>
    </row>
    <row r="1879" spans="1:30">
      <c r="A1879" t="s">
        <v>27220</v>
      </c>
      <c r="B1879">
        <v>9</v>
      </c>
      <c r="C1879">
        <v>18</v>
      </c>
      <c r="D1879">
        <v>1986</v>
      </c>
      <c r="E1879" s="1">
        <v>31673</v>
      </c>
      <c r="F1879" t="s">
        <v>27221</v>
      </c>
      <c r="G1879">
        <v>1</v>
      </c>
      <c r="H1879">
        <v>0</v>
      </c>
      <c r="I1879">
        <v>1</v>
      </c>
      <c r="J1879">
        <v>0</v>
      </c>
      <c r="L1879" t="s">
        <v>27222</v>
      </c>
      <c r="M1879" t="s">
        <v>27223</v>
      </c>
      <c r="N1879" t="s">
        <v>27224</v>
      </c>
      <c r="O1879" t="s">
        <v>27225</v>
      </c>
      <c r="P1879" t="s">
        <v>27226</v>
      </c>
      <c r="Q1879" t="s">
        <v>27226</v>
      </c>
      <c r="R1879" t="s">
        <v>27227</v>
      </c>
      <c r="S1879" t="s">
        <v>27228</v>
      </c>
      <c r="U1879">
        <v>1</v>
      </c>
      <c r="V1879" t="s">
        <v>27229</v>
      </c>
      <c r="W1879" t="s">
        <v>27230</v>
      </c>
      <c r="X1879" t="s">
        <v>27231</v>
      </c>
      <c r="Y1879" t="s">
        <v>27232</v>
      </c>
      <c r="Z1879" t="s">
        <v>27232</v>
      </c>
      <c r="AA1879" t="s">
        <v>27232</v>
      </c>
      <c r="AB1879" t="s">
        <v>27232</v>
      </c>
      <c r="AC1879" t="s">
        <v>27233</v>
      </c>
    </row>
    <row r="1880" spans="1:30">
      <c r="A1880" t="s">
        <v>27234</v>
      </c>
      <c r="B1880">
        <v>9</v>
      </c>
      <c r="C1880">
        <v>12</v>
      </c>
      <c r="D1880">
        <v>1986</v>
      </c>
      <c r="E1880" s="1">
        <v>31667</v>
      </c>
      <c r="F1880" t="s">
        <v>27235</v>
      </c>
      <c r="G1880">
        <v>1</v>
      </c>
      <c r="H1880">
        <v>0</v>
      </c>
      <c r="I1880">
        <v>1</v>
      </c>
      <c r="J1880">
        <v>0</v>
      </c>
      <c r="L1880" t="s">
        <v>27236</v>
      </c>
      <c r="M1880" t="s">
        <v>27237</v>
      </c>
      <c r="N1880" t="s">
        <v>27238</v>
      </c>
      <c r="O1880" t="s">
        <v>27239</v>
      </c>
      <c r="P1880" t="s">
        <v>27240</v>
      </c>
      <c r="Q1880" t="s">
        <v>27241</v>
      </c>
      <c r="R1880" t="s">
        <v>27242</v>
      </c>
      <c r="S1880" t="s">
        <v>27243</v>
      </c>
      <c r="T1880" s="2">
        <v>0.59375</v>
      </c>
      <c r="U1880">
        <v>1</v>
      </c>
      <c r="V1880" t="s">
        <v>27244</v>
      </c>
      <c r="W1880" t="s">
        <v>27245</v>
      </c>
      <c r="X1880" t="s">
        <v>27246</v>
      </c>
      <c r="Y1880" t="s">
        <v>27247</v>
      </c>
      <c r="Z1880" t="s">
        <v>27248</v>
      </c>
      <c r="AA1880" t="s">
        <v>27248</v>
      </c>
      <c r="AB1880" t="s">
        <v>27248</v>
      </c>
      <c r="AC1880" t="s">
        <v>27248</v>
      </c>
    </row>
    <row r="1881" spans="1:30">
      <c r="A1881" t="s">
        <v>27249</v>
      </c>
      <c r="B1881">
        <v>5</v>
      </c>
      <c r="C1881">
        <v>17</v>
      </c>
      <c r="D1881">
        <v>1986</v>
      </c>
      <c r="E1881" s="1">
        <v>31549</v>
      </c>
      <c r="F1881" t="s">
        <v>27250</v>
      </c>
      <c r="G1881">
        <v>0</v>
      </c>
      <c r="H1881">
        <v>1</v>
      </c>
      <c r="I1881">
        <v>1</v>
      </c>
      <c r="J1881">
        <v>0</v>
      </c>
      <c r="L1881" t="s">
        <v>27251</v>
      </c>
      <c r="M1881" t="s">
        <v>27252</v>
      </c>
      <c r="N1881" t="s">
        <v>27253</v>
      </c>
      <c r="O1881" t="s">
        <v>27254</v>
      </c>
      <c r="P1881" t="s">
        <v>27255</v>
      </c>
      <c r="Q1881" t="s">
        <v>27256</v>
      </c>
      <c r="R1881" t="s">
        <v>27257</v>
      </c>
      <c r="S1881" t="s">
        <v>27258</v>
      </c>
      <c r="T1881" s="2">
        <v>0.29166666666666669</v>
      </c>
      <c r="U1881">
        <v>1</v>
      </c>
      <c r="V1881" t="s">
        <v>27259</v>
      </c>
      <c r="W1881" t="s">
        <v>27260</v>
      </c>
      <c r="X1881" t="s">
        <v>27261</v>
      </c>
      <c r="Y1881" t="s">
        <v>27262</v>
      </c>
      <c r="Z1881" t="s">
        <v>27262</v>
      </c>
      <c r="AA1881" t="s">
        <v>27262</v>
      </c>
      <c r="AB1881" t="s">
        <v>27262</v>
      </c>
      <c r="AC1881" t="s">
        <v>27262</v>
      </c>
    </row>
    <row r="1882" spans="1:30">
      <c r="A1882" t="s">
        <v>27263</v>
      </c>
      <c r="B1882">
        <v>5</v>
      </c>
      <c r="C1882">
        <v>16</v>
      </c>
      <c r="D1882">
        <v>1986</v>
      </c>
      <c r="E1882" s="1">
        <v>31548</v>
      </c>
      <c r="F1882" t="s">
        <v>27264</v>
      </c>
      <c r="G1882">
        <v>0</v>
      </c>
      <c r="H1882">
        <v>74</v>
      </c>
      <c r="I1882">
        <v>74</v>
      </c>
      <c r="J1882">
        <v>1</v>
      </c>
      <c r="L1882" t="s">
        <v>27265</v>
      </c>
      <c r="M1882" t="s">
        <v>27266</v>
      </c>
      <c r="N1882" t="s">
        <v>27267</v>
      </c>
      <c r="O1882" t="s">
        <v>27268</v>
      </c>
      <c r="P1882" t="s">
        <v>27269</v>
      </c>
      <c r="Q1882" t="s">
        <v>27270</v>
      </c>
      <c r="R1882" t="s">
        <v>27271</v>
      </c>
      <c r="S1882" t="s">
        <v>27272</v>
      </c>
      <c r="T1882" s="2">
        <v>0.5625</v>
      </c>
      <c r="U1882">
        <v>150</v>
      </c>
      <c r="V1882" t="s">
        <v>27273</v>
      </c>
      <c r="W1882" t="s">
        <v>27274</v>
      </c>
      <c r="X1882" t="s">
        <v>27275</v>
      </c>
      <c r="Y1882" t="s">
        <v>27276</v>
      </c>
      <c r="Z1882" t="s">
        <v>27276</v>
      </c>
      <c r="AA1882" t="s">
        <v>27277</v>
      </c>
      <c r="AB1882" t="s">
        <v>27277</v>
      </c>
      <c r="AC1882" t="s">
        <v>27277</v>
      </c>
      <c r="AD1882" t="s">
        <v>27278</v>
      </c>
    </row>
    <row r="1883" spans="1:30">
      <c r="A1883" t="s">
        <v>27279</v>
      </c>
      <c r="B1883">
        <v>5</v>
      </c>
      <c r="C1883">
        <v>15</v>
      </c>
      <c r="D1883">
        <v>1986</v>
      </c>
      <c r="E1883" s="1">
        <v>31547</v>
      </c>
      <c r="F1883" t="s">
        <v>27280</v>
      </c>
      <c r="G1883">
        <v>0</v>
      </c>
      <c r="H1883">
        <v>1</v>
      </c>
      <c r="I1883">
        <v>1</v>
      </c>
      <c r="J1883">
        <v>0</v>
      </c>
      <c r="L1883" t="s">
        <v>27281</v>
      </c>
      <c r="M1883" t="s">
        <v>27282</v>
      </c>
      <c r="N1883" t="s">
        <v>27283</v>
      </c>
      <c r="O1883" t="s">
        <v>27284</v>
      </c>
      <c r="P1883" t="s">
        <v>27285</v>
      </c>
      <c r="Q1883" t="s">
        <v>27286</v>
      </c>
      <c r="R1883" t="s">
        <v>27287</v>
      </c>
      <c r="U1883">
        <v>1</v>
      </c>
      <c r="V1883" t="s">
        <v>27288</v>
      </c>
      <c r="W1883" t="s">
        <v>27289</v>
      </c>
      <c r="X1883" t="s">
        <v>27290</v>
      </c>
      <c r="Z1883" t="s">
        <v>27291</v>
      </c>
      <c r="AA1883" t="s">
        <v>27291</v>
      </c>
      <c r="AB1883" t="s">
        <v>27291</v>
      </c>
      <c r="AC1883" t="s">
        <v>27291</v>
      </c>
    </row>
    <row r="1884" spans="1:30">
      <c r="A1884" t="s">
        <v>27292</v>
      </c>
      <c r="B1884">
        <v>5</v>
      </c>
      <c r="C1884">
        <v>9</v>
      </c>
      <c r="D1884">
        <v>1986</v>
      </c>
      <c r="E1884" s="1">
        <v>31541</v>
      </c>
      <c r="F1884" t="s">
        <v>27293</v>
      </c>
      <c r="G1884">
        <v>0</v>
      </c>
      <c r="H1884">
        <v>3</v>
      </c>
      <c r="I1884">
        <v>3</v>
      </c>
      <c r="J1884">
        <v>0</v>
      </c>
      <c r="L1884" t="s">
        <v>27294</v>
      </c>
      <c r="M1884" t="s">
        <v>27295</v>
      </c>
      <c r="N1884" t="s">
        <v>27296</v>
      </c>
      <c r="O1884" t="s">
        <v>27297</v>
      </c>
      <c r="P1884" t="s">
        <v>27298</v>
      </c>
      <c r="Q1884" t="s">
        <v>27298</v>
      </c>
      <c r="R1884" t="s">
        <v>27299</v>
      </c>
      <c r="S1884" t="s">
        <v>27300</v>
      </c>
      <c r="T1884" s="2">
        <v>0.39583333333333331</v>
      </c>
      <c r="U1884">
        <v>1</v>
      </c>
      <c r="V1884" t="s">
        <v>27301</v>
      </c>
      <c r="W1884" t="s">
        <v>27302</v>
      </c>
      <c r="X1884" t="s">
        <v>27303</v>
      </c>
      <c r="Y1884" t="s">
        <v>27304</v>
      </c>
      <c r="Z1884" t="s">
        <v>27304</v>
      </c>
      <c r="AA1884" t="s">
        <v>27304</v>
      </c>
      <c r="AB1884" t="s">
        <v>27305</v>
      </c>
      <c r="AC1884" t="s">
        <v>27306</v>
      </c>
    </row>
    <row r="1885" spans="1:30">
      <c r="A1885" t="s">
        <v>27307</v>
      </c>
      <c r="B1885">
        <v>4</v>
      </c>
      <c r="C1885">
        <v>29</v>
      </c>
      <c r="D1885">
        <v>1986</v>
      </c>
      <c r="E1885" s="1">
        <v>31531</v>
      </c>
      <c r="F1885" t="s">
        <v>27308</v>
      </c>
      <c r="G1885">
        <v>1</v>
      </c>
      <c r="H1885">
        <v>0</v>
      </c>
      <c r="I1885">
        <v>1</v>
      </c>
      <c r="J1885">
        <v>0</v>
      </c>
      <c r="L1885" t="s">
        <v>27309</v>
      </c>
      <c r="M1885" t="s">
        <v>27310</v>
      </c>
      <c r="N1885" t="s">
        <v>27311</v>
      </c>
      <c r="O1885" t="s">
        <v>27312</v>
      </c>
      <c r="P1885" t="s">
        <v>27313</v>
      </c>
      <c r="Q1885" t="s">
        <v>27313</v>
      </c>
      <c r="R1885" t="s">
        <v>27314</v>
      </c>
      <c r="S1885" t="s">
        <v>27315</v>
      </c>
      <c r="U1885">
        <v>1</v>
      </c>
      <c r="V1885" t="s">
        <v>27316</v>
      </c>
      <c r="W1885" t="s">
        <v>27317</v>
      </c>
      <c r="X1885" t="s">
        <v>27318</v>
      </c>
      <c r="Y1885" t="s">
        <v>27319</v>
      </c>
      <c r="Z1885" t="s">
        <v>27319</v>
      </c>
      <c r="AA1885" t="s">
        <v>27319</v>
      </c>
      <c r="AC1885" t="s">
        <v>27319</v>
      </c>
    </row>
    <row r="1886" spans="1:30">
      <c r="A1886" t="s">
        <v>27320</v>
      </c>
      <c r="B1886">
        <v>4</v>
      </c>
      <c r="C1886">
        <v>23</v>
      </c>
      <c r="D1886">
        <v>1986</v>
      </c>
      <c r="E1886" s="1">
        <v>31525</v>
      </c>
      <c r="F1886" t="s">
        <v>27321</v>
      </c>
      <c r="G1886">
        <v>0</v>
      </c>
      <c r="H1886">
        <v>1</v>
      </c>
      <c r="I1886">
        <v>1</v>
      </c>
      <c r="J1886">
        <v>0</v>
      </c>
      <c r="L1886" t="s">
        <v>27322</v>
      </c>
      <c r="M1886" t="s">
        <v>27323</v>
      </c>
      <c r="N1886" t="s">
        <v>27324</v>
      </c>
      <c r="O1886" t="s">
        <v>27325</v>
      </c>
      <c r="P1886" t="s">
        <v>27326</v>
      </c>
      <c r="Q1886" t="s">
        <v>27327</v>
      </c>
      <c r="R1886" t="s">
        <v>27328</v>
      </c>
      <c r="S1886" t="s">
        <v>27329</v>
      </c>
      <c r="T1886" s="2">
        <v>0.35416666666666663</v>
      </c>
      <c r="U1886">
        <v>1</v>
      </c>
      <c r="V1886" t="s">
        <v>27330</v>
      </c>
      <c r="W1886" t="s">
        <v>27331</v>
      </c>
      <c r="X1886" t="s">
        <v>27332</v>
      </c>
      <c r="Y1886" t="s">
        <v>27333</v>
      </c>
      <c r="Z1886" t="s">
        <v>27333</v>
      </c>
      <c r="AA1886" t="s">
        <v>27333</v>
      </c>
      <c r="AB1886" t="s">
        <v>27333</v>
      </c>
      <c r="AC1886" t="s">
        <v>27333</v>
      </c>
    </row>
    <row r="1887" spans="1:30">
      <c r="A1887" t="s">
        <v>27334</v>
      </c>
      <c r="B1887">
        <v>3</v>
      </c>
      <c r="C1887">
        <v>6</v>
      </c>
      <c r="D1887">
        <v>1986</v>
      </c>
      <c r="E1887" s="1">
        <v>31477</v>
      </c>
      <c r="F1887" t="s">
        <v>27335</v>
      </c>
      <c r="G1887">
        <v>0</v>
      </c>
      <c r="H1887">
        <v>1</v>
      </c>
      <c r="I1887">
        <v>1</v>
      </c>
      <c r="J1887">
        <v>0</v>
      </c>
      <c r="L1887" t="s">
        <v>27336</v>
      </c>
      <c r="M1887" t="s">
        <v>27337</v>
      </c>
      <c r="N1887" t="s">
        <v>27338</v>
      </c>
      <c r="O1887" t="s">
        <v>27339</v>
      </c>
      <c r="P1887" t="s">
        <v>27340</v>
      </c>
      <c r="Q1887" t="s">
        <v>27341</v>
      </c>
      <c r="R1887" t="s">
        <v>27342</v>
      </c>
      <c r="V1887" t="s">
        <v>27343</v>
      </c>
      <c r="W1887" t="s">
        <v>27344</v>
      </c>
      <c r="X1887" t="s">
        <v>27345</v>
      </c>
      <c r="Z1887" t="s">
        <v>27346</v>
      </c>
      <c r="AA1887" t="s">
        <v>27346</v>
      </c>
      <c r="AC1887" t="s">
        <v>27346</v>
      </c>
    </row>
    <row r="1888" spans="1:30">
      <c r="A1888" t="s">
        <v>27347</v>
      </c>
      <c r="B1888">
        <v>2</v>
      </c>
      <c r="C1888">
        <v>24</v>
      </c>
      <c r="D1888">
        <v>1986</v>
      </c>
      <c r="E1888" s="1">
        <v>31467</v>
      </c>
      <c r="F1888" t="s">
        <v>27348</v>
      </c>
      <c r="G1888">
        <v>0</v>
      </c>
      <c r="H1888">
        <v>0</v>
      </c>
      <c r="I1888">
        <v>0</v>
      </c>
      <c r="J1888">
        <v>1</v>
      </c>
      <c r="L1888" t="s">
        <v>27349</v>
      </c>
      <c r="M1888" t="s">
        <v>27350</v>
      </c>
      <c r="N1888" t="s">
        <v>27351</v>
      </c>
      <c r="O1888" t="s">
        <v>27352</v>
      </c>
      <c r="P1888" t="s">
        <v>27353</v>
      </c>
      <c r="Q1888" t="s">
        <v>27354</v>
      </c>
      <c r="R1888" t="s">
        <v>27355</v>
      </c>
      <c r="U1888">
        <v>1</v>
      </c>
      <c r="V1888" t="s">
        <v>27356</v>
      </c>
      <c r="W1888" t="s">
        <v>27357</v>
      </c>
      <c r="X1888" t="s">
        <v>27358</v>
      </c>
      <c r="Y1888" t="s">
        <v>27359</v>
      </c>
      <c r="Z1888" t="s">
        <v>27359</v>
      </c>
      <c r="AA1888" t="s">
        <v>27359</v>
      </c>
      <c r="AB1888" t="s">
        <v>27359</v>
      </c>
      <c r="AC1888" t="s">
        <v>27359</v>
      </c>
    </row>
    <row r="1889" spans="1:30">
      <c r="A1889" t="s">
        <v>27360</v>
      </c>
      <c r="B1889">
        <v>1</v>
      </c>
      <c r="C1889">
        <v>29</v>
      </c>
      <c r="D1889">
        <v>1986</v>
      </c>
      <c r="E1889" s="1">
        <v>31441</v>
      </c>
      <c r="F1889" t="s">
        <v>27361</v>
      </c>
      <c r="G1889">
        <v>1</v>
      </c>
      <c r="H1889">
        <v>0</v>
      </c>
      <c r="I1889">
        <v>1</v>
      </c>
      <c r="J1889">
        <v>0</v>
      </c>
      <c r="L1889" t="s">
        <v>27362</v>
      </c>
      <c r="M1889" t="s">
        <v>27363</v>
      </c>
      <c r="N1889" t="s">
        <v>27364</v>
      </c>
      <c r="O1889" t="s">
        <v>27365</v>
      </c>
      <c r="P1889" t="s">
        <v>27366</v>
      </c>
      <c r="Q1889" t="s">
        <v>27366</v>
      </c>
      <c r="R1889" t="s">
        <v>27367</v>
      </c>
      <c r="U1889">
        <v>1</v>
      </c>
      <c r="V1889" t="s">
        <v>27368</v>
      </c>
      <c r="W1889" t="s">
        <v>27369</v>
      </c>
      <c r="X1889" t="s">
        <v>27370</v>
      </c>
      <c r="Y1889" t="s">
        <v>27371</v>
      </c>
      <c r="Z1889" t="s">
        <v>27371</v>
      </c>
      <c r="AA1889" t="s">
        <v>27371</v>
      </c>
      <c r="AB1889" t="s">
        <v>27372</v>
      </c>
      <c r="AC1889" t="s">
        <v>27373</v>
      </c>
    </row>
    <row r="1890" spans="1:30">
      <c r="A1890" t="s">
        <v>27374</v>
      </c>
      <c r="B1890">
        <v>1</v>
      </c>
      <c r="C1890">
        <v>17</v>
      </c>
      <c r="D1890">
        <v>1986</v>
      </c>
      <c r="E1890" s="1">
        <v>31429</v>
      </c>
      <c r="F1890" t="s">
        <v>27375</v>
      </c>
      <c r="G1890">
        <v>1</v>
      </c>
      <c r="H1890">
        <v>0</v>
      </c>
      <c r="I1890">
        <v>1</v>
      </c>
      <c r="J1890">
        <v>0</v>
      </c>
      <c r="L1890" t="s">
        <v>27376</v>
      </c>
      <c r="M1890" t="s">
        <v>27377</v>
      </c>
      <c r="N1890" t="s">
        <v>27378</v>
      </c>
      <c r="O1890" t="s">
        <v>27379</v>
      </c>
      <c r="P1890" t="s">
        <v>27380</v>
      </c>
      <c r="Q1890" t="s">
        <v>27380</v>
      </c>
      <c r="R1890" t="s">
        <v>27381</v>
      </c>
      <c r="S1890" t="s">
        <v>27382</v>
      </c>
      <c r="U1890">
        <v>1</v>
      </c>
      <c r="V1890" t="s">
        <v>27383</v>
      </c>
      <c r="W1890" t="s">
        <v>27384</v>
      </c>
      <c r="X1890" t="s">
        <v>27385</v>
      </c>
      <c r="Y1890" t="s">
        <v>27386</v>
      </c>
      <c r="Z1890" t="s">
        <v>27386</v>
      </c>
      <c r="AA1890" t="s">
        <v>27386</v>
      </c>
      <c r="AB1890" t="s">
        <v>27386</v>
      </c>
      <c r="AC1890" t="s">
        <v>27386</v>
      </c>
    </row>
    <row r="1891" spans="1:30">
      <c r="A1891" t="s">
        <v>27387</v>
      </c>
      <c r="B1891">
        <v>1</v>
      </c>
      <c r="C1891">
        <v>9</v>
      </c>
      <c r="D1891">
        <v>1986</v>
      </c>
      <c r="E1891" s="1">
        <v>31421</v>
      </c>
      <c r="F1891" t="s">
        <v>27388</v>
      </c>
      <c r="G1891">
        <v>1</v>
      </c>
      <c r="H1891">
        <v>0</v>
      </c>
      <c r="I1891">
        <v>1</v>
      </c>
      <c r="J1891">
        <v>0</v>
      </c>
      <c r="L1891" t="s">
        <v>27389</v>
      </c>
      <c r="M1891" t="s">
        <v>27390</v>
      </c>
      <c r="N1891" t="s">
        <v>27391</v>
      </c>
      <c r="O1891" t="s">
        <v>27392</v>
      </c>
      <c r="P1891" t="s">
        <v>27393</v>
      </c>
      <c r="Q1891" t="s">
        <v>27394</v>
      </c>
      <c r="R1891" t="s">
        <v>27395</v>
      </c>
      <c r="S1891" t="s">
        <v>27396</v>
      </c>
      <c r="T1891" s="2">
        <v>0.66666666666666663</v>
      </c>
      <c r="U1891">
        <v>1</v>
      </c>
      <c r="V1891" t="s">
        <v>27397</v>
      </c>
      <c r="W1891" t="s">
        <v>27398</v>
      </c>
      <c r="X1891" t="s">
        <v>27399</v>
      </c>
      <c r="Y1891" t="s">
        <v>27400</v>
      </c>
      <c r="Z1891" t="s">
        <v>27400</v>
      </c>
      <c r="AA1891" t="s">
        <v>27400</v>
      </c>
      <c r="AB1891" t="s">
        <v>27400</v>
      </c>
      <c r="AC1891" t="s">
        <v>27401</v>
      </c>
    </row>
    <row r="1892" spans="1:30">
      <c r="A1892" t="s">
        <v>27402</v>
      </c>
      <c r="B1892">
        <v>12</v>
      </c>
      <c r="C1892">
        <v>10</v>
      </c>
      <c r="D1892">
        <v>1985</v>
      </c>
      <c r="E1892" s="1">
        <v>31391</v>
      </c>
      <c r="F1892" t="s">
        <v>27403</v>
      </c>
      <c r="G1892">
        <v>1</v>
      </c>
      <c r="H1892">
        <v>2</v>
      </c>
      <c r="I1892">
        <v>3</v>
      </c>
      <c r="J1892">
        <v>0</v>
      </c>
      <c r="L1892" t="s">
        <v>27404</v>
      </c>
      <c r="M1892" t="s">
        <v>27405</v>
      </c>
      <c r="N1892" t="s">
        <v>27406</v>
      </c>
      <c r="O1892" t="s">
        <v>27407</v>
      </c>
      <c r="P1892" t="s">
        <v>27408</v>
      </c>
      <c r="Q1892" t="s">
        <v>27409</v>
      </c>
      <c r="R1892" t="s">
        <v>27410</v>
      </c>
      <c r="S1892" t="s">
        <v>27411</v>
      </c>
      <c r="T1892" s="2">
        <v>0.52083333333333337</v>
      </c>
      <c r="U1892">
        <v>30</v>
      </c>
      <c r="V1892" t="s">
        <v>27412</v>
      </c>
      <c r="W1892" t="s">
        <v>27413</v>
      </c>
      <c r="X1892" t="s">
        <v>27414</v>
      </c>
      <c r="Z1892" t="s">
        <v>27415</v>
      </c>
      <c r="AA1892" t="s">
        <v>27415</v>
      </c>
      <c r="AB1892" t="s">
        <v>27416</v>
      </c>
      <c r="AC1892" t="s">
        <v>27416</v>
      </c>
      <c r="AD1892" t="s">
        <v>27417</v>
      </c>
    </row>
    <row r="1893" spans="1:30">
      <c r="A1893" t="s">
        <v>27418</v>
      </c>
      <c r="B1893">
        <v>12</v>
      </c>
      <c r="C1893">
        <v>9</v>
      </c>
      <c r="D1893">
        <v>1985</v>
      </c>
      <c r="E1893" s="1">
        <v>31390</v>
      </c>
      <c r="F1893" t="s">
        <v>27419</v>
      </c>
      <c r="G1893">
        <v>0</v>
      </c>
      <c r="H1893">
        <v>0</v>
      </c>
      <c r="I1893">
        <v>0</v>
      </c>
      <c r="J1893">
        <v>0</v>
      </c>
      <c r="L1893" t="s">
        <v>27420</v>
      </c>
      <c r="M1893" t="s">
        <v>27421</v>
      </c>
      <c r="N1893" t="s">
        <v>27422</v>
      </c>
      <c r="O1893" t="s">
        <v>27423</v>
      </c>
      <c r="P1893" t="s">
        <v>27424</v>
      </c>
      <c r="Q1893" t="s">
        <v>27425</v>
      </c>
      <c r="R1893" t="s">
        <v>27426</v>
      </c>
      <c r="S1893" t="s">
        <v>27427</v>
      </c>
      <c r="U1893">
        <v>450</v>
      </c>
      <c r="V1893" t="s">
        <v>27428</v>
      </c>
      <c r="W1893" t="s">
        <v>27429</v>
      </c>
      <c r="X1893" t="s">
        <v>27430</v>
      </c>
      <c r="Y1893" t="s">
        <v>27431</v>
      </c>
      <c r="Z1893" t="s">
        <v>27432</v>
      </c>
      <c r="AA1893" t="s">
        <v>27432</v>
      </c>
      <c r="AC1893" t="s">
        <v>27433</v>
      </c>
      <c r="AD1893" t="s">
        <v>27434</v>
      </c>
    </row>
    <row r="1894" spans="1:30">
      <c r="A1894" t="s">
        <v>27435</v>
      </c>
      <c r="B1894">
        <v>12</v>
      </c>
      <c r="C1894">
        <v>3</v>
      </c>
      <c r="D1894">
        <v>1985</v>
      </c>
      <c r="E1894" s="1">
        <v>31384</v>
      </c>
      <c r="F1894" t="s">
        <v>27436</v>
      </c>
      <c r="G1894">
        <v>0</v>
      </c>
      <c r="H1894">
        <v>0</v>
      </c>
      <c r="I1894">
        <v>0</v>
      </c>
      <c r="J1894">
        <v>1</v>
      </c>
      <c r="L1894" t="s">
        <v>27437</v>
      </c>
      <c r="M1894" t="s">
        <v>27438</v>
      </c>
      <c r="N1894" t="s">
        <v>27439</v>
      </c>
      <c r="O1894" t="s">
        <v>27440</v>
      </c>
      <c r="P1894" t="s">
        <v>27441</v>
      </c>
      <c r="Q1894" t="s">
        <v>27442</v>
      </c>
      <c r="R1894" t="s">
        <v>27443</v>
      </c>
      <c r="S1894" t="s">
        <v>27444</v>
      </c>
      <c r="T1894" s="2">
        <v>0.33680555555555552</v>
      </c>
      <c r="V1894" t="s">
        <v>27445</v>
      </c>
      <c r="W1894" t="s">
        <v>27446</v>
      </c>
      <c r="X1894" t="s">
        <v>27447</v>
      </c>
      <c r="Y1894" t="s">
        <v>27448</v>
      </c>
      <c r="Z1894" t="s">
        <v>27449</v>
      </c>
      <c r="AA1894" t="s">
        <v>27449</v>
      </c>
      <c r="AB1894" t="s">
        <v>27449</v>
      </c>
      <c r="AC1894" t="s">
        <v>27450</v>
      </c>
      <c r="AD1894" t="s">
        <v>27451</v>
      </c>
    </row>
    <row r="1895" spans="1:30">
      <c r="A1895" t="s">
        <v>27452</v>
      </c>
      <c r="B1895">
        <v>11</v>
      </c>
      <c r="C1895">
        <v>27</v>
      </c>
      <c r="D1895">
        <v>1985</v>
      </c>
      <c r="E1895" s="1">
        <v>31378</v>
      </c>
      <c r="F1895" t="s">
        <v>27453</v>
      </c>
      <c r="G1895">
        <v>0</v>
      </c>
      <c r="H1895">
        <v>1</v>
      </c>
      <c r="I1895">
        <v>1</v>
      </c>
      <c r="J1895">
        <v>1</v>
      </c>
      <c r="L1895" t="s">
        <v>27454</v>
      </c>
      <c r="M1895" t="s">
        <v>27455</v>
      </c>
      <c r="N1895" t="s">
        <v>27456</v>
      </c>
      <c r="O1895" t="s">
        <v>27457</v>
      </c>
      <c r="P1895" t="s">
        <v>27458</v>
      </c>
      <c r="Q1895" t="s">
        <v>27459</v>
      </c>
      <c r="R1895" t="s">
        <v>27460</v>
      </c>
      <c r="S1895" t="s">
        <v>27461</v>
      </c>
      <c r="T1895" s="2">
        <v>0.625</v>
      </c>
      <c r="U1895">
        <v>1</v>
      </c>
      <c r="V1895" t="s">
        <v>27462</v>
      </c>
      <c r="W1895" t="s">
        <v>27463</v>
      </c>
      <c r="X1895" t="s">
        <v>27464</v>
      </c>
      <c r="Y1895" t="s">
        <v>27465</v>
      </c>
      <c r="Z1895" t="s">
        <v>27465</v>
      </c>
      <c r="AA1895" t="s">
        <v>27465</v>
      </c>
      <c r="AC1895" t="s">
        <v>27465</v>
      </c>
    </row>
    <row r="1896" spans="1:30">
      <c r="A1896" t="s">
        <v>27466</v>
      </c>
      <c r="B1896">
        <v>11</v>
      </c>
      <c r="C1896">
        <v>26</v>
      </c>
      <c r="D1896">
        <v>1985</v>
      </c>
      <c r="E1896" s="1">
        <v>31377</v>
      </c>
      <c r="F1896" t="s">
        <v>27467</v>
      </c>
      <c r="G1896">
        <v>2</v>
      </c>
      <c r="H1896">
        <v>0</v>
      </c>
      <c r="I1896">
        <v>2</v>
      </c>
      <c r="J1896">
        <v>1</v>
      </c>
      <c r="L1896" t="s">
        <v>27468</v>
      </c>
      <c r="M1896" t="s">
        <v>27469</v>
      </c>
      <c r="N1896" t="s">
        <v>27470</v>
      </c>
      <c r="O1896" t="s">
        <v>27471</v>
      </c>
      <c r="P1896" t="s">
        <v>27472</v>
      </c>
      <c r="Q1896" t="s">
        <v>27473</v>
      </c>
      <c r="R1896" t="s">
        <v>27474</v>
      </c>
      <c r="S1896" t="s">
        <v>27475</v>
      </c>
      <c r="T1896" s="2">
        <v>0.68055555555555547</v>
      </c>
      <c r="U1896">
        <v>1</v>
      </c>
      <c r="V1896" t="s">
        <v>27476</v>
      </c>
      <c r="W1896" t="s">
        <v>27477</v>
      </c>
      <c r="X1896" t="s">
        <v>27478</v>
      </c>
      <c r="Y1896" t="s">
        <v>27479</v>
      </c>
      <c r="Z1896" t="s">
        <v>27479</v>
      </c>
      <c r="AA1896" t="s">
        <v>27479</v>
      </c>
      <c r="AB1896" t="s">
        <v>27479</v>
      </c>
      <c r="AC1896" t="s">
        <v>27479</v>
      </c>
    </row>
    <row r="1897" spans="1:30">
      <c r="A1897" t="s">
        <v>27480</v>
      </c>
      <c r="B1897">
        <v>10</v>
      </c>
      <c r="C1897">
        <v>22</v>
      </c>
      <c r="D1897">
        <v>1985</v>
      </c>
      <c r="E1897" s="1">
        <v>31342</v>
      </c>
      <c r="F1897" t="s">
        <v>27481</v>
      </c>
      <c r="G1897">
        <v>0</v>
      </c>
      <c r="H1897">
        <v>1</v>
      </c>
      <c r="I1897">
        <v>1</v>
      </c>
      <c r="J1897">
        <v>0</v>
      </c>
      <c r="L1897" t="s">
        <v>27482</v>
      </c>
      <c r="M1897" t="s">
        <v>27483</v>
      </c>
      <c r="N1897" t="s">
        <v>27484</v>
      </c>
      <c r="O1897" t="s">
        <v>27485</v>
      </c>
      <c r="P1897" t="s">
        <v>27486</v>
      </c>
      <c r="Q1897" t="s">
        <v>27487</v>
      </c>
      <c r="R1897" t="s">
        <v>27488</v>
      </c>
      <c r="S1897" t="s">
        <v>27489</v>
      </c>
      <c r="U1897">
        <v>1</v>
      </c>
      <c r="V1897" t="s">
        <v>27490</v>
      </c>
      <c r="W1897" t="s">
        <v>27491</v>
      </c>
      <c r="X1897" t="s">
        <v>27492</v>
      </c>
      <c r="Y1897" t="s">
        <v>27493</v>
      </c>
      <c r="Z1897" t="s">
        <v>27493</v>
      </c>
      <c r="AA1897" t="s">
        <v>27493</v>
      </c>
      <c r="AB1897" t="s">
        <v>27494</v>
      </c>
      <c r="AC1897" t="s">
        <v>27494</v>
      </c>
      <c r="AD1897" t="s">
        <v>27494</v>
      </c>
    </row>
    <row r="1898" spans="1:30">
      <c r="A1898" t="s">
        <v>27495</v>
      </c>
      <c r="B1898">
        <v>10</v>
      </c>
      <c r="C1898">
        <v>18</v>
      </c>
      <c r="D1898">
        <v>1985</v>
      </c>
      <c r="E1898" s="1">
        <v>31338</v>
      </c>
      <c r="F1898" t="s">
        <v>27496</v>
      </c>
      <c r="G1898">
        <v>0</v>
      </c>
      <c r="H1898">
        <v>7</v>
      </c>
      <c r="I1898">
        <v>7</v>
      </c>
      <c r="J1898">
        <v>0</v>
      </c>
      <c r="L1898" t="s">
        <v>27497</v>
      </c>
      <c r="M1898" t="s">
        <v>27498</v>
      </c>
      <c r="N1898" t="s">
        <v>27499</v>
      </c>
      <c r="O1898" t="s">
        <v>27500</v>
      </c>
      <c r="P1898" t="s">
        <v>27501</v>
      </c>
      <c r="Q1898" t="s">
        <v>27502</v>
      </c>
      <c r="R1898" t="s">
        <v>27503</v>
      </c>
      <c r="S1898" t="s">
        <v>27504</v>
      </c>
      <c r="V1898" t="s">
        <v>27505</v>
      </c>
      <c r="W1898" t="s">
        <v>27506</v>
      </c>
      <c r="Y1898" t="s">
        <v>27507</v>
      </c>
      <c r="Z1898" t="s">
        <v>27508</v>
      </c>
      <c r="AA1898" t="s">
        <v>27508</v>
      </c>
      <c r="AB1898" t="s">
        <v>27508</v>
      </c>
      <c r="AC1898" t="s">
        <v>27508</v>
      </c>
      <c r="AD1898" t="s">
        <v>27509</v>
      </c>
    </row>
    <row r="1899" spans="1:30">
      <c r="A1899" t="s">
        <v>27510</v>
      </c>
      <c r="B1899">
        <v>10</v>
      </c>
      <c r="C1899">
        <v>8</v>
      </c>
      <c r="D1899">
        <v>1985</v>
      </c>
      <c r="E1899" s="1">
        <v>31328</v>
      </c>
      <c r="F1899" t="s">
        <v>27511</v>
      </c>
      <c r="G1899">
        <v>1</v>
      </c>
      <c r="H1899">
        <v>0</v>
      </c>
      <c r="I1899">
        <v>1</v>
      </c>
      <c r="J1899">
        <v>0</v>
      </c>
      <c r="L1899" t="s">
        <v>27512</v>
      </c>
      <c r="M1899" t="s">
        <v>27513</v>
      </c>
      <c r="N1899" t="s">
        <v>27514</v>
      </c>
      <c r="O1899" t="s">
        <v>27515</v>
      </c>
      <c r="P1899" t="s">
        <v>27516</v>
      </c>
      <c r="Q1899" t="s">
        <v>27516</v>
      </c>
      <c r="R1899" t="s">
        <v>27517</v>
      </c>
      <c r="S1899" t="s">
        <v>27518</v>
      </c>
      <c r="T1899" s="2">
        <v>0.625</v>
      </c>
      <c r="U1899">
        <v>1</v>
      </c>
      <c r="V1899" t="s">
        <v>27519</v>
      </c>
      <c r="W1899" t="s">
        <v>27520</v>
      </c>
      <c r="X1899" t="s">
        <v>27521</v>
      </c>
      <c r="Y1899" t="s">
        <v>27522</v>
      </c>
      <c r="Z1899" t="s">
        <v>27522</v>
      </c>
      <c r="AA1899" t="s">
        <v>27522</v>
      </c>
      <c r="AB1899" t="s">
        <v>27522</v>
      </c>
      <c r="AC1899" t="s">
        <v>27522</v>
      </c>
    </row>
    <row r="1900" spans="1:30">
      <c r="A1900" t="s">
        <v>27523</v>
      </c>
      <c r="B1900">
        <v>9</v>
      </c>
      <c r="C1900">
        <v>25</v>
      </c>
      <c r="D1900">
        <v>1985</v>
      </c>
      <c r="E1900" s="1">
        <v>31315</v>
      </c>
      <c r="F1900" t="s">
        <v>27524</v>
      </c>
      <c r="G1900">
        <v>0</v>
      </c>
      <c r="H1900">
        <v>2</v>
      </c>
      <c r="I1900">
        <v>2</v>
      </c>
      <c r="J1900">
        <v>0</v>
      </c>
      <c r="L1900" t="s">
        <v>27525</v>
      </c>
      <c r="M1900" t="s">
        <v>27526</v>
      </c>
      <c r="N1900" t="s">
        <v>27527</v>
      </c>
      <c r="O1900" t="s">
        <v>27528</v>
      </c>
      <c r="P1900" t="s">
        <v>27529</v>
      </c>
      <c r="Q1900" t="s">
        <v>27529</v>
      </c>
      <c r="R1900" t="s">
        <v>27530</v>
      </c>
      <c r="S1900" t="s">
        <v>27531</v>
      </c>
      <c r="T1900" s="2">
        <v>0.60416666666666674</v>
      </c>
      <c r="U1900">
        <v>1</v>
      </c>
      <c r="V1900" t="s">
        <v>27532</v>
      </c>
      <c r="W1900" t="s">
        <v>27533</v>
      </c>
      <c r="X1900" t="s">
        <v>27534</v>
      </c>
      <c r="Y1900" t="s">
        <v>27535</v>
      </c>
      <c r="Z1900" t="s">
        <v>27535</v>
      </c>
      <c r="AA1900" t="s">
        <v>27535</v>
      </c>
      <c r="AB1900" t="s">
        <v>27535</v>
      </c>
      <c r="AC1900" t="s">
        <v>27535</v>
      </c>
    </row>
    <row r="1901" spans="1:30">
      <c r="A1901" t="s">
        <v>27536</v>
      </c>
      <c r="B1901">
        <v>9</v>
      </c>
      <c r="C1901">
        <v>20</v>
      </c>
      <c r="D1901">
        <v>1985</v>
      </c>
      <c r="E1901" s="1">
        <v>31310</v>
      </c>
      <c r="F1901" t="s">
        <v>27537</v>
      </c>
      <c r="G1901">
        <v>0</v>
      </c>
      <c r="H1901">
        <v>2</v>
      </c>
      <c r="I1901">
        <v>2</v>
      </c>
      <c r="J1901">
        <v>0</v>
      </c>
      <c r="L1901" t="s">
        <v>27538</v>
      </c>
      <c r="M1901" t="s">
        <v>27539</v>
      </c>
      <c r="N1901" t="s">
        <v>27540</v>
      </c>
      <c r="O1901" t="s">
        <v>27541</v>
      </c>
      <c r="P1901" t="s">
        <v>27542</v>
      </c>
      <c r="Q1901" t="s">
        <v>27543</v>
      </c>
      <c r="R1901" t="s">
        <v>27544</v>
      </c>
      <c r="S1901" t="s">
        <v>27545</v>
      </c>
      <c r="T1901" s="2">
        <v>0.51388888888888884</v>
      </c>
      <c r="U1901">
        <v>1</v>
      </c>
      <c r="V1901" t="s">
        <v>27546</v>
      </c>
      <c r="W1901" t="s">
        <v>27547</v>
      </c>
      <c r="X1901" t="s">
        <v>27548</v>
      </c>
      <c r="Y1901" t="s">
        <v>27549</v>
      </c>
      <c r="Z1901" t="s">
        <v>27549</v>
      </c>
      <c r="AA1901" t="s">
        <v>27549</v>
      </c>
      <c r="AB1901" t="s">
        <v>27549</v>
      </c>
      <c r="AC1901" t="s">
        <v>27549</v>
      </c>
    </row>
    <row r="1902" spans="1:30">
      <c r="A1902" t="s">
        <v>27550</v>
      </c>
      <c r="B1902">
        <v>9</v>
      </c>
      <c r="C1902">
        <v>9</v>
      </c>
      <c r="D1902">
        <v>1985</v>
      </c>
      <c r="E1902" s="1">
        <v>31299</v>
      </c>
      <c r="F1902" t="s">
        <v>27551</v>
      </c>
      <c r="G1902">
        <v>0</v>
      </c>
      <c r="H1902">
        <v>1</v>
      </c>
      <c r="I1902">
        <v>1</v>
      </c>
      <c r="J1902">
        <v>0</v>
      </c>
      <c r="L1902" t="s">
        <v>27552</v>
      </c>
      <c r="M1902" t="s">
        <v>27553</v>
      </c>
      <c r="N1902" t="s">
        <v>27554</v>
      </c>
      <c r="O1902" t="s">
        <v>27555</v>
      </c>
      <c r="P1902" t="s">
        <v>27556</v>
      </c>
      <c r="Q1902" t="s">
        <v>27557</v>
      </c>
      <c r="R1902" t="s">
        <v>27558</v>
      </c>
      <c r="S1902" t="s">
        <v>27559</v>
      </c>
      <c r="U1902">
        <v>1</v>
      </c>
      <c r="V1902" t="s">
        <v>27560</v>
      </c>
      <c r="W1902" t="s">
        <v>27561</v>
      </c>
      <c r="X1902" t="s">
        <v>27562</v>
      </c>
      <c r="Y1902" t="s">
        <v>27563</v>
      </c>
      <c r="Z1902" t="s">
        <v>27564</v>
      </c>
      <c r="AA1902" t="s">
        <v>27564</v>
      </c>
      <c r="AB1902" t="s">
        <v>27564</v>
      </c>
      <c r="AC1902" t="s">
        <v>27564</v>
      </c>
    </row>
    <row r="1903" spans="1:30">
      <c r="A1903" t="s">
        <v>27565</v>
      </c>
      <c r="B1903">
        <v>9</v>
      </c>
      <c r="C1903">
        <v>4</v>
      </c>
      <c r="D1903">
        <v>1985</v>
      </c>
      <c r="E1903" s="1">
        <v>31294</v>
      </c>
      <c r="F1903" t="s">
        <v>27566</v>
      </c>
      <c r="G1903">
        <v>0</v>
      </c>
      <c r="H1903">
        <v>1</v>
      </c>
      <c r="I1903">
        <v>1</v>
      </c>
      <c r="J1903">
        <v>0</v>
      </c>
      <c r="K1903" t="s">
        <v>27567</v>
      </c>
      <c r="L1903" t="s">
        <v>27568</v>
      </c>
      <c r="M1903" t="s">
        <v>27569</v>
      </c>
      <c r="N1903" t="s">
        <v>27570</v>
      </c>
      <c r="O1903" t="s">
        <v>27571</v>
      </c>
      <c r="P1903" t="s">
        <v>27572</v>
      </c>
      <c r="Q1903" t="s">
        <v>27572</v>
      </c>
      <c r="R1903" t="s">
        <v>27573</v>
      </c>
      <c r="S1903" t="s">
        <v>27574</v>
      </c>
      <c r="U1903">
        <v>1</v>
      </c>
      <c r="V1903" t="s">
        <v>27575</v>
      </c>
      <c r="W1903" t="s">
        <v>27576</v>
      </c>
      <c r="X1903" t="s">
        <v>27577</v>
      </c>
      <c r="Y1903" t="s">
        <v>27578</v>
      </c>
      <c r="Z1903" t="s">
        <v>27578</v>
      </c>
      <c r="AA1903" t="s">
        <v>27578</v>
      </c>
      <c r="AC1903" t="s">
        <v>27578</v>
      </c>
    </row>
    <row r="1904" spans="1:30">
      <c r="A1904" t="s">
        <v>27579</v>
      </c>
      <c r="B1904">
        <v>7</v>
      </c>
      <c r="C1904">
        <v>24</v>
      </c>
      <c r="D1904">
        <v>1985</v>
      </c>
      <c r="E1904" s="1">
        <v>31252</v>
      </c>
      <c r="F1904" t="s">
        <v>27580</v>
      </c>
      <c r="G1904">
        <v>0</v>
      </c>
      <c r="H1904">
        <v>1</v>
      </c>
      <c r="I1904">
        <v>1</v>
      </c>
      <c r="J1904">
        <v>0</v>
      </c>
      <c r="L1904" t="s">
        <v>27581</v>
      </c>
      <c r="M1904" t="s">
        <v>27582</v>
      </c>
      <c r="N1904" t="s">
        <v>27583</v>
      </c>
      <c r="O1904" t="s">
        <v>27584</v>
      </c>
      <c r="P1904" t="s">
        <v>27585</v>
      </c>
      <c r="Q1904" t="s">
        <v>27586</v>
      </c>
      <c r="R1904" t="s">
        <v>27587</v>
      </c>
      <c r="S1904" t="s">
        <v>27588</v>
      </c>
      <c r="T1904" s="2">
        <v>0.39583333333333331</v>
      </c>
      <c r="U1904">
        <v>1</v>
      </c>
      <c r="V1904" t="s">
        <v>27589</v>
      </c>
      <c r="W1904" t="s">
        <v>27590</v>
      </c>
      <c r="X1904" t="s">
        <v>27591</v>
      </c>
      <c r="Z1904" t="s">
        <v>27592</v>
      </c>
      <c r="AA1904" t="s">
        <v>27592</v>
      </c>
      <c r="AB1904" t="s">
        <v>27592</v>
      </c>
      <c r="AC1904" t="s">
        <v>27592</v>
      </c>
    </row>
    <row r="1905" spans="1:30">
      <c r="A1905" t="s">
        <v>27593</v>
      </c>
      <c r="B1905">
        <v>5</v>
      </c>
      <c r="C1905">
        <v>16</v>
      </c>
      <c r="D1905">
        <v>1985</v>
      </c>
      <c r="E1905" s="1">
        <v>31183</v>
      </c>
      <c r="F1905" t="s">
        <v>27594</v>
      </c>
      <c r="G1905">
        <v>0</v>
      </c>
      <c r="H1905">
        <v>0</v>
      </c>
      <c r="I1905">
        <v>0</v>
      </c>
      <c r="J1905">
        <v>0</v>
      </c>
      <c r="L1905" t="s">
        <v>27595</v>
      </c>
      <c r="M1905" t="s">
        <v>27596</v>
      </c>
      <c r="N1905" t="s">
        <v>27597</v>
      </c>
      <c r="O1905" t="s">
        <v>27598</v>
      </c>
      <c r="P1905" t="s">
        <v>27599</v>
      </c>
      <c r="Q1905" t="s">
        <v>27600</v>
      </c>
      <c r="R1905" t="s">
        <v>27601</v>
      </c>
      <c r="S1905" t="s">
        <v>27602</v>
      </c>
      <c r="T1905" s="2">
        <v>0.33333333333333331</v>
      </c>
      <c r="U1905">
        <v>1</v>
      </c>
      <c r="V1905" t="s">
        <v>27603</v>
      </c>
      <c r="W1905" t="s">
        <v>27604</v>
      </c>
      <c r="X1905" t="s">
        <v>27605</v>
      </c>
      <c r="Y1905" t="s">
        <v>27606</v>
      </c>
      <c r="Z1905" t="s">
        <v>27606</v>
      </c>
      <c r="AA1905" t="s">
        <v>27606</v>
      </c>
      <c r="AB1905" t="s">
        <v>27606</v>
      </c>
      <c r="AC1905" t="s">
        <v>27606</v>
      </c>
    </row>
    <row r="1906" spans="1:30">
      <c r="A1906" t="s">
        <v>27607</v>
      </c>
      <c r="B1906">
        <v>4</v>
      </c>
      <c r="C1906">
        <v>18</v>
      </c>
      <c r="D1906">
        <v>1985</v>
      </c>
      <c r="E1906" s="1">
        <v>31155</v>
      </c>
      <c r="F1906" t="s">
        <v>27608</v>
      </c>
      <c r="G1906">
        <v>0</v>
      </c>
      <c r="H1906">
        <v>1</v>
      </c>
      <c r="I1906">
        <v>1</v>
      </c>
      <c r="J1906">
        <v>0</v>
      </c>
      <c r="K1906" t="s">
        <v>27609</v>
      </c>
      <c r="L1906" t="s">
        <v>27610</v>
      </c>
      <c r="M1906" t="s">
        <v>27611</v>
      </c>
      <c r="N1906" t="s">
        <v>27612</v>
      </c>
      <c r="O1906" t="s">
        <v>27613</v>
      </c>
      <c r="P1906" t="s">
        <v>27614</v>
      </c>
      <c r="Q1906" t="s">
        <v>27615</v>
      </c>
      <c r="R1906" t="s">
        <v>27616</v>
      </c>
      <c r="S1906" t="s">
        <v>27617</v>
      </c>
      <c r="U1906">
        <v>1</v>
      </c>
      <c r="V1906" t="s">
        <v>27618</v>
      </c>
      <c r="W1906" t="s">
        <v>27619</v>
      </c>
      <c r="X1906" t="s">
        <v>27620</v>
      </c>
      <c r="Y1906" t="s">
        <v>27621</v>
      </c>
      <c r="Z1906" t="s">
        <v>27621</v>
      </c>
      <c r="AA1906" t="s">
        <v>27621</v>
      </c>
      <c r="AB1906" t="s">
        <v>27621</v>
      </c>
      <c r="AC1906" t="s">
        <v>27622</v>
      </c>
      <c r="AD1906" t="s">
        <v>27623</v>
      </c>
    </row>
    <row r="1907" spans="1:30">
      <c r="A1907" t="s">
        <v>27624</v>
      </c>
      <c r="B1907">
        <v>4</v>
      </c>
      <c r="C1907">
        <v>16</v>
      </c>
      <c r="D1907">
        <v>1985</v>
      </c>
      <c r="E1907" s="1">
        <v>31153</v>
      </c>
      <c r="F1907" t="s">
        <v>27625</v>
      </c>
      <c r="G1907">
        <v>0</v>
      </c>
      <c r="H1907">
        <v>0</v>
      </c>
      <c r="I1907">
        <v>0</v>
      </c>
      <c r="J1907">
        <v>0</v>
      </c>
      <c r="L1907" t="s">
        <v>27626</v>
      </c>
      <c r="M1907" t="s">
        <v>27627</v>
      </c>
      <c r="N1907" t="s">
        <v>27628</v>
      </c>
      <c r="O1907" t="s">
        <v>27629</v>
      </c>
      <c r="P1907" t="s">
        <v>27630</v>
      </c>
      <c r="Q1907" t="s">
        <v>27631</v>
      </c>
      <c r="R1907" t="s">
        <v>27632</v>
      </c>
      <c r="S1907" t="s">
        <v>27633</v>
      </c>
      <c r="V1907" t="s">
        <v>27634</v>
      </c>
      <c r="W1907" t="s">
        <v>27635</v>
      </c>
      <c r="X1907" t="s">
        <v>27636</v>
      </c>
      <c r="Y1907" t="s">
        <v>27637</v>
      </c>
      <c r="Z1907" t="s">
        <v>27637</v>
      </c>
      <c r="AA1907" t="s">
        <v>27637</v>
      </c>
      <c r="AB1907" t="s">
        <v>27637</v>
      </c>
      <c r="AC1907" t="s">
        <v>27637</v>
      </c>
    </row>
    <row r="1908" spans="1:30">
      <c r="A1908" t="s">
        <v>27638</v>
      </c>
      <c r="B1908">
        <v>2</v>
      </c>
      <c r="C1908">
        <v>5</v>
      </c>
      <c r="D1908">
        <v>1985</v>
      </c>
      <c r="E1908" s="1">
        <v>31083</v>
      </c>
      <c r="F1908" t="s">
        <v>27639</v>
      </c>
      <c r="G1908">
        <v>0</v>
      </c>
      <c r="H1908">
        <v>1</v>
      </c>
      <c r="I1908">
        <v>1</v>
      </c>
      <c r="J1908">
        <v>0</v>
      </c>
      <c r="L1908" t="s">
        <v>27640</v>
      </c>
      <c r="M1908" t="s">
        <v>27641</v>
      </c>
      <c r="N1908" t="s">
        <v>27642</v>
      </c>
      <c r="O1908" t="s">
        <v>27643</v>
      </c>
      <c r="P1908" t="s">
        <v>27644</v>
      </c>
      <c r="Q1908" t="s">
        <v>27645</v>
      </c>
      <c r="R1908" t="s">
        <v>27646</v>
      </c>
      <c r="S1908" t="s">
        <v>27647</v>
      </c>
      <c r="T1908" s="2">
        <v>0.60416666666666674</v>
      </c>
      <c r="U1908">
        <v>1</v>
      </c>
      <c r="V1908" t="s">
        <v>27648</v>
      </c>
      <c r="W1908" t="s">
        <v>27649</v>
      </c>
      <c r="X1908" t="s">
        <v>27650</v>
      </c>
      <c r="Y1908" t="s">
        <v>27651</v>
      </c>
      <c r="Z1908" t="s">
        <v>27651</v>
      </c>
      <c r="AA1908" t="s">
        <v>27651</v>
      </c>
      <c r="AB1908" t="s">
        <v>27651</v>
      </c>
      <c r="AC1908" t="s">
        <v>27651</v>
      </c>
    </row>
    <row r="1909" spans="1:30">
      <c r="A1909" t="s">
        <v>27652</v>
      </c>
      <c r="B1909">
        <v>1</v>
      </c>
      <c r="C1909">
        <v>26</v>
      </c>
      <c r="D1909">
        <v>1985</v>
      </c>
      <c r="E1909" s="1">
        <v>31073</v>
      </c>
      <c r="F1909" t="s">
        <v>27653</v>
      </c>
      <c r="G1909">
        <v>0</v>
      </c>
      <c r="H1909">
        <v>4</v>
      </c>
      <c r="I1909">
        <v>4</v>
      </c>
      <c r="J1909">
        <v>0</v>
      </c>
      <c r="L1909" t="s">
        <v>27654</v>
      </c>
      <c r="M1909" t="s">
        <v>27655</v>
      </c>
      <c r="N1909" t="s">
        <v>27656</v>
      </c>
      <c r="O1909" t="s">
        <v>27657</v>
      </c>
      <c r="P1909" t="s">
        <v>27658</v>
      </c>
      <c r="Q1909" t="s">
        <v>27659</v>
      </c>
      <c r="R1909" t="s">
        <v>27660</v>
      </c>
      <c r="S1909" t="s">
        <v>27661</v>
      </c>
      <c r="T1909" s="2">
        <v>0.95833333333333337</v>
      </c>
      <c r="U1909">
        <v>1</v>
      </c>
      <c r="V1909" t="s">
        <v>27662</v>
      </c>
      <c r="W1909" t="s">
        <v>27663</v>
      </c>
      <c r="X1909" t="s">
        <v>27664</v>
      </c>
      <c r="Y1909" t="s">
        <v>27665</v>
      </c>
      <c r="Z1909" t="s">
        <v>27665</v>
      </c>
      <c r="AA1909" t="s">
        <v>27665</v>
      </c>
      <c r="AB1909" t="s">
        <v>27665</v>
      </c>
      <c r="AC1909" t="s">
        <v>27665</v>
      </c>
    </row>
    <row r="1910" spans="1:30">
      <c r="A1910" t="s">
        <v>27666</v>
      </c>
      <c r="B1910">
        <v>1</v>
      </c>
      <c r="C1910">
        <v>21</v>
      </c>
      <c r="D1910">
        <v>1985</v>
      </c>
      <c r="E1910" s="1">
        <v>31068</v>
      </c>
      <c r="F1910" t="s">
        <v>27667</v>
      </c>
      <c r="G1910">
        <v>1</v>
      </c>
      <c r="H1910">
        <v>3</v>
      </c>
      <c r="I1910">
        <v>4</v>
      </c>
      <c r="J1910">
        <v>0</v>
      </c>
      <c r="L1910" t="s">
        <v>27668</v>
      </c>
      <c r="M1910" t="s">
        <v>27669</v>
      </c>
      <c r="N1910" t="s">
        <v>27670</v>
      </c>
      <c r="O1910" t="s">
        <v>27671</v>
      </c>
      <c r="P1910" t="s">
        <v>27672</v>
      </c>
      <c r="Q1910" t="s">
        <v>27673</v>
      </c>
      <c r="R1910" t="s">
        <v>27674</v>
      </c>
      <c r="S1910" t="s">
        <v>27675</v>
      </c>
      <c r="T1910" s="2">
        <v>0.46180555555555552</v>
      </c>
      <c r="U1910">
        <v>1</v>
      </c>
      <c r="V1910" t="s">
        <v>27676</v>
      </c>
      <c r="W1910" t="s">
        <v>27677</v>
      </c>
      <c r="X1910" t="s">
        <v>27678</v>
      </c>
      <c r="Y1910" t="s">
        <v>27679</v>
      </c>
      <c r="Z1910" t="s">
        <v>27679</v>
      </c>
      <c r="AA1910" t="s">
        <v>27679</v>
      </c>
      <c r="AB1910" t="s">
        <v>27680</v>
      </c>
      <c r="AC1910" t="s">
        <v>27681</v>
      </c>
      <c r="AD1910" t="s">
        <v>27682</v>
      </c>
    </row>
    <row r="1911" spans="1:30">
      <c r="A1911" t="s">
        <v>27683</v>
      </c>
      <c r="B1911">
        <v>1</v>
      </c>
      <c r="C1911">
        <v>18</v>
      </c>
      <c r="D1911">
        <v>1985</v>
      </c>
      <c r="E1911" s="1">
        <v>31065</v>
      </c>
      <c r="F1911" t="s">
        <v>27684</v>
      </c>
      <c r="G1911">
        <v>0</v>
      </c>
      <c r="H1911">
        <v>0</v>
      </c>
      <c r="I1911">
        <v>0</v>
      </c>
      <c r="J1911">
        <v>1</v>
      </c>
      <c r="L1911" t="s">
        <v>27685</v>
      </c>
      <c r="M1911" t="s">
        <v>27686</v>
      </c>
      <c r="N1911" t="s">
        <v>27687</v>
      </c>
      <c r="O1911" t="s">
        <v>27688</v>
      </c>
      <c r="P1911" t="s">
        <v>27689</v>
      </c>
      <c r="Q1911" t="s">
        <v>27690</v>
      </c>
      <c r="R1911" t="s">
        <v>27691</v>
      </c>
      <c r="U1911">
        <v>1</v>
      </c>
      <c r="V1911" t="s">
        <v>27692</v>
      </c>
      <c r="W1911" t="s">
        <v>27693</v>
      </c>
      <c r="X1911" t="s">
        <v>27694</v>
      </c>
      <c r="Y1911" t="s">
        <v>27695</v>
      </c>
      <c r="Z1911" t="s">
        <v>27695</v>
      </c>
      <c r="AA1911" t="s">
        <v>27695</v>
      </c>
      <c r="AB1911" t="s">
        <v>27695</v>
      </c>
      <c r="AC1911" t="s">
        <v>27695</v>
      </c>
    </row>
    <row r="1912" spans="1:30">
      <c r="A1912" t="s">
        <v>27696</v>
      </c>
      <c r="B1912">
        <v>12</v>
      </c>
      <c r="C1912">
        <v>7</v>
      </c>
      <c r="D1912">
        <v>1984</v>
      </c>
      <c r="E1912" s="1">
        <v>31023</v>
      </c>
      <c r="F1912" t="s">
        <v>27697</v>
      </c>
      <c r="G1912">
        <v>0</v>
      </c>
      <c r="H1912">
        <v>0</v>
      </c>
      <c r="I1912">
        <v>0</v>
      </c>
      <c r="J1912">
        <v>0</v>
      </c>
      <c r="L1912" t="s">
        <v>27698</v>
      </c>
      <c r="M1912" t="s">
        <v>27699</v>
      </c>
      <c r="N1912" t="s">
        <v>27700</v>
      </c>
      <c r="O1912" t="s">
        <v>27701</v>
      </c>
      <c r="P1912" t="s">
        <v>27702</v>
      </c>
      <c r="Q1912" t="s">
        <v>27703</v>
      </c>
      <c r="R1912" t="s">
        <v>27704</v>
      </c>
      <c r="S1912" t="s">
        <v>27705</v>
      </c>
      <c r="T1912" s="2">
        <v>0.29166666666666669</v>
      </c>
      <c r="U1912">
        <v>420</v>
      </c>
      <c r="V1912" t="s">
        <v>27706</v>
      </c>
      <c r="W1912" t="s">
        <v>27707</v>
      </c>
      <c r="X1912" t="s">
        <v>27708</v>
      </c>
      <c r="Y1912" t="s">
        <v>27709</v>
      </c>
      <c r="Z1912" t="s">
        <v>27709</v>
      </c>
      <c r="AA1912" t="s">
        <v>27710</v>
      </c>
      <c r="AB1912" t="s">
        <v>27711</v>
      </c>
      <c r="AC1912" t="s">
        <v>27711</v>
      </c>
      <c r="AD1912" t="s">
        <v>27712</v>
      </c>
    </row>
    <row r="1913" spans="1:30">
      <c r="A1913" t="s">
        <v>27713</v>
      </c>
      <c r="B1913">
        <v>11</v>
      </c>
      <c r="C1913">
        <v>26</v>
      </c>
      <c r="D1913">
        <v>1984</v>
      </c>
      <c r="E1913" s="1">
        <v>31012</v>
      </c>
      <c r="F1913" t="s">
        <v>27714</v>
      </c>
      <c r="G1913">
        <v>0</v>
      </c>
      <c r="H1913">
        <v>1</v>
      </c>
      <c r="I1913">
        <v>1</v>
      </c>
      <c r="J1913">
        <v>0</v>
      </c>
      <c r="L1913" t="s">
        <v>27715</v>
      </c>
      <c r="M1913" t="s">
        <v>27716</v>
      </c>
      <c r="N1913" t="s">
        <v>27717</v>
      </c>
      <c r="O1913" t="s">
        <v>27718</v>
      </c>
      <c r="P1913" t="s">
        <v>27719</v>
      </c>
      <c r="Q1913" t="s">
        <v>27719</v>
      </c>
      <c r="R1913" t="s">
        <v>27720</v>
      </c>
      <c r="S1913" t="s">
        <v>27721</v>
      </c>
      <c r="T1913" s="2">
        <v>0.53125</v>
      </c>
      <c r="U1913">
        <v>1</v>
      </c>
      <c r="V1913" t="s">
        <v>27722</v>
      </c>
      <c r="W1913" t="s">
        <v>27723</v>
      </c>
      <c r="X1913" t="s">
        <v>27724</v>
      </c>
      <c r="Y1913" t="s">
        <v>27725</v>
      </c>
      <c r="Z1913" t="s">
        <v>27725</v>
      </c>
      <c r="AA1913" t="s">
        <v>27725</v>
      </c>
      <c r="AB1913" t="s">
        <v>27725</v>
      </c>
      <c r="AC1913" t="s">
        <v>27725</v>
      </c>
    </row>
    <row r="1914" spans="1:30">
      <c r="A1914" t="s">
        <v>27726</v>
      </c>
      <c r="B1914">
        <v>11</v>
      </c>
      <c r="C1914">
        <v>9</v>
      </c>
      <c r="D1914">
        <v>1984</v>
      </c>
      <c r="E1914" s="1">
        <v>30995</v>
      </c>
      <c r="F1914" t="s">
        <v>27727</v>
      </c>
      <c r="G1914">
        <v>0</v>
      </c>
      <c r="H1914">
        <v>1</v>
      </c>
      <c r="I1914">
        <v>1</v>
      </c>
      <c r="J1914">
        <v>0</v>
      </c>
      <c r="L1914" t="s">
        <v>27728</v>
      </c>
      <c r="M1914" t="s">
        <v>27729</v>
      </c>
      <c r="N1914" t="s">
        <v>27730</v>
      </c>
      <c r="O1914" t="s">
        <v>27731</v>
      </c>
      <c r="P1914" t="s">
        <v>27732</v>
      </c>
      <c r="Q1914" t="s">
        <v>27733</v>
      </c>
      <c r="R1914" t="s">
        <v>27734</v>
      </c>
      <c r="S1914" t="s">
        <v>27735</v>
      </c>
      <c r="T1914" s="2">
        <v>0.375</v>
      </c>
      <c r="U1914">
        <v>1</v>
      </c>
      <c r="V1914" t="s">
        <v>27736</v>
      </c>
      <c r="W1914" t="s">
        <v>27737</v>
      </c>
      <c r="X1914" t="s">
        <v>27738</v>
      </c>
      <c r="Y1914" t="s">
        <v>27739</v>
      </c>
      <c r="Z1914" t="s">
        <v>27740</v>
      </c>
      <c r="AA1914" t="s">
        <v>27740</v>
      </c>
      <c r="AB1914" t="s">
        <v>27740</v>
      </c>
      <c r="AC1914" t="s">
        <v>27740</v>
      </c>
    </row>
    <row r="1915" spans="1:30">
      <c r="A1915" t="s">
        <v>27741</v>
      </c>
      <c r="B1915">
        <v>10</v>
      </c>
      <c r="C1915">
        <v>31</v>
      </c>
      <c r="D1915">
        <v>1984</v>
      </c>
      <c r="E1915" s="1">
        <v>30986</v>
      </c>
      <c r="F1915" t="s">
        <v>27742</v>
      </c>
      <c r="G1915">
        <v>1</v>
      </c>
      <c r="H1915">
        <v>0</v>
      </c>
      <c r="I1915">
        <v>1</v>
      </c>
      <c r="J1915">
        <v>0</v>
      </c>
      <c r="L1915" t="s">
        <v>27743</v>
      </c>
      <c r="M1915" t="s">
        <v>27744</v>
      </c>
      <c r="N1915" t="s">
        <v>27745</v>
      </c>
      <c r="O1915" t="s">
        <v>27746</v>
      </c>
      <c r="P1915" t="s">
        <v>27747</v>
      </c>
      <c r="Q1915" t="s">
        <v>27747</v>
      </c>
      <c r="R1915" t="s">
        <v>27748</v>
      </c>
      <c r="S1915" t="s">
        <v>27749</v>
      </c>
      <c r="T1915" s="2">
        <v>0.35416666666666663</v>
      </c>
      <c r="U1915">
        <v>1</v>
      </c>
      <c r="V1915" t="s">
        <v>27750</v>
      </c>
      <c r="W1915" t="s">
        <v>27751</v>
      </c>
      <c r="X1915" t="s">
        <v>27752</v>
      </c>
      <c r="Y1915" t="s">
        <v>27753</v>
      </c>
      <c r="Z1915" t="s">
        <v>27753</v>
      </c>
      <c r="AA1915" t="s">
        <v>27753</v>
      </c>
      <c r="AB1915" t="s">
        <v>27753</v>
      </c>
      <c r="AC1915" t="s">
        <v>27753</v>
      </c>
    </row>
    <row r="1916" spans="1:30">
      <c r="A1916" t="s">
        <v>27754</v>
      </c>
      <c r="B1916">
        <v>10</v>
      </c>
      <c r="C1916">
        <v>30</v>
      </c>
      <c r="D1916">
        <v>1984</v>
      </c>
      <c r="E1916" s="1">
        <v>30985</v>
      </c>
      <c r="F1916" t="s">
        <v>27755</v>
      </c>
      <c r="G1916">
        <v>0</v>
      </c>
      <c r="H1916">
        <v>2</v>
      </c>
      <c r="I1916">
        <v>2</v>
      </c>
      <c r="J1916">
        <v>0</v>
      </c>
      <c r="L1916" t="s">
        <v>27756</v>
      </c>
      <c r="M1916" t="s">
        <v>27757</v>
      </c>
      <c r="N1916" t="s">
        <v>27758</v>
      </c>
      <c r="O1916" t="s">
        <v>27759</v>
      </c>
      <c r="P1916" t="s">
        <v>27760</v>
      </c>
      <c r="Q1916" t="s">
        <v>27761</v>
      </c>
      <c r="R1916" t="s">
        <v>27762</v>
      </c>
      <c r="S1916" t="s">
        <v>27763</v>
      </c>
      <c r="T1916" s="2">
        <v>0.53125</v>
      </c>
      <c r="V1916" t="s">
        <v>27764</v>
      </c>
      <c r="W1916" t="s">
        <v>27765</v>
      </c>
      <c r="X1916" t="s">
        <v>27766</v>
      </c>
      <c r="Y1916" t="s">
        <v>27767</v>
      </c>
      <c r="Z1916" t="s">
        <v>27767</v>
      </c>
      <c r="AA1916" t="s">
        <v>27767</v>
      </c>
      <c r="AB1916" t="s">
        <v>27767</v>
      </c>
      <c r="AC1916" t="s">
        <v>27767</v>
      </c>
    </row>
    <row r="1917" spans="1:30">
      <c r="A1917" t="s">
        <v>27768</v>
      </c>
      <c r="B1917">
        <v>10</v>
      </c>
      <c r="C1917">
        <v>24</v>
      </c>
      <c r="D1917">
        <v>1984</v>
      </c>
      <c r="E1917" s="1">
        <v>30979</v>
      </c>
      <c r="F1917" t="s">
        <v>27769</v>
      </c>
      <c r="G1917">
        <v>1</v>
      </c>
      <c r="H1917">
        <v>0</v>
      </c>
      <c r="I1917">
        <v>1</v>
      </c>
      <c r="J1917">
        <v>0</v>
      </c>
      <c r="K1917" t="s">
        <v>27770</v>
      </c>
      <c r="L1917" t="s">
        <v>27771</v>
      </c>
      <c r="M1917" t="s">
        <v>27772</v>
      </c>
      <c r="N1917" t="s">
        <v>27773</v>
      </c>
      <c r="O1917" t="s">
        <v>27774</v>
      </c>
      <c r="P1917" t="s">
        <v>27775</v>
      </c>
      <c r="Q1917" t="s">
        <v>27775</v>
      </c>
      <c r="R1917" t="s">
        <v>27776</v>
      </c>
      <c r="S1917" t="s">
        <v>27777</v>
      </c>
      <c r="V1917" t="s">
        <v>27778</v>
      </c>
      <c r="W1917" t="s">
        <v>27779</v>
      </c>
      <c r="X1917" t="s">
        <v>27780</v>
      </c>
      <c r="Y1917" t="s">
        <v>27781</v>
      </c>
      <c r="Z1917" t="s">
        <v>27781</v>
      </c>
      <c r="AA1917" t="s">
        <v>27781</v>
      </c>
      <c r="AB1917" t="s">
        <v>27781</v>
      </c>
      <c r="AC1917" t="s">
        <v>27782</v>
      </c>
    </row>
    <row r="1918" spans="1:30">
      <c r="A1918" t="s">
        <v>27783</v>
      </c>
      <c r="B1918">
        <v>10</v>
      </c>
      <c r="C1918">
        <v>24</v>
      </c>
      <c r="D1918">
        <v>1984</v>
      </c>
      <c r="E1918" s="1">
        <v>30979</v>
      </c>
      <c r="F1918" t="s">
        <v>27784</v>
      </c>
      <c r="G1918">
        <v>0</v>
      </c>
      <c r="H1918">
        <v>1</v>
      </c>
      <c r="I1918">
        <v>1</v>
      </c>
      <c r="J1918">
        <v>0</v>
      </c>
      <c r="L1918" t="s">
        <v>27785</v>
      </c>
      <c r="M1918" t="s">
        <v>27786</v>
      </c>
      <c r="N1918" t="s">
        <v>27787</v>
      </c>
      <c r="O1918" t="s">
        <v>27788</v>
      </c>
      <c r="P1918" t="s">
        <v>27789</v>
      </c>
      <c r="Q1918" t="s">
        <v>27790</v>
      </c>
      <c r="R1918" t="s">
        <v>27791</v>
      </c>
      <c r="S1918" t="s">
        <v>27792</v>
      </c>
      <c r="T1918" s="2">
        <v>0.47222222222222221</v>
      </c>
      <c r="U1918">
        <v>1</v>
      </c>
      <c r="V1918" t="s">
        <v>27793</v>
      </c>
      <c r="W1918" t="s">
        <v>27794</v>
      </c>
      <c r="X1918" t="s">
        <v>27795</v>
      </c>
      <c r="Z1918" t="s">
        <v>27796</v>
      </c>
      <c r="AA1918" t="s">
        <v>27796</v>
      </c>
      <c r="AB1918" t="s">
        <v>27796</v>
      </c>
      <c r="AC1918" t="s">
        <v>27796</v>
      </c>
    </row>
    <row r="1919" spans="1:30">
      <c r="A1919" t="s">
        <v>27797</v>
      </c>
      <c r="B1919">
        <v>10</v>
      </c>
      <c r="C1919">
        <v>22</v>
      </c>
      <c r="D1919">
        <v>1984</v>
      </c>
      <c r="E1919" s="1">
        <v>30977</v>
      </c>
      <c r="F1919" t="s">
        <v>27798</v>
      </c>
      <c r="G1919">
        <v>0</v>
      </c>
      <c r="H1919">
        <v>2</v>
      </c>
      <c r="I1919">
        <v>2</v>
      </c>
      <c r="J1919">
        <v>0</v>
      </c>
      <c r="L1919" t="s">
        <v>27799</v>
      </c>
      <c r="M1919" t="s">
        <v>27800</v>
      </c>
      <c r="N1919" t="s">
        <v>27801</v>
      </c>
      <c r="O1919" t="s">
        <v>27802</v>
      </c>
      <c r="P1919" t="s">
        <v>27803</v>
      </c>
      <c r="Q1919" t="s">
        <v>27804</v>
      </c>
      <c r="R1919" t="s">
        <v>27805</v>
      </c>
      <c r="S1919" t="s">
        <v>27806</v>
      </c>
      <c r="T1919" s="2">
        <v>0.55902777777777779</v>
      </c>
      <c r="U1919">
        <v>1</v>
      </c>
      <c r="V1919" t="s">
        <v>27807</v>
      </c>
      <c r="W1919" t="s">
        <v>27808</v>
      </c>
      <c r="X1919" t="s">
        <v>27809</v>
      </c>
      <c r="Y1919" t="s">
        <v>27810</v>
      </c>
      <c r="Z1919" t="s">
        <v>27810</v>
      </c>
      <c r="AA1919" t="s">
        <v>27810</v>
      </c>
      <c r="AB1919" t="s">
        <v>27810</v>
      </c>
      <c r="AC1919" t="s">
        <v>27810</v>
      </c>
    </row>
    <row r="1920" spans="1:30">
      <c r="A1920" t="s">
        <v>27811</v>
      </c>
      <c r="B1920">
        <v>10</v>
      </c>
      <c r="C1920">
        <v>21</v>
      </c>
      <c r="D1920">
        <v>1984</v>
      </c>
      <c r="E1920" s="1">
        <v>30976</v>
      </c>
      <c r="F1920" t="s">
        <v>27812</v>
      </c>
      <c r="G1920">
        <v>0</v>
      </c>
      <c r="H1920">
        <v>1</v>
      </c>
      <c r="I1920">
        <v>1</v>
      </c>
      <c r="J1920">
        <v>0</v>
      </c>
      <c r="L1920" t="s">
        <v>27813</v>
      </c>
      <c r="M1920" t="s">
        <v>27814</v>
      </c>
      <c r="N1920" t="s">
        <v>27815</v>
      </c>
      <c r="O1920" t="s">
        <v>27816</v>
      </c>
      <c r="P1920" t="s">
        <v>27817</v>
      </c>
      <c r="Q1920" t="s">
        <v>27818</v>
      </c>
      <c r="R1920" t="s">
        <v>27819</v>
      </c>
      <c r="S1920" t="s">
        <v>27820</v>
      </c>
      <c r="U1920">
        <v>1</v>
      </c>
      <c r="V1920" t="s">
        <v>27821</v>
      </c>
      <c r="W1920" t="s">
        <v>27822</v>
      </c>
      <c r="Y1920" t="s">
        <v>27823</v>
      </c>
      <c r="Z1920" t="s">
        <v>27823</v>
      </c>
      <c r="AA1920" t="s">
        <v>27823</v>
      </c>
      <c r="AB1920" t="s">
        <v>27823</v>
      </c>
      <c r="AC1920" t="s">
        <v>27823</v>
      </c>
    </row>
    <row r="1921" spans="1:30">
      <c r="A1921" t="s">
        <v>27824</v>
      </c>
      <c r="B1921">
        <v>9</v>
      </c>
      <c r="C1921">
        <v>28</v>
      </c>
      <c r="D1921">
        <v>1984</v>
      </c>
      <c r="E1921" s="1">
        <v>30953</v>
      </c>
      <c r="F1921" t="s">
        <v>27825</v>
      </c>
      <c r="G1921">
        <v>0</v>
      </c>
      <c r="H1921">
        <v>1</v>
      </c>
      <c r="I1921">
        <v>1</v>
      </c>
      <c r="J1921">
        <v>0</v>
      </c>
      <c r="L1921" t="s">
        <v>27826</v>
      </c>
      <c r="M1921" t="s">
        <v>27827</v>
      </c>
      <c r="N1921" t="s">
        <v>27828</v>
      </c>
      <c r="O1921" t="s">
        <v>27829</v>
      </c>
      <c r="P1921" t="s">
        <v>27830</v>
      </c>
      <c r="Q1921" t="s">
        <v>27831</v>
      </c>
      <c r="R1921" t="s">
        <v>27832</v>
      </c>
      <c r="S1921" t="s">
        <v>27833</v>
      </c>
      <c r="T1921" s="2">
        <v>0.3611111111111111</v>
      </c>
      <c r="U1921">
        <v>1</v>
      </c>
      <c r="V1921" t="s">
        <v>27834</v>
      </c>
      <c r="W1921" t="s">
        <v>27835</v>
      </c>
      <c r="X1921" t="s">
        <v>27836</v>
      </c>
      <c r="Y1921" t="s">
        <v>27837</v>
      </c>
      <c r="Z1921" t="s">
        <v>27837</v>
      </c>
      <c r="AA1921" t="s">
        <v>27837</v>
      </c>
      <c r="AB1921" t="s">
        <v>27837</v>
      </c>
      <c r="AC1921" t="s">
        <v>27837</v>
      </c>
      <c r="AD1921" t="s">
        <v>27838</v>
      </c>
    </row>
    <row r="1922" spans="1:30">
      <c r="A1922" t="s">
        <v>27839</v>
      </c>
      <c r="B1922">
        <v>9</v>
      </c>
      <c r="C1922">
        <v>28</v>
      </c>
      <c r="D1922">
        <v>1984</v>
      </c>
      <c r="E1922" s="1">
        <v>30953</v>
      </c>
      <c r="F1922" t="s">
        <v>27840</v>
      </c>
      <c r="G1922">
        <v>0</v>
      </c>
      <c r="H1922">
        <v>1</v>
      </c>
      <c r="I1922">
        <v>1</v>
      </c>
      <c r="J1922">
        <v>0</v>
      </c>
      <c r="K1922" t="s">
        <v>27841</v>
      </c>
      <c r="L1922" t="s">
        <v>27842</v>
      </c>
      <c r="M1922" t="s">
        <v>27843</v>
      </c>
      <c r="N1922" t="s">
        <v>27844</v>
      </c>
      <c r="O1922" t="s">
        <v>27845</v>
      </c>
      <c r="P1922" t="s">
        <v>27846</v>
      </c>
      <c r="Q1922" t="s">
        <v>27847</v>
      </c>
      <c r="R1922" t="s">
        <v>27848</v>
      </c>
      <c r="V1922" t="s">
        <v>27849</v>
      </c>
      <c r="W1922" t="s">
        <v>27850</v>
      </c>
      <c r="X1922" t="s">
        <v>27851</v>
      </c>
      <c r="Z1922" t="s">
        <v>27852</v>
      </c>
      <c r="AA1922" t="s">
        <v>27852</v>
      </c>
      <c r="AC1922" t="s">
        <v>27852</v>
      </c>
      <c r="AD1922" t="s">
        <v>27853</v>
      </c>
    </row>
    <row r="1923" spans="1:30">
      <c r="A1923" t="s">
        <v>27854</v>
      </c>
      <c r="B1923">
        <v>8</v>
      </c>
      <c r="C1923">
        <v>31</v>
      </c>
      <c r="D1923">
        <v>1984</v>
      </c>
      <c r="E1923" s="1">
        <v>30925</v>
      </c>
      <c r="F1923" t="s">
        <v>27855</v>
      </c>
      <c r="G1923">
        <v>0</v>
      </c>
      <c r="H1923">
        <v>1</v>
      </c>
      <c r="I1923">
        <v>1</v>
      </c>
      <c r="J1923">
        <v>0</v>
      </c>
      <c r="L1923" t="s">
        <v>27856</v>
      </c>
      <c r="M1923" t="s">
        <v>27857</v>
      </c>
      <c r="N1923" t="s">
        <v>27858</v>
      </c>
      <c r="O1923" t="s">
        <v>27859</v>
      </c>
      <c r="P1923" t="s">
        <v>27860</v>
      </c>
      <c r="Q1923" t="s">
        <v>27861</v>
      </c>
      <c r="R1923" t="s">
        <v>27862</v>
      </c>
      <c r="S1923" t="s">
        <v>27863</v>
      </c>
      <c r="U1923">
        <v>1</v>
      </c>
      <c r="V1923" t="s">
        <v>27864</v>
      </c>
      <c r="W1923" t="s">
        <v>27865</v>
      </c>
      <c r="X1923" t="s">
        <v>27866</v>
      </c>
      <c r="Y1923" t="s">
        <v>27867</v>
      </c>
      <c r="Z1923" t="s">
        <v>27867</v>
      </c>
      <c r="AA1923" t="s">
        <v>27867</v>
      </c>
      <c r="AB1923" t="s">
        <v>27867</v>
      </c>
      <c r="AC1923" t="s">
        <v>27867</v>
      </c>
    </row>
    <row r="1924" spans="1:30">
      <c r="A1924" t="s">
        <v>27868</v>
      </c>
      <c r="B1924">
        <v>7</v>
      </c>
      <c r="C1924">
        <v>10</v>
      </c>
      <c r="D1924">
        <v>1984</v>
      </c>
      <c r="E1924" s="1">
        <v>30873</v>
      </c>
      <c r="F1924" t="s">
        <v>27869</v>
      </c>
      <c r="G1924">
        <v>0</v>
      </c>
      <c r="H1924">
        <v>1</v>
      </c>
      <c r="I1924">
        <v>1</v>
      </c>
      <c r="J1924">
        <v>0</v>
      </c>
      <c r="L1924" t="s">
        <v>27870</v>
      </c>
      <c r="M1924" t="s">
        <v>27871</v>
      </c>
      <c r="N1924" t="s">
        <v>27872</v>
      </c>
      <c r="O1924" t="s">
        <v>27873</v>
      </c>
      <c r="P1924" t="s">
        <v>27874</v>
      </c>
      <c r="Q1924" t="s">
        <v>27875</v>
      </c>
      <c r="R1924" t="s">
        <v>27876</v>
      </c>
      <c r="S1924" t="s">
        <v>27877</v>
      </c>
      <c r="T1924" s="2">
        <v>0.46875</v>
      </c>
      <c r="U1924">
        <v>1</v>
      </c>
      <c r="V1924" t="s">
        <v>27878</v>
      </c>
      <c r="W1924" t="s">
        <v>27879</v>
      </c>
      <c r="X1924" t="s">
        <v>27880</v>
      </c>
      <c r="Y1924" t="s">
        <v>27881</v>
      </c>
      <c r="Z1924" t="s">
        <v>27881</v>
      </c>
      <c r="AA1924" t="s">
        <v>27881</v>
      </c>
      <c r="AB1924" t="s">
        <v>27881</v>
      </c>
      <c r="AC1924" t="s">
        <v>27881</v>
      </c>
    </row>
    <row r="1925" spans="1:30">
      <c r="A1925" t="s">
        <v>27882</v>
      </c>
      <c r="B1925">
        <v>5</v>
      </c>
      <c r="C1925">
        <v>22</v>
      </c>
      <c r="D1925">
        <v>1984</v>
      </c>
      <c r="E1925" s="1">
        <v>30824</v>
      </c>
      <c r="F1925" t="s">
        <v>27883</v>
      </c>
      <c r="G1925">
        <v>0</v>
      </c>
      <c r="H1925">
        <v>1</v>
      </c>
      <c r="I1925">
        <v>1</v>
      </c>
      <c r="J1925">
        <v>0</v>
      </c>
      <c r="L1925" t="s">
        <v>27884</v>
      </c>
      <c r="M1925" t="s">
        <v>27885</v>
      </c>
      <c r="N1925" t="s">
        <v>27886</v>
      </c>
      <c r="O1925" t="s">
        <v>27887</v>
      </c>
      <c r="P1925" t="s">
        <v>27888</v>
      </c>
      <c r="Q1925" t="s">
        <v>27889</v>
      </c>
      <c r="R1925" t="s">
        <v>27890</v>
      </c>
      <c r="U1925">
        <v>1</v>
      </c>
      <c r="V1925" t="s">
        <v>27891</v>
      </c>
      <c r="W1925" t="s">
        <v>27892</v>
      </c>
      <c r="X1925" t="s">
        <v>27893</v>
      </c>
      <c r="Z1925" t="s">
        <v>27894</v>
      </c>
      <c r="AA1925" t="s">
        <v>27894</v>
      </c>
      <c r="AB1925" t="s">
        <v>27894</v>
      </c>
      <c r="AC1925" t="s">
        <v>27894</v>
      </c>
    </row>
    <row r="1926" spans="1:30">
      <c r="A1926" t="s">
        <v>27895</v>
      </c>
      <c r="B1926">
        <v>5</v>
      </c>
      <c r="C1926">
        <v>18</v>
      </c>
      <c r="D1926">
        <v>1984</v>
      </c>
      <c r="E1926" s="1">
        <v>30820</v>
      </c>
      <c r="F1926" t="s">
        <v>27896</v>
      </c>
      <c r="G1926">
        <v>0</v>
      </c>
      <c r="H1926">
        <v>12</v>
      </c>
      <c r="I1926">
        <v>12</v>
      </c>
      <c r="J1926">
        <v>0</v>
      </c>
      <c r="L1926" t="s">
        <v>27897</v>
      </c>
      <c r="M1926" t="s">
        <v>27898</v>
      </c>
      <c r="N1926" t="s">
        <v>27899</v>
      </c>
      <c r="O1926" t="s">
        <v>27900</v>
      </c>
      <c r="P1926" t="s">
        <v>27901</v>
      </c>
      <c r="Q1926" t="s">
        <v>27902</v>
      </c>
      <c r="R1926" t="s">
        <v>27903</v>
      </c>
      <c r="S1926" t="s">
        <v>27904</v>
      </c>
      <c r="T1926" s="2">
        <v>0.41666666666666669</v>
      </c>
      <c r="U1926">
        <v>1</v>
      </c>
      <c r="V1926" t="s">
        <v>27905</v>
      </c>
      <c r="W1926" t="s">
        <v>27906</v>
      </c>
      <c r="X1926" t="s">
        <v>27907</v>
      </c>
      <c r="Y1926" t="s">
        <v>27908</v>
      </c>
      <c r="Z1926" t="s">
        <v>27908</v>
      </c>
      <c r="AA1926" t="s">
        <v>27908</v>
      </c>
      <c r="AB1926" t="s">
        <v>27908</v>
      </c>
      <c r="AC1926" t="s">
        <v>27908</v>
      </c>
    </row>
    <row r="1927" spans="1:30">
      <c r="A1927" t="s">
        <v>27909</v>
      </c>
      <c r="B1927">
        <v>5</v>
      </c>
      <c r="C1927">
        <v>17</v>
      </c>
      <c r="D1927">
        <v>1984</v>
      </c>
      <c r="E1927" s="1">
        <v>30819</v>
      </c>
      <c r="F1927" t="s">
        <v>27910</v>
      </c>
      <c r="G1927">
        <v>0</v>
      </c>
      <c r="H1927">
        <v>1</v>
      </c>
      <c r="I1927">
        <v>1</v>
      </c>
      <c r="J1927">
        <v>1</v>
      </c>
      <c r="L1927" t="s">
        <v>27911</v>
      </c>
      <c r="M1927" t="s">
        <v>27912</v>
      </c>
      <c r="N1927" t="s">
        <v>27913</v>
      </c>
      <c r="O1927" t="s">
        <v>27914</v>
      </c>
      <c r="P1927" t="s">
        <v>27915</v>
      </c>
      <c r="Q1927" t="s">
        <v>27916</v>
      </c>
      <c r="R1927" t="s">
        <v>27917</v>
      </c>
      <c r="S1927" t="s">
        <v>27918</v>
      </c>
      <c r="T1927" s="2">
        <v>0.44791666666666669</v>
      </c>
      <c r="U1927">
        <v>1</v>
      </c>
      <c r="V1927" t="s">
        <v>27919</v>
      </c>
      <c r="W1927" t="s">
        <v>27920</v>
      </c>
      <c r="X1927" t="s">
        <v>27921</v>
      </c>
      <c r="Y1927" t="s">
        <v>27922</v>
      </c>
      <c r="Z1927" t="s">
        <v>27922</v>
      </c>
      <c r="AA1927" t="s">
        <v>27922</v>
      </c>
      <c r="AB1927" t="s">
        <v>27922</v>
      </c>
      <c r="AC1927" t="s">
        <v>27923</v>
      </c>
      <c r="AD1927" t="s">
        <v>27923</v>
      </c>
    </row>
    <row r="1928" spans="1:30">
      <c r="A1928" t="s">
        <v>27924</v>
      </c>
      <c r="B1928">
        <v>5</v>
      </c>
      <c r="C1928">
        <v>17</v>
      </c>
      <c r="D1928">
        <v>1984</v>
      </c>
      <c r="E1928" s="1">
        <v>30819</v>
      </c>
      <c r="F1928" t="s">
        <v>27925</v>
      </c>
      <c r="G1928">
        <v>1</v>
      </c>
      <c r="H1928">
        <v>0</v>
      </c>
      <c r="I1928">
        <v>1</v>
      </c>
      <c r="J1928">
        <v>1</v>
      </c>
      <c r="L1928" t="s">
        <v>27926</v>
      </c>
      <c r="M1928" t="s">
        <v>27927</v>
      </c>
      <c r="N1928" t="s">
        <v>27928</v>
      </c>
      <c r="O1928" t="s">
        <v>27929</v>
      </c>
      <c r="P1928" t="s">
        <v>27930</v>
      </c>
      <c r="Q1928" t="s">
        <v>27931</v>
      </c>
      <c r="R1928" t="s">
        <v>27932</v>
      </c>
      <c r="S1928" t="s">
        <v>27933</v>
      </c>
      <c r="T1928" s="2">
        <v>0.44791666666666669</v>
      </c>
      <c r="U1928">
        <v>1</v>
      </c>
      <c r="V1928" t="s">
        <v>27934</v>
      </c>
      <c r="W1928" t="s">
        <v>27935</v>
      </c>
      <c r="X1928" t="s">
        <v>27936</v>
      </c>
      <c r="Y1928" t="s">
        <v>27937</v>
      </c>
      <c r="Z1928" t="s">
        <v>27937</v>
      </c>
      <c r="AA1928" t="s">
        <v>27937</v>
      </c>
      <c r="AB1928" t="s">
        <v>27937</v>
      </c>
      <c r="AC1928" t="s">
        <v>27937</v>
      </c>
    </row>
    <row r="1929" spans="1:30">
      <c r="A1929" t="s">
        <v>27938</v>
      </c>
      <c r="B1929">
        <v>5</v>
      </c>
      <c r="C1929">
        <v>15</v>
      </c>
      <c r="D1929">
        <v>1984</v>
      </c>
      <c r="E1929" s="1">
        <v>30817</v>
      </c>
      <c r="F1929" t="s">
        <v>27939</v>
      </c>
      <c r="G1929">
        <v>0</v>
      </c>
      <c r="H1929">
        <v>0</v>
      </c>
      <c r="I1929">
        <v>0</v>
      </c>
      <c r="J1929">
        <v>0</v>
      </c>
      <c r="L1929" t="s">
        <v>27940</v>
      </c>
      <c r="M1929" t="s">
        <v>27941</v>
      </c>
      <c r="N1929" t="s">
        <v>27942</v>
      </c>
      <c r="O1929" t="s">
        <v>27943</v>
      </c>
      <c r="P1929" t="s">
        <v>27944</v>
      </c>
      <c r="Q1929" t="s">
        <v>27945</v>
      </c>
      <c r="R1929" t="s">
        <v>27946</v>
      </c>
      <c r="S1929" t="s">
        <v>27947</v>
      </c>
      <c r="T1929" s="2">
        <v>0.60416666666666674</v>
      </c>
      <c r="U1929">
        <v>1</v>
      </c>
      <c r="V1929" t="s">
        <v>27948</v>
      </c>
      <c r="W1929" t="s">
        <v>27949</v>
      </c>
      <c r="X1929" t="s">
        <v>27950</v>
      </c>
      <c r="Y1929" t="s">
        <v>27951</v>
      </c>
      <c r="Z1929" t="s">
        <v>27951</v>
      </c>
      <c r="AA1929" t="s">
        <v>27951</v>
      </c>
      <c r="AB1929" t="s">
        <v>27951</v>
      </c>
      <c r="AC1929" t="s">
        <v>27951</v>
      </c>
    </row>
    <row r="1930" spans="1:30">
      <c r="A1930" t="s">
        <v>27952</v>
      </c>
      <c r="B1930">
        <v>4</v>
      </c>
      <c r="C1930">
        <v>26</v>
      </c>
      <c r="D1930">
        <v>1984</v>
      </c>
      <c r="E1930" s="1">
        <v>30798</v>
      </c>
      <c r="F1930" t="s">
        <v>27953</v>
      </c>
      <c r="G1930">
        <v>0</v>
      </c>
      <c r="H1930">
        <v>0</v>
      </c>
      <c r="I1930">
        <v>0</v>
      </c>
      <c r="J1930">
        <v>0</v>
      </c>
      <c r="L1930" t="s">
        <v>27954</v>
      </c>
      <c r="M1930" t="s">
        <v>27955</v>
      </c>
      <c r="N1930" t="s">
        <v>27956</v>
      </c>
      <c r="O1930" t="s">
        <v>27957</v>
      </c>
      <c r="P1930" t="s">
        <v>27958</v>
      </c>
      <c r="Q1930" t="s">
        <v>27959</v>
      </c>
      <c r="R1930" t="s">
        <v>27960</v>
      </c>
      <c r="U1930">
        <v>1</v>
      </c>
      <c r="V1930" t="s">
        <v>27961</v>
      </c>
      <c r="W1930" t="s">
        <v>27962</v>
      </c>
      <c r="X1930" t="s">
        <v>27963</v>
      </c>
      <c r="Y1930" t="s">
        <v>27964</v>
      </c>
      <c r="Z1930" t="s">
        <v>27964</v>
      </c>
      <c r="AA1930" t="s">
        <v>27964</v>
      </c>
      <c r="AB1930" t="s">
        <v>27964</v>
      </c>
      <c r="AC1930" t="s">
        <v>27964</v>
      </c>
    </row>
    <row r="1931" spans="1:30">
      <c r="A1931" t="s">
        <v>27965</v>
      </c>
      <c r="B1931">
        <v>4</v>
      </c>
      <c r="C1931">
        <v>20</v>
      </c>
      <c r="D1931">
        <v>1984</v>
      </c>
      <c r="E1931" s="1">
        <v>30792</v>
      </c>
      <c r="F1931" t="s">
        <v>27966</v>
      </c>
      <c r="G1931">
        <v>1</v>
      </c>
      <c r="H1931">
        <v>0</v>
      </c>
      <c r="I1931">
        <v>1</v>
      </c>
      <c r="J1931">
        <v>0</v>
      </c>
      <c r="L1931" t="s">
        <v>27967</v>
      </c>
      <c r="M1931" t="s">
        <v>27968</v>
      </c>
      <c r="N1931" t="s">
        <v>27969</v>
      </c>
      <c r="O1931" t="s">
        <v>27970</v>
      </c>
      <c r="P1931" t="s">
        <v>27971</v>
      </c>
      <c r="Q1931" t="s">
        <v>27972</v>
      </c>
      <c r="R1931" t="s">
        <v>27973</v>
      </c>
      <c r="U1931">
        <v>1</v>
      </c>
      <c r="V1931" t="s">
        <v>27974</v>
      </c>
      <c r="W1931" t="s">
        <v>27975</v>
      </c>
      <c r="X1931" t="s">
        <v>27976</v>
      </c>
      <c r="Y1931" t="s">
        <v>27977</v>
      </c>
      <c r="Z1931" t="s">
        <v>27977</v>
      </c>
      <c r="AA1931" t="s">
        <v>27977</v>
      </c>
      <c r="AB1931" t="s">
        <v>27977</v>
      </c>
      <c r="AC1931" t="s">
        <v>27977</v>
      </c>
    </row>
    <row r="1932" spans="1:30">
      <c r="A1932" t="s">
        <v>27978</v>
      </c>
      <c r="B1932">
        <v>4</v>
      </c>
      <c r="C1932">
        <v>5</v>
      </c>
      <c r="D1932">
        <v>1984</v>
      </c>
      <c r="E1932" s="1">
        <v>30777</v>
      </c>
      <c r="F1932" t="s">
        <v>27979</v>
      </c>
      <c r="G1932">
        <v>0</v>
      </c>
      <c r="H1932">
        <v>1</v>
      </c>
      <c r="I1932">
        <v>1</v>
      </c>
      <c r="J1932">
        <v>0</v>
      </c>
      <c r="L1932" t="s">
        <v>27980</v>
      </c>
      <c r="M1932" t="s">
        <v>27981</v>
      </c>
      <c r="N1932" t="s">
        <v>27982</v>
      </c>
      <c r="O1932" t="s">
        <v>27983</v>
      </c>
      <c r="P1932" t="s">
        <v>27984</v>
      </c>
      <c r="Q1932" t="s">
        <v>27985</v>
      </c>
      <c r="R1932" t="s">
        <v>27986</v>
      </c>
      <c r="U1932">
        <v>1</v>
      </c>
      <c r="V1932" t="s">
        <v>27987</v>
      </c>
      <c r="W1932" t="s">
        <v>27988</v>
      </c>
      <c r="X1932" t="s">
        <v>27989</v>
      </c>
      <c r="Y1932" t="s">
        <v>27990</v>
      </c>
      <c r="Z1932" t="s">
        <v>27990</v>
      </c>
      <c r="AA1932" t="s">
        <v>27990</v>
      </c>
      <c r="AC1932" t="s">
        <v>27990</v>
      </c>
    </row>
    <row r="1933" spans="1:30">
      <c r="A1933" t="s">
        <v>27991</v>
      </c>
      <c r="B1933">
        <v>2</v>
      </c>
      <c r="C1933">
        <v>24</v>
      </c>
      <c r="D1933">
        <v>1984</v>
      </c>
      <c r="E1933" s="1">
        <v>30736</v>
      </c>
      <c r="F1933" t="s">
        <v>27992</v>
      </c>
      <c r="G1933">
        <v>2</v>
      </c>
      <c r="H1933">
        <v>8</v>
      </c>
      <c r="I1933">
        <v>10</v>
      </c>
      <c r="J1933">
        <v>1</v>
      </c>
      <c r="L1933" t="s">
        <v>27993</v>
      </c>
      <c r="M1933" t="s">
        <v>27994</v>
      </c>
      <c r="N1933" t="s">
        <v>27995</v>
      </c>
      <c r="O1933" t="s">
        <v>27996</v>
      </c>
      <c r="P1933" t="s">
        <v>27997</v>
      </c>
      <c r="Q1933" t="s">
        <v>27998</v>
      </c>
      <c r="R1933" t="s">
        <v>27999</v>
      </c>
      <c r="S1933" t="s">
        <v>28000</v>
      </c>
      <c r="T1933" s="2">
        <v>0.59930555555555554</v>
      </c>
      <c r="V1933" t="s">
        <v>28001</v>
      </c>
      <c r="W1933" t="s">
        <v>28002</v>
      </c>
      <c r="X1933" t="s">
        <v>28003</v>
      </c>
      <c r="Y1933" t="s">
        <v>28004</v>
      </c>
      <c r="Z1933" t="s">
        <v>28004</v>
      </c>
      <c r="AA1933" t="s">
        <v>28004</v>
      </c>
      <c r="AB1933" t="s">
        <v>28004</v>
      </c>
      <c r="AC1933" t="s">
        <v>28004</v>
      </c>
      <c r="AD1933" t="s">
        <v>28005</v>
      </c>
    </row>
    <row r="1934" spans="1:30">
      <c r="A1934" t="s">
        <v>28006</v>
      </c>
      <c r="B1934">
        <v>2</v>
      </c>
      <c r="C1934">
        <v>21</v>
      </c>
      <c r="D1934">
        <v>1984</v>
      </c>
      <c r="E1934" s="1">
        <v>30733</v>
      </c>
      <c r="F1934" t="s">
        <v>28007</v>
      </c>
      <c r="G1934">
        <v>0</v>
      </c>
      <c r="H1934">
        <v>1</v>
      </c>
      <c r="I1934">
        <v>1</v>
      </c>
      <c r="J1934">
        <v>0</v>
      </c>
      <c r="L1934" t="s">
        <v>28008</v>
      </c>
      <c r="M1934" t="s">
        <v>28009</v>
      </c>
      <c r="N1934" t="s">
        <v>28010</v>
      </c>
      <c r="O1934" t="s">
        <v>28011</v>
      </c>
      <c r="P1934" t="s">
        <v>28012</v>
      </c>
      <c r="Q1934" t="s">
        <v>28013</v>
      </c>
      <c r="R1934" t="s">
        <v>28014</v>
      </c>
      <c r="S1934" t="s">
        <v>28015</v>
      </c>
      <c r="U1934">
        <v>1</v>
      </c>
      <c r="V1934" t="s">
        <v>28016</v>
      </c>
      <c r="W1934" t="s">
        <v>28017</v>
      </c>
      <c r="X1934" t="s">
        <v>28018</v>
      </c>
      <c r="Z1934" t="s">
        <v>28019</v>
      </c>
      <c r="AA1934" t="s">
        <v>28019</v>
      </c>
      <c r="AB1934" t="s">
        <v>28019</v>
      </c>
      <c r="AC1934" t="s">
        <v>28019</v>
      </c>
    </row>
    <row r="1935" spans="1:30">
      <c r="A1935" t="s">
        <v>28020</v>
      </c>
      <c r="B1935">
        <v>2</v>
      </c>
      <c r="C1935">
        <v>6</v>
      </c>
      <c r="D1935">
        <v>1984</v>
      </c>
      <c r="E1935" s="1">
        <v>30718</v>
      </c>
      <c r="F1935" t="s">
        <v>28021</v>
      </c>
      <c r="G1935">
        <v>0</v>
      </c>
      <c r="H1935">
        <v>1</v>
      </c>
      <c r="I1935">
        <v>1</v>
      </c>
      <c r="J1935">
        <v>0</v>
      </c>
      <c r="L1935" t="s">
        <v>28022</v>
      </c>
      <c r="M1935" t="s">
        <v>28023</v>
      </c>
      <c r="N1935" t="s">
        <v>28024</v>
      </c>
      <c r="O1935" t="s">
        <v>28025</v>
      </c>
      <c r="P1935" t="s">
        <v>28026</v>
      </c>
      <c r="Q1935" t="s">
        <v>28026</v>
      </c>
      <c r="R1935" t="s">
        <v>28027</v>
      </c>
      <c r="S1935" t="s">
        <v>28028</v>
      </c>
      <c r="U1935">
        <v>1</v>
      </c>
      <c r="V1935" t="s">
        <v>28029</v>
      </c>
      <c r="W1935" t="s">
        <v>28030</v>
      </c>
      <c r="X1935" t="s">
        <v>28031</v>
      </c>
      <c r="Y1935" t="s">
        <v>28032</v>
      </c>
      <c r="Z1935" t="s">
        <v>28033</v>
      </c>
      <c r="AA1935" t="s">
        <v>28033</v>
      </c>
      <c r="AB1935" t="s">
        <v>28033</v>
      </c>
      <c r="AC1935" t="s">
        <v>28033</v>
      </c>
    </row>
    <row r="1936" spans="1:30">
      <c r="A1936" t="s">
        <v>28034</v>
      </c>
      <c r="B1936">
        <v>1</v>
      </c>
      <c r="C1936">
        <v>5</v>
      </c>
      <c r="D1936">
        <v>1984</v>
      </c>
      <c r="E1936" s="1">
        <v>30686</v>
      </c>
      <c r="F1936" t="s">
        <v>28035</v>
      </c>
      <c r="G1936">
        <v>0</v>
      </c>
      <c r="H1936">
        <v>1</v>
      </c>
      <c r="I1936">
        <v>1</v>
      </c>
      <c r="J1936">
        <v>0</v>
      </c>
      <c r="L1936" t="s">
        <v>28036</v>
      </c>
      <c r="M1936" t="s">
        <v>28037</v>
      </c>
      <c r="N1936" t="s">
        <v>28038</v>
      </c>
      <c r="O1936" t="s">
        <v>28039</v>
      </c>
      <c r="P1936" t="s">
        <v>28040</v>
      </c>
      <c r="Q1936" t="s">
        <v>28041</v>
      </c>
      <c r="R1936" t="s">
        <v>28042</v>
      </c>
      <c r="S1936" t="s">
        <v>28043</v>
      </c>
      <c r="T1936" s="2">
        <v>0.64583333333333337</v>
      </c>
      <c r="U1936">
        <v>1</v>
      </c>
      <c r="V1936" t="s">
        <v>28044</v>
      </c>
      <c r="W1936" t="s">
        <v>28045</v>
      </c>
      <c r="X1936" t="s">
        <v>28046</v>
      </c>
      <c r="Y1936" t="s">
        <v>28047</v>
      </c>
      <c r="Z1936" t="s">
        <v>28047</v>
      </c>
      <c r="AA1936" t="s">
        <v>28047</v>
      </c>
      <c r="AB1936" t="s">
        <v>28047</v>
      </c>
      <c r="AC1936" t="s">
        <v>28047</v>
      </c>
    </row>
    <row r="1937" spans="1:30">
      <c r="A1937" t="s">
        <v>28048</v>
      </c>
      <c r="B1937">
        <v>12</v>
      </c>
      <c r="C1937">
        <v>16</v>
      </c>
      <c r="D1937">
        <v>1983</v>
      </c>
      <c r="E1937" s="1">
        <v>30666</v>
      </c>
      <c r="F1937" t="s">
        <v>28049</v>
      </c>
      <c r="G1937">
        <v>0</v>
      </c>
      <c r="H1937">
        <v>1</v>
      </c>
      <c r="I1937">
        <v>1</v>
      </c>
      <c r="J1937">
        <v>0</v>
      </c>
      <c r="L1937" t="s">
        <v>28050</v>
      </c>
      <c r="M1937" t="s">
        <v>28051</v>
      </c>
      <c r="N1937" t="s">
        <v>28052</v>
      </c>
      <c r="O1937" t="s">
        <v>28053</v>
      </c>
      <c r="P1937" t="s">
        <v>28054</v>
      </c>
      <c r="Q1937" t="s">
        <v>28055</v>
      </c>
      <c r="R1937" t="s">
        <v>28056</v>
      </c>
      <c r="S1937" t="s">
        <v>28057</v>
      </c>
      <c r="U1937">
        <v>1</v>
      </c>
      <c r="V1937" t="s">
        <v>28058</v>
      </c>
      <c r="W1937" t="s">
        <v>28059</v>
      </c>
      <c r="X1937" t="s">
        <v>28060</v>
      </c>
      <c r="Y1937" t="s">
        <v>28061</v>
      </c>
      <c r="Z1937" t="s">
        <v>28061</v>
      </c>
      <c r="AA1937" t="s">
        <v>28061</v>
      </c>
      <c r="AB1937" t="s">
        <v>28061</v>
      </c>
      <c r="AC1937" t="s">
        <v>28061</v>
      </c>
    </row>
    <row r="1938" spans="1:30">
      <c r="A1938" t="s">
        <v>28062</v>
      </c>
      <c r="B1938">
        <v>12</v>
      </c>
      <c r="C1938">
        <v>2</v>
      </c>
      <c r="D1938">
        <v>1983</v>
      </c>
      <c r="E1938" s="1">
        <v>30652</v>
      </c>
      <c r="F1938" t="s">
        <v>28063</v>
      </c>
      <c r="G1938">
        <v>0</v>
      </c>
      <c r="H1938">
        <v>1</v>
      </c>
      <c r="I1938">
        <v>1</v>
      </c>
      <c r="J1938">
        <v>0</v>
      </c>
      <c r="L1938" t="s">
        <v>28064</v>
      </c>
      <c r="M1938" t="s">
        <v>28065</v>
      </c>
      <c r="N1938" t="s">
        <v>28066</v>
      </c>
      <c r="O1938" t="s">
        <v>28067</v>
      </c>
      <c r="P1938" t="s">
        <v>28068</v>
      </c>
      <c r="Q1938" t="s">
        <v>28069</v>
      </c>
      <c r="R1938" t="s">
        <v>28070</v>
      </c>
      <c r="S1938" t="s">
        <v>28071</v>
      </c>
      <c r="T1938" s="2">
        <v>0.49305555555555552</v>
      </c>
      <c r="U1938">
        <v>1</v>
      </c>
      <c r="V1938" t="s">
        <v>28072</v>
      </c>
      <c r="W1938" t="s">
        <v>28073</v>
      </c>
      <c r="X1938" t="s">
        <v>28074</v>
      </c>
      <c r="Y1938" t="s">
        <v>28075</v>
      </c>
      <c r="Z1938" t="s">
        <v>28075</v>
      </c>
      <c r="AA1938" t="s">
        <v>28075</v>
      </c>
      <c r="AB1938" t="s">
        <v>28075</v>
      </c>
      <c r="AC1938" t="s">
        <v>28075</v>
      </c>
    </row>
    <row r="1939" spans="1:30">
      <c r="A1939" t="s">
        <v>28076</v>
      </c>
      <c r="B1939">
        <v>11</v>
      </c>
      <c r="C1939">
        <v>18</v>
      </c>
      <c r="D1939">
        <v>1983</v>
      </c>
      <c r="E1939" s="1">
        <v>30638</v>
      </c>
      <c r="F1939" t="s">
        <v>28077</v>
      </c>
      <c r="G1939">
        <v>1</v>
      </c>
      <c r="H1939">
        <v>0</v>
      </c>
      <c r="I1939">
        <v>1</v>
      </c>
      <c r="J1939">
        <v>0</v>
      </c>
      <c r="L1939" t="s">
        <v>28078</v>
      </c>
      <c r="M1939" t="s">
        <v>28079</v>
      </c>
      <c r="N1939" t="s">
        <v>28080</v>
      </c>
      <c r="O1939" t="s">
        <v>28081</v>
      </c>
      <c r="P1939" t="s">
        <v>28082</v>
      </c>
      <c r="Q1939" t="s">
        <v>28083</v>
      </c>
      <c r="R1939" t="s">
        <v>28084</v>
      </c>
      <c r="S1939" t="s">
        <v>28085</v>
      </c>
      <c r="T1939" s="2">
        <v>0.55902777777777779</v>
      </c>
      <c r="U1939">
        <v>1</v>
      </c>
      <c r="V1939" t="s">
        <v>28086</v>
      </c>
      <c r="W1939" t="s">
        <v>28087</v>
      </c>
      <c r="X1939" t="s">
        <v>28088</v>
      </c>
      <c r="Y1939" t="s">
        <v>28089</v>
      </c>
      <c r="Z1939" t="s">
        <v>28089</v>
      </c>
      <c r="AA1939" t="s">
        <v>28089</v>
      </c>
      <c r="AB1939" t="s">
        <v>28089</v>
      </c>
      <c r="AC1939" t="s">
        <v>28089</v>
      </c>
    </row>
    <row r="1940" spans="1:30">
      <c r="A1940" t="s">
        <v>28090</v>
      </c>
      <c r="B1940">
        <v>11</v>
      </c>
      <c r="C1940">
        <v>17</v>
      </c>
      <c r="D1940">
        <v>1983</v>
      </c>
      <c r="E1940" s="1">
        <v>30637</v>
      </c>
      <c r="F1940" t="s">
        <v>28091</v>
      </c>
      <c r="G1940">
        <v>1</v>
      </c>
      <c r="H1940">
        <v>1</v>
      </c>
      <c r="I1940">
        <v>2</v>
      </c>
      <c r="J1940">
        <v>0</v>
      </c>
      <c r="L1940" t="s">
        <v>28092</v>
      </c>
      <c r="M1940" t="s">
        <v>28093</v>
      </c>
      <c r="N1940" t="s">
        <v>28094</v>
      </c>
      <c r="O1940" t="s">
        <v>28095</v>
      </c>
      <c r="P1940" t="s">
        <v>28096</v>
      </c>
      <c r="Q1940" t="s">
        <v>28096</v>
      </c>
      <c r="R1940" t="s">
        <v>28097</v>
      </c>
      <c r="S1940" t="s">
        <v>28098</v>
      </c>
      <c r="U1940">
        <v>1</v>
      </c>
      <c r="V1940" t="s">
        <v>28099</v>
      </c>
      <c r="W1940" t="s">
        <v>28100</v>
      </c>
      <c r="X1940" t="s">
        <v>28101</v>
      </c>
      <c r="Y1940" t="s">
        <v>28102</v>
      </c>
      <c r="Z1940" t="s">
        <v>28102</v>
      </c>
      <c r="AA1940" t="s">
        <v>28102</v>
      </c>
      <c r="AB1940" t="s">
        <v>28102</v>
      </c>
      <c r="AC1940" t="s">
        <v>28102</v>
      </c>
    </row>
    <row r="1941" spans="1:30">
      <c r="A1941" t="s">
        <v>28103</v>
      </c>
      <c r="B1941">
        <v>11</v>
      </c>
      <c r="C1941">
        <v>8</v>
      </c>
      <c r="D1941">
        <v>1983</v>
      </c>
      <c r="E1941" s="1">
        <v>30628</v>
      </c>
      <c r="F1941" t="s">
        <v>28104</v>
      </c>
      <c r="G1941">
        <v>1</v>
      </c>
      <c r="H1941">
        <v>0</v>
      </c>
      <c r="I1941">
        <v>1</v>
      </c>
      <c r="J1941">
        <v>0</v>
      </c>
      <c r="L1941" t="s">
        <v>28105</v>
      </c>
      <c r="M1941" t="s">
        <v>28106</v>
      </c>
      <c r="N1941" t="s">
        <v>28107</v>
      </c>
      <c r="O1941" t="s">
        <v>28108</v>
      </c>
      <c r="P1941" t="s">
        <v>28109</v>
      </c>
      <c r="Q1941" t="s">
        <v>28109</v>
      </c>
      <c r="R1941" t="s">
        <v>28110</v>
      </c>
      <c r="S1941" t="s">
        <v>28111</v>
      </c>
      <c r="T1941" s="2">
        <v>0.3263888888888889</v>
      </c>
      <c r="U1941">
        <v>1</v>
      </c>
      <c r="V1941" t="s">
        <v>28112</v>
      </c>
      <c r="W1941" t="s">
        <v>28113</v>
      </c>
      <c r="X1941" t="s">
        <v>28114</v>
      </c>
      <c r="Z1941" t="s">
        <v>28115</v>
      </c>
      <c r="AA1941" t="s">
        <v>28115</v>
      </c>
      <c r="AC1941" t="s">
        <v>28115</v>
      </c>
    </row>
    <row r="1942" spans="1:30">
      <c r="A1942" t="s">
        <v>28116</v>
      </c>
      <c r="B1942">
        <v>10</v>
      </c>
      <c r="C1942">
        <v>22</v>
      </c>
      <c r="D1942">
        <v>1983</v>
      </c>
      <c r="E1942" s="1">
        <v>30611</v>
      </c>
      <c r="F1942" t="s">
        <v>28117</v>
      </c>
      <c r="G1942">
        <v>1</v>
      </c>
      <c r="H1942">
        <v>0</v>
      </c>
      <c r="I1942">
        <v>1</v>
      </c>
      <c r="J1942">
        <v>0</v>
      </c>
      <c r="L1942" t="s">
        <v>28118</v>
      </c>
      <c r="M1942" t="s">
        <v>28119</v>
      </c>
      <c r="N1942" t="s">
        <v>28120</v>
      </c>
      <c r="O1942" t="s">
        <v>28121</v>
      </c>
      <c r="P1942" t="s">
        <v>28122</v>
      </c>
      <c r="Q1942" t="s">
        <v>28123</v>
      </c>
      <c r="R1942" t="s">
        <v>28124</v>
      </c>
      <c r="S1942" t="s">
        <v>28125</v>
      </c>
      <c r="T1942" s="2">
        <v>0.95833333333333337</v>
      </c>
      <c r="U1942">
        <v>1</v>
      </c>
      <c r="V1942" t="s">
        <v>28126</v>
      </c>
      <c r="W1942" t="s">
        <v>28127</v>
      </c>
      <c r="X1942" t="s">
        <v>28128</v>
      </c>
      <c r="Y1942" t="s">
        <v>28129</v>
      </c>
      <c r="Z1942" t="s">
        <v>28129</v>
      </c>
      <c r="AA1942" t="s">
        <v>28129</v>
      </c>
      <c r="AB1942" t="s">
        <v>28129</v>
      </c>
      <c r="AC1942" t="s">
        <v>28129</v>
      </c>
    </row>
    <row r="1943" spans="1:30">
      <c r="A1943" t="s">
        <v>28130</v>
      </c>
      <c r="B1943">
        <v>10</v>
      </c>
      <c r="C1943">
        <v>7</v>
      </c>
      <c r="D1943">
        <v>1983</v>
      </c>
      <c r="E1943" s="1">
        <v>30596</v>
      </c>
      <c r="F1943" t="s">
        <v>28131</v>
      </c>
      <c r="G1943">
        <v>0</v>
      </c>
      <c r="H1943">
        <v>1</v>
      </c>
      <c r="I1943">
        <v>1</v>
      </c>
      <c r="J1943">
        <v>0</v>
      </c>
      <c r="L1943" t="s">
        <v>28132</v>
      </c>
      <c r="M1943" t="s">
        <v>28133</v>
      </c>
      <c r="N1943" t="s">
        <v>28134</v>
      </c>
      <c r="O1943" t="s">
        <v>28135</v>
      </c>
      <c r="P1943" t="s">
        <v>28136</v>
      </c>
      <c r="Q1943" t="s">
        <v>28137</v>
      </c>
      <c r="R1943" t="s">
        <v>28138</v>
      </c>
      <c r="U1943">
        <v>1</v>
      </c>
      <c r="V1943" t="s">
        <v>28139</v>
      </c>
      <c r="W1943" t="s">
        <v>28140</v>
      </c>
      <c r="X1943" t="s">
        <v>28141</v>
      </c>
      <c r="Y1943" t="s">
        <v>28142</v>
      </c>
      <c r="Z1943" t="s">
        <v>28142</v>
      </c>
      <c r="AA1943" t="s">
        <v>28142</v>
      </c>
      <c r="AB1943" t="s">
        <v>28142</v>
      </c>
      <c r="AC1943" t="s">
        <v>28142</v>
      </c>
    </row>
    <row r="1944" spans="1:30">
      <c r="A1944" t="s">
        <v>28143</v>
      </c>
      <c r="B1944">
        <v>9</v>
      </c>
      <c r="C1944">
        <v>30</v>
      </c>
      <c r="D1944">
        <v>1983</v>
      </c>
      <c r="E1944" s="1">
        <v>30589</v>
      </c>
      <c r="F1944" t="s">
        <v>28144</v>
      </c>
      <c r="G1944">
        <v>0</v>
      </c>
      <c r="H1944">
        <v>3</v>
      </c>
      <c r="I1944">
        <v>3</v>
      </c>
      <c r="J1944">
        <v>0</v>
      </c>
      <c r="L1944" t="s">
        <v>28145</v>
      </c>
      <c r="M1944" t="s">
        <v>28146</v>
      </c>
      <c r="N1944" t="s">
        <v>28147</v>
      </c>
      <c r="O1944" t="s">
        <v>28148</v>
      </c>
      <c r="P1944" t="s">
        <v>28149</v>
      </c>
      <c r="Q1944" t="s">
        <v>28150</v>
      </c>
      <c r="R1944" t="s">
        <v>28151</v>
      </c>
      <c r="S1944" t="s">
        <v>28152</v>
      </c>
      <c r="U1944">
        <v>1</v>
      </c>
      <c r="V1944" t="s">
        <v>28153</v>
      </c>
      <c r="W1944" t="s">
        <v>28154</v>
      </c>
      <c r="X1944" t="s">
        <v>28155</v>
      </c>
      <c r="Y1944" t="s">
        <v>28156</v>
      </c>
      <c r="Z1944" t="s">
        <v>28156</v>
      </c>
      <c r="AA1944" t="s">
        <v>28156</v>
      </c>
      <c r="AB1944" t="s">
        <v>28156</v>
      </c>
      <c r="AC1944" t="s">
        <v>28156</v>
      </c>
    </row>
    <row r="1945" spans="1:30">
      <c r="A1945" t="s">
        <v>28157</v>
      </c>
      <c r="B1945">
        <v>9</v>
      </c>
      <c r="C1945">
        <v>21</v>
      </c>
      <c r="D1945">
        <v>1983</v>
      </c>
      <c r="E1945" s="1">
        <v>30580</v>
      </c>
      <c r="F1945" t="s">
        <v>28158</v>
      </c>
      <c r="G1945">
        <v>0</v>
      </c>
      <c r="H1945">
        <v>0</v>
      </c>
      <c r="I1945">
        <v>0</v>
      </c>
      <c r="J1945">
        <v>0</v>
      </c>
      <c r="L1945" t="s">
        <v>28159</v>
      </c>
      <c r="M1945" t="s">
        <v>28160</v>
      </c>
      <c r="N1945" t="s">
        <v>28161</v>
      </c>
      <c r="O1945" t="s">
        <v>28162</v>
      </c>
      <c r="P1945" t="s">
        <v>28163</v>
      </c>
      <c r="Q1945" t="s">
        <v>28164</v>
      </c>
      <c r="R1945" t="s">
        <v>28165</v>
      </c>
      <c r="S1945" t="s">
        <v>28166</v>
      </c>
      <c r="T1945" s="2">
        <v>0.45833333333333331</v>
      </c>
      <c r="U1945">
        <v>1</v>
      </c>
      <c r="V1945" t="s">
        <v>28167</v>
      </c>
      <c r="W1945" t="s">
        <v>28168</v>
      </c>
      <c r="X1945" t="s">
        <v>28169</v>
      </c>
      <c r="Z1945" t="s">
        <v>28170</v>
      </c>
      <c r="AA1945" t="s">
        <v>28170</v>
      </c>
      <c r="AB1945" t="s">
        <v>28170</v>
      </c>
      <c r="AC1945" t="s">
        <v>28170</v>
      </c>
    </row>
    <row r="1946" spans="1:30">
      <c r="A1946" t="s">
        <v>28171</v>
      </c>
      <c r="B1946">
        <v>9</v>
      </c>
      <c r="C1946">
        <v>12</v>
      </c>
      <c r="D1946">
        <v>1983</v>
      </c>
      <c r="E1946" s="1">
        <v>30571</v>
      </c>
      <c r="F1946" t="s">
        <v>28172</v>
      </c>
      <c r="G1946">
        <v>0</v>
      </c>
      <c r="H1946">
        <v>5</v>
      </c>
      <c r="I1946">
        <v>5</v>
      </c>
      <c r="J1946">
        <v>0</v>
      </c>
      <c r="L1946" t="s">
        <v>28173</v>
      </c>
      <c r="M1946" t="s">
        <v>28174</v>
      </c>
      <c r="N1946" t="s">
        <v>28175</v>
      </c>
      <c r="O1946" t="s">
        <v>28176</v>
      </c>
      <c r="P1946" t="s">
        <v>28177</v>
      </c>
      <c r="Q1946" t="s">
        <v>28178</v>
      </c>
      <c r="R1946" t="s">
        <v>28179</v>
      </c>
      <c r="S1946" t="s">
        <v>28180</v>
      </c>
      <c r="U1946">
        <v>1</v>
      </c>
      <c r="V1946" t="s">
        <v>28181</v>
      </c>
      <c r="W1946" t="s">
        <v>28182</v>
      </c>
      <c r="X1946" t="s">
        <v>28183</v>
      </c>
      <c r="Y1946" t="s">
        <v>28184</v>
      </c>
      <c r="Z1946" t="s">
        <v>28185</v>
      </c>
      <c r="AA1946" t="s">
        <v>28185</v>
      </c>
      <c r="AB1946" t="s">
        <v>28185</v>
      </c>
      <c r="AC1946" t="s">
        <v>28185</v>
      </c>
    </row>
    <row r="1947" spans="1:30">
      <c r="A1947" t="s">
        <v>28186</v>
      </c>
      <c r="B1947">
        <v>9</v>
      </c>
      <c r="C1947">
        <v>12</v>
      </c>
      <c r="D1947">
        <v>1983</v>
      </c>
      <c r="E1947" s="1">
        <v>30571</v>
      </c>
      <c r="F1947" t="s">
        <v>28187</v>
      </c>
      <c r="G1947">
        <v>1</v>
      </c>
      <c r="H1947">
        <v>0</v>
      </c>
      <c r="I1947">
        <v>1</v>
      </c>
      <c r="J1947">
        <v>0</v>
      </c>
      <c r="L1947" t="s">
        <v>28188</v>
      </c>
      <c r="M1947" t="s">
        <v>28189</v>
      </c>
      <c r="N1947" t="s">
        <v>28190</v>
      </c>
      <c r="O1947" t="s">
        <v>28191</v>
      </c>
      <c r="P1947" t="s">
        <v>28192</v>
      </c>
      <c r="Q1947" t="s">
        <v>28193</v>
      </c>
      <c r="R1947" t="s">
        <v>28194</v>
      </c>
      <c r="S1947" t="s">
        <v>28195</v>
      </c>
      <c r="T1947" s="2">
        <v>0.36458333333333331</v>
      </c>
      <c r="U1947">
        <v>1</v>
      </c>
      <c r="V1947" t="s">
        <v>28196</v>
      </c>
      <c r="W1947" t="s">
        <v>28197</v>
      </c>
      <c r="X1947" t="s">
        <v>28198</v>
      </c>
      <c r="Y1947" t="s">
        <v>28199</v>
      </c>
      <c r="Z1947" t="s">
        <v>28199</v>
      </c>
      <c r="AA1947" t="s">
        <v>28199</v>
      </c>
      <c r="AB1947" t="s">
        <v>28199</v>
      </c>
      <c r="AC1947" t="s">
        <v>28199</v>
      </c>
    </row>
    <row r="1948" spans="1:30">
      <c r="A1948" t="s">
        <v>28200</v>
      </c>
      <c r="B1948">
        <v>5</v>
      </c>
      <c r="C1948">
        <v>26</v>
      </c>
      <c r="D1948">
        <v>1983</v>
      </c>
      <c r="E1948" s="1">
        <v>30462</v>
      </c>
      <c r="F1948" t="s">
        <v>28201</v>
      </c>
      <c r="G1948">
        <v>0</v>
      </c>
      <c r="H1948">
        <v>0</v>
      </c>
      <c r="I1948">
        <v>0</v>
      </c>
      <c r="J1948">
        <v>1</v>
      </c>
      <c r="L1948" t="s">
        <v>28202</v>
      </c>
      <c r="M1948" t="s">
        <v>28203</v>
      </c>
      <c r="N1948" t="s">
        <v>28204</v>
      </c>
      <c r="O1948" t="s">
        <v>28205</v>
      </c>
      <c r="P1948" t="s">
        <v>28206</v>
      </c>
      <c r="Q1948" t="s">
        <v>28207</v>
      </c>
      <c r="R1948" t="s">
        <v>28208</v>
      </c>
      <c r="U1948">
        <v>1</v>
      </c>
      <c r="V1948" t="s">
        <v>28209</v>
      </c>
      <c r="W1948" t="s">
        <v>28210</v>
      </c>
      <c r="X1948" t="s">
        <v>28211</v>
      </c>
      <c r="Y1948" t="s">
        <v>28212</v>
      </c>
      <c r="Z1948" t="s">
        <v>28212</v>
      </c>
      <c r="AA1948" t="s">
        <v>28212</v>
      </c>
      <c r="AB1948" t="s">
        <v>28212</v>
      </c>
      <c r="AC1948" t="s">
        <v>28212</v>
      </c>
    </row>
    <row r="1949" spans="1:30">
      <c r="A1949" t="s">
        <v>28213</v>
      </c>
      <c r="B1949">
        <v>5</v>
      </c>
      <c r="C1949">
        <v>23</v>
      </c>
      <c r="D1949">
        <v>1983</v>
      </c>
      <c r="E1949" s="1">
        <v>30459</v>
      </c>
      <c r="F1949" t="s">
        <v>28214</v>
      </c>
      <c r="G1949">
        <v>0</v>
      </c>
      <c r="H1949">
        <v>1</v>
      </c>
      <c r="I1949">
        <v>1</v>
      </c>
      <c r="J1949">
        <v>0</v>
      </c>
      <c r="L1949" t="s">
        <v>28215</v>
      </c>
      <c r="M1949" t="s">
        <v>28216</v>
      </c>
      <c r="N1949" t="s">
        <v>28217</v>
      </c>
      <c r="O1949" t="s">
        <v>28218</v>
      </c>
      <c r="P1949" t="s">
        <v>28219</v>
      </c>
      <c r="Q1949" t="s">
        <v>28220</v>
      </c>
      <c r="R1949" t="s">
        <v>28221</v>
      </c>
      <c r="S1949" t="s">
        <v>28222</v>
      </c>
      <c r="T1949" s="2">
        <v>0.33680555555555552</v>
      </c>
      <c r="U1949">
        <v>1</v>
      </c>
      <c r="V1949" t="s">
        <v>28223</v>
      </c>
      <c r="W1949" t="s">
        <v>28224</v>
      </c>
      <c r="X1949" t="s">
        <v>28225</v>
      </c>
      <c r="Y1949" t="s">
        <v>28226</v>
      </c>
      <c r="Z1949" t="s">
        <v>28226</v>
      </c>
      <c r="AA1949" t="s">
        <v>28226</v>
      </c>
      <c r="AB1949" t="s">
        <v>28226</v>
      </c>
      <c r="AC1949" t="s">
        <v>28226</v>
      </c>
    </row>
    <row r="1950" spans="1:30">
      <c r="A1950" t="s">
        <v>28227</v>
      </c>
      <c r="B1950">
        <v>5</v>
      </c>
      <c r="C1950">
        <v>18</v>
      </c>
      <c r="D1950">
        <v>1983</v>
      </c>
      <c r="E1950" s="1">
        <v>30454</v>
      </c>
      <c r="F1950" t="s">
        <v>28228</v>
      </c>
      <c r="G1950">
        <v>0</v>
      </c>
      <c r="H1950">
        <v>1</v>
      </c>
      <c r="I1950">
        <v>1</v>
      </c>
      <c r="J1950">
        <v>0</v>
      </c>
      <c r="L1950" t="s">
        <v>28229</v>
      </c>
      <c r="M1950" t="s">
        <v>28230</v>
      </c>
      <c r="N1950" t="s">
        <v>28231</v>
      </c>
      <c r="O1950" t="s">
        <v>28232</v>
      </c>
      <c r="P1950" t="s">
        <v>28233</v>
      </c>
      <c r="Q1950" t="s">
        <v>28234</v>
      </c>
      <c r="R1950" t="s">
        <v>28235</v>
      </c>
      <c r="S1950" t="s">
        <v>28236</v>
      </c>
      <c r="T1950" s="2">
        <v>0.60416666666666674</v>
      </c>
      <c r="U1950">
        <v>1</v>
      </c>
      <c r="V1950" t="s">
        <v>28237</v>
      </c>
      <c r="W1950" t="s">
        <v>28238</v>
      </c>
      <c r="X1950" t="s">
        <v>28239</v>
      </c>
      <c r="Y1950" t="s">
        <v>28240</v>
      </c>
      <c r="Z1950" t="s">
        <v>28240</v>
      </c>
      <c r="AA1950" t="s">
        <v>28240</v>
      </c>
      <c r="AB1950" t="s">
        <v>28240</v>
      </c>
      <c r="AC1950" t="s">
        <v>28240</v>
      </c>
    </row>
    <row r="1951" spans="1:30">
      <c r="A1951" t="s">
        <v>28241</v>
      </c>
      <c r="B1951">
        <v>5</v>
      </c>
      <c r="C1951">
        <v>16</v>
      </c>
      <c r="D1951">
        <v>1983</v>
      </c>
      <c r="E1951" s="1">
        <v>30452</v>
      </c>
      <c r="F1951" t="s">
        <v>28242</v>
      </c>
      <c r="G1951">
        <v>1</v>
      </c>
      <c r="H1951">
        <v>0</v>
      </c>
      <c r="I1951">
        <v>1</v>
      </c>
      <c r="J1951">
        <v>0</v>
      </c>
      <c r="K1951" t="s">
        <v>28243</v>
      </c>
      <c r="L1951" t="s">
        <v>28244</v>
      </c>
      <c r="M1951" t="s">
        <v>28245</v>
      </c>
      <c r="N1951" t="s">
        <v>28246</v>
      </c>
      <c r="O1951" t="s">
        <v>28247</v>
      </c>
      <c r="P1951" t="s">
        <v>28248</v>
      </c>
      <c r="Q1951" t="s">
        <v>28249</v>
      </c>
      <c r="R1951" t="s">
        <v>28250</v>
      </c>
      <c r="S1951" t="s">
        <v>28251</v>
      </c>
      <c r="U1951">
        <v>1</v>
      </c>
      <c r="V1951" t="s">
        <v>28252</v>
      </c>
      <c r="W1951" t="s">
        <v>28253</v>
      </c>
      <c r="X1951" t="s">
        <v>28254</v>
      </c>
      <c r="Y1951" t="s">
        <v>28255</v>
      </c>
      <c r="Z1951" t="s">
        <v>28255</v>
      </c>
      <c r="AA1951" t="s">
        <v>28255</v>
      </c>
      <c r="AB1951" t="s">
        <v>28255</v>
      </c>
      <c r="AC1951" t="s">
        <v>28255</v>
      </c>
    </row>
    <row r="1952" spans="1:30">
      <c r="A1952" t="s">
        <v>28256</v>
      </c>
      <c r="B1952">
        <v>5</v>
      </c>
      <c r="C1952">
        <v>16</v>
      </c>
      <c r="D1952">
        <v>1983</v>
      </c>
      <c r="E1952" s="1">
        <v>30452</v>
      </c>
      <c r="F1952" t="s">
        <v>28257</v>
      </c>
      <c r="G1952">
        <v>0</v>
      </c>
      <c r="H1952">
        <v>2</v>
      </c>
      <c r="I1952">
        <v>2</v>
      </c>
      <c r="J1952">
        <v>1</v>
      </c>
      <c r="L1952" t="s">
        <v>28258</v>
      </c>
      <c r="M1952" t="s">
        <v>28259</v>
      </c>
      <c r="N1952" t="s">
        <v>28260</v>
      </c>
      <c r="O1952" t="s">
        <v>28261</v>
      </c>
      <c r="P1952" t="s">
        <v>28262</v>
      </c>
      <c r="Q1952" t="s">
        <v>28263</v>
      </c>
      <c r="R1952" t="s">
        <v>28264</v>
      </c>
      <c r="S1952" t="s">
        <v>28265</v>
      </c>
      <c r="T1952" s="2">
        <v>0.53125</v>
      </c>
      <c r="V1952" t="s">
        <v>28266</v>
      </c>
      <c r="W1952" t="s">
        <v>28267</v>
      </c>
      <c r="X1952" t="s">
        <v>28268</v>
      </c>
      <c r="Y1952" t="s">
        <v>28269</v>
      </c>
      <c r="Z1952" t="s">
        <v>28270</v>
      </c>
      <c r="AA1952" t="s">
        <v>28270</v>
      </c>
      <c r="AB1952" t="s">
        <v>28271</v>
      </c>
      <c r="AC1952" t="s">
        <v>28271</v>
      </c>
      <c r="AD1952" t="s">
        <v>28272</v>
      </c>
    </row>
    <row r="1953" spans="1:30">
      <c r="A1953" t="s">
        <v>28273</v>
      </c>
      <c r="B1953">
        <v>4</v>
      </c>
      <c r="C1953">
        <v>21</v>
      </c>
      <c r="D1953">
        <v>1983</v>
      </c>
      <c r="E1953" s="1">
        <v>30427</v>
      </c>
      <c r="F1953" t="s">
        <v>28274</v>
      </c>
      <c r="G1953">
        <v>0</v>
      </c>
      <c r="H1953">
        <v>1</v>
      </c>
      <c r="I1953">
        <v>1</v>
      </c>
      <c r="J1953">
        <v>0</v>
      </c>
      <c r="L1953" t="s">
        <v>28275</v>
      </c>
      <c r="M1953" t="s">
        <v>28276</v>
      </c>
      <c r="N1953" t="s">
        <v>28277</v>
      </c>
      <c r="O1953" t="s">
        <v>28278</v>
      </c>
      <c r="P1953" t="s">
        <v>28279</v>
      </c>
      <c r="Q1953" t="s">
        <v>28280</v>
      </c>
      <c r="R1953" t="s">
        <v>28281</v>
      </c>
      <c r="S1953" t="s">
        <v>28282</v>
      </c>
      <c r="T1953" s="2">
        <v>0.45833333333333331</v>
      </c>
      <c r="U1953">
        <v>1</v>
      </c>
      <c r="V1953" t="s">
        <v>28283</v>
      </c>
      <c r="W1953" t="s">
        <v>28284</v>
      </c>
      <c r="X1953" t="s">
        <v>28285</v>
      </c>
      <c r="Y1953" t="s">
        <v>28286</v>
      </c>
      <c r="Z1953" t="s">
        <v>28286</v>
      </c>
      <c r="AA1953" t="s">
        <v>28286</v>
      </c>
      <c r="AB1953" t="s">
        <v>28286</v>
      </c>
      <c r="AC1953" t="s">
        <v>28286</v>
      </c>
    </row>
    <row r="1954" spans="1:30">
      <c r="A1954" t="s">
        <v>28287</v>
      </c>
      <c r="B1954">
        <v>3</v>
      </c>
      <c r="C1954">
        <v>31</v>
      </c>
      <c r="D1954">
        <v>1983</v>
      </c>
      <c r="E1954" s="1">
        <v>30406</v>
      </c>
      <c r="F1954" t="s">
        <v>28288</v>
      </c>
      <c r="G1954">
        <v>0</v>
      </c>
      <c r="H1954">
        <v>0</v>
      </c>
      <c r="I1954">
        <v>0</v>
      </c>
      <c r="J1954">
        <v>0</v>
      </c>
      <c r="L1954" t="s">
        <v>28289</v>
      </c>
      <c r="M1954" t="s">
        <v>28290</v>
      </c>
      <c r="N1954" t="s">
        <v>28291</v>
      </c>
      <c r="O1954" t="s">
        <v>28292</v>
      </c>
      <c r="P1954" t="s">
        <v>28293</v>
      </c>
      <c r="Q1954" t="s">
        <v>28294</v>
      </c>
      <c r="R1954" t="s">
        <v>28295</v>
      </c>
      <c r="S1954" t="s">
        <v>28296</v>
      </c>
      <c r="U1954">
        <v>1</v>
      </c>
      <c r="V1954" t="s">
        <v>28297</v>
      </c>
      <c r="W1954" t="s">
        <v>28298</v>
      </c>
      <c r="X1954" t="s">
        <v>28299</v>
      </c>
      <c r="Z1954" t="s">
        <v>28300</v>
      </c>
      <c r="AA1954" t="s">
        <v>28300</v>
      </c>
      <c r="AB1954" t="s">
        <v>28300</v>
      </c>
      <c r="AC1954" t="s">
        <v>28300</v>
      </c>
    </row>
    <row r="1955" spans="1:30">
      <c r="A1955" t="s">
        <v>28301</v>
      </c>
      <c r="B1955">
        <v>2</v>
      </c>
      <c r="C1955">
        <v>2</v>
      </c>
      <c r="D1955">
        <v>1983</v>
      </c>
      <c r="E1955" s="1">
        <v>30349</v>
      </c>
      <c r="F1955" t="s">
        <v>28302</v>
      </c>
      <c r="G1955">
        <v>0</v>
      </c>
      <c r="H1955">
        <v>1</v>
      </c>
      <c r="I1955">
        <v>1</v>
      </c>
      <c r="J1955">
        <v>0</v>
      </c>
      <c r="L1955" t="s">
        <v>28303</v>
      </c>
      <c r="M1955" t="s">
        <v>28304</v>
      </c>
      <c r="N1955" t="s">
        <v>28305</v>
      </c>
      <c r="O1955" t="s">
        <v>28306</v>
      </c>
      <c r="P1955" t="s">
        <v>28307</v>
      </c>
      <c r="Q1955" t="s">
        <v>28308</v>
      </c>
      <c r="R1955" t="s">
        <v>28309</v>
      </c>
      <c r="S1955" t="s">
        <v>28310</v>
      </c>
      <c r="U1955">
        <v>1</v>
      </c>
      <c r="V1955" t="s">
        <v>28311</v>
      </c>
      <c r="W1955" t="s">
        <v>28312</v>
      </c>
      <c r="Y1955" t="s">
        <v>28313</v>
      </c>
      <c r="Z1955" t="s">
        <v>28313</v>
      </c>
      <c r="AA1955" t="s">
        <v>28313</v>
      </c>
      <c r="AB1955" t="s">
        <v>28313</v>
      </c>
      <c r="AC1955" t="s">
        <v>28313</v>
      </c>
    </row>
    <row r="1956" spans="1:30">
      <c r="A1956" t="s">
        <v>28314</v>
      </c>
      <c r="B1956">
        <v>2</v>
      </c>
      <c r="C1956">
        <v>1</v>
      </c>
      <c r="D1956">
        <v>1983</v>
      </c>
      <c r="E1956" s="1">
        <v>30348</v>
      </c>
      <c r="F1956" t="s">
        <v>28315</v>
      </c>
      <c r="G1956">
        <v>0</v>
      </c>
      <c r="H1956">
        <v>0</v>
      </c>
      <c r="I1956">
        <v>0</v>
      </c>
      <c r="J1956">
        <v>0</v>
      </c>
      <c r="L1956" t="s">
        <v>28316</v>
      </c>
      <c r="M1956" t="s">
        <v>28317</v>
      </c>
      <c r="N1956" t="s">
        <v>28318</v>
      </c>
      <c r="O1956" t="s">
        <v>28319</v>
      </c>
      <c r="P1956" t="s">
        <v>28320</v>
      </c>
      <c r="Q1956" t="s">
        <v>28320</v>
      </c>
      <c r="R1956" t="s">
        <v>28321</v>
      </c>
      <c r="S1956" t="s">
        <v>28322</v>
      </c>
      <c r="U1956">
        <v>1</v>
      </c>
      <c r="V1956" t="s">
        <v>28323</v>
      </c>
      <c r="W1956" t="s">
        <v>28324</v>
      </c>
      <c r="X1956" t="s">
        <v>28325</v>
      </c>
      <c r="Z1956" t="s">
        <v>28326</v>
      </c>
      <c r="AA1956" t="s">
        <v>28326</v>
      </c>
      <c r="AB1956" t="s">
        <v>28326</v>
      </c>
      <c r="AC1956" t="s">
        <v>28326</v>
      </c>
    </row>
    <row r="1957" spans="1:30">
      <c r="A1957" t="s">
        <v>28327</v>
      </c>
      <c r="B1957">
        <v>1</v>
      </c>
      <c r="C1957">
        <v>31</v>
      </c>
      <c r="D1957">
        <v>1983</v>
      </c>
      <c r="E1957" s="1">
        <v>30347</v>
      </c>
      <c r="F1957" t="s">
        <v>28328</v>
      </c>
      <c r="G1957">
        <v>0</v>
      </c>
      <c r="H1957">
        <v>0</v>
      </c>
      <c r="I1957">
        <v>0</v>
      </c>
      <c r="J1957">
        <v>0</v>
      </c>
      <c r="L1957" t="s">
        <v>28329</v>
      </c>
      <c r="M1957" t="s">
        <v>28330</v>
      </c>
      <c r="N1957" t="s">
        <v>28331</v>
      </c>
      <c r="O1957" t="s">
        <v>28332</v>
      </c>
      <c r="P1957" t="s">
        <v>28333</v>
      </c>
      <c r="Q1957" t="s">
        <v>28334</v>
      </c>
      <c r="R1957" t="s">
        <v>28335</v>
      </c>
      <c r="U1957">
        <v>1</v>
      </c>
      <c r="V1957" t="s">
        <v>28336</v>
      </c>
      <c r="W1957" t="s">
        <v>28337</v>
      </c>
      <c r="X1957" t="s">
        <v>28338</v>
      </c>
      <c r="Y1957" t="s">
        <v>28339</v>
      </c>
      <c r="Z1957" t="s">
        <v>28339</v>
      </c>
      <c r="AA1957" t="s">
        <v>28339</v>
      </c>
      <c r="AB1957" t="s">
        <v>28339</v>
      </c>
      <c r="AC1957" t="s">
        <v>28339</v>
      </c>
    </row>
    <row r="1958" spans="1:30">
      <c r="A1958" t="s">
        <v>28340</v>
      </c>
      <c r="B1958">
        <v>1</v>
      </c>
      <c r="C1958">
        <v>30</v>
      </c>
      <c r="D1958">
        <v>1983</v>
      </c>
      <c r="E1958" s="1">
        <v>30346</v>
      </c>
      <c r="F1958" t="s">
        <v>28341</v>
      </c>
      <c r="G1958">
        <v>1</v>
      </c>
      <c r="H1958">
        <v>0</v>
      </c>
      <c r="I1958">
        <v>1</v>
      </c>
      <c r="J1958">
        <v>0</v>
      </c>
      <c r="L1958" t="s">
        <v>28342</v>
      </c>
      <c r="M1958" t="s">
        <v>28343</v>
      </c>
      <c r="N1958" t="s">
        <v>28344</v>
      </c>
      <c r="O1958" t="s">
        <v>28345</v>
      </c>
      <c r="P1958" t="s">
        <v>28346</v>
      </c>
      <c r="R1958" t="s">
        <v>28347</v>
      </c>
      <c r="S1958" t="s">
        <v>28348</v>
      </c>
      <c r="T1958" s="2">
        <v>0.4861111111111111</v>
      </c>
      <c r="U1958">
        <v>1</v>
      </c>
      <c r="V1958" t="s">
        <v>28349</v>
      </c>
      <c r="W1958" t="s">
        <v>28350</v>
      </c>
      <c r="X1958" t="s">
        <v>28351</v>
      </c>
      <c r="Y1958" t="s">
        <v>28352</v>
      </c>
      <c r="Z1958" t="s">
        <v>28352</v>
      </c>
      <c r="AA1958" t="s">
        <v>28352</v>
      </c>
      <c r="AB1958" t="s">
        <v>28352</v>
      </c>
      <c r="AC1958" t="s">
        <v>28352</v>
      </c>
    </row>
    <row r="1959" spans="1:30">
      <c r="A1959" t="s">
        <v>28353</v>
      </c>
      <c r="B1959">
        <v>1</v>
      </c>
      <c r="C1959">
        <v>28</v>
      </c>
      <c r="D1959">
        <v>1983</v>
      </c>
      <c r="E1959" s="1">
        <v>30344</v>
      </c>
      <c r="F1959" t="s">
        <v>28354</v>
      </c>
      <c r="G1959">
        <v>0</v>
      </c>
      <c r="H1959">
        <v>0</v>
      </c>
      <c r="I1959">
        <v>0</v>
      </c>
      <c r="J1959">
        <v>0</v>
      </c>
      <c r="L1959" t="s">
        <v>28355</v>
      </c>
      <c r="M1959" t="s">
        <v>28356</v>
      </c>
      <c r="N1959" t="s">
        <v>28357</v>
      </c>
      <c r="O1959" t="s">
        <v>28358</v>
      </c>
      <c r="P1959" t="s">
        <v>28359</v>
      </c>
      <c r="Q1959" t="s">
        <v>28360</v>
      </c>
      <c r="R1959" t="s">
        <v>28361</v>
      </c>
      <c r="S1959" t="s">
        <v>28362</v>
      </c>
      <c r="U1959">
        <v>1</v>
      </c>
      <c r="V1959" t="s">
        <v>28363</v>
      </c>
      <c r="W1959" t="s">
        <v>28364</v>
      </c>
      <c r="X1959" t="s">
        <v>28365</v>
      </c>
      <c r="Z1959" t="s">
        <v>28366</v>
      </c>
      <c r="AA1959" t="s">
        <v>28366</v>
      </c>
      <c r="AB1959" t="s">
        <v>28366</v>
      </c>
      <c r="AC1959" t="s">
        <v>28366</v>
      </c>
    </row>
    <row r="1960" spans="1:30">
      <c r="A1960" t="s">
        <v>28367</v>
      </c>
      <c r="B1960">
        <v>1</v>
      </c>
      <c r="C1960">
        <v>20</v>
      </c>
      <c r="D1960">
        <v>1983</v>
      </c>
      <c r="E1960" s="1">
        <v>30336</v>
      </c>
      <c r="F1960" t="s">
        <v>28368</v>
      </c>
      <c r="G1960">
        <v>1</v>
      </c>
      <c r="H1960">
        <v>1</v>
      </c>
      <c r="I1960">
        <v>2</v>
      </c>
      <c r="J1960">
        <v>1</v>
      </c>
      <c r="L1960" t="s">
        <v>28369</v>
      </c>
      <c r="M1960" t="s">
        <v>28370</v>
      </c>
      <c r="N1960" t="s">
        <v>28371</v>
      </c>
      <c r="O1960" t="s">
        <v>28372</v>
      </c>
      <c r="P1960" t="s">
        <v>28373</v>
      </c>
      <c r="Q1960" t="s">
        <v>28373</v>
      </c>
      <c r="R1960" t="s">
        <v>28374</v>
      </c>
      <c r="S1960" t="s">
        <v>28375</v>
      </c>
      <c r="T1960" s="2">
        <v>0.49305555555555552</v>
      </c>
      <c r="V1960" t="s">
        <v>28376</v>
      </c>
      <c r="W1960" t="s">
        <v>28377</v>
      </c>
      <c r="X1960" t="s">
        <v>28378</v>
      </c>
      <c r="Y1960" t="s">
        <v>28379</v>
      </c>
      <c r="Z1960" t="s">
        <v>28379</v>
      </c>
      <c r="AA1960" t="s">
        <v>28379</v>
      </c>
      <c r="AB1960" t="s">
        <v>28380</v>
      </c>
      <c r="AC1960" t="s">
        <v>28381</v>
      </c>
      <c r="AD1960" t="s">
        <v>28382</v>
      </c>
    </row>
    <row r="1961" spans="1:30">
      <c r="A1961" t="s">
        <v>28383</v>
      </c>
      <c r="B1961">
        <v>1</v>
      </c>
      <c r="C1961">
        <v>18</v>
      </c>
      <c r="D1961">
        <v>1983</v>
      </c>
      <c r="E1961" s="1">
        <v>30334</v>
      </c>
      <c r="F1961" t="s">
        <v>28384</v>
      </c>
      <c r="G1961">
        <v>1</v>
      </c>
      <c r="H1961">
        <v>0</v>
      </c>
      <c r="I1961">
        <v>1</v>
      </c>
      <c r="J1961">
        <v>1</v>
      </c>
      <c r="L1961" t="s">
        <v>28385</v>
      </c>
      <c r="M1961" t="s">
        <v>28386</v>
      </c>
      <c r="N1961" t="s">
        <v>28387</v>
      </c>
      <c r="O1961" t="s">
        <v>28388</v>
      </c>
      <c r="P1961" t="s">
        <v>28389</v>
      </c>
      <c r="Q1961" t="s">
        <v>28390</v>
      </c>
      <c r="R1961" t="s">
        <v>28391</v>
      </c>
      <c r="S1961" t="s">
        <v>28392</v>
      </c>
      <c r="T1961" s="2">
        <v>0.43402777777777779</v>
      </c>
      <c r="U1961">
        <v>1</v>
      </c>
      <c r="V1961" t="s">
        <v>28393</v>
      </c>
      <c r="W1961" t="s">
        <v>28394</v>
      </c>
      <c r="X1961" t="s">
        <v>28395</v>
      </c>
      <c r="Y1961" t="s">
        <v>28396</v>
      </c>
      <c r="Z1961" t="s">
        <v>28396</v>
      </c>
      <c r="AA1961" t="s">
        <v>28396</v>
      </c>
      <c r="AB1961" t="s">
        <v>28396</v>
      </c>
      <c r="AC1961" t="s">
        <v>28397</v>
      </c>
    </row>
    <row r="1962" spans="1:30">
      <c r="A1962" t="s">
        <v>28398</v>
      </c>
      <c r="B1962">
        <v>12</v>
      </c>
      <c r="C1962">
        <v>20</v>
      </c>
      <c r="D1962">
        <v>1982</v>
      </c>
      <c r="E1962" s="1">
        <v>30305</v>
      </c>
      <c r="F1962" t="s">
        <v>28399</v>
      </c>
      <c r="G1962">
        <v>0</v>
      </c>
      <c r="H1962">
        <v>1</v>
      </c>
      <c r="I1962">
        <v>1</v>
      </c>
      <c r="J1962">
        <v>0</v>
      </c>
      <c r="L1962" t="s">
        <v>28400</v>
      </c>
      <c r="M1962" t="s">
        <v>28401</v>
      </c>
      <c r="N1962" t="s">
        <v>28402</v>
      </c>
      <c r="O1962" t="s">
        <v>28403</v>
      </c>
      <c r="P1962" t="s">
        <v>28404</v>
      </c>
      <c r="Q1962" t="s">
        <v>28405</v>
      </c>
      <c r="R1962" t="s">
        <v>28406</v>
      </c>
      <c r="S1962" t="s">
        <v>28407</v>
      </c>
      <c r="T1962" s="2">
        <v>0.37152777777777779</v>
      </c>
      <c r="U1962">
        <v>1</v>
      </c>
      <c r="V1962" t="s">
        <v>28408</v>
      </c>
      <c r="W1962" t="s">
        <v>28409</v>
      </c>
      <c r="X1962" t="s">
        <v>28410</v>
      </c>
      <c r="Y1962" t="s">
        <v>28411</v>
      </c>
      <c r="Z1962" t="s">
        <v>28412</v>
      </c>
      <c r="AA1962" t="s">
        <v>28412</v>
      </c>
      <c r="AB1962" t="s">
        <v>28412</v>
      </c>
      <c r="AC1962" t="s">
        <v>28412</v>
      </c>
    </row>
    <row r="1963" spans="1:30">
      <c r="A1963" t="s">
        <v>28413</v>
      </c>
      <c r="B1963">
        <v>12</v>
      </c>
      <c r="C1963">
        <v>6</v>
      </c>
      <c r="D1963">
        <v>1982</v>
      </c>
      <c r="E1963" s="1">
        <v>30291</v>
      </c>
      <c r="F1963" t="s">
        <v>28414</v>
      </c>
      <c r="G1963">
        <v>0</v>
      </c>
      <c r="H1963">
        <v>0</v>
      </c>
      <c r="I1963">
        <v>0</v>
      </c>
      <c r="J1963">
        <v>1</v>
      </c>
      <c r="L1963" t="s">
        <v>28415</v>
      </c>
      <c r="M1963" t="s">
        <v>28416</v>
      </c>
      <c r="N1963" t="s">
        <v>28417</v>
      </c>
      <c r="O1963" t="s">
        <v>28418</v>
      </c>
      <c r="P1963" t="s">
        <v>28419</v>
      </c>
      <c r="Q1963" t="s">
        <v>28420</v>
      </c>
      <c r="R1963" t="s">
        <v>28421</v>
      </c>
      <c r="S1963" t="s">
        <v>28422</v>
      </c>
      <c r="T1963" s="2">
        <v>0.48958333333333331</v>
      </c>
      <c r="V1963" t="s">
        <v>28423</v>
      </c>
      <c r="W1963" t="s">
        <v>28424</v>
      </c>
      <c r="X1963" t="s">
        <v>28425</v>
      </c>
      <c r="Y1963" t="s">
        <v>28426</v>
      </c>
      <c r="Z1963" t="s">
        <v>28427</v>
      </c>
      <c r="AA1963" t="s">
        <v>28427</v>
      </c>
      <c r="AB1963" t="s">
        <v>28428</v>
      </c>
      <c r="AC1963" t="s">
        <v>28428</v>
      </c>
    </row>
    <row r="1964" spans="1:30">
      <c r="A1964" t="s">
        <v>28429</v>
      </c>
      <c r="B1964">
        <v>11</v>
      </c>
      <c r="C1964">
        <v>12</v>
      </c>
      <c r="D1964">
        <v>1982</v>
      </c>
      <c r="E1964" s="1">
        <v>30267</v>
      </c>
      <c r="F1964" t="s">
        <v>28430</v>
      </c>
      <c r="G1964">
        <v>1</v>
      </c>
      <c r="H1964">
        <v>0</v>
      </c>
      <c r="I1964">
        <v>1</v>
      </c>
      <c r="J1964">
        <v>1</v>
      </c>
      <c r="L1964" t="s">
        <v>28431</v>
      </c>
      <c r="M1964" t="s">
        <v>28432</v>
      </c>
      <c r="N1964" t="s">
        <v>28433</v>
      </c>
      <c r="O1964" t="s">
        <v>28434</v>
      </c>
      <c r="P1964" t="s">
        <v>28435</v>
      </c>
      <c r="Q1964" t="s">
        <v>28436</v>
      </c>
      <c r="R1964" t="s">
        <v>28437</v>
      </c>
      <c r="S1964" t="s">
        <v>28438</v>
      </c>
      <c r="U1964">
        <v>1</v>
      </c>
      <c r="V1964" t="s">
        <v>28439</v>
      </c>
      <c r="W1964" t="s">
        <v>28440</v>
      </c>
      <c r="X1964" t="s">
        <v>28441</v>
      </c>
      <c r="Y1964" t="s">
        <v>28442</v>
      </c>
      <c r="Z1964" t="s">
        <v>28442</v>
      </c>
      <c r="AA1964" t="s">
        <v>28442</v>
      </c>
      <c r="AB1964" t="s">
        <v>28442</v>
      </c>
      <c r="AC1964" t="s">
        <v>28443</v>
      </c>
    </row>
    <row r="1965" spans="1:30">
      <c r="A1965" t="s">
        <v>28444</v>
      </c>
      <c r="B1965">
        <v>11</v>
      </c>
      <c r="C1965">
        <v>8</v>
      </c>
      <c r="D1965">
        <v>1982</v>
      </c>
      <c r="E1965" s="1">
        <v>30263</v>
      </c>
      <c r="F1965" t="s">
        <v>28445</v>
      </c>
      <c r="G1965">
        <v>0</v>
      </c>
      <c r="H1965">
        <v>2</v>
      </c>
      <c r="I1965">
        <v>2</v>
      </c>
      <c r="J1965">
        <v>0</v>
      </c>
      <c r="L1965" t="s">
        <v>28446</v>
      </c>
      <c r="M1965" t="s">
        <v>28447</v>
      </c>
      <c r="N1965" t="s">
        <v>28448</v>
      </c>
      <c r="O1965" t="s">
        <v>28449</v>
      </c>
      <c r="P1965" t="s">
        <v>28450</v>
      </c>
      <c r="Q1965" t="s">
        <v>28450</v>
      </c>
      <c r="R1965" t="s">
        <v>28451</v>
      </c>
      <c r="S1965" t="s">
        <v>28452</v>
      </c>
      <c r="T1965" s="2">
        <v>0.34027777777777773</v>
      </c>
      <c r="U1965">
        <v>1</v>
      </c>
      <c r="V1965" t="s">
        <v>28453</v>
      </c>
      <c r="W1965" t="s">
        <v>28454</v>
      </c>
      <c r="X1965" t="s">
        <v>28455</v>
      </c>
      <c r="Z1965" t="s">
        <v>28456</v>
      </c>
      <c r="AA1965" t="s">
        <v>28456</v>
      </c>
      <c r="AB1965" t="s">
        <v>28456</v>
      </c>
      <c r="AC1965" t="s">
        <v>28456</v>
      </c>
    </row>
    <row r="1966" spans="1:30">
      <c r="A1966" t="s">
        <v>28457</v>
      </c>
      <c r="B1966">
        <v>11</v>
      </c>
      <c r="C1966">
        <v>1</v>
      </c>
      <c r="D1966">
        <v>1982</v>
      </c>
      <c r="E1966" s="1">
        <v>30256</v>
      </c>
      <c r="F1966" t="s">
        <v>28458</v>
      </c>
      <c r="G1966">
        <v>0</v>
      </c>
      <c r="H1966">
        <v>1</v>
      </c>
      <c r="I1966">
        <v>1</v>
      </c>
      <c r="J1966">
        <v>0</v>
      </c>
      <c r="L1966" t="s">
        <v>28459</v>
      </c>
      <c r="M1966" t="s">
        <v>28460</v>
      </c>
      <c r="N1966" t="s">
        <v>28461</v>
      </c>
      <c r="O1966" t="s">
        <v>28462</v>
      </c>
      <c r="P1966" t="s">
        <v>28463</v>
      </c>
      <c r="Q1966" t="s">
        <v>28463</v>
      </c>
      <c r="R1966" t="s">
        <v>28464</v>
      </c>
      <c r="S1966" t="s">
        <v>28465</v>
      </c>
      <c r="T1966" s="2">
        <v>0.54861111111111105</v>
      </c>
      <c r="U1966">
        <v>1</v>
      </c>
      <c r="V1966" t="s">
        <v>28466</v>
      </c>
      <c r="W1966" t="s">
        <v>28467</v>
      </c>
      <c r="X1966" t="s">
        <v>28468</v>
      </c>
      <c r="Y1966" t="s">
        <v>28469</v>
      </c>
      <c r="Z1966" t="s">
        <v>28469</v>
      </c>
      <c r="AA1966" t="s">
        <v>28469</v>
      </c>
      <c r="AB1966" t="s">
        <v>28469</v>
      </c>
      <c r="AC1966" t="s">
        <v>28469</v>
      </c>
    </row>
    <row r="1967" spans="1:30">
      <c r="A1967" t="s">
        <v>28470</v>
      </c>
      <c r="B1967">
        <v>9</v>
      </c>
      <c r="C1967">
        <v>15</v>
      </c>
      <c r="D1967">
        <v>1982</v>
      </c>
      <c r="E1967" s="1">
        <v>30209</v>
      </c>
      <c r="F1967" t="s">
        <v>28471</v>
      </c>
      <c r="G1967">
        <v>0</v>
      </c>
      <c r="H1967">
        <v>0</v>
      </c>
      <c r="I1967">
        <v>0</v>
      </c>
      <c r="J1967">
        <v>0</v>
      </c>
      <c r="L1967" t="s">
        <v>28472</v>
      </c>
      <c r="M1967" t="s">
        <v>28473</v>
      </c>
      <c r="N1967" t="s">
        <v>28474</v>
      </c>
      <c r="O1967" t="s">
        <v>28475</v>
      </c>
      <c r="P1967" t="s">
        <v>28476</v>
      </c>
      <c r="Q1967" t="s">
        <v>28477</v>
      </c>
      <c r="R1967" t="s">
        <v>28478</v>
      </c>
      <c r="S1967" t="s">
        <v>28479</v>
      </c>
      <c r="U1967">
        <v>1</v>
      </c>
      <c r="V1967" t="s">
        <v>28480</v>
      </c>
      <c r="W1967" t="s">
        <v>28481</v>
      </c>
      <c r="X1967" t="s">
        <v>28482</v>
      </c>
      <c r="Y1967" t="s">
        <v>28483</v>
      </c>
      <c r="Z1967" t="s">
        <v>28483</v>
      </c>
      <c r="AA1967" t="s">
        <v>28483</v>
      </c>
    </row>
    <row r="1968" spans="1:30">
      <c r="A1968" t="s">
        <v>28484</v>
      </c>
      <c r="B1968">
        <v>9</v>
      </c>
      <c r="C1968">
        <v>10</v>
      </c>
      <c r="D1968">
        <v>1982</v>
      </c>
      <c r="E1968" s="1">
        <v>30204</v>
      </c>
      <c r="F1968" t="s">
        <v>28485</v>
      </c>
      <c r="G1968">
        <v>0</v>
      </c>
      <c r="H1968">
        <v>0</v>
      </c>
      <c r="I1968">
        <v>0</v>
      </c>
      <c r="J1968">
        <v>0</v>
      </c>
      <c r="L1968" t="s">
        <v>28486</v>
      </c>
      <c r="M1968" t="s">
        <v>28487</v>
      </c>
      <c r="N1968" t="s">
        <v>28488</v>
      </c>
      <c r="O1968" t="s">
        <v>28489</v>
      </c>
      <c r="P1968" t="s">
        <v>28490</v>
      </c>
      <c r="Q1968" t="s">
        <v>28490</v>
      </c>
      <c r="R1968" t="s">
        <v>28491</v>
      </c>
      <c r="S1968" t="s">
        <v>28492</v>
      </c>
      <c r="T1968" s="2">
        <v>0.57291666666666663</v>
      </c>
      <c r="U1968">
        <v>1.26</v>
      </c>
      <c r="V1968" t="s">
        <v>28493</v>
      </c>
      <c r="W1968" t="s">
        <v>28494</v>
      </c>
      <c r="X1968" t="s">
        <v>28495</v>
      </c>
      <c r="Y1968" t="s">
        <v>28496</v>
      </c>
      <c r="Z1968" t="s">
        <v>28497</v>
      </c>
      <c r="AA1968" t="s">
        <v>28497</v>
      </c>
      <c r="AB1968" t="s">
        <v>28498</v>
      </c>
      <c r="AC1968" t="s">
        <v>28498</v>
      </c>
      <c r="AD1968" t="s">
        <v>28499</v>
      </c>
    </row>
    <row r="1969" spans="1:30">
      <c r="A1969" t="s">
        <v>28500</v>
      </c>
      <c r="B1969">
        <v>5</v>
      </c>
      <c r="C1969">
        <v>27</v>
      </c>
      <c r="D1969">
        <v>1982</v>
      </c>
      <c r="E1969" s="1">
        <v>30098</v>
      </c>
      <c r="F1969" t="s">
        <v>28501</v>
      </c>
      <c r="G1969">
        <v>0</v>
      </c>
      <c r="H1969">
        <v>2</v>
      </c>
      <c r="I1969">
        <v>2</v>
      </c>
      <c r="J1969">
        <v>0</v>
      </c>
      <c r="L1969" t="s">
        <v>28502</v>
      </c>
      <c r="M1969" t="s">
        <v>28503</v>
      </c>
      <c r="N1969" t="s">
        <v>28504</v>
      </c>
      <c r="O1969" t="s">
        <v>28505</v>
      </c>
      <c r="P1969" t="s">
        <v>28506</v>
      </c>
      <c r="Q1969" t="s">
        <v>28507</v>
      </c>
      <c r="R1969" t="s">
        <v>28508</v>
      </c>
      <c r="S1969" t="s">
        <v>28509</v>
      </c>
      <c r="U1969">
        <v>1</v>
      </c>
      <c r="V1969" t="s">
        <v>28510</v>
      </c>
      <c r="W1969" t="s">
        <v>28511</v>
      </c>
      <c r="Y1969" t="s">
        <v>28512</v>
      </c>
      <c r="Z1969" t="s">
        <v>28513</v>
      </c>
      <c r="AA1969" t="s">
        <v>28513</v>
      </c>
    </row>
    <row r="1970" spans="1:30">
      <c r="A1970" t="s">
        <v>28514</v>
      </c>
      <c r="B1970">
        <v>4</v>
      </c>
      <c r="C1970">
        <v>30</v>
      </c>
      <c r="D1970">
        <v>1982</v>
      </c>
      <c r="E1970" s="1">
        <v>30071</v>
      </c>
      <c r="F1970" t="s">
        <v>28515</v>
      </c>
      <c r="G1970">
        <v>0</v>
      </c>
      <c r="H1970">
        <v>1</v>
      </c>
      <c r="I1970">
        <v>1</v>
      </c>
      <c r="J1970">
        <v>0</v>
      </c>
      <c r="L1970" t="s">
        <v>28516</v>
      </c>
      <c r="M1970" t="s">
        <v>28517</v>
      </c>
      <c r="N1970" t="s">
        <v>28518</v>
      </c>
      <c r="O1970" t="s">
        <v>28519</v>
      </c>
      <c r="P1970" t="s">
        <v>28520</v>
      </c>
      <c r="Q1970" t="s">
        <v>28521</v>
      </c>
      <c r="R1970" t="s">
        <v>28522</v>
      </c>
      <c r="S1970" t="s">
        <v>28523</v>
      </c>
      <c r="T1970" s="2">
        <v>0.30902777777777779</v>
      </c>
      <c r="U1970">
        <v>1</v>
      </c>
      <c r="V1970" t="s">
        <v>28524</v>
      </c>
      <c r="W1970" t="s">
        <v>28525</v>
      </c>
      <c r="X1970" t="s">
        <v>28526</v>
      </c>
      <c r="Y1970" t="s">
        <v>28527</v>
      </c>
      <c r="Z1970" t="s">
        <v>28527</v>
      </c>
      <c r="AA1970" t="s">
        <v>28527</v>
      </c>
      <c r="AB1970" t="s">
        <v>28527</v>
      </c>
      <c r="AC1970" t="s">
        <v>28527</v>
      </c>
    </row>
    <row r="1971" spans="1:30">
      <c r="A1971" t="s">
        <v>28528</v>
      </c>
      <c r="B1971">
        <v>4</v>
      </c>
      <c r="C1971">
        <v>29</v>
      </c>
      <c r="D1971">
        <v>1982</v>
      </c>
      <c r="E1971" s="1">
        <v>30070</v>
      </c>
      <c r="F1971" t="s">
        <v>28529</v>
      </c>
      <c r="G1971">
        <v>0</v>
      </c>
      <c r="H1971">
        <v>0</v>
      </c>
      <c r="I1971">
        <v>0</v>
      </c>
      <c r="J1971">
        <v>0</v>
      </c>
      <c r="L1971" t="s">
        <v>28530</v>
      </c>
      <c r="M1971" t="s">
        <v>28531</v>
      </c>
      <c r="N1971" t="s">
        <v>28532</v>
      </c>
      <c r="O1971" t="s">
        <v>28533</v>
      </c>
      <c r="P1971" t="s">
        <v>28534</v>
      </c>
      <c r="Q1971" t="s">
        <v>28534</v>
      </c>
      <c r="R1971" t="s">
        <v>28535</v>
      </c>
      <c r="S1971" t="s">
        <v>28536</v>
      </c>
      <c r="T1971" s="2">
        <v>0.4375</v>
      </c>
      <c r="U1971">
        <v>1</v>
      </c>
      <c r="V1971" t="s">
        <v>28537</v>
      </c>
      <c r="W1971" t="s">
        <v>28538</v>
      </c>
      <c r="X1971" t="s">
        <v>28539</v>
      </c>
      <c r="Z1971" t="s">
        <v>28540</v>
      </c>
      <c r="AA1971" t="s">
        <v>28540</v>
      </c>
      <c r="AB1971" t="s">
        <v>28540</v>
      </c>
      <c r="AC1971" t="s">
        <v>28540</v>
      </c>
    </row>
    <row r="1972" spans="1:30">
      <c r="A1972" t="s">
        <v>28541</v>
      </c>
      <c r="B1972">
        <v>4</v>
      </c>
      <c r="C1972">
        <v>15</v>
      </c>
      <c r="D1972">
        <v>1982</v>
      </c>
      <c r="E1972" s="1">
        <v>30056</v>
      </c>
      <c r="F1972" t="s">
        <v>28542</v>
      </c>
      <c r="G1972">
        <v>0</v>
      </c>
      <c r="H1972">
        <v>1</v>
      </c>
      <c r="I1972">
        <v>1</v>
      </c>
      <c r="J1972">
        <v>0</v>
      </c>
      <c r="L1972" t="s">
        <v>28543</v>
      </c>
      <c r="M1972" t="s">
        <v>28544</v>
      </c>
      <c r="N1972" t="s">
        <v>28545</v>
      </c>
      <c r="O1972" t="s">
        <v>28546</v>
      </c>
      <c r="P1972" t="s">
        <v>28547</v>
      </c>
      <c r="Q1972" t="s">
        <v>28548</v>
      </c>
      <c r="R1972" t="s">
        <v>28549</v>
      </c>
      <c r="S1972" t="s">
        <v>28550</v>
      </c>
      <c r="T1972" s="2">
        <v>0.59375</v>
      </c>
      <c r="U1972">
        <v>1</v>
      </c>
      <c r="V1972" t="s">
        <v>28551</v>
      </c>
      <c r="W1972" t="s">
        <v>28552</v>
      </c>
      <c r="X1972" t="s">
        <v>28553</v>
      </c>
      <c r="Y1972" t="s">
        <v>28554</v>
      </c>
      <c r="Z1972" t="s">
        <v>28554</v>
      </c>
      <c r="AA1972" t="s">
        <v>28554</v>
      </c>
      <c r="AB1972" t="s">
        <v>28554</v>
      </c>
      <c r="AC1972" t="s">
        <v>28554</v>
      </c>
    </row>
    <row r="1973" spans="1:30">
      <c r="A1973" t="s">
        <v>28555</v>
      </c>
      <c r="B1973">
        <v>4</v>
      </c>
      <c r="C1973">
        <v>7</v>
      </c>
      <c r="D1973">
        <v>1982</v>
      </c>
      <c r="E1973" s="1">
        <v>30048</v>
      </c>
      <c r="F1973" t="s">
        <v>28556</v>
      </c>
      <c r="G1973">
        <v>1</v>
      </c>
      <c r="H1973">
        <v>0</v>
      </c>
      <c r="I1973">
        <v>1</v>
      </c>
      <c r="J1973">
        <v>0</v>
      </c>
      <c r="K1973" t="s">
        <v>28557</v>
      </c>
      <c r="L1973" t="s">
        <v>28558</v>
      </c>
      <c r="M1973" t="s">
        <v>28559</v>
      </c>
      <c r="N1973" t="s">
        <v>28560</v>
      </c>
      <c r="O1973" t="s">
        <v>28561</v>
      </c>
      <c r="P1973" t="s">
        <v>28562</v>
      </c>
      <c r="Q1973" t="s">
        <v>28563</v>
      </c>
      <c r="R1973" t="s">
        <v>28564</v>
      </c>
      <c r="S1973" t="s">
        <v>28565</v>
      </c>
      <c r="V1973" t="s">
        <v>28566</v>
      </c>
      <c r="W1973" t="s">
        <v>28567</v>
      </c>
      <c r="X1973" t="s">
        <v>28568</v>
      </c>
      <c r="Y1973" t="s">
        <v>28569</v>
      </c>
      <c r="Z1973" t="s">
        <v>28569</v>
      </c>
      <c r="AA1973" t="s">
        <v>28569</v>
      </c>
      <c r="AB1973" t="s">
        <v>28569</v>
      </c>
      <c r="AC1973" t="s">
        <v>28569</v>
      </c>
    </row>
    <row r="1974" spans="1:30">
      <c r="A1974" t="s">
        <v>28570</v>
      </c>
      <c r="B1974">
        <v>3</v>
      </c>
      <c r="C1974">
        <v>19</v>
      </c>
      <c r="D1974">
        <v>1982</v>
      </c>
      <c r="E1974" s="1">
        <v>30029</v>
      </c>
      <c r="F1974" t="s">
        <v>28571</v>
      </c>
      <c r="G1974">
        <v>1</v>
      </c>
      <c r="H1974">
        <v>2</v>
      </c>
      <c r="I1974">
        <v>3</v>
      </c>
      <c r="J1974">
        <v>0</v>
      </c>
      <c r="L1974" t="s">
        <v>28572</v>
      </c>
      <c r="M1974" t="s">
        <v>28573</v>
      </c>
      <c r="N1974" t="s">
        <v>28574</v>
      </c>
      <c r="O1974" t="s">
        <v>28575</v>
      </c>
      <c r="P1974" t="s">
        <v>28576</v>
      </c>
      <c r="Q1974" t="s">
        <v>28577</v>
      </c>
      <c r="R1974" t="s">
        <v>28578</v>
      </c>
      <c r="S1974" t="s">
        <v>28579</v>
      </c>
      <c r="T1974" s="2">
        <v>0.3263888888888889</v>
      </c>
      <c r="U1974">
        <v>1</v>
      </c>
      <c r="V1974" t="s">
        <v>28580</v>
      </c>
      <c r="W1974" t="s">
        <v>28581</v>
      </c>
      <c r="X1974" t="s">
        <v>28582</v>
      </c>
      <c r="Y1974" t="s">
        <v>28583</v>
      </c>
      <c r="Z1974" t="s">
        <v>28583</v>
      </c>
      <c r="AA1974" t="s">
        <v>28583</v>
      </c>
      <c r="AB1974" t="s">
        <v>28583</v>
      </c>
      <c r="AC1974" t="s">
        <v>28583</v>
      </c>
      <c r="AD1974" t="s">
        <v>28584</v>
      </c>
    </row>
    <row r="1975" spans="1:30">
      <c r="A1975" t="s">
        <v>28585</v>
      </c>
      <c r="B1975">
        <v>3</v>
      </c>
      <c r="C1975">
        <v>17</v>
      </c>
      <c r="D1975">
        <v>1982</v>
      </c>
      <c r="E1975" s="1">
        <v>30027</v>
      </c>
      <c r="F1975" t="s">
        <v>28586</v>
      </c>
      <c r="G1975">
        <v>0</v>
      </c>
      <c r="H1975">
        <v>0</v>
      </c>
      <c r="I1975">
        <v>0</v>
      </c>
      <c r="J1975">
        <v>0</v>
      </c>
      <c r="L1975" t="s">
        <v>28587</v>
      </c>
      <c r="M1975" t="s">
        <v>28588</v>
      </c>
      <c r="N1975" t="s">
        <v>28589</v>
      </c>
      <c r="O1975" t="s">
        <v>28590</v>
      </c>
      <c r="P1975" t="s">
        <v>28591</v>
      </c>
      <c r="Q1975" t="s">
        <v>28592</v>
      </c>
      <c r="R1975" t="s">
        <v>28593</v>
      </c>
      <c r="S1975" t="s">
        <v>28594</v>
      </c>
      <c r="U1975">
        <v>1</v>
      </c>
      <c r="V1975" t="s">
        <v>28595</v>
      </c>
      <c r="W1975" t="s">
        <v>28596</v>
      </c>
      <c r="X1975" t="s">
        <v>28597</v>
      </c>
      <c r="Y1975" t="s">
        <v>28598</v>
      </c>
      <c r="Z1975" t="s">
        <v>28598</v>
      </c>
      <c r="AA1975" t="s">
        <v>28598</v>
      </c>
    </row>
    <row r="1976" spans="1:30">
      <c r="A1976" t="s">
        <v>28599</v>
      </c>
      <c r="B1976">
        <v>3</v>
      </c>
      <c r="C1976">
        <v>15</v>
      </c>
      <c r="D1976">
        <v>1982</v>
      </c>
      <c r="E1976" s="1">
        <v>30025</v>
      </c>
      <c r="F1976" t="s">
        <v>28600</v>
      </c>
      <c r="G1976">
        <v>0</v>
      </c>
      <c r="H1976">
        <v>0</v>
      </c>
      <c r="I1976">
        <v>0</v>
      </c>
      <c r="J1976">
        <v>1</v>
      </c>
      <c r="L1976" t="s">
        <v>28601</v>
      </c>
      <c r="M1976" t="s">
        <v>28602</v>
      </c>
      <c r="N1976" t="s">
        <v>28603</v>
      </c>
      <c r="O1976" t="s">
        <v>28604</v>
      </c>
      <c r="P1976" t="s">
        <v>28605</v>
      </c>
      <c r="Q1976" t="s">
        <v>28606</v>
      </c>
      <c r="R1976" t="s">
        <v>28607</v>
      </c>
      <c r="S1976" t="s">
        <v>28608</v>
      </c>
      <c r="T1976" s="2">
        <v>0.35416666666666663</v>
      </c>
      <c r="U1976">
        <v>80</v>
      </c>
      <c r="V1976" t="s">
        <v>28609</v>
      </c>
      <c r="W1976" t="s">
        <v>28610</v>
      </c>
      <c r="X1976" t="s">
        <v>28611</v>
      </c>
      <c r="Y1976" t="s">
        <v>28612</v>
      </c>
      <c r="Z1976" t="s">
        <v>28612</v>
      </c>
      <c r="AA1976" t="s">
        <v>28612</v>
      </c>
    </row>
    <row r="1977" spans="1:30">
      <c r="A1977" t="s">
        <v>28613</v>
      </c>
      <c r="B1977">
        <v>2</v>
      </c>
      <c r="C1977">
        <v>9</v>
      </c>
      <c r="D1977">
        <v>1982</v>
      </c>
      <c r="E1977" s="1">
        <v>29991</v>
      </c>
      <c r="F1977" t="s">
        <v>28614</v>
      </c>
      <c r="G1977">
        <v>1</v>
      </c>
      <c r="H1977">
        <v>0</v>
      </c>
      <c r="I1977">
        <v>1</v>
      </c>
      <c r="J1977">
        <v>0</v>
      </c>
      <c r="L1977" t="s">
        <v>28615</v>
      </c>
      <c r="M1977" t="s">
        <v>28616</v>
      </c>
      <c r="N1977" t="s">
        <v>28617</v>
      </c>
      <c r="O1977" t="s">
        <v>28618</v>
      </c>
      <c r="P1977" t="s">
        <v>28619</v>
      </c>
      <c r="Q1977" t="s">
        <v>28620</v>
      </c>
      <c r="R1977" t="s">
        <v>28621</v>
      </c>
      <c r="S1977" t="s">
        <v>28622</v>
      </c>
      <c r="T1977" s="2">
        <v>0.54861111111111105</v>
      </c>
      <c r="U1977">
        <v>1</v>
      </c>
      <c r="V1977" t="s">
        <v>28623</v>
      </c>
      <c r="W1977" t="s">
        <v>28624</v>
      </c>
      <c r="X1977" t="s">
        <v>28625</v>
      </c>
      <c r="Y1977" t="s">
        <v>28626</v>
      </c>
      <c r="Z1977" t="s">
        <v>28626</v>
      </c>
      <c r="AA1977" t="s">
        <v>28626</v>
      </c>
    </row>
    <row r="1978" spans="1:30">
      <c r="A1978" t="s">
        <v>28627</v>
      </c>
      <c r="B1978">
        <v>2</v>
      </c>
      <c r="C1978">
        <v>8</v>
      </c>
      <c r="D1978">
        <v>1982</v>
      </c>
      <c r="E1978" s="1">
        <v>29990</v>
      </c>
      <c r="F1978" t="s">
        <v>28628</v>
      </c>
      <c r="G1978">
        <v>0</v>
      </c>
      <c r="H1978">
        <v>1</v>
      </c>
      <c r="I1978">
        <v>1</v>
      </c>
      <c r="J1978">
        <v>0</v>
      </c>
      <c r="L1978" t="s">
        <v>28629</v>
      </c>
      <c r="M1978" t="s">
        <v>28630</v>
      </c>
      <c r="N1978" t="s">
        <v>28631</v>
      </c>
      <c r="O1978" t="s">
        <v>28632</v>
      </c>
      <c r="P1978" t="s">
        <v>28633</v>
      </c>
      <c r="Q1978" t="s">
        <v>28633</v>
      </c>
      <c r="R1978" t="s">
        <v>28634</v>
      </c>
      <c r="S1978" t="s">
        <v>28635</v>
      </c>
      <c r="T1978" s="2">
        <v>0.57291666666666663</v>
      </c>
      <c r="U1978">
        <v>1</v>
      </c>
      <c r="V1978" t="s">
        <v>28636</v>
      </c>
      <c r="W1978" t="s">
        <v>28637</v>
      </c>
      <c r="X1978" t="s">
        <v>28638</v>
      </c>
      <c r="Y1978" t="s">
        <v>28639</v>
      </c>
      <c r="Z1978" t="s">
        <v>28639</v>
      </c>
      <c r="AA1978" t="s">
        <v>28639</v>
      </c>
      <c r="AB1978" t="s">
        <v>28639</v>
      </c>
      <c r="AC1978" t="s">
        <v>28639</v>
      </c>
    </row>
    <row r="1979" spans="1:30">
      <c r="A1979" t="s">
        <v>28640</v>
      </c>
      <c r="B1979">
        <v>2</v>
      </c>
      <c r="C1979">
        <v>5</v>
      </c>
      <c r="D1979">
        <v>1982</v>
      </c>
      <c r="E1979" s="1">
        <v>29987</v>
      </c>
      <c r="F1979" t="s">
        <v>28641</v>
      </c>
      <c r="G1979">
        <v>1</v>
      </c>
      <c r="H1979">
        <v>0</v>
      </c>
      <c r="I1979">
        <v>1</v>
      </c>
      <c r="J1979">
        <v>0</v>
      </c>
      <c r="L1979" t="s">
        <v>28642</v>
      </c>
      <c r="M1979" t="s">
        <v>28643</v>
      </c>
      <c r="N1979" t="s">
        <v>28644</v>
      </c>
      <c r="O1979" t="s">
        <v>28645</v>
      </c>
      <c r="P1979" t="s">
        <v>28646</v>
      </c>
      <c r="Q1979" t="s">
        <v>28647</v>
      </c>
      <c r="R1979" t="s">
        <v>28648</v>
      </c>
      <c r="S1979" t="s">
        <v>28649</v>
      </c>
      <c r="U1979">
        <v>1</v>
      </c>
      <c r="V1979" t="s">
        <v>28650</v>
      </c>
      <c r="W1979" t="s">
        <v>28651</v>
      </c>
      <c r="X1979" t="s">
        <v>28652</v>
      </c>
      <c r="Y1979" t="s">
        <v>28653</v>
      </c>
      <c r="Z1979" t="s">
        <v>28653</v>
      </c>
      <c r="AA1979" t="s">
        <v>28653</v>
      </c>
      <c r="AB1979" t="s">
        <v>28653</v>
      </c>
      <c r="AC1979" t="s">
        <v>28653</v>
      </c>
    </row>
    <row r="1980" spans="1:30">
      <c r="A1980" t="s">
        <v>28654</v>
      </c>
      <c r="B1980">
        <v>12</v>
      </c>
      <c r="C1980">
        <v>23</v>
      </c>
      <c r="D1980">
        <v>1981</v>
      </c>
      <c r="E1980" s="1">
        <v>29943</v>
      </c>
      <c r="F1980" t="s">
        <v>28655</v>
      </c>
      <c r="G1980">
        <v>1</v>
      </c>
      <c r="H1980">
        <v>0</v>
      </c>
      <c r="I1980">
        <v>1</v>
      </c>
      <c r="J1980">
        <v>0</v>
      </c>
      <c r="L1980" t="s">
        <v>28656</v>
      </c>
      <c r="M1980" t="s">
        <v>28657</v>
      </c>
      <c r="N1980" t="s">
        <v>28658</v>
      </c>
      <c r="O1980" t="s">
        <v>28659</v>
      </c>
      <c r="P1980" t="s">
        <v>28660</v>
      </c>
      <c r="Q1980" t="s">
        <v>28661</v>
      </c>
      <c r="R1980" t="s">
        <v>28662</v>
      </c>
      <c r="S1980" t="s">
        <v>28663</v>
      </c>
      <c r="T1980" s="2">
        <v>0.41666666666666669</v>
      </c>
      <c r="U1980">
        <v>1</v>
      </c>
      <c r="V1980" t="s">
        <v>28664</v>
      </c>
      <c r="W1980" t="s">
        <v>28665</v>
      </c>
      <c r="X1980" t="s">
        <v>28666</v>
      </c>
      <c r="Y1980" t="s">
        <v>28667</v>
      </c>
      <c r="Z1980" t="s">
        <v>28667</v>
      </c>
      <c r="AA1980" t="s">
        <v>28667</v>
      </c>
      <c r="AB1980" t="s">
        <v>28667</v>
      </c>
      <c r="AC1980" t="s">
        <v>28667</v>
      </c>
    </row>
    <row r="1981" spans="1:30">
      <c r="A1981" t="s">
        <v>28668</v>
      </c>
      <c r="B1981">
        <v>12</v>
      </c>
      <c r="C1981">
        <v>16</v>
      </c>
      <c r="D1981">
        <v>1981</v>
      </c>
      <c r="E1981" s="1">
        <v>29936</v>
      </c>
      <c r="F1981" t="s">
        <v>28669</v>
      </c>
      <c r="G1981">
        <v>0</v>
      </c>
      <c r="H1981">
        <v>1</v>
      </c>
      <c r="I1981">
        <v>1</v>
      </c>
      <c r="J1981">
        <v>0</v>
      </c>
      <c r="L1981" t="s">
        <v>28670</v>
      </c>
      <c r="M1981" t="s">
        <v>28671</v>
      </c>
      <c r="N1981" t="s">
        <v>28672</v>
      </c>
      <c r="O1981" t="s">
        <v>28673</v>
      </c>
      <c r="P1981" t="s">
        <v>28674</v>
      </c>
      <c r="Q1981" t="s">
        <v>28675</v>
      </c>
      <c r="R1981" t="s">
        <v>28676</v>
      </c>
      <c r="S1981" t="s">
        <v>28677</v>
      </c>
      <c r="T1981" s="2">
        <v>0.32291666666666669</v>
      </c>
      <c r="U1981">
        <v>1</v>
      </c>
      <c r="V1981" t="s">
        <v>28678</v>
      </c>
      <c r="W1981" t="s">
        <v>28679</v>
      </c>
      <c r="X1981" t="s">
        <v>28680</v>
      </c>
      <c r="Y1981" t="s">
        <v>28681</v>
      </c>
      <c r="Z1981" t="s">
        <v>28681</v>
      </c>
      <c r="AA1981" t="s">
        <v>28681</v>
      </c>
      <c r="AB1981" t="s">
        <v>28681</v>
      </c>
      <c r="AC1981" t="s">
        <v>28681</v>
      </c>
    </row>
    <row r="1982" spans="1:30">
      <c r="A1982" t="s">
        <v>28682</v>
      </c>
      <c r="B1982">
        <v>12</v>
      </c>
      <c r="C1982">
        <v>9</v>
      </c>
      <c r="D1982">
        <v>1981</v>
      </c>
      <c r="E1982" s="1">
        <v>29929</v>
      </c>
      <c r="F1982" t="s">
        <v>28683</v>
      </c>
      <c r="G1982">
        <v>1</v>
      </c>
      <c r="H1982">
        <v>0</v>
      </c>
      <c r="I1982">
        <v>1</v>
      </c>
      <c r="J1982">
        <v>0</v>
      </c>
      <c r="L1982" t="s">
        <v>28684</v>
      </c>
      <c r="M1982" t="s">
        <v>28685</v>
      </c>
      <c r="N1982" t="s">
        <v>28686</v>
      </c>
      <c r="O1982" t="s">
        <v>28687</v>
      </c>
      <c r="P1982" t="s">
        <v>28688</v>
      </c>
      <c r="Q1982" t="s">
        <v>28688</v>
      </c>
      <c r="U1982">
        <v>1</v>
      </c>
      <c r="V1982" t="s">
        <v>28689</v>
      </c>
      <c r="W1982" t="s">
        <v>28690</v>
      </c>
      <c r="X1982" t="s">
        <v>28691</v>
      </c>
      <c r="Y1982" t="s">
        <v>28692</v>
      </c>
      <c r="Z1982" t="s">
        <v>28692</v>
      </c>
      <c r="AA1982" t="s">
        <v>28692</v>
      </c>
      <c r="AB1982" t="s">
        <v>28692</v>
      </c>
      <c r="AC1982" t="s">
        <v>28692</v>
      </c>
    </row>
    <row r="1983" spans="1:30">
      <c r="A1983" t="s">
        <v>28693</v>
      </c>
      <c r="B1983">
        <v>10</v>
      </c>
      <c r="C1983">
        <v>13</v>
      </c>
      <c r="D1983">
        <v>1981</v>
      </c>
      <c r="E1983" s="1">
        <v>29872</v>
      </c>
      <c r="F1983" t="s">
        <v>28694</v>
      </c>
      <c r="G1983">
        <v>0</v>
      </c>
      <c r="H1983">
        <v>1</v>
      </c>
      <c r="I1983">
        <v>1</v>
      </c>
      <c r="J1983">
        <v>0</v>
      </c>
      <c r="L1983" t="s">
        <v>28695</v>
      </c>
      <c r="M1983" t="s">
        <v>28696</v>
      </c>
      <c r="N1983" t="s">
        <v>28697</v>
      </c>
      <c r="O1983" t="s">
        <v>28698</v>
      </c>
      <c r="P1983" t="s">
        <v>28699</v>
      </c>
      <c r="Q1983" t="s">
        <v>28699</v>
      </c>
      <c r="R1983" t="s">
        <v>28700</v>
      </c>
      <c r="S1983" t="s">
        <v>28701</v>
      </c>
      <c r="T1983" s="2">
        <v>0.4375</v>
      </c>
      <c r="U1983">
        <v>1</v>
      </c>
      <c r="V1983" t="s">
        <v>28702</v>
      </c>
      <c r="W1983" t="s">
        <v>28703</v>
      </c>
      <c r="X1983" t="s">
        <v>28704</v>
      </c>
      <c r="Y1983" t="s">
        <v>28705</v>
      </c>
      <c r="Z1983" t="s">
        <v>28705</v>
      </c>
      <c r="AA1983" t="s">
        <v>28705</v>
      </c>
    </row>
    <row r="1984" spans="1:30">
      <c r="A1984" t="s">
        <v>28706</v>
      </c>
      <c r="B1984">
        <v>9</v>
      </c>
      <c r="C1984">
        <v>13</v>
      </c>
      <c r="D1984">
        <v>1981</v>
      </c>
      <c r="E1984" s="1">
        <v>29842</v>
      </c>
      <c r="F1984" t="s">
        <v>28707</v>
      </c>
      <c r="G1984">
        <v>1</v>
      </c>
      <c r="H1984">
        <v>0</v>
      </c>
      <c r="I1984">
        <v>1</v>
      </c>
      <c r="J1984">
        <v>0</v>
      </c>
      <c r="L1984" t="s">
        <v>28708</v>
      </c>
      <c r="M1984" t="s">
        <v>28709</v>
      </c>
      <c r="N1984" t="s">
        <v>28710</v>
      </c>
      <c r="O1984" t="s">
        <v>28711</v>
      </c>
      <c r="R1984" t="s">
        <v>28712</v>
      </c>
      <c r="S1984" t="s">
        <v>28713</v>
      </c>
      <c r="U1984">
        <v>1</v>
      </c>
      <c r="V1984" t="s">
        <v>28714</v>
      </c>
      <c r="W1984" t="s">
        <v>28715</v>
      </c>
      <c r="X1984" t="s">
        <v>28716</v>
      </c>
      <c r="Y1984" t="s">
        <v>28717</v>
      </c>
      <c r="Z1984" t="s">
        <v>28717</v>
      </c>
      <c r="AA1984" t="s">
        <v>28717</v>
      </c>
      <c r="AB1984" t="s">
        <v>28718</v>
      </c>
      <c r="AC1984" t="s">
        <v>28718</v>
      </c>
      <c r="AD1984" t="s">
        <v>28718</v>
      </c>
    </row>
    <row r="1985" spans="1:30">
      <c r="A1985" t="s">
        <v>28719</v>
      </c>
      <c r="B1985">
        <v>9</v>
      </c>
      <c r="C1985">
        <v>8</v>
      </c>
      <c r="D1985">
        <v>1981</v>
      </c>
      <c r="E1985" s="1">
        <v>29837</v>
      </c>
      <c r="F1985" t="s">
        <v>28720</v>
      </c>
      <c r="G1985">
        <v>0</v>
      </c>
      <c r="H1985">
        <v>0</v>
      </c>
      <c r="I1985">
        <v>0</v>
      </c>
      <c r="J1985">
        <v>0</v>
      </c>
      <c r="L1985" t="s">
        <v>28721</v>
      </c>
      <c r="M1985" t="s">
        <v>28722</v>
      </c>
      <c r="N1985" t="s">
        <v>28723</v>
      </c>
      <c r="O1985" t="s">
        <v>28724</v>
      </c>
      <c r="P1985" t="s">
        <v>28725</v>
      </c>
      <c r="Q1985" t="s">
        <v>28726</v>
      </c>
      <c r="R1985" t="s">
        <v>28727</v>
      </c>
      <c r="U1985">
        <v>1</v>
      </c>
      <c r="V1985" t="s">
        <v>28728</v>
      </c>
      <c r="W1985" t="s">
        <v>28729</v>
      </c>
      <c r="X1985" t="s">
        <v>28730</v>
      </c>
      <c r="Y1985" t="s">
        <v>28731</v>
      </c>
      <c r="Z1985" t="s">
        <v>28731</v>
      </c>
      <c r="AA1985" t="s">
        <v>28731</v>
      </c>
    </row>
    <row r="1986" spans="1:30">
      <c r="A1986" t="s">
        <v>28732</v>
      </c>
      <c r="B1986">
        <v>9</v>
      </c>
      <c r="C1986">
        <v>4</v>
      </c>
      <c r="D1986">
        <v>1981</v>
      </c>
      <c r="E1986" s="1">
        <v>29833</v>
      </c>
      <c r="F1986" t="s">
        <v>28733</v>
      </c>
      <c r="G1986">
        <v>0</v>
      </c>
      <c r="H1986">
        <v>2</v>
      </c>
      <c r="I1986">
        <v>2</v>
      </c>
      <c r="J1986">
        <v>0</v>
      </c>
      <c r="L1986" t="s">
        <v>28734</v>
      </c>
      <c r="M1986" t="s">
        <v>28735</v>
      </c>
      <c r="N1986" t="s">
        <v>28736</v>
      </c>
      <c r="O1986" t="s">
        <v>28737</v>
      </c>
      <c r="P1986" t="s">
        <v>28738</v>
      </c>
      <c r="Q1986" t="s">
        <v>28739</v>
      </c>
      <c r="R1986" t="s">
        <v>28740</v>
      </c>
      <c r="S1986" t="s">
        <v>28741</v>
      </c>
      <c r="T1986" s="2">
        <v>0.42708333333333337</v>
      </c>
      <c r="U1986">
        <v>1</v>
      </c>
      <c r="V1986" t="s">
        <v>28742</v>
      </c>
      <c r="W1986" t="s">
        <v>28743</v>
      </c>
      <c r="X1986" t="s">
        <v>28744</v>
      </c>
      <c r="Y1986" t="s">
        <v>28745</v>
      </c>
      <c r="Z1986" t="s">
        <v>28745</v>
      </c>
      <c r="AA1986" t="s">
        <v>28745</v>
      </c>
      <c r="AC1986" t="s">
        <v>28745</v>
      </c>
    </row>
    <row r="1987" spans="1:30">
      <c r="A1987" t="s">
        <v>28746</v>
      </c>
      <c r="B1987">
        <v>9</v>
      </c>
      <c r="C1987">
        <v>1</v>
      </c>
      <c r="D1987">
        <v>1981</v>
      </c>
      <c r="E1987" s="1">
        <v>29830</v>
      </c>
      <c r="F1987" t="s">
        <v>28747</v>
      </c>
      <c r="G1987">
        <v>0</v>
      </c>
      <c r="H1987">
        <v>3</v>
      </c>
      <c r="I1987">
        <v>3</v>
      </c>
      <c r="J1987">
        <v>0</v>
      </c>
      <c r="L1987" t="s">
        <v>28748</v>
      </c>
      <c r="M1987" t="s">
        <v>28749</v>
      </c>
      <c r="N1987" t="s">
        <v>28750</v>
      </c>
      <c r="O1987" t="s">
        <v>28751</v>
      </c>
      <c r="P1987" t="s">
        <v>28752</v>
      </c>
      <c r="Q1987" t="s">
        <v>28753</v>
      </c>
      <c r="R1987" t="s">
        <v>28754</v>
      </c>
      <c r="S1987" t="s">
        <v>28755</v>
      </c>
      <c r="T1987" s="2">
        <v>0.85416666666666674</v>
      </c>
      <c r="U1987">
        <v>1</v>
      </c>
      <c r="V1987" t="s">
        <v>28756</v>
      </c>
      <c r="W1987" t="s">
        <v>28757</v>
      </c>
      <c r="X1987" t="s">
        <v>28758</v>
      </c>
      <c r="Y1987" t="s">
        <v>28759</v>
      </c>
      <c r="Z1987" t="s">
        <v>28760</v>
      </c>
      <c r="AA1987" t="s">
        <v>28760</v>
      </c>
      <c r="AB1987" t="s">
        <v>28760</v>
      </c>
      <c r="AC1987" t="s">
        <v>28760</v>
      </c>
    </row>
    <row r="1988" spans="1:30">
      <c r="A1988" t="s">
        <v>28761</v>
      </c>
      <c r="B1988">
        <v>5</v>
      </c>
      <c r="C1988">
        <v>15</v>
      </c>
      <c r="D1988">
        <v>1981</v>
      </c>
      <c r="E1988" s="1">
        <v>29721</v>
      </c>
      <c r="F1988" t="s">
        <v>28762</v>
      </c>
      <c r="G1988">
        <v>0</v>
      </c>
      <c r="H1988">
        <v>1</v>
      </c>
      <c r="I1988">
        <v>1</v>
      </c>
      <c r="J1988">
        <v>0</v>
      </c>
      <c r="L1988" t="s">
        <v>28763</v>
      </c>
      <c r="M1988" t="s">
        <v>28764</v>
      </c>
      <c r="N1988" t="s">
        <v>28765</v>
      </c>
      <c r="O1988" t="s">
        <v>28766</v>
      </c>
      <c r="P1988" t="s">
        <v>28767</v>
      </c>
      <c r="Q1988" t="s">
        <v>28767</v>
      </c>
      <c r="R1988" t="s">
        <v>28768</v>
      </c>
      <c r="S1988" t="s">
        <v>28769</v>
      </c>
      <c r="T1988" s="2">
        <v>0.33333333333333331</v>
      </c>
      <c r="U1988">
        <v>1</v>
      </c>
      <c r="V1988" t="s">
        <v>28770</v>
      </c>
      <c r="W1988" t="s">
        <v>28771</v>
      </c>
      <c r="X1988" t="s">
        <v>28772</v>
      </c>
      <c r="Y1988" t="s">
        <v>28773</v>
      </c>
      <c r="Z1988" t="s">
        <v>28773</v>
      </c>
      <c r="AA1988" t="s">
        <v>28773</v>
      </c>
      <c r="AB1988" t="s">
        <v>28773</v>
      </c>
      <c r="AC1988" t="s">
        <v>28774</v>
      </c>
    </row>
    <row r="1989" spans="1:30">
      <c r="A1989" t="s">
        <v>28775</v>
      </c>
      <c r="B1989">
        <v>4</v>
      </c>
      <c r="C1989">
        <v>7</v>
      </c>
      <c r="D1989">
        <v>1981</v>
      </c>
      <c r="E1989" s="1">
        <v>29683</v>
      </c>
      <c r="F1989" t="s">
        <v>28776</v>
      </c>
      <c r="G1989">
        <v>0</v>
      </c>
      <c r="H1989">
        <v>1</v>
      </c>
      <c r="I1989">
        <v>1</v>
      </c>
      <c r="J1989">
        <v>0</v>
      </c>
      <c r="L1989" t="s">
        <v>28777</v>
      </c>
      <c r="M1989" t="s">
        <v>28778</v>
      </c>
      <c r="N1989" t="s">
        <v>28779</v>
      </c>
      <c r="O1989" t="s">
        <v>28780</v>
      </c>
      <c r="P1989" t="s">
        <v>28781</v>
      </c>
      <c r="Q1989" t="s">
        <v>28782</v>
      </c>
      <c r="R1989" t="s">
        <v>28783</v>
      </c>
      <c r="S1989" t="s">
        <v>28784</v>
      </c>
      <c r="U1989">
        <v>1</v>
      </c>
      <c r="V1989" t="s">
        <v>28785</v>
      </c>
      <c r="W1989" t="s">
        <v>28786</v>
      </c>
      <c r="Y1989" t="s">
        <v>28787</v>
      </c>
      <c r="Z1989" t="s">
        <v>28787</v>
      </c>
      <c r="AA1989" t="s">
        <v>28787</v>
      </c>
      <c r="AB1989" t="s">
        <v>28787</v>
      </c>
      <c r="AC1989" t="s">
        <v>28787</v>
      </c>
    </row>
    <row r="1990" spans="1:30">
      <c r="A1990" t="s">
        <v>28788</v>
      </c>
      <c r="B1990">
        <v>4</v>
      </c>
      <c r="C1990">
        <v>2</v>
      </c>
      <c r="D1990">
        <v>1981</v>
      </c>
      <c r="E1990" s="1">
        <v>29678</v>
      </c>
      <c r="F1990" t="s">
        <v>28789</v>
      </c>
      <c r="G1990">
        <v>0</v>
      </c>
      <c r="H1990">
        <v>1</v>
      </c>
      <c r="I1990">
        <v>1</v>
      </c>
      <c r="J1990">
        <v>0</v>
      </c>
      <c r="L1990" t="s">
        <v>28790</v>
      </c>
      <c r="M1990" t="s">
        <v>28791</v>
      </c>
      <c r="N1990" t="s">
        <v>28792</v>
      </c>
      <c r="O1990" t="s">
        <v>28793</v>
      </c>
      <c r="P1990" t="s">
        <v>28794</v>
      </c>
      <c r="Q1990" t="s">
        <v>28795</v>
      </c>
      <c r="R1990" t="s">
        <v>28796</v>
      </c>
      <c r="S1990" t="s">
        <v>28797</v>
      </c>
      <c r="T1990" s="2">
        <v>0.32291666666666669</v>
      </c>
      <c r="U1990">
        <v>1</v>
      </c>
      <c r="V1990" t="s">
        <v>28798</v>
      </c>
      <c r="W1990" t="s">
        <v>28799</v>
      </c>
      <c r="X1990" t="s">
        <v>28800</v>
      </c>
      <c r="Y1990" t="s">
        <v>28801</v>
      </c>
      <c r="Z1990" t="s">
        <v>28801</v>
      </c>
      <c r="AA1990" t="s">
        <v>28801</v>
      </c>
      <c r="AB1990" t="s">
        <v>28801</v>
      </c>
      <c r="AC1990" t="s">
        <v>28801</v>
      </c>
    </row>
    <row r="1991" spans="1:30">
      <c r="A1991" t="s">
        <v>28802</v>
      </c>
      <c r="B1991">
        <v>3</v>
      </c>
      <c r="C1991">
        <v>28</v>
      </c>
      <c r="D1991">
        <v>1981</v>
      </c>
      <c r="E1991" s="1">
        <v>29673</v>
      </c>
      <c r="F1991" t="s">
        <v>28803</v>
      </c>
      <c r="G1991">
        <v>1</v>
      </c>
      <c r="H1991">
        <v>0</v>
      </c>
      <c r="I1991">
        <v>1</v>
      </c>
      <c r="J1991">
        <v>0</v>
      </c>
      <c r="L1991" t="s">
        <v>28804</v>
      </c>
      <c r="M1991" t="s">
        <v>28805</v>
      </c>
      <c r="N1991" t="s">
        <v>28806</v>
      </c>
      <c r="O1991" t="s">
        <v>28807</v>
      </c>
      <c r="P1991" t="s">
        <v>28808</v>
      </c>
      <c r="Q1991" t="s">
        <v>28809</v>
      </c>
      <c r="R1991" t="s">
        <v>28810</v>
      </c>
      <c r="S1991" t="s">
        <v>28811</v>
      </c>
      <c r="T1991" s="2">
        <v>0.875</v>
      </c>
      <c r="U1991">
        <v>1</v>
      </c>
      <c r="V1991" t="s">
        <v>28812</v>
      </c>
      <c r="W1991" t="s">
        <v>28813</v>
      </c>
      <c r="X1991" t="s">
        <v>28814</v>
      </c>
      <c r="Y1991" t="s">
        <v>28815</v>
      </c>
      <c r="Z1991" t="s">
        <v>28816</v>
      </c>
      <c r="AA1991" t="s">
        <v>28816</v>
      </c>
      <c r="AB1991" t="s">
        <v>28816</v>
      </c>
      <c r="AC1991" t="s">
        <v>28816</v>
      </c>
    </row>
    <row r="1992" spans="1:30">
      <c r="A1992" t="s">
        <v>28817</v>
      </c>
      <c r="B1992">
        <v>3</v>
      </c>
      <c r="C1992">
        <v>3</v>
      </c>
      <c r="D1992">
        <v>1981</v>
      </c>
      <c r="E1992" s="1">
        <v>29648</v>
      </c>
      <c r="F1992" t="s">
        <v>28818</v>
      </c>
      <c r="G1992">
        <v>0</v>
      </c>
      <c r="H1992">
        <v>1</v>
      </c>
      <c r="I1992">
        <v>1</v>
      </c>
      <c r="J1992">
        <v>0</v>
      </c>
      <c r="L1992" t="s">
        <v>28819</v>
      </c>
      <c r="M1992" t="s">
        <v>28820</v>
      </c>
      <c r="N1992" t="s">
        <v>28821</v>
      </c>
      <c r="O1992" t="s">
        <v>28822</v>
      </c>
      <c r="P1992" t="s">
        <v>28823</v>
      </c>
      <c r="Q1992" t="s">
        <v>28824</v>
      </c>
      <c r="R1992" t="s">
        <v>28825</v>
      </c>
      <c r="S1992" t="s">
        <v>28826</v>
      </c>
      <c r="T1992" s="2">
        <v>0.3611111111111111</v>
      </c>
      <c r="U1992">
        <v>1</v>
      </c>
      <c r="V1992" t="s">
        <v>28827</v>
      </c>
      <c r="W1992" t="s">
        <v>28828</v>
      </c>
      <c r="X1992" t="s">
        <v>28829</v>
      </c>
      <c r="Y1992" t="s">
        <v>28830</v>
      </c>
      <c r="Z1992" t="s">
        <v>28830</v>
      </c>
      <c r="AA1992" t="s">
        <v>28830</v>
      </c>
      <c r="AC1992" t="s">
        <v>28830</v>
      </c>
    </row>
    <row r="1993" spans="1:30">
      <c r="A1993" t="s">
        <v>28831</v>
      </c>
      <c r="B1993">
        <v>2</v>
      </c>
      <c r="C1993">
        <v>10</v>
      </c>
      <c r="D1993">
        <v>1981</v>
      </c>
      <c r="E1993" s="1">
        <v>29627</v>
      </c>
      <c r="F1993" t="s">
        <v>28832</v>
      </c>
      <c r="G1993">
        <v>0</v>
      </c>
      <c r="H1993">
        <v>1</v>
      </c>
      <c r="I1993">
        <v>1</v>
      </c>
      <c r="J1993">
        <v>0</v>
      </c>
      <c r="L1993" t="s">
        <v>28833</v>
      </c>
      <c r="M1993" t="s">
        <v>28834</v>
      </c>
      <c r="N1993" t="s">
        <v>28835</v>
      </c>
      <c r="O1993" t="s">
        <v>28836</v>
      </c>
      <c r="P1993" t="s">
        <v>28837</v>
      </c>
      <c r="Q1993" t="s">
        <v>28838</v>
      </c>
      <c r="R1993" t="s">
        <v>28839</v>
      </c>
      <c r="S1993" t="s">
        <v>28840</v>
      </c>
      <c r="U1993">
        <v>1</v>
      </c>
      <c r="V1993" t="s">
        <v>28841</v>
      </c>
      <c r="W1993" t="s">
        <v>28842</v>
      </c>
      <c r="X1993" t="s">
        <v>28843</v>
      </c>
      <c r="Y1993" t="s">
        <v>28844</v>
      </c>
      <c r="Z1993" t="s">
        <v>28844</v>
      </c>
      <c r="AA1993" t="s">
        <v>28844</v>
      </c>
      <c r="AB1993" t="s">
        <v>28844</v>
      </c>
    </row>
    <row r="1994" spans="1:30">
      <c r="A1994" t="s">
        <v>28845</v>
      </c>
      <c r="B1994">
        <v>2</v>
      </c>
      <c r="C1994">
        <v>10</v>
      </c>
      <c r="D1994">
        <v>1981</v>
      </c>
      <c r="E1994" s="1">
        <v>29627</v>
      </c>
      <c r="F1994" t="s">
        <v>28846</v>
      </c>
      <c r="G1994">
        <v>1</v>
      </c>
      <c r="H1994">
        <v>0</v>
      </c>
      <c r="I1994">
        <v>1</v>
      </c>
      <c r="J1994">
        <v>0</v>
      </c>
      <c r="L1994" t="s">
        <v>28847</v>
      </c>
      <c r="M1994" t="s">
        <v>28848</v>
      </c>
      <c r="N1994" t="s">
        <v>28849</v>
      </c>
      <c r="O1994" t="s">
        <v>28850</v>
      </c>
      <c r="P1994" t="s">
        <v>28851</v>
      </c>
      <c r="Q1994" t="s">
        <v>28852</v>
      </c>
      <c r="R1994" t="s">
        <v>28853</v>
      </c>
      <c r="S1994" t="s">
        <v>28854</v>
      </c>
      <c r="T1994" s="2">
        <v>0.49305555555555552</v>
      </c>
      <c r="U1994">
        <v>1</v>
      </c>
      <c r="V1994" t="s">
        <v>28855</v>
      </c>
      <c r="W1994" t="s">
        <v>28856</v>
      </c>
      <c r="X1994" t="s">
        <v>28857</v>
      </c>
      <c r="Y1994" t="s">
        <v>28858</v>
      </c>
      <c r="Z1994" t="s">
        <v>28859</v>
      </c>
      <c r="AA1994" t="s">
        <v>28859</v>
      </c>
      <c r="AB1994" t="s">
        <v>28859</v>
      </c>
      <c r="AC1994" t="s">
        <v>28859</v>
      </c>
    </row>
    <row r="1995" spans="1:30">
      <c r="A1995" t="s">
        <v>28860</v>
      </c>
      <c r="B1995">
        <v>1</v>
      </c>
      <c r="C1995">
        <v>22</v>
      </c>
      <c r="D1995">
        <v>1981</v>
      </c>
      <c r="E1995" s="1">
        <v>29608</v>
      </c>
      <c r="F1995" t="s">
        <v>28861</v>
      </c>
      <c r="G1995">
        <v>0</v>
      </c>
      <c r="H1995">
        <v>0</v>
      </c>
      <c r="I1995">
        <v>0</v>
      </c>
      <c r="J1995">
        <v>0</v>
      </c>
      <c r="L1995" t="s">
        <v>28862</v>
      </c>
      <c r="M1995" t="s">
        <v>28863</v>
      </c>
      <c r="N1995" t="s">
        <v>28864</v>
      </c>
      <c r="O1995" t="s">
        <v>28865</v>
      </c>
      <c r="P1995" t="s">
        <v>28866</v>
      </c>
      <c r="Q1995" t="s">
        <v>28866</v>
      </c>
      <c r="R1995" t="s">
        <v>28867</v>
      </c>
      <c r="S1995" t="s">
        <v>28868</v>
      </c>
      <c r="T1995" s="2">
        <v>0.58333333333333337</v>
      </c>
      <c r="U1995">
        <v>1</v>
      </c>
      <c r="V1995" t="s">
        <v>28869</v>
      </c>
      <c r="W1995" t="s">
        <v>28870</v>
      </c>
      <c r="X1995" t="s">
        <v>28871</v>
      </c>
      <c r="Y1995" t="s">
        <v>28872</v>
      </c>
      <c r="Z1995" t="s">
        <v>28872</v>
      </c>
      <c r="AA1995" t="s">
        <v>28872</v>
      </c>
      <c r="AB1995" t="s">
        <v>28872</v>
      </c>
      <c r="AC1995" t="s">
        <v>28872</v>
      </c>
    </row>
    <row r="1996" spans="1:30">
      <c r="A1996" t="s">
        <v>28873</v>
      </c>
      <c r="B1996">
        <v>1</v>
      </c>
      <c r="C1996">
        <v>21</v>
      </c>
      <c r="D1996">
        <v>1981</v>
      </c>
      <c r="E1996" s="1">
        <v>29607</v>
      </c>
      <c r="F1996" t="s">
        <v>28874</v>
      </c>
      <c r="G1996">
        <v>0</v>
      </c>
      <c r="H1996">
        <v>1</v>
      </c>
      <c r="I1996">
        <v>1</v>
      </c>
      <c r="J1996">
        <v>0</v>
      </c>
      <c r="L1996" t="s">
        <v>28875</v>
      </c>
      <c r="M1996" t="s">
        <v>28876</v>
      </c>
      <c r="N1996" t="s">
        <v>28877</v>
      </c>
      <c r="O1996" t="s">
        <v>28878</v>
      </c>
      <c r="P1996" t="s">
        <v>28879</v>
      </c>
      <c r="Q1996" t="s">
        <v>28880</v>
      </c>
      <c r="R1996" t="s">
        <v>28881</v>
      </c>
      <c r="S1996" t="s">
        <v>28882</v>
      </c>
      <c r="T1996" s="2">
        <v>0.39583333333333331</v>
      </c>
      <c r="U1996">
        <v>1</v>
      </c>
      <c r="V1996" t="s">
        <v>28883</v>
      </c>
      <c r="W1996" t="s">
        <v>28884</v>
      </c>
      <c r="X1996" t="s">
        <v>28885</v>
      </c>
      <c r="Y1996" t="s">
        <v>28886</v>
      </c>
      <c r="Z1996" t="s">
        <v>28886</v>
      </c>
      <c r="AA1996" t="s">
        <v>28886</v>
      </c>
      <c r="AC1996" t="s">
        <v>28886</v>
      </c>
    </row>
    <row r="1997" spans="1:30">
      <c r="A1997" t="s">
        <v>28887</v>
      </c>
      <c r="B1997">
        <v>12</v>
      </c>
      <c r="C1997">
        <v>12</v>
      </c>
      <c r="D1997">
        <v>1980</v>
      </c>
      <c r="E1997" s="1">
        <v>29567</v>
      </c>
      <c r="F1997" t="s">
        <v>28888</v>
      </c>
      <c r="G1997">
        <v>0</v>
      </c>
      <c r="H1997">
        <v>1</v>
      </c>
      <c r="I1997">
        <v>1</v>
      </c>
      <c r="J1997">
        <v>0</v>
      </c>
      <c r="L1997" t="s">
        <v>28889</v>
      </c>
      <c r="M1997" t="s">
        <v>28890</v>
      </c>
      <c r="N1997" t="s">
        <v>28891</v>
      </c>
      <c r="O1997" t="s">
        <v>28892</v>
      </c>
      <c r="P1997" t="s">
        <v>28893</v>
      </c>
      <c r="Q1997" t="s">
        <v>28894</v>
      </c>
      <c r="R1997" t="s">
        <v>28895</v>
      </c>
      <c r="S1997" t="s">
        <v>28896</v>
      </c>
      <c r="T1997" s="2">
        <v>0.625</v>
      </c>
      <c r="U1997">
        <v>1</v>
      </c>
      <c r="V1997" t="s">
        <v>28897</v>
      </c>
      <c r="W1997" t="s">
        <v>28898</v>
      </c>
      <c r="X1997" t="s">
        <v>28899</v>
      </c>
      <c r="Y1997" t="s">
        <v>28900</v>
      </c>
      <c r="Z1997" t="s">
        <v>28901</v>
      </c>
      <c r="AA1997" t="s">
        <v>28901</v>
      </c>
      <c r="AB1997" t="s">
        <v>28901</v>
      </c>
      <c r="AC1997" t="s">
        <v>28901</v>
      </c>
    </row>
    <row r="1998" spans="1:30">
      <c r="A1998" t="s">
        <v>28902</v>
      </c>
      <c r="B1998">
        <v>12</v>
      </c>
      <c r="C1998">
        <v>12</v>
      </c>
      <c r="D1998">
        <v>1980</v>
      </c>
      <c r="E1998" s="1">
        <v>29567</v>
      </c>
      <c r="F1998" t="s">
        <v>28903</v>
      </c>
      <c r="G1998">
        <v>0</v>
      </c>
      <c r="H1998">
        <v>1</v>
      </c>
      <c r="I1998">
        <v>1</v>
      </c>
      <c r="J1998">
        <v>0</v>
      </c>
      <c r="L1998" t="s">
        <v>28904</v>
      </c>
      <c r="M1998" t="s">
        <v>28905</v>
      </c>
      <c r="N1998" t="s">
        <v>28906</v>
      </c>
      <c r="O1998" t="s">
        <v>28907</v>
      </c>
      <c r="P1998" t="s">
        <v>28908</v>
      </c>
      <c r="Q1998" t="s">
        <v>28909</v>
      </c>
      <c r="R1998" t="s">
        <v>28910</v>
      </c>
      <c r="S1998" t="s">
        <v>28911</v>
      </c>
      <c r="T1998" s="2">
        <v>0.375</v>
      </c>
      <c r="U1998">
        <v>30</v>
      </c>
      <c r="V1998" t="s">
        <v>28912</v>
      </c>
      <c r="W1998" t="s">
        <v>28913</v>
      </c>
      <c r="X1998" t="s">
        <v>28914</v>
      </c>
      <c r="Y1998" t="s">
        <v>28915</v>
      </c>
      <c r="Z1998" t="s">
        <v>28916</v>
      </c>
      <c r="AA1998" t="s">
        <v>28916</v>
      </c>
      <c r="AC1998" t="s">
        <v>28917</v>
      </c>
      <c r="AD1998" t="s">
        <v>28918</v>
      </c>
    </row>
    <row r="1999" spans="1:30">
      <c r="A1999" t="s">
        <v>28919</v>
      </c>
      <c r="B1999">
        <v>11</v>
      </c>
      <c r="C1999">
        <v>17</v>
      </c>
      <c r="D1999">
        <v>1980</v>
      </c>
      <c r="E1999" s="1">
        <v>29542</v>
      </c>
      <c r="F1999" t="s">
        <v>28920</v>
      </c>
      <c r="G1999">
        <v>0</v>
      </c>
      <c r="H1999">
        <v>1</v>
      </c>
      <c r="I1999">
        <v>1</v>
      </c>
      <c r="J1999">
        <v>0</v>
      </c>
      <c r="L1999" t="s">
        <v>28921</v>
      </c>
      <c r="M1999" t="s">
        <v>28922</v>
      </c>
      <c r="N1999" t="s">
        <v>28923</v>
      </c>
      <c r="O1999" t="s">
        <v>28924</v>
      </c>
      <c r="P1999" t="s">
        <v>28925</v>
      </c>
      <c r="Q1999" t="s">
        <v>28926</v>
      </c>
      <c r="R1999" t="s">
        <v>28927</v>
      </c>
      <c r="S1999" t="s">
        <v>28928</v>
      </c>
      <c r="T1999" s="2">
        <v>0.5</v>
      </c>
      <c r="U1999">
        <v>1</v>
      </c>
      <c r="V1999" t="s">
        <v>28929</v>
      </c>
      <c r="W1999" t="s">
        <v>28930</v>
      </c>
      <c r="X1999" t="s">
        <v>28931</v>
      </c>
      <c r="Y1999" t="s">
        <v>28932</v>
      </c>
      <c r="Z1999" t="s">
        <v>28932</v>
      </c>
      <c r="AA1999" t="s">
        <v>28932</v>
      </c>
      <c r="AC1999" t="s">
        <v>28932</v>
      </c>
    </row>
    <row r="2000" spans="1:30">
      <c r="A2000" t="s">
        <v>28933</v>
      </c>
      <c r="B2000">
        <v>10</v>
      </c>
      <c r="C2000">
        <v>31</v>
      </c>
      <c r="D2000">
        <v>1980</v>
      </c>
      <c r="E2000" s="1">
        <v>29525</v>
      </c>
      <c r="F2000" t="s">
        <v>28934</v>
      </c>
      <c r="G2000">
        <v>0</v>
      </c>
      <c r="H2000">
        <v>1</v>
      </c>
      <c r="I2000">
        <v>1</v>
      </c>
      <c r="J2000">
        <v>1</v>
      </c>
      <c r="L2000" t="s">
        <v>28935</v>
      </c>
      <c r="M2000" t="s">
        <v>28936</v>
      </c>
      <c r="N2000" t="s">
        <v>28937</v>
      </c>
      <c r="O2000" t="s">
        <v>28938</v>
      </c>
      <c r="P2000" t="s">
        <v>28939</v>
      </c>
      <c r="Q2000" t="s">
        <v>28940</v>
      </c>
      <c r="R2000" t="s">
        <v>28941</v>
      </c>
      <c r="U2000">
        <v>1</v>
      </c>
      <c r="V2000" t="s">
        <v>28942</v>
      </c>
      <c r="W2000" t="s">
        <v>28943</v>
      </c>
      <c r="X2000" t="s">
        <v>28944</v>
      </c>
      <c r="Y2000" t="s">
        <v>28945</v>
      </c>
      <c r="Z2000" t="s">
        <v>28945</v>
      </c>
      <c r="AA2000" t="s">
        <v>28945</v>
      </c>
      <c r="AC2000" t="s">
        <v>28945</v>
      </c>
    </row>
    <row r="2001" spans="1:30">
      <c r="A2001" t="s">
        <v>28946</v>
      </c>
      <c r="B2001">
        <v>10</v>
      </c>
      <c r="C2001">
        <v>13</v>
      </c>
      <c r="D2001">
        <v>1980</v>
      </c>
      <c r="E2001" s="1">
        <v>29507</v>
      </c>
      <c r="F2001" t="s">
        <v>28947</v>
      </c>
      <c r="G2001">
        <v>0</v>
      </c>
      <c r="H2001">
        <v>1</v>
      </c>
      <c r="I2001">
        <v>1</v>
      </c>
      <c r="J2001">
        <v>0</v>
      </c>
      <c r="L2001" t="s">
        <v>28948</v>
      </c>
      <c r="M2001" t="s">
        <v>28949</v>
      </c>
      <c r="N2001" t="s">
        <v>28950</v>
      </c>
      <c r="O2001" t="s">
        <v>28951</v>
      </c>
      <c r="P2001" t="s">
        <v>28952</v>
      </c>
      <c r="Q2001" t="s">
        <v>28952</v>
      </c>
      <c r="R2001" t="s">
        <v>28953</v>
      </c>
      <c r="S2001" t="s">
        <v>28954</v>
      </c>
      <c r="U2001">
        <v>1</v>
      </c>
      <c r="V2001" t="s">
        <v>28955</v>
      </c>
      <c r="W2001" t="s">
        <v>28956</v>
      </c>
      <c r="X2001" t="s">
        <v>28957</v>
      </c>
      <c r="Y2001" t="s">
        <v>28958</v>
      </c>
      <c r="Z2001" t="s">
        <v>28958</v>
      </c>
      <c r="AA2001" t="s">
        <v>28958</v>
      </c>
      <c r="AC2001" t="s">
        <v>28958</v>
      </c>
    </row>
    <row r="2002" spans="1:30">
      <c r="A2002" t="s">
        <v>28959</v>
      </c>
      <c r="B2002">
        <v>9</v>
      </c>
      <c r="C2002">
        <v>26</v>
      </c>
      <c r="D2002">
        <v>1980</v>
      </c>
      <c r="E2002" s="1">
        <v>29490</v>
      </c>
      <c r="F2002" t="s">
        <v>28960</v>
      </c>
      <c r="G2002">
        <v>0</v>
      </c>
      <c r="H2002">
        <v>2</v>
      </c>
      <c r="I2002">
        <v>2</v>
      </c>
      <c r="J2002">
        <v>0</v>
      </c>
      <c r="L2002" t="s">
        <v>28961</v>
      </c>
      <c r="M2002" t="s">
        <v>28962</v>
      </c>
      <c r="N2002" t="s">
        <v>28963</v>
      </c>
      <c r="O2002" t="s">
        <v>28964</v>
      </c>
      <c r="P2002" t="s">
        <v>28965</v>
      </c>
      <c r="Q2002" t="s">
        <v>28966</v>
      </c>
      <c r="R2002" t="s">
        <v>28967</v>
      </c>
      <c r="S2002" t="s">
        <v>28968</v>
      </c>
      <c r="T2002" s="2">
        <v>0.37152777777777779</v>
      </c>
      <c r="V2002" t="s">
        <v>28969</v>
      </c>
      <c r="W2002" t="s">
        <v>28970</v>
      </c>
      <c r="X2002" t="s">
        <v>28971</v>
      </c>
      <c r="Y2002" t="s">
        <v>28972</v>
      </c>
      <c r="Z2002" t="s">
        <v>28972</v>
      </c>
      <c r="AA2002" t="s">
        <v>28972</v>
      </c>
      <c r="AB2002" t="s">
        <v>28972</v>
      </c>
      <c r="AC2002" t="s">
        <v>28973</v>
      </c>
      <c r="AD2002" t="s">
        <v>28973</v>
      </c>
    </row>
    <row r="2003" spans="1:30">
      <c r="A2003" t="s">
        <v>28974</v>
      </c>
      <c r="B2003">
        <v>9</v>
      </c>
      <c r="C2003">
        <v>11</v>
      </c>
      <c r="D2003">
        <v>1980</v>
      </c>
      <c r="E2003" s="1">
        <v>29475</v>
      </c>
      <c r="F2003" t="s">
        <v>28975</v>
      </c>
      <c r="G2003">
        <v>1</v>
      </c>
      <c r="H2003">
        <v>0</v>
      </c>
      <c r="I2003">
        <v>1</v>
      </c>
      <c r="J2003">
        <v>0</v>
      </c>
      <c r="L2003" t="s">
        <v>28976</v>
      </c>
      <c r="M2003" t="s">
        <v>28977</v>
      </c>
      <c r="N2003" t="s">
        <v>28978</v>
      </c>
      <c r="O2003" t="s">
        <v>28979</v>
      </c>
      <c r="P2003" t="s">
        <v>28980</v>
      </c>
      <c r="Q2003" t="s">
        <v>28981</v>
      </c>
      <c r="R2003" t="s">
        <v>28982</v>
      </c>
      <c r="U2003">
        <v>1</v>
      </c>
      <c r="V2003" t="s">
        <v>28983</v>
      </c>
      <c r="W2003" t="s">
        <v>28984</v>
      </c>
      <c r="X2003" t="s">
        <v>28985</v>
      </c>
      <c r="Z2003" t="s">
        <v>28986</v>
      </c>
      <c r="AA2003" t="s">
        <v>28986</v>
      </c>
      <c r="AB2003" t="s">
        <v>28986</v>
      </c>
      <c r="AC2003" t="s">
        <v>28986</v>
      </c>
    </row>
    <row r="2004" spans="1:30">
      <c r="A2004" t="s">
        <v>28987</v>
      </c>
      <c r="B2004">
        <v>9</v>
      </c>
      <c r="C2004">
        <v>10</v>
      </c>
      <c r="D2004">
        <v>1980</v>
      </c>
      <c r="E2004" s="1">
        <v>29474</v>
      </c>
      <c r="F2004" t="s">
        <v>28988</v>
      </c>
      <c r="G2004">
        <v>1</v>
      </c>
      <c r="H2004">
        <v>0</v>
      </c>
      <c r="I2004">
        <v>1</v>
      </c>
      <c r="J2004">
        <v>0</v>
      </c>
      <c r="L2004" t="s">
        <v>28989</v>
      </c>
      <c r="M2004" t="s">
        <v>28990</v>
      </c>
      <c r="N2004" t="s">
        <v>28991</v>
      </c>
      <c r="O2004" t="s">
        <v>28992</v>
      </c>
      <c r="P2004" t="s">
        <v>28993</v>
      </c>
      <c r="Q2004" t="s">
        <v>28994</v>
      </c>
      <c r="R2004" t="s">
        <v>28995</v>
      </c>
      <c r="S2004" t="s">
        <v>28996</v>
      </c>
      <c r="T2004" s="2">
        <v>0.4375</v>
      </c>
      <c r="U2004">
        <v>1</v>
      </c>
      <c r="V2004" t="s">
        <v>28997</v>
      </c>
      <c r="W2004" t="s">
        <v>28998</v>
      </c>
      <c r="X2004" t="s">
        <v>28999</v>
      </c>
      <c r="Y2004" t="s">
        <v>29000</v>
      </c>
      <c r="Z2004" t="s">
        <v>29001</v>
      </c>
      <c r="AA2004" t="s">
        <v>29001</v>
      </c>
      <c r="AB2004" t="s">
        <v>29001</v>
      </c>
      <c r="AC2004" t="s">
        <v>29001</v>
      </c>
    </row>
    <row r="2005" spans="1:30">
      <c r="A2005" t="s">
        <v>29002</v>
      </c>
      <c r="B2005">
        <v>9</v>
      </c>
      <c r="C2005">
        <v>8</v>
      </c>
      <c r="D2005">
        <v>1980</v>
      </c>
      <c r="E2005" s="1">
        <v>29472</v>
      </c>
      <c r="F2005" t="s">
        <v>29003</v>
      </c>
      <c r="G2005">
        <v>0</v>
      </c>
      <c r="H2005">
        <v>1</v>
      </c>
      <c r="I2005">
        <v>1</v>
      </c>
      <c r="J2005">
        <v>0</v>
      </c>
      <c r="L2005" t="s">
        <v>29004</v>
      </c>
      <c r="M2005" t="s">
        <v>29005</v>
      </c>
      <c r="N2005" t="s">
        <v>29006</v>
      </c>
      <c r="O2005" t="s">
        <v>29007</v>
      </c>
      <c r="P2005" t="s">
        <v>29008</v>
      </c>
      <c r="Q2005" t="s">
        <v>29009</v>
      </c>
      <c r="R2005" t="s">
        <v>29010</v>
      </c>
      <c r="U2005">
        <v>1</v>
      </c>
      <c r="V2005" t="s">
        <v>29011</v>
      </c>
      <c r="W2005" t="s">
        <v>29012</v>
      </c>
      <c r="X2005" t="s">
        <v>29013</v>
      </c>
      <c r="Y2005" t="s">
        <v>29014</v>
      </c>
      <c r="Z2005" t="s">
        <v>29014</v>
      </c>
      <c r="AA2005" t="s">
        <v>29014</v>
      </c>
      <c r="AB2005" t="s">
        <v>29014</v>
      </c>
      <c r="AC2005" t="s">
        <v>29014</v>
      </c>
    </row>
    <row r="2006" spans="1:30">
      <c r="A2006" t="s">
        <v>29015</v>
      </c>
      <c r="B2006">
        <v>9</v>
      </c>
      <c r="C2006">
        <v>2</v>
      </c>
      <c r="D2006">
        <v>1980</v>
      </c>
      <c r="E2006" s="1">
        <v>29466</v>
      </c>
      <c r="F2006" t="s">
        <v>29016</v>
      </c>
      <c r="G2006">
        <v>0</v>
      </c>
      <c r="H2006">
        <v>10</v>
      </c>
      <c r="I2006">
        <v>10</v>
      </c>
      <c r="J2006">
        <v>0</v>
      </c>
      <c r="L2006" t="s">
        <v>29017</v>
      </c>
      <c r="M2006" t="s">
        <v>29018</v>
      </c>
      <c r="N2006" t="s">
        <v>29019</v>
      </c>
      <c r="O2006" t="s">
        <v>29020</v>
      </c>
      <c r="P2006" t="s">
        <v>29021</v>
      </c>
      <c r="Q2006" t="s">
        <v>29022</v>
      </c>
      <c r="R2006" t="s">
        <v>29023</v>
      </c>
      <c r="S2006" t="s">
        <v>29024</v>
      </c>
      <c r="U2006">
        <v>1</v>
      </c>
      <c r="V2006" t="s">
        <v>29025</v>
      </c>
      <c r="W2006" t="s">
        <v>29026</v>
      </c>
      <c r="X2006" t="s">
        <v>29027</v>
      </c>
      <c r="Y2006" t="s">
        <v>29028</v>
      </c>
      <c r="Z2006" t="s">
        <v>29029</v>
      </c>
      <c r="AA2006" t="s">
        <v>29029</v>
      </c>
      <c r="AC2006" t="s">
        <v>29029</v>
      </c>
      <c r="AD2006" t="s">
        <v>29030</v>
      </c>
    </row>
    <row r="2007" spans="1:30">
      <c r="A2007" t="s">
        <v>29031</v>
      </c>
      <c r="B2007">
        <v>5</v>
      </c>
      <c r="C2007">
        <v>30</v>
      </c>
      <c r="D2007">
        <v>1980</v>
      </c>
      <c r="E2007" s="1">
        <v>29371</v>
      </c>
      <c r="F2007" t="s">
        <v>29032</v>
      </c>
      <c r="G2007">
        <v>0</v>
      </c>
      <c r="H2007">
        <v>0</v>
      </c>
      <c r="I2007">
        <v>0</v>
      </c>
      <c r="J2007">
        <v>0</v>
      </c>
      <c r="L2007" t="s">
        <v>29033</v>
      </c>
      <c r="M2007" t="s">
        <v>29034</v>
      </c>
      <c r="N2007" t="s">
        <v>29035</v>
      </c>
      <c r="O2007" t="s">
        <v>29036</v>
      </c>
      <c r="P2007" t="s">
        <v>29037</v>
      </c>
      <c r="Q2007" t="s">
        <v>29038</v>
      </c>
      <c r="R2007" t="s">
        <v>29039</v>
      </c>
      <c r="S2007" t="s">
        <v>29040</v>
      </c>
      <c r="T2007" s="2">
        <v>0.39583333333333331</v>
      </c>
      <c r="U2007">
        <v>1</v>
      </c>
      <c r="V2007" t="s">
        <v>29041</v>
      </c>
      <c r="W2007" t="s">
        <v>29042</v>
      </c>
      <c r="X2007" t="s">
        <v>29043</v>
      </c>
      <c r="Y2007" t="s">
        <v>29044</v>
      </c>
      <c r="Z2007" t="s">
        <v>29044</v>
      </c>
      <c r="AA2007" t="s">
        <v>29044</v>
      </c>
      <c r="AB2007" t="s">
        <v>29044</v>
      </c>
      <c r="AC2007" t="s">
        <v>29044</v>
      </c>
    </row>
    <row r="2008" spans="1:30">
      <c r="A2008" t="s">
        <v>29045</v>
      </c>
      <c r="B2008">
        <v>4</v>
      </c>
      <c r="C2008">
        <v>17</v>
      </c>
      <c r="D2008">
        <v>1980</v>
      </c>
      <c r="E2008" s="1">
        <v>29328</v>
      </c>
      <c r="F2008" t="s">
        <v>29046</v>
      </c>
      <c r="G2008">
        <v>2</v>
      </c>
      <c r="H2008">
        <v>0</v>
      </c>
      <c r="I2008">
        <v>2</v>
      </c>
      <c r="J2008">
        <v>0</v>
      </c>
      <c r="L2008" t="s">
        <v>29047</v>
      </c>
      <c r="M2008" t="s">
        <v>29048</v>
      </c>
      <c r="N2008" t="s">
        <v>29049</v>
      </c>
      <c r="O2008" t="s">
        <v>29050</v>
      </c>
      <c r="P2008" t="s">
        <v>29051</v>
      </c>
      <c r="Q2008" t="s">
        <v>29052</v>
      </c>
      <c r="R2008" t="s">
        <v>29053</v>
      </c>
      <c r="S2008" t="s">
        <v>29054</v>
      </c>
      <c r="T2008" s="2">
        <v>0.42708333333333337</v>
      </c>
      <c r="U2008">
        <v>1</v>
      </c>
      <c r="V2008" t="s">
        <v>29055</v>
      </c>
      <c r="W2008" t="s">
        <v>29056</v>
      </c>
      <c r="X2008" t="s">
        <v>29057</v>
      </c>
      <c r="Y2008" t="s">
        <v>29058</v>
      </c>
      <c r="Z2008" t="s">
        <v>29058</v>
      </c>
      <c r="AA2008" t="s">
        <v>29058</v>
      </c>
      <c r="AB2008" t="s">
        <v>29058</v>
      </c>
      <c r="AC2008" t="s">
        <v>29059</v>
      </c>
    </row>
    <row r="2009" spans="1:30">
      <c r="A2009" t="s">
        <v>29060</v>
      </c>
      <c r="B2009">
        <v>3</v>
      </c>
      <c r="C2009">
        <v>31</v>
      </c>
      <c r="D2009">
        <v>1980</v>
      </c>
      <c r="E2009" s="1">
        <v>29311</v>
      </c>
      <c r="F2009" t="s">
        <v>29061</v>
      </c>
      <c r="G2009">
        <v>0</v>
      </c>
      <c r="H2009">
        <v>1</v>
      </c>
      <c r="I2009">
        <v>1</v>
      </c>
      <c r="J2009">
        <v>0</v>
      </c>
      <c r="L2009" t="s">
        <v>29062</v>
      </c>
      <c r="M2009" t="s">
        <v>29063</v>
      </c>
      <c r="N2009" t="s">
        <v>29064</v>
      </c>
      <c r="O2009" t="s">
        <v>29065</v>
      </c>
      <c r="P2009" t="s">
        <v>29066</v>
      </c>
      <c r="Q2009" t="s">
        <v>29067</v>
      </c>
      <c r="R2009" t="s">
        <v>29068</v>
      </c>
      <c r="S2009" t="s">
        <v>29069</v>
      </c>
      <c r="T2009" s="2">
        <v>0.375</v>
      </c>
      <c r="U2009">
        <v>1</v>
      </c>
      <c r="V2009" t="s">
        <v>29070</v>
      </c>
      <c r="W2009" t="s">
        <v>29071</v>
      </c>
      <c r="X2009" t="s">
        <v>29072</v>
      </c>
      <c r="Y2009" t="s">
        <v>29073</v>
      </c>
      <c r="Z2009" t="s">
        <v>29074</v>
      </c>
      <c r="AA2009" t="s">
        <v>29074</v>
      </c>
      <c r="AB2009" t="s">
        <v>29074</v>
      </c>
      <c r="AC2009" t="s">
        <v>29074</v>
      </c>
    </row>
    <row r="2010" spans="1:30">
      <c r="A2010" t="s">
        <v>29075</v>
      </c>
      <c r="B2010">
        <v>3</v>
      </c>
      <c r="C2010">
        <v>20</v>
      </c>
      <c r="D2010">
        <v>1980</v>
      </c>
      <c r="E2010" s="1">
        <v>29300</v>
      </c>
      <c r="F2010" t="s">
        <v>29076</v>
      </c>
      <c r="G2010">
        <v>1</v>
      </c>
      <c r="H2010">
        <v>0</v>
      </c>
      <c r="I2010">
        <v>1</v>
      </c>
      <c r="J2010">
        <v>0</v>
      </c>
      <c r="L2010" t="s">
        <v>29077</v>
      </c>
      <c r="M2010" t="s">
        <v>29078</v>
      </c>
      <c r="N2010" t="s">
        <v>29079</v>
      </c>
      <c r="O2010" t="s">
        <v>29080</v>
      </c>
      <c r="P2010" t="s">
        <v>29081</v>
      </c>
      <c r="Q2010" t="s">
        <v>29082</v>
      </c>
      <c r="R2010" t="s">
        <v>29083</v>
      </c>
      <c r="S2010" t="s">
        <v>29084</v>
      </c>
      <c r="T2010" s="2">
        <v>0.6479166666666667</v>
      </c>
      <c r="U2010">
        <v>1</v>
      </c>
      <c r="V2010" t="s">
        <v>29085</v>
      </c>
      <c r="W2010" t="s">
        <v>29086</v>
      </c>
      <c r="X2010" t="s">
        <v>29087</v>
      </c>
      <c r="Y2010" t="s">
        <v>29088</v>
      </c>
      <c r="Z2010" t="s">
        <v>29088</v>
      </c>
      <c r="AA2010" t="s">
        <v>29088</v>
      </c>
      <c r="AC2010" t="s">
        <v>29089</v>
      </c>
    </row>
    <row r="2011" spans="1:30">
      <c r="A2011" t="s">
        <v>29090</v>
      </c>
      <c r="B2011">
        <v>2</v>
      </c>
      <c r="C2011">
        <v>15</v>
      </c>
      <c r="D2011">
        <v>1980</v>
      </c>
      <c r="E2011" s="1">
        <v>29266</v>
      </c>
      <c r="F2011" t="s">
        <v>29091</v>
      </c>
      <c r="G2011">
        <v>1</v>
      </c>
      <c r="H2011">
        <v>0</v>
      </c>
      <c r="I2011">
        <v>1</v>
      </c>
      <c r="J2011">
        <v>0</v>
      </c>
      <c r="L2011" t="s">
        <v>29092</v>
      </c>
      <c r="M2011" t="s">
        <v>29093</v>
      </c>
      <c r="N2011" t="s">
        <v>29094</v>
      </c>
      <c r="O2011" t="s">
        <v>29095</v>
      </c>
      <c r="P2011" t="s">
        <v>29096</v>
      </c>
      <c r="Q2011" t="s">
        <v>29096</v>
      </c>
      <c r="R2011" t="s">
        <v>29097</v>
      </c>
      <c r="S2011" t="s">
        <v>29098</v>
      </c>
      <c r="T2011" s="2">
        <v>0.56944444444444442</v>
      </c>
      <c r="U2011">
        <v>1</v>
      </c>
      <c r="V2011" t="s">
        <v>29099</v>
      </c>
      <c r="W2011" t="s">
        <v>29100</v>
      </c>
      <c r="X2011" t="s">
        <v>29101</v>
      </c>
      <c r="Y2011" t="s">
        <v>29102</v>
      </c>
      <c r="Z2011" t="s">
        <v>29102</v>
      </c>
      <c r="AA2011" t="s">
        <v>29102</v>
      </c>
      <c r="AB2011" t="s">
        <v>29102</v>
      </c>
      <c r="AC2011" t="s">
        <v>29103</v>
      </c>
    </row>
    <row r="2012" spans="1:30">
      <c r="A2012" t="s">
        <v>29104</v>
      </c>
      <c r="B2012">
        <v>2</v>
      </c>
      <c r="C2012">
        <v>11</v>
      </c>
      <c r="D2012">
        <v>1980</v>
      </c>
      <c r="E2012" s="1">
        <v>29262</v>
      </c>
      <c r="F2012" t="s">
        <v>29105</v>
      </c>
      <c r="G2012">
        <v>0</v>
      </c>
      <c r="H2012">
        <v>1</v>
      </c>
      <c r="I2012">
        <v>1</v>
      </c>
      <c r="J2012">
        <v>0</v>
      </c>
      <c r="L2012" t="s">
        <v>29106</v>
      </c>
      <c r="M2012" t="s">
        <v>29107</v>
      </c>
      <c r="N2012" t="s">
        <v>29108</v>
      </c>
      <c r="O2012" t="s">
        <v>29109</v>
      </c>
      <c r="P2012" t="s">
        <v>29110</v>
      </c>
      <c r="Q2012" t="s">
        <v>29110</v>
      </c>
      <c r="R2012" t="s">
        <v>29111</v>
      </c>
      <c r="S2012" t="s">
        <v>29112</v>
      </c>
      <c r="T2012" s="2">
        <v>0.53472222222222221</v>
      </c>
      <c r="U2012">
        <v>1</v>
      </c>
      <c r="V2012" t="s">
        <v>29113</v>
      </c>
      <c r="W2012" t="s">
        <v>29114</v>
      </c>
      <c r="X2012" t="s">
        <v>29115</v>
      </c>
      <c r="Y2012" t="s">
        <v>29116</v>
      </c>
      <c r="Z2012" t="s">
        <v>29116</v>
      </c>
      <c r="AA2012" t="s">
        <v>29116</v>
      </c>
      <c r="AB2012" t="s">
        <v>29116</v>
      </c>
      <c r="AC2012" t="s">
        <v>29116</v>
      </c>
    </row>
    <row r="2013" spans="1:30">
      <c r="A2013" t="s">
        <v>29117</v>
      </c>
      <c r="B2013">
        <v>2</v>
      </c>
      <c r="C2013">
        <v>7</v>
      </c>
      <c r="D2013">
        <v>1980</v>
      </c>
      <c r="E2013" s="1">
        <v>29258</v>
      </c>
      <c r="F2013" t="s">
        <v>29118</v>
      </c>
      <c r="G2013">
        <v>0</v>
      </c>
      <c r="H2013">
        <v>1</v>
      </c>
      <c r="I2013">
        <v>1</v>
      </c>
      <c r="J2013">
        <v>0</v>
      </c>
      <c r="L2013" t="s">
        <v>29119</v>
      </c>
      <c r="M2013" t="s">
        <v>29120</v>
      </c>
      <c r="N2013" t="s">
        <v>29121</v>
      </c>
      <c r="O2013" t="s">
        <v>29122</v>
      </c>
      <c r="P2013" t="s">
        <v>29123</v>
      </c>
      <c r="Q2013" t="s">
        <v>29123</v>
      </c>
      <c r="R2013" t="s">
        <v>29124</v>
      </c>
      <c r="S2013" t="s">
        <v>29125</v>
      </c>
      <c r="T2013" s="2">
        <v>0.4375</v>
      </c>
      <c r="U2013">
        <v>1</v>
      </c>
      <c r="V2013" t="s">
        <v>29126</v>
      </c>
      <c r="W2013" t="s">
        <v>29127</v>
      </c>
      <c r="X2013" t="s">
        <v>29128</v>
      </c>
      <c r="Z2013" t="s">
        <v>29129</v>
      </c>
      <c r="AA2013" t="s">
        <v>29129</v>
      </c>
      <c r="AB2013" t="s">
        <v>29129</v>
      </c>
      <c r="AC2013" t="s">
        <v>29129</v>
      </c>
    </row>
    <row r="2014" spans="1:30">
      <c r="A2014" t="s">
        <v>29130</v>
      </c>
      <c r="B2014">
        <v>2</v>
      </c>
      <c r="C2014">
        <v>1</v>
      </c>
      <c r="D2014">
        <v>1980</v>
      </c>
      <c r="E2014" s="1">
        <v>29252</v>
      </c>
      <c r="F2014" t="s">
        <v>29131</v>
      </c>
      <c r="G2014">
        <v>0</v>
      </c>
      <c r="H2014">
        <v>1</v>
      </c>
      <c r="I2014">
        <v>1</v>
      </c>
      <c r="J2014">
        <v>0</v>
      </c>
      <c r="L2014" t="s">
        <v>29132</v>
      </c>
      <c r="M2014" t="s">
        <v>29133</v>
      </c>
      <c r="N2014" t="s">
        <v>29134</v>
      </c>
      <c r="O2014" t="s">
        <v>29135</v>
      </c>
      <c r="P2014" t="s">
        <v>29136</v>
      </c>
      <c r="Q2014" t="s">
        <v>29137</v>
      </c>
      <c r="R2014" t="s">
        <v>29138</v>
      </c>
      <c r="S2014" t="s">
        <v>29139</v>
      </c>
      <c r="T2014" s="2">
        <v>0.375</v>
      </c>
      <c r="U2014">
        <v>1</v>
      </c>
      <c r="V2014" t="s">
        <v>29140</v>
      </c>
      <c r="W2014" t="s">
        <v>29141</v>
      </c>
      <c r="X2014" t="s">
        <v>29142</v>
      </c>
      <c r="Y2014" t="s">
        <v>29143</v>
      </c>
      <c r="Z2014" t="s">
        <v>29143</v>
      </c>
      <c r="AA2014" t="s">
        <v>29143</v>
      </c>
      <c r="AB2014" t="s">
        <v>29143</v>
      </c>
      <c r="AC2014" t="s">
        <v>29143</v>
      </c>
    </row>
    <row r="2015" spans="1:30">
      <c r="A2015" t="s">
        <v>29144</v>
      </c>
      <c r="B2015">
        <v>1</v>
      </c>
      <c r="C2015">
        <v>29</v>
      </c>
      <c r="D2015">
        <v>1980</v>
      </c>
      <c r="E2015" s="1">
        <v>29249</v>
      </c>
      <c r="F2015" t="s">
        <v>29145</v>
      </c>
      <c r="G2015">
        <v>0</v>
      </c>
      <c r="H2015">
        <v>0</v>
      </c>
      <c r="I2015">
        <v>0</v>
      </c>
      <c r="J2015">
        <v>0</v>
      </c>
      <c r="L2015" t="s">
        <v>29146</v>
      </c>
      <c r="M2015" t="s">
        <v>29147</v>
      </c>
      <c r="N2015" t="s">
        <v>29148</v>
      </c>
      <c r="O2015" t="s">
        <v>29149</v>
      </c>
      <c r="P2015" t="s">
        <v>29150</v>
      </c>
      <c r="Q2015" t="s">
        <v>29151</v>
      </c>
      <c r="R2015" t="s">
        <v>29152</v>
      </c>
      <c r="S2015" t="s">
        <v>29153</v>
      </c>
      <c r="T2015" s="2">
        <v>0.33680555555555552</v>
      </c>
      <c r="U2015">
        <v>1</v>
      </c>
      <c r="V2015" t="s">
        <v>29154</v>
      </c>
      <c r="W2015" t="s">
        <v>29155</v>
      </c>
      <c r="X2015" t="s">
        <v>29156</v>
      </c>
      <c r="Y2015" t="s">
        <v>29157</v>
      </c>
      <c r="Z2015" t="s">
        <v>29157</v>
      </c>
      <c r="AA2015" t="s">
        <v>29157</v>
      </c>
      <c r="AC2015" t="s">
        <v>29157</v>
      </c>
    </row>
    <row r="2016" spans="1:30">
      <c r="A2016" t="s">
        <v>29158</v>
      </c>
      <c r="B2016">
        <v>1</v>
      </c>
      <c r="C2016">
        <v>7</v>
      </c>
      <c r="D2016">
        <v>1980</v>
      </c>
      <c r="E2016" s="1">
        <v>29227</v>
      </c>
      <c r="F2016" t="s">
        <v>29159</v>
      </c>
      <c r="G2016">
        <v>1</v>
      </c>
      <c r="H2016">
        <v>0</v>
      </c>
      <c r="I2016">
        <v>1</v>
      </c>
      <c r="J2016">
        <v>0</v>
      </c>
      <c r="L2016" t="s">
        <v>29160</v>
      </c>
      <c r="M2016" t="s">
        <v>29161</v>
      </c>
      <c r="N2016" t="s">
        <v>29162</v>
      </c>
      <c r="O2016" t="s">
        <v>29163</v>
      </c>
      <c r="P2016" t="s">
        <v>29164</v>
      </c>
      <c r="Q2016" t="s">
        <v>29165</v>
      </c>
      <c r="R2016" t="s">
        <v>29166</v>
      </c>
      <c r="S2016" t="s">
        <v>29167</v>
      </c>
      <c r="T2016" s="2">
        <v>0.37638888888888888</v>
      </c>
      <c r="U2016">
        <v>1</v>
      </c>
      <c r="V2016" t="s">
        <v>29168</v>
      </c>
      <c r="W2016" t="s">
        <v>29169</v>
      </c>
      <c r="X2016" t="s">
        <v>29170</v>
      </c>
      <c r="Y2016" t="s">
        <v>29171</v>
      </c>
      <c r="Z2016" t="s">
        <v>29171</v>
      </c>
      <c r="AA2016" t="s">
        <v>29171</v>
      </c>
      <c r="AC2016" t="s">
        <v>29171</v>
      </c>
    </row>
    <row r="2017" spans="1:30">
      <c r="A2017" t="s">
        <v>29172</v>
      </c>
      <c r="B2017">
        <v>12</v>
      </c>
      <c r="C2017">
        <v>21</v>
      </c>
      <c r="D2017">
        <v>1979</v>
      </c>
      <c r="E2017" s="1">
        <v>29210</v>
      </c>
      <c r="F2017" t="s">
        <v>29173</v>
      </c>
      <c r="G2017">
        <v>0</v>
      </c>
      <c r="H2017">
        <v>1</v>
      </c>
      <c r="I2017">
        <v>1</v>
      </c>
      <c r="J2017">
        <v>0</v>
      </c>
      <c r="L2017" t="s">
        <v>29174</v>
      </c>
      <c r="M2017" t="s">
        <v>29175</v>
      </c>
      <c r="N2017" t="s">
        <v>29176</v>
      </c>
      <c r="O2017" t="s">
        <v>29177</v>
      </c>
      <c r="P2017" t="s">
        <v>29178</v>
      </c>
      <c r="Q2017" t="s">
        <v>29179</v>
      </c>
      <c r="R2017" t="s">
        <v>29180</v>
      </c>
      <c r="S2017" t="s">
        <v>29181</v>
      </c>
      <c r="U2017">
        <v>1</v>
      </c>
      <c r="V2017" t="s">
        <v>29182</v>
      </c>
      <c r="W2017" t="s">
        <v>29183</v>
      </c>
      <c r="X2017" t="s">
        <v>29184</v>
      </c>
      <c r="Y2017" t="s">
        <v>29185</v>
      </c>
      <c r="Z2017" t="s">
        <v>29185</v>
      </c>
      <c r="AA2017" t="s">
        <v>29185</v>
      </c>
      <c r="AB2017" t="s">
        <v>29185</v>
      </c>
      <c r="AC2017" t="s">
        <v>29185</v>
      </c>
    </row>
    <row r="2018" spans="1:30">
      <c r="A2018" t="s">
        <v>29186</v>
      </c>
      <c r="B2018">
        <v>12</v>
      </c>
      <c r="C2018">
        <v>3</v>
      </c>
      <c r="D2018">
        <v>1979</v>
      </c>
      <c r="E2018" s="1">
        <v>29192</v>
      </c>
      <c r="F2018" t="s">
        <v>29187</v>
      </c>
      <c r="G2018">
        <v>0</v>
      </c>
      <c r="H2018">
        <v>3</v>
      </c>
      <c r="I2018">
        <v>3</v>
      </c>
      <c r="J2018">
        <v>0</v>
      </c>
      <c r="L2018" t="s">
        <v>29188</v>
      </c>
      <c r="M2018" t="s">
        <v>29189</v>
      </c>
      <c r="N2018" t="s">
        <v>29190</v>
      </c>
      <c r="O2018" t="s">
        <v>29191</v>
      </c>
      <c r="P2018" t="s">
        <v>29192</v>
      </c>
      <c r="Q2018" t="s">
        <v>29193</v>
      </c>
      <c r="R2018" t="s">
        <v>29194</v>
      </c>
      <c r="S2018" t="s">
        <v>29195</v>
      </c>
      <c r="U2018">
        <v>1</v>
      </c>
      <c r="V2018" t="s">
        <v>29196</v>
      </c>
      <c r="W2018" t="s">
        <v>29197</v>
      </c>
      <c r="X2018" t="s">
        <v>29198</v>
      </c>
      <c r="Y2018" t="s">
        <v>29199</v>
      </c>
      <c r="Z2018" t="s">
        <v>29200</v>
      </c>
      <c r="AA2018" t="s">
        <v>29200</v>
      </c>
      <c r="AB2018" t="s">
        <v>29200</v>
      </c>
      <c r="AC2018" t="s">
        <v>29200</v>
      </c>
    </row>
    <row r="2019" spans="1:30">
      <c r="A2019" t="s">
        <v>29201</v>
      </c>
      <c r="B2019">
        <v>11</v>
      </c>
      <c r="C2019">
        <v>30</v>
      </c>
      <c r="D2019">
        <v>1979</v>
      </c>
      <c r="E2019" s="1">
        <v>29189</v>
      </c>
      <c r="F2019" t="s">
        <v>29202</v>
      </c>
      <c r="G2019">
        <v>0</v>
      </c>
      <c r="H2019">
        <v>1</v>
      </c>
      <c r="I2019">
        <v>1</v>
      </c>
      <c r="J2019">
        <v>0</v>
      </c>
      <c r="L2019" t="s">
        <v>29203</v>
      </c>
      <c r="M2019" t="s">
        <v>29204</v>
      </c>
      <c r="N2019" t="s">
        <v>29205</v>
      </c>
      <c r="P2019" t="s">
        <v>29206</v>
      </c>
      <c r="Q2019" t="s">
        <v>29206</v>
      </c>
      <c r="R2019" t="s">
        <v>29207</v>
      </c>
      <c r="U2019">
        <v>1</v>
      </c>
      <c r="V2019" t="s">
        <v>29208</v>
      </c>
      <c r="W2019" t="s">
        <v>29209</v>
      </c>
      <c r="X2019" t="s">
        <v>29210</v>
      </c>
      <c r="Y2019" t="s">
        <v>29211</v>
      </c>
      <c r="Z2019" t="s">
        <v>29211</v>
      </c>
      <c r="AA2019" t="s">
        <v>29211</v>
      </c>
    </row>
    <row r="2020" spans="1:30">
      <c r="A2020" t="s">
        <v>29212</v>
      </c>
      <c r="B2020">
        <v>11</v>
      </c>
      <c r="C2020">
        <v>5</v>
      </c>
      <c r="D2020">
        <v>1979</v>
      </c>
      <c r="E2020" s="1">
        <v>29164</v>
      </c>
      <c r="F2020" t="s">
        <v>29213</v>
      </c>
      <c r="G2020">
        <v>0</v>
      </c>
      <c r="H2020">
        <v>1</v>
      </c>
      <c r="I2020">
        <v>1</v>
      </c>
      <c r="J2020">
        <v>0</v>
      </c>
      <c r="L2020" t="s">
        <v>29214</v>
      </c>
      <c r="M2020" t="s">
        <v>29215</v>
      </c>
      <c r="N2020" t="s">
        <v>29216</v>
      </c>
      <c r="O2020" t="s">
        <v>29217</v>
      </c>
      <c r="P2020" t="s">
        <v>29218</v>
      </c>
      <c r="Q2020" t="s">
        <v>29219</v>
      </c>
      <c r="R2020" t="s">
        <v>29220</v>
      </c>
      <c r="S2020" t="s">
        <v>29221</v>
      </c>
      <c r="U2020">
        <v>1</v>
      </c>
      <c r="V2020" t="s">
        <v>29222</v>
      </c>
      <c r="W2020" t="s">
        <v>29223</v>
      </c>
      <c r="X2020" t="s">
        <v>29224</v>
      </c>
      <c r="Y2020" t="s">
        <v>29225</v>
      </c>
      <c r="Z2020" t="s">
        <v>29225</v>
      </c>
      <c r="AA2020" t="s">
        <v>29225</v>
      </c>
      <c r="AC2020" t="s">
        <v>29225</v>
      </c>
    </row>
    <row r="2021" spans="1:30">
      <c r="A2021" t="s">
        <v>29226</v>
      </c>
      <c r="B2021">
        <v>10</v>
      </c>
      <c r="C2021">
        <v>23</v>
      </c>
      <c r="D2021">
        <v>1979</v>
      </c>
      <c r="E2021" s="1">
        <v>29151</v>
      </c>
      <c r="F2021" t="s">
        <v>29227</v>
      </c>
      <c r="G2021">
        <v>0</v>
      </c>
      <c r="H2021">
        <v>2</v>
      </c>
      <c r="I2021">
        <v>2</v>
      </c>
      <c r="J2021">
        <v>0</v>
      </c>
      <c r="L2021" t="s">
        <v>29228</v>
      </c>
      <c r="M2021" t="s">
        <v>29229</v>
      </c>
      <c r="N2021" t="s">
        <v>29230</v>
      </c>
      <c r="O2021" t="s">
        <v>29231</v>
      </c>
      <c r="P2021" t="s">
        <v>29232</v>
      </c>
      <c r="Q2021" t="s">
        <v>29232</v>
      </c>
      <c r="R2021" t="s">
        <v>29233</v>
      </c>
      <c r="S2021" t="s">
        <v>29234</v>
      </c>
      <c r="U2021">
        <v>1</v>
      </c>
      <c r="V2021" t="s">
        <v>29235</v>
      </c>
      <c r="W2021" t="s">
        <v>29236</v>
      </c>
      <c r="X2021" t="s">
        <v>29237</v>
      </c>
      <c r="Y2021" t="s">
        <v>29238</v>
      </c>
      <c r="Z2021" t="s">
        <v>29238</v>
      </c>
      <c r="AA2021" t="s">
        <v>29238</v>
      </c>
      <c r="AB2021" t="s">
        <v>29238</v>
      </c>
      <c r="AC2021" t="s">
        <v>29238</v>
      </c>
    </row>
    <row r="2022" spans="1:30">
      <c r="A2022" t="s">
        <v>29239</v>
      </c>
      <c r="B2022">
        <v>9</v>
      </c>
      <c r="C2022">
        <v>28</v>
      </c>
      <c r="D2022">
        <v>1979</v>
      </c>
      <c r="E2022" s="1">
        <v>29126</v>
      </c>
      <c r="F2022" t="s">
        <v>29240</v>
      </c>
      <c r="G2022">
        <v>0</v>
      </c>
      <c r="H2022">
        <v>1</v>
      </c>
      <c r="I2022">
        <v>1</v>
      </c>
      <c r="J2022">
        <v>0</v>
      </c>
      <c r="L2022" t="s">
        <v>29241</v>
      </c>
      <c r="M2022" t="s">
        <v>29242</v>
      </c>
      <c r="N2022" t="s">
        <v>29243</v>
      </c>
      <c r="O2022" t="s">
        <v>29244</v>
      </c>
      <c r="P2022" t="s">
        <v>29245</v>
      </c>
      <c r="Q2022" t="s">
        <v>29246</v>
      </c>
      <c r="R2022" t="s">
        <v>29247</v>
      </c>
      <c r="S2022" t="s">
        <v>29248</v>
      </c>
      <c r="U2022">
        <v>1</v>
      </c>
      <c r="V2022" t="s">
        <v>29249</v>
      </c>
      <c r="W2022" t="s">
        <v>29250</v>
      </c>
      <c r="X2022" t="s">
        <v>29251</v>
      </c>
      <c r="Y2022" t="s">
        <v>29252</v>
      </c>
      <c r="Z2022" t="s">
        <v>29253</v>
      </c>
      <c r="AA2022" t="s">
        <v>29253</v>
      </c>
      <c r="AB2022" t="s">
        <v>29253</v>
      </c>
      <c r="AC2022" t="s">
        <v>29253</v>
      </c>
    </row>
    <row r="2023" spans="1:30">
      <c r="A2023" t="s">
        <v>29254</v>
      </c>
      <c r="B2023">
        <v>9</v>
      </c>
      <c r="C2023">
        <v>26</v>
      </c>
      <c r="D2023">
        <v>1979</v>
      </c>
      <c r="E2023" s="1">
        <v>29124</v>
      </c>
      <c r="F2023" t="s">
        <v>29255</v>
      </c>
      <c r="G2023">
        <v>0</v>
      </c>
      <c r="H2023">
        <v>2</v>
      </c>
      <c r="I2023">
        <v>2</v>
      </c>
      <c r="J2023">
        <v>0</v>
      </c>
      <c r="L2023" t="s">
        <v>29256</v>
      </c>
      <c r="M2023" t="s">
        <v>29257</v>
      </c>
      <c r="N2023" t="s">
        <v>29258</v>
      </c>
      <c r="O2023" t="s">
        <v>29259</v>
      </c>
      <c r="P2023" t="s">
        <v>29260</v>
      </c>
      <c r="Q2023" t="s">
        <v>29261</v>
      </c>
      <c r="R2023" t="s">
        <v>29262</v>
      </c>
      <c r="S2023" t="s">
        <v>29263</v>
      </c>
      <c r="T2023" s="2">
        <v>0.49305555555555552</v>
      </c>
      <c r="U2023">
        <v>1</v>
      </c>
      <c r="V2023" t="s">
        <v>29264</v>
      </c>
      <c r="W2023" t="s">
        <v>29265</v>
      </c>
      <c r="X2023" t="s">
        <v>29266</v>
      </c>
      <c r="Y2023" t="s">
        <v>29267</v>
      </c>
      <c r="Z2023" t="s">
        <v>29268</v>
      </c>
      <c r="AA2023" t="s">
        <v>29268</v>
      </c>
      <c r="AB2023" t="s">
        <v>29268</v>
      </c>
      <c r="AC2023" t="s">
        <v>29268</v>
      </c>
    </row>
    <row r="2024" spans="1:30">
      <c r="A2024" t="s">
        <v>29269</v>
      </c>
      <c r="B2024">
        <v>6</v>
      </c>
      <c r="C2024">
        <v>14</v>
      </c>
      <c r="D2024">
        <v>1979</v>
      </c>
      <c r="E2024" s="1">
        <v>29020</v>
      </c>
      <c r="F2024" t="s">
        <v>29270</v>
      </c>
      <c r="G2024">
        <v>1</v>
      </c>
      <c r="H2024">
        <v>0</v>
      </c>
      <c r="I2024">
        <v>1</v>
      </c>
      <c r="J2024">
        <v>0</v>
      </c>
      <c r="L2024" t="s">
        <v>29271</v>
      </c>
      <c r="M2024" t="s">
        <v>29272</v>
      </c>
      <c r="N2024" t="s">
        <v>29273</v>
      </c>
      <c r="O2024" t="s">
        <v>29274</v>
      </c>
      <c r="P2024" t="s">
        <v>29275</v>
      </c>
      <c r="Q2024" t="s">
        <v>29275</v>
      </c>
      <c r="R2024" t="s">
        <v>29276</v>
      </c>
      <c r="S2024" t="s">
        <v>29277</v>
      </c>
      <c r="U2024">
        <v>1</v>
      </c>
      <c r="V2024" t="s">
        <v>29278</v>
      </c>
      <c r="W2024" t="s">
        <v>29279</v>
      </c>
      <c r="X2024" t="s">
        <v>29280</v>
      </c>
      <c r="Y2024" t="s">
        <v>29281</v>
      </c>
      <c r="Z2024" t="s">
        <v>29281</v>
      </c>
      <c r="AA2024" t="s">
        <v>29281</v>
      </c>
      <c r="AB2024" t="s">
        <v>29281</v>
      </c>
      <c r="AC2024" t="s">
        <v>29281</v>
      </c>
    </row>
    <row r="2025" spans="1:30">
      <c r="A2025" t="s">
        <v>29282</v>
      </c>
      <c r="B2025">
        <v>4</v>
      </c>
      <c r="C2025">
        <v>26</v>
      </c>
      <c r="D2025">
        <v>1979</v>
      </c>
      <c r="E2025" s="1">
        <v>28971</v>
      </c>
      <c r="F2025" t="s">
        <v>29283</v>
      </c>
      <c r="G2025">
        <v>1</v>
      </c>
      <c r="H2025">
        <v>0</v>
      </c>
      <c r="I2025">
        <v>1</v>
      </c>
      <c r="J2025">
        <v>0</v>
      </c>
      <c r="L2025" t="s">
        <v>29284</v>
      </c>
      <c r="M2025" t="s">
        <v>29285</v>
      </c>
      <c r="N2025" t="s">
        <v>29286</v>
      </c>
      <c r="O2025" t="s">
        <v>29287</v>
      </c>
      <c r="P2025" t="s">
        <v>29288</v>
      </c>
      <c r="Q2025" t="s">
        <v>29289</v>
      </c>
      <c r="R2025" t="s">
        <v>29290</v>
      </c>
      <c r="S2025" t="s">
        <v>29291</v>
      </c>
      <c r="T2025" s="2">
        <v>0.64583333333333337</v>
      </c>
      <c r="U2025">
        <v>1</v>
      </c>
      <c r="V2025" t="s">
        <v>29292</v>
      </c>
      <c r="W2025" t="s">
        <v>29293</v>
      </c>
      <c r="X2025" t="s">
        <v>29294</v>
      </c>
      <c r="Y2025" t="s">
        <v>29295</v>
      </c>
      <c r="Z2025" t="s">
        <v>29295</v>
      </c>
      <c r="AA2025" t="s">
        <v>29295</v>
      </c>
      <c r="AB2025" t="s">
        <v>29295</v>
      </c>
      <c r="AC2025" t="s">
        <v>29295</v>
      </c>
    </row>
    <row r="2026" spans="1:30">
      <c r="A2026" t="s">
        <v>29296</v>
      </c>
      <c r="B2026">
        <v>4</v>
      </c>
      <c r="C2026">
        <v>25</v>
      </c>
      <c r="D2026">
        <v>1979</v>
      </c>
      <c r="E2026" s="1">
        <v>28970</v>
      </c>
      <c r="F2026" t="s">
        <v>29297</v>
      </c>
      <c r="G2026">
        <v>0</v>
      </c>
      <c r="H2026">
        <v>1</v>
      </c>
      <c r="I2026">
        <v>1</v>
      </c>
      <c r="J2026">
        <v>0</v>
      </c>
      <c r="L2026" t="s">
        <v>29298</v>
      </c>
      <c r="M2026" t="s">
        <v>29299</v>
      </c>
      <c r="N2026" t="s">
        <v>29300</v>
      </c>
      <c r="O2026" t="s">
        <v>29301</v>
      </c>
      <c r="P2026" t="s">
        <v>29302</v>
      </c>
      <c r="Q2026" t="s">
        <v>29303</v>
      </c>
      <c r="R2026" t="s">
        <v>29304</v>
      </c>
      <c r="S2026" t="s">
        <v>29305</v>
      </c>
      <c r="U2026">
        <v>1</v>
      </c>
      <c r="V2026" t="s">
        <v>29306</v>
      </c>
      <c r="W2026" t="s">
        <v>29307</v>
      </c>
      <c r="X2026" t="s">
        <v>29308</v>
      </c>
      <c r="Y2026" t="s">
        <v>29309</v>
      </c>
      <c r="Z2026" t="s">
        <v>29309</v>
      </c>
      <c r="AA2026" t="s">
        <v>29309</v>
      </c>
      <c r="AB2026" t="s">
        <v>29309</v>
      </c>
      <c r="AC2026" t="s">
        <v>29309</v>
      </c>
    </row>
    <row r="2027" spans="1:30">
      <c r="A2027" t="s">
        <v>29310</v>
      </c>
      <c r="B2027">
        <v>4</v>
      </c>
      <c r="C2027">
        <v>16</v>
      </c>
      <c r="D2027">
        <v>1979</v>
      </c>
      <c r="E2027" s="1">
        <v>28961</v>
      </c>
      <c r="F2027" t="s">
        <v>29311</v>
      </c>
      <c r="G2027">
        <v>0</v>
      </c>
      <c r="H2027">
        <v>1</v>
      </c>
      <c r="I2027">
        <v>1</v>
      </c>
      <c r="J2027">
        <v>0</v>
      </c>
      <c r="L2027" t="s">
        <v>29312</v>
      </c>
      <c r="M2027" t="s">
        <v>29313</v>
      </c>
      <c r="N2027" t="s">
        <v>29314</v>
      </c>
      <c r="O2027" t="s">
        <v>29315</v>
      </c>
      <c r="P2027" t="s">
        <v>29316</v>
      </c>
      <c r="Q2027" t="s">
        <v>29317</v>
      </c>
      <c r="R2027" t="s">
        <v>29318</v>
      </c>
      <c r="S2027" t="s">
        <v>29319</v>
      </c>
      <c r="U2027">
        <v>1</v>
      </c>
      <c r="V2027" t="s">
        <v>29320</v>
      </c>
      <c r="W2027" t="s">
        <v>29321</v>
      </c>
      <c r="X2027" t="s">
        <v>29322</v>
      </c>
      <c r="Z2027" t="s">
        <v>29323</v>
      </c>
      <c r="AA2027" t="s">
        <v>29323</v>
      </c>
      <c r="AB2027" t="s">
        <v>29323</v>
      </c>
      <c r="AC2027" t="s">
        <v>29323</v>
      </c>
    </row>
    <row r="2028" spans="1:30">
      <c r="A2028" t="s">
        <v>29324</v>
      </c>
      <c r="B2028">
        <v>3</v>
      </c>
      <c r="C2028">
        <v>28</v>
      </c>
      <c r="D2028">
        <v>1979</v>
      </c>
      <c r="E2028" s="1">
        <v>28942</v>
      </c>
      <c r="F2028" t="s">
        <v>29325</v>
      </c>
      <c r="G2028">
        <v>0</v>
      </c>
      <c r="H2028">
        <v>1</v>
      </c>
      <c r="I2028">
        <v>1</v>
      </c>
      <c r="J2028">
        <v>0</v>
      </c>
      <c r="L2028" t="s">
        <v>29326</v>
      </c>
      <c r="M2028" t="s">
        <v>29327</v>
      </c>
      <c r="N2028" t="s">
        <v>29328</v>
      </c>
      <c r="O2028" t="s">
        <v>29329</v>
      </c>
      <c r="P2028" t="s">
        <v>29330</v>
      </c>
      <c r="Q2028" t="s">
        <v>29331</v>
      </c>
      <c r="R2028" t="s">
        <v>29332</v>
      </c>
      <c r="S2028" t="s">
        <v>29333</v>
      </c>
      <c r="T2028" s="2">
        <v>0.59722222222222221</v>
      </c>
      <c r="U2028">
        <v>1</v>
      </c>
      <c r="V2028" t="s">
        <v>29334</v>
      </c>
      <c r="W2028" t="s">
        <v>29335</v>
      </c>
      <c r="X2028" t="s">
        <v>29336</v>
      </c>
      <c r="Y2028" t="s">
        <v>29337</v>
      </c>
      <c r="Z2028" t="s">
        <v>29337</v>
      </c>
      <c r="AA2028" t="s">
        <v>29337</v>
      </c>
      <c r="AB2028" t="s">
        <v>29337</v>
      </c>
      <c r="AC2028" t="s">
        <v>29337</v>
      </c>
    </row>
    <row r="2029" spans="1:30">
      <c r="A2029" t="s">
        <v>29338</v>
      </c>
      <c r="B2029">
        <v>3</v>
      </c>
      <c r="C2029">
        <v>14</v>
      </c>
      <c r="D2029">
        <v>1979</v>
      </c>
      <c r="E2029" s="1">
        <v>28928</v>
      </c>
      <c r="F2029" t="s">
        <v>29339</v>
      </c>
      <c r="G2029">
        <v>0</v>
      </c>
      <c r="H2029">
        <v>1</v>
      </c>
      <c r="I2029">
        <v>1</v>
      </c>
      <c r="J2029">
        <v>0</v>
      </c>
      <c r="L2029" t="s">
        <v>29340</v>
      </c>
      <c r="M2029" t="s">
        <v>29341</v>
      </c>
      <c r="N2029" t="s">
        <v>29342</v>
      </c>
      <c r="O2029" t="s">
        <v>29343</v>
      </c>
      <c r="P2029" t="s">
        <v>29344</v>
      </c>
      <c r="Q2029" t="s">
        <v>29345</v>
      </c>
      <c r="R2029" t="s">
        <v>29346</v>
      </c>
      <c r="S2029" t="s">
        <v>29347</v>
      </c>
      <c r="T2029" s="2">
        <v>0.59722222222222221</v>
      </c>
      <c r="U2029">
        <v>1</v>
      </c>
      <c r="V2029" t="s">
        <v>29348</v>
      </c>
      <c r="W2029" t="s">
        <v>29349</v>
      </c>
      <c r="X2029" t="s">
        <v>29350</v>
      </c>
      <c r="Y2029" t="s">
        <v>29351</v>
      </c>
      <c r="Z2029" t="s">
        <v>29351</v>
      </c>
      <c r="AA2029" t="s">
        <v>29351</v>
      </c>
      <c r="AB2029" t="s">
        <v>29351</v>
      </c>
      <c r="AC2029" t="s">
        <v>29351</v>
      </c>
    </row>
    <row r="2030" spans="1:30">
      <c r="A2030" t="s">
        <v>29352</v>
      </c>
      <c r="B2030">
        <v>2</v>
      </c>
      <c r="C2030">
        <v>26</v>
      </c>
      <c r="D2030">
        <v>1979</v>
      </c>
      <c r="E2030" s="1">
        <v>28912</v>
      </c>
      <c r="F2030" t="s">
        <v>29353</v>
      </c>
      <c r="G2030">
        <v>0</v>
      </c>
      <c r="H2030">
        <v>3</v>
      </c>
      <c r="I2030">
        <v>3</v>
      </c>
      <c r="J2030">
        <v>0</v>
      </c>
      <c r="K2030" t="s">
        <v>29354</v>
      </c>
      <c r="L2030" t="s">
        <v>29355</v>
      </c>
      <c r="M2030" t="s">
        <v>29356</v>
      </c>
      <c r="N2030" t="s">
        <v>29357</v>
      </c>
      <c r="O2030" t="s">
        <v>29358</v>
      </c>
      <c r="P2030" t="s">
        <v>29359</v>
      </c>
      <c r="Q2030" t="s">
        <v>29360</v>
      </c>
      <c r="R2030" t="s">
        <v>29361</v>
      </c>
      <c r="S2030" t="s">
        <v>29362</v>
      </c>
      <c r="U2030">
        <v>1</v>
      </c>
      <c r="V2030" t="s">
        <v>29363</v>
      </c>
      <c r="W2030" t="s">
        <v>29364</v>
      </c>
      <c r="X2030" t="s">
        <v>29365</v>
      </c>
      <c r="Y2030" t="s">
        <v>29366</v>
      </c>
      <c r="Z2030" t="s">
        <v>29366</v>
      </c>
      <c r="AA2030" t="s">
        <v>29366</v>
      </c>
      <c r="AB2030" t="s">
        <v>29367</v>
      </c>
      <c r="AC2030" t="s">
        <v>29368</v>
      </c>
      <c r="AD2030" t="s">
        <v>29368</v>
      </c>
    </row>
    <row r="2031" spans="1:30">
      <c r="A2031" t="s">
        <v>29369</v>
      </c>
      <c r="B2031">
        <v>1</v>
      </c>
      <c r="C2031">
        <v>29</v>
      </c>
      <c r="D2031">
        <v>1979</v>
      </c>
      <c r="E2031" s="1">
        <v>28884</v>
      </c>
      <c r="F2031" t="s">
        <v>29370</v>
      </c>
      <c r="G2031">
        <v>2</v>
      </c>
      <c r="H2031">
        <v>9</v>
      </c>
      <c r="I2031">
        <v>11</v>
      </c>
      <c r="J2031">
        <v>0</v>
      </c>
      <c r="L2031" t="s">
        <v>29371</v>
      </c>
      <c r="M2031" t="s">
        <v>29372</v>
      </c>
      <c r="N2031" t="s">
        <v>29373</v>
      </c>
      <c r="O2031" t="s">
        <v>29374</v>
      </c>
      <c r="P2031" t="s">
        <v>29375</v>
      </c>
      <c r="Q2031" t="s">
        <v>29375</v>
      </c>
      <c r="R2031" t="s">
        <v>29376</v>
      </c>
      <c r="S2031" t="s">
        <v>29377</v>
      </c>
      <c r="T2031" s="2">
        <v>0.35416666666666663</v>
      </c>
      <c r="U2031">
        <v>15</v>
      </c>
      <c r="V2031" t="s">
        <v>29378</v>
      </c>
      <c r="W2031" t="s">
        <v>29379</v>
      </c>
      <c r="X2031" t="s">
        <v>29380</v>
      </c>
      <c r="Y2031" t="s">
        <v>29381</v>
      </c>
      <c r="Z2031" t="s">
        <v>29381</v>
      </c>
      <c r="AA2031" t="s">
        <v>29382</v>
      </c>
      <c r="AB2031" t="s">
        <v>29383</v>
      </c>
      <c r="AC2031" t="s">
        <v>29383</v>
      </c>
      <c r="AD2031" t="s">
        <v>29384</v>
      </c>
    </row>
    <row r="2032" spans="1:30">
      <c r="A2032" t="s">
        <v>29385</v>
      </c>
      <c r="B2032">
        <v>12</v>
      </c>
      <c r="C2032">
        <v>14</v>
      </c>
      <c r="D2032">
        <v>1978</v>
      </c>
      <c r="E2032" s="1">
        <v>28838</v>
      </c>
      <c r="F2032" t="s">
        <v>29386</v>
      </c>
      <c r="G2032">
        <v>1</v>
      </c>
      <c r="H2032">
        <v>0</v>
      </c>
      <c r="I2032">
        <v>1</v>
      </c>
      <c r="J2032">
        <v>0</v>
      </c>
      <c r="L2032" t="s">
        <v>29387</v>
      </c>
      <c r="M2032" t="s">
        <v>29388</v>
      </c>
      <c r="N2032" t="s">
        <v>29389</v>
      </c>
      <c r="O2032" t="s">
        <v>29390</v>
      </c>
      <c r="P2032" t="s">
        <v>29391</v>
      </c>
      <c r="Q2032" t="s">
        <v>29392</v>
      </c>
      <c r="R2032" t="s">
        <v>29393</v>
      </c>
      <c r="U2032">
        <v>1</v>
      </c>
      <c r="V2032" t="s">
        <v>29394</v>
      </c>
      <c r="W2032" t="s">
        <v>29395</v>
      </c>
      <c r="X2032" t="s">
        <v>29396</v>
      </c>
      <c r="Y2032" t="s">
        <v>29397</v>
      </c>
      <c r="Z2032" t="s">
        <v>29397</v>
      </c>
      <c r="AA2032" t="s">
        <v>29397</v>
      </c>
      <c r="AB2032" t="s">
        <v>29397</v>
      </c>
      <c r="AC2032" t="s">
        <v>29397</v>
      </c>
    </row>
    <row r="2033" spans="1:30">
      <c r="A2033" t="s">
        <v>29398</v>
      </c>
      <c r="B2033">
        <v>11</v>
      </c>
      <c r="C2033">
        <v>29</v>
      </c>
      <c r="D2033">
        <v>1978</v>
      </c>
      <c r="E2033" s="1">
        <v>28823</v>
      </c>
      <c r="F2033" t="s">
        <v>29399</v>
      </c>
      <c r="G2033">
        <v>0</v>
      </c>
      <c r="H2033">
        <v>1</v>
      </c>
      <c r="I2033">
        <v>1</v>
      </c>
      <c r="J2033">
        <v>0</v>
      </c>
      <c r="L2033" t="s">
        <v>29400</v>
      </c>
      <c r="M2033" t="s">
        <v>29401</v>
      </c>
      <c r="N2033" t="s">
        <v>29402</v>
      </c>
      <c r="O2033" t="s">
        <v>29403</v>
      </c>
      <c r="P2033" t="s">
        <v>29404</v>
      </c>
      <c r="Q2033" t="s">
        <v>29405</v>
      </c>
      <c r="R2033" t="s">
        <v>29406</v>
      </c>
      <c r="S2033" t="s">
        <v>29407</v>
      </c>
      <c r="T2033" s="2">
        <v>0.52083333333333337</v>
      </c>
      <c r="U2033">
        <v>1</v>
      </c>
      <c r="V2033" t="s">
        <v>29408</v>
      </c>
      <c r="W2033" t="s">
        <v>29409</v>
      </c>
      <c r="X2033" t="s">
        <v>29410</v>
      </c>
      <c r="Y2033" t="s">
        <v>29411</v>
      </c>
      <c r="Z2033" t="s">
        <v>29411</v>
      </c>
      <c r="AA2033" t="s">
        <v>29411</v>
      </c>
      <c r="AB2033" t="s">
        <v>29411</v>
      </c>
      <c r="AC2033" t="s">
        <v>29411</v>
      </c>
    </row>
    <row r="2034" spans="1:30">
      <c r="A2034" t="s">
        <v>29412</v>
      </c>
      <c r="B2034">
        <v>10</v>
      </c>
      <c r="C2034">
        <v>17</v>
      </c>
      <c r="D2034">
        <v>1978</v>
      </c>
      <c r="E2034" s="1">
        <v>28780</v>
      </c>
      <c r="F2034" t="s">
        <v>29413</v>
      </c>
      <c r="G2034">
        <v>0</v>
      </c>
      <c r="H2034">
        <v>1</v>
      </c>
      <c r="I2034">
        <v>1</v>
      </c>
      <c r="J2034">
        <v>0</v>
      </c>
      <c r="L2034" t="s">
        <v>29414</v>
      </c>
      <c r="M2034" t="s">
        <v>29415</v>
      </c>
      <c r="N2034" t="s">
        <v>29416</v>
      </c>
      <c r="O2034" t="s">
        <v>29417</v>
      </c>
      <c r="P2034" t="s">
        <v>29418</v>
      </c>
      <c r="Q2034" t="s">
        <v>29419</v>
      </c>
      <c r="R2034" t="s">
        <v>29420</v>
      </c>
      <c r="S2034" t="s">
        <v>29421</v>
      </c>
      <c r="U2034">
        <v>1</v>
      </c>
      <c r="V2034" t="s">
        <v>29422</v>
      </c>
      <c r="W2034" t="s">
        <v>29423</v>
      </c>
      <c r="X2034" t="s">
        <v>29424</v>
      </c>
      <c r="Y2034" t="s">
        <v>29425</v>
      </c>
      <c r="Z2034" t="s">
        <v>29425</v>
      </c>
      <c r="AA2034" t="s">
        <v>29425</v>
      </c>
      <c r="AB2034" t="s">
        <v>29425</v>
      </c>
      <c r="AC2034" t="s">
        <v>29425</v>
      </c>
    </row>
    <row r="2035" spans="1:30">
      <c r="A2035" t="s">
        <v>29426</v>
      </c>
      <c r="B2035">
        <v>10</v>
      </c>
      <c r="C2035">
        <v>17</v>
      </c>
      <c r="D2035">
        <v>1978</v>
      </c>
      <c r="E2035" s="1">
        <v>28780</v>
      </c>
      <c r="F2035" t="s">
        <v>29427</v>
      </c>
      <c r="G2035">
        <v>0</v>
      </c>
      <c r="H2035">
        <v>3</v>
      </c>
      <c r="I2035">
        <v>3</v>
      </c>
      <c r="J2035">
        <v>0</v>
      </c>
      <c r="L2035" t="s">
        <v>29428</v>
      </c>
      <c r="M2035" t="s">
        <v>29429</v>
      </c>
      <c r="N2035" t="s">
        <v>29430</v>
      </c>
      <c r="O2035" t="s">
        <v>29431</v>
      </c>
      <c r="P2035" t="s">
        <v>29432</v>
      </c>
      <c r="Q2035" t="s">
        <v>29433</v>
      </c>
      <c r="R2035" t="s">
        <v>29434</v>
      </c>
      <c r="S2035" t="s">
        <v>29435</v>
      </c>
      <c r="T2035" s="2">
        <v>0.42708333333333337</v>
      </c>
      <c r="U2035">
        <v>1</v>
      </c>
      <c r="V2035" t="s">
        <v>29436</v>
      </c>
      <c r="W2035" t="s">
        <v>29437</v>
      </c>
      <c r="X2035" t="s">
        <v>29438</v>
      </c>
      <c r="Y2035" t="s">
        <v>29439</v>
      </c>
      <c r="Z2035" t="s">
        <v>29439</v>
      </c>
      <c r="AA2035" t="s">
        <v>29439</v>
      </c>
      <c r="AB2035" t="s">
        <v>29439</v>
      </c>
      <c r="AC2035" t="s">
        <v>29439</v>
      </c>
    </row>
    <row r="2036" spans="1:30">
      <c r="A2036" t="s">
        <v>29440</v>
      </c>
      <c r="B2036">
        <v>6</v>
      </c>
      <c r="C2036">
        <v>10</v>
      </c>
      <c r="D2036">
        <v>1978</v>
      </c>
      <c r="E2036" s="1">
        <v>28651</v>
      </c>
      <c r="F2036" t="s">
        <v>29441</v>
      </c>
      <c r="G2036">
        <v>0</v>
      </c>
      <c r="H2036">
        <v>0</v>
      </c>
      <c r="I2036">
        <v>0</v>
      </c>
      <c r="J2036">
        <v>0</v>
      </c>
      <c r="L2036" t="s">
        <v>29442</v>
      </c>
      <c r="M2036" t="s">
        <v>29443</v>
      </c>
      <c r="N2036" t="s">
        <v>29444</v>
      </c>
      <c r="O2036" t="s">
        <v>29445</v>
      </c>
      <c r="P2036" t="s">
        <v>29446</v>
      </c>
      <c r="Q2036" t="s">
        <v>29447</v>
      </c>
      <c r="R2036" t="s">
        <v>29448</v>
      </c>
      <c r="S2036" t="s">
        <v>29449</v>
      </c>
      <c r="U2036">
        <v>1</v>
      </c>
      <c r="V2036" t="s">
        <v>29450</v>
      </c>
      <c r="W2036" t="s">
        <v>29451</v>
      </c>
      <c r="X2036" t="s">
        <v>29452</v>
      </c>
      <c r="Y2036" t="s">
        <v>29453</v>
      </c>
      <c r="Z2036" t="s">
        <v>29453</v>
      </c>
      <c r="AA2036" t="s">
        <v>29453</v>
      </c>
      <c r="AB2036" t="s">
        <v>29453</v>
      </c>
      <c r="AC2036" t="s">
        <v>29453</v>
      </c>
    </row>
    <row r="2037" spans="1:30">
      <c r="A2037" t="s">
        <v>29454</v>
      </c>
      <c r="B2037">
        <v>6</v>
      </c>
      <c r="C2037">
        <v>7</v>
      </c>
      <c r="D2037">
        <v>1978</v>
      </c>
      <c r="E2037" s="1">
        <v>28648</v>
      </c>
      <c r="F2037" t="s">
        <v>29455</v>
      </c>
      <c r="G2037">
        <v>1</v>
      </c>
      <c r="H2037">
        <v>0</v>
      </c>
      <c r="I2037">
        <v>1</v>
      </c>
      <c r="J2037">
        <v>0</v>
      </c>
      <c r="L2037" t="s">
        <v>29456</v>
      </c>
      <c r="M2037" t="s">
        <v>29457</v>
      </c>
      <c r="N2037" t="s">
        <v>29458</v>
      </c>
      <c r="O2037" t="s">
        <v>29459</v>
      </c>
      <c r="P2037" t="s">
        <v>29460</v>
      </c>
      <c r="Q2037" t="s">
        <v>29460</v>
      </c>
      <c r="R2037" t="s">
        <v>29461</v>
      </c>
      <c r="S2037" t="s">
        <v>29462</v>
      </c>
      <c r="U2037">
        <v>1</v>
      </c>
      <c r="V2037" t="s">
        <v>29463</v>
      </c>
      <c r="W2037" t="s">
        <v>29464</v>
      </c>
      <c r="X2037" t="s">
        <v>29465</v>
      </c>
      <c r="Y2037" t="s">
        <v>29466</v>
      </c>
      <c r="Z2037" t="s">
        <v>29466</v>
      </c>
      <c r="AA2037" t="s">
        <v>29466</v>
      </c>
      <c r="AB2037" t="s">
        <v>29466</v>
      </c>
      <c r="AC2037" t="s">
        <v>29466</v>
      </c>
    </row>
    <row r="2038" spans="1:30">
      <c r="A2038" t="s">
        <v>29467</v>
      </c>
      <c r="B2038">
        <v>5</v>
      </c>
      <c r="C2038">
        <v>19</v>
      </c>
      <c r="D2038">
        <v>1978</v>
      </c>
      <c r="E2038" s="1">
        <v>28629</v>
      </c>
      <c r="F2038" t="s">
        <v>29468</v>
      </c>
      <c r="G2038">
        <v>0</v>
      </c>
      <c r="H2038">
        <v>8</v>
      </c>
      <c r="I2038">
        <v>8</v>
      </c>
      <c r="J2038">
        <v>0</v>
      </c>
      <c r="L2038" t="s">
        <v>29469</v>
      </c>
      <c r="M2038" t="s">
        <v>29470</v>
      </c>
      <c r="N2038" t="s">
        <v>29471</v>
      </c>
      <c r="O2038" t="s">
        <v>29472</v>
      </c>
      <c r="P2038" t="s">
        <v>29473</v>
      </c>
      <c r="Q2038" t="s">
        <v>29473</v>
      </c>
      <c r="R2038" t="s">
        <v>29474</v>
      </c>
      <c r="S2038" t="s">
        <v>29475</v>
      </c>
      <c r="U2038">
        <v>1</v>
      </c>
      <c r="V2038" t="s">
        <v>29476</v>
      </c>
      <c r="W2038" t="s">
        <v>29477</v>
      </c>
      <c r="Y2038" t="s">
        <v>29478</v>
      </c>
      <c r="Z2038" t="s">
        <v>29478</v>
      </c>
      <c r="AA2038" t="s">
        <v>29478</v>
      </c>
      <c r="AD2038" t="s">
        <v>29479</v>
      </c>
    </row>
    <row r="2039" spans="1:30">
      <c r="A2039" t="s">
        <v>29480</v>
      </c>
      <c r="B2039">
        <v>5</v>
      </c>
      <c r="C2039">
        <v>18</v>
      </c>
      <c r="D2039">
        <v>1978</v>
      </c>
      <c r="E2039" s="1">
        <v>28628</v>
      </c>
      <c r="F2039" t="s">
        <v>29481</v>
      </c>
      <c r="G2039">
        <v>1</v>
      </c>
      <c r="H2039">
        <v>0</v>
      </c>
      <c r="I2039">
        <v>1</v>
      </c>
      <c r="J2039">
        <v>0</v>
      </c>
      <c r="K2039" t="s">
        <v>29482</v>
      </c>
      <c r="L2039" t="s">
        <v>29483</v>
      </c>
      <c r="M2039" t="s">
        <v>29484</v>
      </c>
      <c r="N2039" t="s">
        <v>29485</v>
      </c>
      <c r="O2039" t="s">
        <v>29486</v>
      </c>
      <c r="P2039" t="s">
        <v>29487</v>
      </c>
      <c r="Q2039" t="s">
        <v>29488</v>
      </c>
      <c r="R2039" t="s">
        <v>29489</v>
      </c>
      <c r="S2039" t="s">
        <v>29490</v>
      </c>
      <c r="T2039" s="2">
        <v>0.375</v>
      </c>
      <c r="U2039">
        <v>1</v>
      </c>
      <c r="V2039" t="s">
        <v>29491</v>
      </c>
      <c r="W2039" t="s">
        <v>29492</v>
      </c>
      <c r="X2039" t="s">
        <v>29493</v>
      </c>
      <c r="Y2039" t="s">
        <v>29494</v>
      </c>
      <c r="Z2039" t="s">
        <v>29494</v>
      </c>
      <c r="AA2039" t="s">
        <v>29494</v>
      </c>
      <c r="AB2039" t="s">
        <v>29494</v>
      </c>
      <c r="AC2039" t="s">
        <v>29494</v>
      </c>
      <c r="AD2039" t="s">
        <v>29494</v>
      </c>
    </row>
    <row r="2040" spans="1:30">
      <c r="A2040" t="s">
        <v>29495</v>
      </c>
      <c r="B2040">
        <v>4</v>
      </c>
      <c r="C2040">
        <v>28</v>
      </c>
      <c r="D2040">
        <v>1978</v>
      </c>
      <c r="E2040" s="1">
        <v>28608</v>
      </c>
      <c r="F2040" t="s">
        <v>29496</v>
      </c>
      <c r="G2040">
        <v>2</v>
      </c>
      <c r="H2040">
        <v>2</v>
      </c>
      <c r="I2040">
        <v>4</v>
      </c>
      <c r="J2040">
        <v>0</v>
      </c>
      <c r="L2040" t="s">
        <v>29497</v>
      </c>
      <c r="M2040" t="s">
        <v>29498</v>
      </c>
      <c r="N2040" t="s">
        <v>29499</v>
      </c>
      <c r="O2040" t="s">
        <v>29500</v>
      </c>
      <c r="P2040" t="s">
        <v>29501</v>
      </c>
      <c r="Q2040" t="s">
        <v>29502</v>
      </c>
      <c r="R2040" t="s">
        <v>29503</v>
      </c>
      <c r="S2040" t="s">
        <v>29504</v>
      </c>
      <c r="T2040" s="2">
        <v>0.9375</v>
      </c>
      <c r="U2040">
        <v>1</v>
      </c>
      <c r="V2040" t="s">
        <v>29505</v>
      </c>
      <c r="W2040" t="s">
        <v>29506</v>
      </c>
      <c r="Y2040" t="s">
        <v>29507</v>
      </c>
      <c r="Z2040" t="s">
        <v>29507</v>
      </c>
      <c r="AA2040" t="s">
        <v>29507</v>
      </c>
      <c r="AC2040" t="s">
        <v>29507</v>
      </c>
      <c r="AD2040" t="s">
        <v>29508</v>
      </c>
    </row>
    <row r="2041" spans="1:30">
      <c r="A2041" t="s">
        <v>29509</v>
      </c>
      <c r="B2041">
        <v>4</v>
      </c>
      <c r="C2041">
        <v>26</v>
      </c>
      <c r="D2041">
        <v>1978</v>
      </c>
      <c r="E2041" s="1">
        <v>28606</v>
      </c>
      <c r="F2041" t="s">
        <v>29510</v>
      </c>
      <c r="G2041">
        <v>1</v>
      </c>
      <c r="H2041">
        <v>0</v>
      </c>
      <c r="I2041">
        <v>1</v>
      </c>
      <c r="J2041">
        <v>0</v>
      </c>
      <c r="L2041" t="s">
        <v>29511</v>
      </c>
      <c r="M2041" t="s">
        <v>29512</v>
      </c>
      <c r="N2041" t="s">
        <v>29513</v>
      </c>
      <c r="O2041" t="s">
        <v>29514</v>
      </c>
      <c r="P2041" t="s">
        <v>29515</v>
      </c>
      <c r="Q2041" t="s">
        <v>29516</v>
      </c>
      <c r="R2041" t="s">
        <v>29517</v>
      </c>
      <c r="S2041" t="s">
        <v>29518</v>
      </c>
      <c r="U2041">
        <v>1</v>
      </c>
      <c r="V2041" t="s">
        <v>29519</v>
      </c>
      <c r="W2041" t="s">
        <v>29520</v>
      </c>
      <c r="X2041" t="s">
        <v>29521</v>
      </c>
      <c r="Y2041" t="s">
        <v>29522</v>
      </c>
      <c r="Z2041" t="s">
        <v>29522</v>
      </c>
      <c r="AA2041" t="s">
        <v>29522</v>
      </c>
      <c r="AB2041" t="s">
        <v>29522</v>
      </c>
      <c r="AC2041" t="s">
        <v>29522</v>
      </c>
    </row>
    <row r="2042" spans="1:30">
      <c r="A2042" t="s">
        <v>29523</v>
      </c>
      <c r="B2042">
        <v>4</v>
      </c>
      <c r="C2042">
        <v>14</v>
      </c>
      <c r="D2042">
        <v>1978</v>
      </c>
      <c r="E2042" s="1">
        <v>28594</v>
      </c>
      <c r="F2042" t="s">
        <v>29524</v>
      </c>
      <c r="G2042">
        <v>0</v>
      </c>
      <c r="H2042">
        <v>1</v>
      </c>
      <c r="I2042">
        <v>1</v>
      </c>
      <c r="J2042">
        <v>0</v>
      </c>
      <c r="L2042" t="s">
        <v>29525</v>
      </c>
      <c r="M2042" t="s">
        <v>29526</v>
      </c>
      <c r="N2042" t="s">
        <v>29527</v>
      </c>
      <c r="O2042" t="s">
        <v>29528</v>
      </c>
      <c r="P2042" t="s">
        <v>29529</v>
      </c>
      <c r="Q2042" t="s">
        <v>29530</v>
      </c>
      <c r="R2042" t="s">
        <v>29531</v>
      </c>
      <c r="S2042" t="s">
        <v>29532</v>
      </c>
      <c r="T2042" s="2">
        <v>0.5625</v>
      </c>
      <c r="U2042">
        <v>1</v>
      </c>
      <c r="V2042" t="s">
        <v>29533</v>
      </c>
      <c r="W2042" t="s">
        <v>29534</v>
      </c>
      <c r="X2042" t="s">
        <v>29535</v>
      </c>
      <c r="Y2042" t="s">
        <v>29536</v>
      </c>
      <c r="Z2042" t="s">
        <v>29536</v>
      </c>
      <c r="AA2042" t="s">
        <v>29536</v>
      </c>
    </row>
    <row r="2043" spans="1:30">
      <c r="A2043" t="s">
        <v>29537</v>
      </c>
      <c r="B2043">
        <v>3</v>
      </c>
      <c r="C2043">
        <v>29</v>
      </c>
      <c r="D2043">
        <v>1978</v>
      </c>
      <c r="E2043" s="1">
        <v>28578</v>
      </c>
      <c r="F2043" t="s">
        <v>29538</v>
      </c>
      <c r="G2043">
        <v>0</v>
      </c>
      <c r="H2043">
        <v>1</v>
      </c>
      <c r="I2043">
        <v>1</v>
      </c>
      <c r="J2043">
        <v>0</v>
      </c>
      <c r="L2043" t="s">
        <v>29539</v>
      </c>
      <c r="M2043" t="s">
        <v>29540</v>
      </c>
      <c r="N2043" t="s">
        <v>29541</v>
      </c>
      <c r="O2043" t="s">
        <v>29542</v>
      </c>
      <c r="P2043" t="s">
        <v>29543</v>
      </c>
      <c r="Q2043" t="s">
        <v>29544</v>
      </c>
      <c r="R2043" t="s">
        <v>29545</v>
      </c>
      <c r="S2043" t="s">
        <v>29546</v>
      </c>
      <c r="U2043">
        <v>1</v>
      </c>
      <c r="V2043" t="s">
        <v>29547</v>
      </c>
      <c r="W2043" t="s">
        <v>29548</v>
      </c>
      <c r="X2043" t="s">
        <v>29549</v>
      </c>
      <c r="Z2043" t="s">
        <v>29550</v>
      </c>
      <c r="AA2043" t="s">
        <v>29550</v>
      </c>
      <c r="AB2043" t="s">
        <v>29550</v>
      </c>
      <c r="AC2043" t="s">
        <v>29550</v>
      </c>
    </row>
    <row r="2044" spans="1:30">
      <c r="A2044" t="s">
        <v>29551</v>
      </c>
      <c r="B2044">
        <v>3</v>
      </c>
      <c r="C2044">
        <v>9</v>
      </c>
      <c r="D2044">
        <v>1978</v>
      </c>
      <c r="E2044" s="1">
        <v>28558</v>
      </c>
      <c r="F2044" t="s">
        <v>29552</v>
      </c>
      <c r="G2044">
        <v>0</v>
      </c>
      <c r="H2044">
        <v>1</v>
      </c>
      <c r="I2044">
        <v>1</v>
      </c>
      <c r="J2044">
        <v>0</v>
      </c>
      <c r="L2044" t="s">
        <v>29553</v>
      </c>
      <c r="M2044" t="s">
        <v>29554</v>
      </c>
      <c r="N2044" t="s">
        <v>29555</v>
      </c>
      <c r="O2044" t="s">
        <v>29556</v>
      </c>
      <c r="P2044" t="s">
        <v>29557</v>
      </c>
      <c r="Q2044" t="s">
        <v>29558</v>
      </c>
      <c r="R2044" t="s">
        <v>29559</v>
      </c>
      <c r="S2044" t="s">
        <v>29560</v>
      </c>
      <c r="U2044">
        <v>1</v>
      </c>
      <c r="V2044" t="s">
        <v>29561</v>
      </c>
      <c r="W2044" t="s">
        <v>29562</v>
      </c>
      <c r="X2044" t="s">
        <v>29563</v>
      </c>
      <c r="Z2044" t="s">
        <v>29564</v>
      </c>
      <c r="AA2044" t="s">
        <v>29564</v>
      </c>
      <c r="AB2044" t="s">
        <v>29564</v>
      </c>
      <c r="AC2044" t="s">
        <v>29564</v>
      </c>
    </row>
    <row r="2045" spans="1:30">
      <c r="A2045" t="s">
        <v>29565</v>
      </c>
      <c r="B2045">
        <v>2</v>
      </c>
      <c r="C2045">
        <v>22</v>
      </c>
      <c r="D2045">
        <v>1978</v>
      </c>
      <c r="E2045" s="1">
        <v>28543</v>
      </c>
      <c r="F2045" t="s">
        <v>29566</v>
      </c>
      <c r="G2045">
        <v>1</v>
      </c>
      <c r="H2045">
        <v>1</v>
      </c>
      <c r="I2045">
        <v>2</v>
      </c>
      <c r="J2045">
        <v>0</v>
      </c>
      <c r="L2045" t="s">
        <v>29567</v>
      </c>
      <c r="M2045" t="s">
        <v>29568</v>
      </c>
      <c r="N2045" t="s">
        <v>29569</v>
      </c>
      <c r="O2045" t="s">
        <v>29570</v>
      </c>
      <c r="P2045" t="s">
        <v>29571</v>
      </c>
      <c r="Q2045" t="s">
        <v>29572</v>
      </c>
      <c r="R2045" t="s">
        <v>29573</v>
      </c>
      <c r="S2045" t="s">
        <v>29574</v>
      </c>
      <c r="T2045" s="2">
        <v>0.625</v>
      </c>
      <c r="U2045">
        <v>1</v>
      </c>
      <c r="V2045" t="s">
        <v>29575</v>
      </c>
      <c r="W2045" t="s">
        <v>29576</v>
      </c>
      <c r="X2045" t="s">
        <v>29577</v>
      </c>
      <c r="Y2045" t="s">
        <v>29578</v>
      </c>
      <c r="Z2045" t="s">
        <v>29578</v>
      </c>
      <c r="AA2045" t="s">
        <v>29578</v>
      </c>
      <c r="AB2045" t="s">
        <v>29579</v>
      </c>
      <c r="AC2045" t="s">
        <v>29580</v>
      </c>
      <c r="AD2045" t="s">
        <v>29581</v>
      </c>
    </row>
    <row r="2046" spans="1:30">
      <c r="A2046" t="s">
        <v>29582</v>
      </c>
      <c r="B2046">
        <v>2</v>
      </c>
      <c r="C2046">
        <v>9</v>
      </c>
      <c r="D2046">
        <v>1978</v>
      </c>
      <c r="E2046" s="1">
        <v>28530</v>
      </c>
      <c r="F2046" t="s">
        <v>29583</v>
      </c>
      <c r="G2046">
        <v>1</v>
      </c>
      <c r="H2046">
        <v>0</v>
      </c>
      <c r="I2046">
        <v>1</v>
      </c>
      <c r="J2046">
        <v>0</v>
      </c>
      <c r="L2046" t="s">
        <v>29584</v>
      </c>
      <c r="M2046" t="s">
        <v>29585</v>
      </c>
      <c r="N2046" t="s">
        <v>29586</v>
      </c>
      <c r="O2046" t="s">
        <v>29587</v>
      </c>
      <c r="P2046" t="s">
        <v>29588</v>
      </c>
      <c r="Q2046" t="s">
        <v>29589</v>
      </c>
      <c r="R2046" t="s">
        <v>29590</v>
      </c>
      <c r="S2046" t="s">
        <v>29591</v>
      </c>
      <c r="T2046" s="2">
        <v>0.33333333333333331</v>
      </c>
      <c r="U2046">
        <v>1</v>
      </c>
      <c r="V2046" t="s">
        <v>29592</v>
      </c>
      <c r="W2046" t="s">
        <v>29593</v>
      </c>
      <c r="X2046" t="s">
        <v>29594</v>
      </c>
      <c r="Y2046" t="s">
        <v>29595</v>
      </c>
      <c r="Z2046" t="s">
        <v>29595</v>
      </c>
      <c r="AA2046" t="s">
        <v>29595</v>
      </c>
      <c r="AB2046" t="s">
        <v>29596</v>
      </c>
      <c r="AC2046" t="s">
        <v>29597</v>
      </c>
    </row>
    <row r="2047" spans="1:30">
      <c r="A2047" t="s">
        <v>29598</v>
      </c>
      <c r="B2047">
        <v>1</v>
      </c>
      <c r="C2047">
        <v>11</v>
      </c>
      <c r="D2047">
        <v>1978</v>
      </c>
      <c r="E2047" s="1">
        <v>28501</v>
      </c>
      <c r="F2047" t="s">
        <v>29599</v>
      </c>
      <c r="G2047">
        <v>0</v>
      </c>
      <c r="H2047">
        <v>1</v>
      </c>
      <c r="I2047">
        <v>1</v>
      </c>
      <c r="J2047">
        <v>0</v>
      </c>
      <c r="L2047" t="s">
        <v>29600</v>
      </c>
      <c r="M2047" t="s">
        <v>29601</v>
      </c>
      <c r="N2047" t="s">
        <v>29602</v>
      </c>
      <c r="O2047" t="s">
        <v>29603</v>
      </c>
      <c r="P2047" t="s">
        <v>29604</v>
      </c>
      <c r="Q2047" t="s">
        <v>29605</v>
      </c>
      <c r="R2047" t="s">
        <v>29606</v>
      </c>
      <c r="S2047" t="s">
        <v>29607</v>
      </c>
      <c r="T2047" s="2">
        <v>0.34027777777777773</v>
      </c>
      <c r="U2047">
        <v>1</v>
      </c>
      <c r="V2047" t="s">
        <v>29608</v>
      </c>
      <c r="W2047" t="s">
        <v>29609</v>
      </c>
      <c r="X2047" t="s">
        <v>29610</v>
      </c>
      <c r="Y2047" t="s">
        <v>29611</v>
      </c>
      <c r="Z2047" t="s">
        <v>29611</v>
      </c>
      <c r="AA2047" t="s">
        <v>29611</v>
      </c>
      <c r="AC2047" t="s">
        <v>29611</v>
      </c>
    </row>
    <row r="2048" spans="1:30">
      <c r="A2048" t="s">
        <v>29612</v>
      </c>
      <c r="B2048">
        <v>12</v>
      </c>
      <c r="C2048">
        <v>15</v>
      </c>
      <c r="D2048">
        <v>1977</v>
      </c>
      <c r="E2048" s="1">
        <v>28474</v>
      </c>
      <c r="F2048" t="s">
        <v>29613</v>
      </c>
      <c r="G2048">
        <v>0</v>
      </c>
      <c r="H2048">
        <v>2</v>
      </c>
      <c r="I2048">
        <v>2</v>
      </c>
      <c r="J2048">
        <v>0</v>
      </c>
      <c r="L2048" t="s">
        <v>29614</v>
      </c>
      <c r="M2048" t="s">
        <v>29615</v>
      </c>
      <c r="N2048" t="s">
        <v>29616</v>
      </c>
      <c r="O2048" t="s">
        <v>29617</v>
      </c>
      <c r="P2048" t="s">
        <v>29618</v>
      </c>
      <c r="Q2048" t="s">
        <v>29619</v>
      </c>
      <c r="R2048" t="s">
        <v>29620</v>
      </c>
      <c r="U2048">
        <v>1</v>
      </c>
      <c r="V2048" t="s">
        <v>29621</v>
      </c>
      <c r="W2048" t="s">
        <v>29622</v>
      </c>
      <c r="Y2048" t="s">
        <v>29623</v>
      </c>
      <c r="Z2048" t="s">
        <v>29623</v>
      </c>
      <c r="AA2048" t="s">
        <v>29623</v>
      </c>
      <c r="AC2048" t="s">
        <v>29623</v>
      </c>
      <c r="AD2048" t="s">
        <v>29624</v>
      </c>
    </row>
    <row r="2049" spans="1:30">
      <c r="A2049" t="s">
        <v>29625</v>
      </c>
      <c r="B2049">
        <v>12</v>
      </c>
      <c r="C2049">
        <v>12</v>
      </c>
      <c r="D2049">
        <v>1977</v>
      </c>
      <c r="E2049" s="1">
        <v>28471</v>
      </c>
      <c r="F2049" t="s">
        <v>29626</v>
      </c>
      <c r="G2049">
        <v>1</v>
      </c>
      <c r="H2049">
        <v>0</v>
      </c>
      <c r="I2049">
        <v>1</v>
      </c>
      <c r="J2049">
        <v>0</v>
      </c>
      <c r="L2049" t="s">
        <v>29627</v>
      </c>
      <c r="M2049" t="s">
        <v>29628</v>
      </c>
      <c r="N2049" t="s">
        <v>29629</v>
      </c>
      <c r="O2049" t="s">
        <v>29630</v>
      </c>
      <c r="P2049" t="s">
        <v>29631</v>
      </c>
      <c r="Q2049" t="s">
        <v>29632</v>
      </c>
      <c r="R2049" t="s">
        <v>29633</v>
      </c>
      <c r="S2049" t="s">
        <v>29634</v>
      </c>
      <c r="T2049" s="2">
        <v>0.66666666666666663</v>
      </c>
      <c r="U2049">
        <v>1</v>
      </c>
      <c r="V2049" t="s">
        <v>29635</v>
      </c>
      <c r="W2049" t="s">
        <v>29636</v>
      </c>
      <c r="X2049" t="s">
        <v>29637</v>
      </c>
      <c r="Y2049" t="s">
        <v>29638</v>
      </c>
      <c r="Z2049" t="s">
        <v>29638</v>
      </c>
      <c r="AA2049" t="s">
        <v>29638</v>
      </c>
      <c r="AB2049" t="s">
        <v>29638</v>
      </c>
      <c r="AC2049" t="s">
        <v>29638</v>
      </c>
    </row>
    <row r="2050" spans="1:30">
      <c r="A2050" t="s">
        <v>29639</v>
      </c>
      <c r="B2050">
        <v>12</v>
      </c>
      <c r="C2050">
        <v>9</v>
      </c>
      <c r="D2050">
        <v>1977</v>
      </c>
      <c r="E2050" s="1">
        <v>28468</v>
      </c>
      <c r="F2050" t="s">
        <v>29640</v>
      </c>
      <c r="G2050">
        <v>0</v>
      </c>
      <c r="H2050">
        <v>0</v>
      </c>
      <c r="I2050">
        <v>0</v>
      </c>
      <c r="J2050">
        <v>0</v>
      </c>
      <c r="L2050" t="s">
        <v>29641</v>
      </c>
      <c r="M2050" t="s">
        <v>29642</v>
      </c>
      <c r="N2050" t="s">
        <v>29643</v>
      </c>
      <c r="O2050" t="s">
        <v>29644</v>
      </c>
      <c r="P2050" t="s">
        <v>29645</v>
      </c>
      <c r="Q2050" t="s">
        <v>29646</v>
      </c>
      <c r="R2050" t="s">
        <v>29647</v>
      </c>
      <c r="U2050">
        <v>1</v>
      </c>
      <c r="V2050" t="s">
        <v>29648</v>
      </c>
      <c r="W2050" t="s">
        <v>29649</v>
      </c>
      <c r="X2050" t="s">
        <v>29650</v>
      </c>
      <c r="Y2050" t="s">
        <v>29651</v>
      </c>
      <c r="Z2050" t="s">
        <v>29651</v>
      </c>
      <c r="AA2050" t="s">
        <v>29651</v>
      </c>
      <c r="AB2050" t="s">
        <v>29651</v>
      </c>
      <c r="AC2050" t="s">
        <v>29652</v>
      </c>
    </row>
    <row r="2051" spans="1:30">
      <c r="A2051" t="s">
        <v>29653</v>
      </c>
      <c r="B2051">
        <v>11</v>
      </c>
      <c r="C2051">
        <v>29</v>
      </c>
      <c r="D2051">
        <v>1977</v>
      </c>
      <c r="E2051" s="1">
        <v>28458</v>
      </c>
      <c r="F2051" t="s">
        <v>29654</v>
      </c>
      <c r="G2051">
        <v>0</v>
      </c>
      <c r="H2051">
        <v>0</v>
      </c>
      <c r="I2051">
        <v>0</v>
      </c>
      <c r="J2051">
        <v>0</v>
      </c>
      <c r="L2051" t="s">
        <v>29655</v>
      </c>
      <c r="M2051" t="s">
        <v>29656</v>
      </c>
      <c r="N2051" t="s">
        <v>29657</v>
      </c>
      <c r="O2051" t="s">
        <v>29658</v>
      </c>
      <c r="P2051" t="s">
        <v>29659</v>
      </c>
      <c r="Q2051" t="s">
        <v>29659</v>
      </c>
      <c r="R2051" t="s">
        <v>29660</v>
      </c>
      <c r="S2051" t="s">
        <v>29661</v>
      </c>
      <c r="T2051" s="2">
        <v>0.79513888888888884</v>
      </c>
      <c r="U2051">
        <v>10</v>
      </c>
      <c r="V2051" t="s">
        <v>29662</v>
      </c>
      <c r="W2051" t="s">
        <v>29663</v>
      </c>
      <c r="X2051" t="s">
        <v>29664</v>
      </c>
      <c r="Y2051" t="s">
        <v>29665</v>
      </c>
      <c r="Z2051" t="s">
        <v>29665</v>
      </c>
      <c r="AA2051" t="s">
        <v>29665</v>
      </c>
      <c r="AD2051" t="s">
        <v>29666</v>
      </c>
    </row>
    <row r="2052" spans="1:30">
      <c r="A2052" t="s">
        <v>29667</v>
      </c>
      <c r="B2052">
        <v>11</v>
      </c>
      <c r="C2052">
        <v>29</v>
      </c>
      <c r="D2052">
        <v>1977</v>
      </c>
      <c r="E2052" s="1">
        <v>28458</v>
      </c>
      <c r="F2052" t="s">
        <v>29668</v>
      </c>
      <c r="G2052">
        <v>0</v>
      </c>
      <c r="H2052">
        <v>1</v>
      </c>
      <c r="I2052">
        <v>1</v>
      </c>
      <c r="J2052">
        <v>0</v>
      </c>
      <c r="L2052" t="s">
        <v>29669</v>
      </c>
      <c r="M2052" t="s">
        <v>29670</v>
      </c>
      <c r="N2052" t="s">
        <v>29671</v>
      </c>
      <c r="O2052" t="s">
        <v>29672</v>
      </c>
      <c r="P2052" t="s">
        <v>29673</v>
      </c>
      <c r="Q2052" t="s">
        <v>29674</v>
      </c>
      <c r="R2052" t="s">
        <v>29675</v>
      </c>
      <c r="V2052" t="s">
        <v>29676</v>
      </c>
      <c r="W2052" t="s">
        <v>29677</v>
      </c>
      <c r="X2052" t="s">
        <v>29678</v>
      </c>
      <c r="Y2052" t="s">
        <v>29679</v>
      </c>
      <c r="Z2052" t="s">
        <v>29679</v>
      </c>
      <c r="AA2052" t="s">
        <v>29679</v>
      </c>
    </row>
    <row r="2053" spans="1:30">
      <c r="A2053" t="s">
        <v>29680</v>
      </c>
      <c r="B2053">
        <v>7</v>
      </c>
      <c r="C2053">
        <v>11</v>
      </c>
      <c r="D2053">
        <v>1977</v>
      </c>
      <c r="E2053" s="1">
        <v>28317</v>
      </c>
      <c r="F2053" t="s">
        <v>29681</v>
      </c>
      <c r="G2053">
        <v>0</v>
      </c>
      <c r="H2053">
        <v>1</v>
      </c>
      <c r="I2053">
        <v>1</v>
      </c>
      <c r="J2053">
        <v>0</v>
      </c>
      <c r="L2053" t="s">
        <v>29682</v>
      </c>
      <c r="M2053" t="s">
        <v>29683</v>
      </c>
      <c r="N2053" t="s">
        <v>29684</v>
      </c>
      <c r="O2053" t="s">
        <v>29685</v>
      </c>
      <c r="P2053" t="s">
        <v>29686</v>
      </c>
      <c r="Q2053" t="s">
        <v>29687</v>
      </c>
      <c r="R2053" t="s">
        <v>29688</v>
      </c>
      <c r="S2053" t="s">
        <v>29689</v>
      </c>
      <c r="V2053" t="s">
        <v>29690</v>
      </c>
      <c r="W2053" t="s">
        <v>29691</v>
      </c>
      <c r="Y2053" t="s">
        <v>29692</v>
      </c>
      <c r="Z2053" t="s">
        <v>29692</v>
      </c>
      <c r="AA2053" t="s">
        <v>29692</v>
      </c>
      <c r="AB2053" t="s">
        <v>29692</v>
      </c>
      <c r="AC2053" t="s">
        <v>29692</v>
      </c>
    </row>
    <row r="2054" spans="1:30">
      <c r="A2054" t="s">
        <v>29693</v>
      </c>
      <c r="B2054">
        <v>6</v>
      </c>
      <c r="C2054">
        <v>22</v>
      </c>
      <c r="D2054">
        <v>1977</v>
      </c>
      <c r="E2054" s="1">
        <v>28298</v>
      </c>
      <c r="F2054" t="s">
        <v>29694</v>
      </c>
      <c r="G2054">
        <v>0</v>
      </c>
      <c r="H2054">
        <v>2</v>
      </c>
      <c r="I2054">
        <v>2</v>
      </c>
      <c r="J2054">
        <v>0</v>
      </c>
      <c r="L2054" t="s">
        <v>29695</v>
      </c>
      <c r="M2054" t="s">
        <v>29696</v>
      </c>
      <c r="N2054" t="s">
        <v>29697</v>
      </c>
      <c r="O2054" t="s">
        <v>29698</v>
      </c>
      <c r="P2054" t="s">
        <v>29699</v>
      </c>
      <c r="Q2054" t="s">
        <v>29700</v>
      </c>
      <c r="R2054" t="s">
        <v>29701</v>
      </c>
      <c r="V2054" t="s">
        <v>29702</v>
      </c>
      <c r="W2054" t="s">
        <v>29703</v>
      </c>
      <c r="X2054" t="s">
        <v>29704</v>
      </c>
      <c r="Y2054" t="s">
        <v>29705</v>
      </c>
      <c r="Z2054" t="s">
        <v>29705</v>
      </c>
      <c r="AA2054" t="s">
        <v>29705</v>
      </c>
      <c r="AB2054" t="s">
        <v>29705</v>
      </c>
      <c r="AC2054" t="s">
        <v>29705</v>
      </c>
    </row>
    <row r="2055" spans="1:30">
      <c r="A2055" t="s">
        <v>29706</v>
      </c>
      <c r="B2055">
        <v>5</v>
      </c>
      <c r="C2055">
        <v>17</v>
      </c>
      <c r="D2055">
        <v>1977</v>
      </c>
      <c r="E2055" s="1">
        <v>28262</v>
      </c>
      <c r="F2055" t="s">
        <v>29707</v>
      </c>
      <c r="G2055">
        <v>0</v>
      </c>
      <c r="H2055">
        <v>0</v>
      </c>
      <c r="I2055">
        <v>0</v>
      </c>
      <c r="J2055">
        <v>0</v>
      </c>
      <c r="L2055" t="s">
        <v>29708</v>
      </c>
      <c r="M2055" t="s">
        <v>29709</v>
      </c>
      <c r="N2055" t="s">
        <v>29710</v>
      </c>
      <c r="O2055" t="s">
        <v>29711</v>
      </c>
      <c r="P2055" t="s">
        <v>29712</v>
      </c>
      <c r="Q2055" t="s">
        <v>29713</v>
      </c>
      <c r="R2055" t="s">
        <v>29714</v>
      </c>
      <c r="S2055" t="s">
        <v>29715</v>
      </c>
      <c r="T2055" s="2">
        <v>0.84375</v>
      </c>
      <c r="V2055" t="s">
        <v>29716</v>
      </c>
      <c r="W2055" t="s">
        <v>29717</v>
      </c>
      <c r="Y2055" t="s">
        <v>29718</v>
      </c>
      <c r="Z2055" t="s">
        <v>29718</v>
      </c>
      <c r="AA2055" t="s">
        <v>29718</v>
      </c>
    </row>
    <row r="2056" spans="1:30">
      <c r="A2056" t="s">
        <v>29719</v>
      </c>
      <c r="B2056">
        <v>4</v>
      </c>
      <c r="C2056">
        <v>18</v>
      </c>
      <c r="D2056">
        <v>1977</v>
      </c>
      <c r="E2056" s="1">
        <v>28233</v>
      </c>
      <c r="F2056" t="s">
        <v>29720</v>
      </c>
      <c r="G2056">
        <v>1</v>
      </c>
      <c r="H2056">
        <v>0</v>
      </c>
      <c r="I2056">
        <v>1</v>
      </c>
      <c r="J2056">
        <v>0</v>
      </c>
      <c r="L2056" t="s">
        <v>29721</v>
      </c>
      <c r="M2056" t="s">
        <v>29722</v>
      </c>
      <c r="N2056" t="s">
        <v>29723</v>
      </c>
      <c r="O2056" t="s">
        <v>29724</v>
      </c>
      <c r="P2056" t="s">
        <v>29725</v>
      </c>
      <c r="Q2056" t="s">
        <v>29726</v>
      </c>
      <c r="R2056" t="s">
        <v>29727</v>
      </c>
      <c r="S2056" t="s">
        <v>29728</v>
      </c>
      <c r="T2056" s="2">
        <v>0.375</v>
      </c>
      <c r="U2056">
        <v>1</v>
      </c>
      <c r="V2056" t="s">
        <v>29729</v>
      </c>
      <c r="W2056" t="s">
        <v>29730</v>
      </c>
      <c r="X2056" t="s">
        <v>29731</v>
      </c>
      <c r="Y2056" t="s">
        <v>29732</v>
      </c>
      <c r="Z2056" t="s">
        <v>29732</v>
      </c>
      <c r="AA2056" t="s">
        <v>29732</v>
      </c>
      <c r="AB2056" t="s">
        <v>29732</v>
      </c>
      <c r="AC2056" t="s">
        <v>29733</v>
      </c>
    </row>
    <row r="2057" spans="1:30">
      <c r="A2057" t="s">
        <v>29734</v>
      </c>
      <c r="B2057">
        <v>4</v>
      </c>
      <c r="C2057">
        <v>7</v>
      </c>
      <c r="D2057">
        <v>1977</v>
      </c>
      <c r="E2057" s="1">
        <v>28222</v>
      </c>
      <c r="F2057" t="s">
        <v>29735</v>
      </c>
      <c r="G2057">
        <v>1</v>
      </c>
      <c r="H2057">
        <v>0</v>
      </c>
      <c r="I2057">
        <v>1</v>
      </c>
      <c r="J2057">
        <v>0</v>
      </c>
      <c r="L2057" t="s">
        <v>29736</v>
      </c>
      <c r="M2057" t="s">
        <v>29737</v>
      </c>
      <c r="N2057" t="s">
        <v>29738</v>
      </c>
      <c r="O2057" t="s">
        <v>29739</v>
      </c>
      <c r="P2057" t="s">
        <v>29740</v>
      </c>
      <c r="Q2057" t="s">
        <v>29741</v>
      </c>
      <c r="R2057" t="s">
        <v>29742</v>
      </c>
      <c r="S2057" t="s">
        <v>29743</v>
      </c>
      <c r="T2057" s="2">
        <v>0.375</v>
      </c>
      <c r="U2057">
        <v>1</v>
      </c>
      <c r="V2057" t="s">
        <v>29744</v>
      </c>
      <c r="W2057" t="s">
        <v>29745</v>
      </c>
      <c r="X2057" t="s">
        <v>29746</v>
      </c>
      <c r="Y2057" t="s">
        <v>29747</v>
      </c>
      <c r="Z2057" t="s">
        <v>29747</v>
      </c>
      <c r="AA2057" t="s">
        <v>29747</v>
      </c>
      <c r="AB2057" t="s">
        <v>29747</v>
      </c>
      <c r="AC2057" t="s">
        <v>29747</v>
      </c>
    </row>
    <row r="2058" spans="1:30">
      <c r="A2058" t="s">
        <v>29748</v>
      </c>
      <c r="B2058">
        <v>3</v>
      </c>
      <c r="C2058">
        <v>21</v>
      </c>
      <c r="D2058">
        <v>1977</v>
      </c>
      <c r="E2058" s="1">
        <v>28205</v>
      </c>
      <c r="F2058" t="s">
        <v>29749</v>
      </c>
      <c r="G2058">
        <v>0</v>
      </c>
      <c r="H2058">
        <v>0</v>
      </c>
      <c r="I2058">
        <v>0</v>
      </c>
      <c r="J2058">
        <v>0</v>
      </c>
      <c r="L2058" t="s">
        <v>29750</v>
      </c>
      <c r="M2058" t="s">
        <v>29751</v>
      </c>
      <c r="N2058" t="s">
        <v>29752</v>
      </c>
      <c r="O2058" t="s">
        <v>29753</v>
      </c>
      <c r="P2058" t="s">
        <v>29754</v>
      </c>
      <c r="Q2058" t="s">
        <v>29755</v>
      </c>
      <c r="R2058" t="s">
        <v>29756</v>
      </c>
      <c r="V2058" t="s">
        <v>29757</v>
      </c>
      <c r="W2058" t="s">
        <v>29758</v>
      </c>
      <c r="X2058" t="s">
        <v>29759</v>
      </c>
      <c r="Y2058" t="s">
        <v>29760</v>
      </c>
      <c r="Z2058" t="s">
        <v>29760</v>
      </c>
      <c r="AA2058" t="s">
        <v>29760</v>
      </c>
      <c r="AB2058" t="s">
        <v>29760</v>
      </c>
      <c r="AC2058" t="s">
        <v>29760</v>
      </c>
    </row>
    <row r="2059" spans="1:30">
      <c r="A2059" t="s">
        <v>29761</v>
      </c>
      <c r="B2059">
        <v>3</v>
      </c>
      <c r="C2059">
        <v>8</v>
      </c>
      <c r="D2059">
        <v>1977</v>
      </c>
      <c r="E2059" s="1">
        <v>28192</v>
      </c>
      <c r="F2059" t="s">
        <v>29762</v>
      </c>
      <c r="G2059">
        <v>0</v>
      </c>
      <c r="H2059">
        <v>2</v>
      </c>
      <c r="I2059">
        <v>2</v>
      </c>
      <c r="J2059">
        <v>0</v>
      </c>
      <c r="L2059" t="s">
        <v>29763</v>
      </c>
      <c r="M2059" t="s">
        <v>29764</v>
      </c>
      <c r="N2059" t="s">
        <v>29765</v>
      </c>
      <c r="O2059" t="s">
        <v>29766</v>
      </c>
      <c r="P2059" t="s">
        <v>29767</v>
      </c>
      <c r="Q2059" t="s">
        <v>29768</v>
      </c>
      <c r="R2059" t="s">
        <v>29769</v>
      </c>
      <c r="S2059" t="s">
        <v>29770</v>
      </c>
      <c r="T2059" s="2">
        <v>0.52430555555555558</v>
      </c>
      <c r="U2059">
        <v>1</v>
      </c>
      <c r="V2059" t="s">
        <v>29771</v>
      </c>
      <c r="W2059" t="s">
        <v>29772</v>
      </c>
      <c r="X2059" t="s">
        <v>29773</v>
      </c>
      <c r="Y2059" t="s">
        <v>29774</v>
      </c>
      <c r="Z2059" t="s">
        <v>29774</v>
      </c>
      <c r="AA2059" t="s">
        <v>29774</v>
      </c>
      <c r="AB2059" t="s">
        <v>29774</v>
      </c>
      <c r="AC2059" t="s">
        <v>29774</v>
      </c>
    </row>
    <row r="2060" spans="1:30">
      <c r="A2060" t="s">
        <v>29775</v>
      </c>
      <c r="B2060">
        <v>2</v>
      </c>
      <c r="C2060">
        <v>28</v>
      </c>
      <c r="D2060">
        <v>1977</v>
      </c>
      <c r="E2060" s="1">
        <v>28184</v>
      </c>
      <c r="F2060" t="s">
        <v>29776</v>
      </c>
      <c r="G2060">
        <v>0</v>
      </c>
      <c r="H2060">
        <v>2</v>
      </c>
      <c r="I2060">
        <v>2</v>
      </c>
      <c r="J2060">
        <v>0</v>
      </c>
      <c r="L2060" t="s">
        <v>29777</v>
      </c>
      <c r="M2060" t="s">
        <v>29778</v>
      </c>
      <c r="N2060" t="s">
        <v>29779</v>
      </c>
      <c r="O2060" t="s">
        <v>29780</v>
      </c>
      <c r="P2060" t="s">
        <v>29781</v>
      </c>
      <c r="Q2060" t="s">
        <v>29781</v>
      </c>
      <c r="R2060" t="s">
        <v>29782</v>
      </c>
      <c r="S2060" t="s">
        <v>29783</v>
      </c>
      <c r="V2060" t="s">
        <v>29784</v>
      </c>
      <c r="W2060" t="s">
        <v>29785</v>
      </c>
      <c r="X2060" t="s">
        <v>29786</v>
      </c>
      <c r="Y2060" t="s">
        <v>29787</v>
      </c>
      <c r="Z2060" t="s">
        <v>29787</v>
      </c>
      <c r="AA2060" t="s">
        <v>29787</v>
      </c>
      <c r="AB2060" t="s">
        <v>29787</v>
      </c>
      <c r="AC2060" t="s">
        <v>29787</v>
      </c>
    </row>
    <row r="2061" spans="1:30">
      <c r="A2061" t="s">
        <v>29788</v>
      </c>
      <c r="B2061">
        <v>2</v>
      </c>
      <c r="C2061">
        <v>28</v>
      </c>
      <c r="D2061">
        <v>1977</v>
      </c>
      <c r="E2061" s="1">
        <v>28184</v>
      </c>
      <c r="F2061" t="s">
        <v>29789</v>
      </c>
      <c r="G2061">
        <v>0</v>
      </c>
      <c r="H2061">
        <v>1</v>
      </c>
      <c r="I2061">
        <v>1</v>
      </c>
      <c r="J2061">
        <v>0</v>
      </c>
      <c r="L2061" t="s">
        <v>29790</v>
      </c>
      <c r="M2061" t="s">
        <v>29791</v>
      </c>
      <c r="N2061" t="s">
        <v>29792</v>
      </c>
      <c r="O2061" t="s">
        <v>29793</v>
      </c>
      <c r="P2061" t="s">
        <v>29794</v>
      </c>
      <c r="Q2061" t="s">
        <v>29794</v>
      </c>
      <c r="R2061" t="s">
        <v>29795</v>
      </c>
      <c r="V2061" t="s">
        <v>29796</v>
      </c>
      <c r="W2061" t="s">
        <v>29797</v>
      </c>
      <c r="X2061" t="s">
        <v>29798</v>
      </c>
      <c r="Y2061" t="s">
        <v>29799</v>
      </c>
      <c r="Z2061" t="s">
        <v>29799</v>
      </c>
      <c r="AA2061" t="s">
        <v>29799</v>
      </c>
      <c r="AB2061" t="s">
        <v>29799</v>
      </c>
      <c r="AC2061" t="s">
        <v>29799</v>
      </c>
    </row>
    <row r="2062" spans="1:30">
      <c r="A2062" t="s">
        <v>29800</v>
      </c>
      <c r="B2062">
        <v>2</v>
      </c>
      <c r="C2062">
        <v>9</v>
      </c>
      <c r="D2062">
        <v>1977</v>
      </c>
      <c r="E2062" s="1">
        <v>28165</v>
      </c>
      <c r="F2062" t="s">
        <v>29801</v>
      </c>
      <c r="G2062">
        <v>1</v>
      </c>
      <c r="H2062">
        <v>3</v>
      </c>
      <c r="I2062">
        <v>4</v>
      </c>
      <c r="J2062">
        <v>0</v>
      </c>
      <c r="L2062" t="s">
        <v>29802</v>
      </c>
      <c r="M2062" t="s">
        <v>29803</v>
      </c>
      <c r="N2062" t="s">
        <v>29804</v>
      </c>
      <c r="O2062" t="s">
        <v>29805</v>
      </c>
      <c r="P2062" t="s">
        <v>29806</v>
      </c>
      <c r="Q2062" t="s">
        <v>29807</v>
      </c>
      <c r="R2062" t="s">
        <v>29808</v>
      </c>
      <c r="S2062" t="s">
        <v>29809</v>
      </c>
      <c r="U2062">
        <v>1</v>
      </c>
      <c r="V2062" t="s">
        <v>29810</v>
      </c>
      <c r="W2062" t="s">
        <v>29811</v>
      </c>
      <c r="X2062" t="s">
        <v>29812</v>
      </c>
      <c r="Y2062" t="s">
        <v>29813</v>
      </c>
      <c r="Z2062" t="s">
        <v>29813</v>
      </c>
      <c r="AA2062" t="s">
        <v>29813</v>
      </c>
      <c r="AB2062" t="s">
        <v>29813</v>
      </c>
      <c r="AC2062" t="s">
        <v>29813</v>
      </c>
    </row>
    <row r="2063" spans="1:30">
      <c r="A2063" t="s">
        <v>29814</v>
      </c>
      <c r="B2063">
        <v>1</v>
      </c>
      <c r="C2063">
        <v>13</v>
      </c>
      <c r="D2063">
        <v>1977</v>
      </c>
      <c r="E2063" s="1">
        <v>28138</v>
      </c>
      <c r="F2063" t="s">
        <v>29815</v>
      </c>
      <c r="G2063">
        <v>0</v>
      </c>
      <c r="H2063">
        <v>1</v>
      </c>
      <c r="I2063">
        <v>1</v>
      </c>
      <c r="J2063">
        <v>0</v>
      </c>
      <c r="L2063" t="s">
        <v>29816</v>
      </c>
      <c r="M2063" t="s">
        <v>29817</v>
      </c>
      <c r="N2063" t="s">
        <v>29818</v>
      </c>
      <c r="O2063" t="s">
        <v>29819</v>
      </c>
      <c r="P2063" t="s">
        <v>29820</v>
      </c>
      <c r="Q2063" t="s">
        <v>29821</v>
      </c>
      <c r="R2063" t="s">
        <v>29822</v>
      </c>
      <c r="S2063" t="s">
        <v>29823</v>
      </c>
      <c r="T2063" s="2">
        <v>0.3125</v>
      </c>
      <c r="U2063">
        <v>1</v>
      </c>
      <c r="V2063" t="s">
        <v>29824</v>
      </c>
      <c r="W2063" t="s">
        <v>29825</v>
      </c>
      <c r="X2063" t="s">
        <v>29826</v>
      </c>
      <c r="Y2063" t="s">
        <v>29827</v>
      </c>
      <c r="Z2063" t="s">
        <v>29827</v>
      </c>
      <c r="AA2063" t="s">
        <v>29827</v>
      </c>
      <c r="AB2063" t="s">
        <v>29827</v>
      </c>
      <c r="AC2063" t="s">
        <v>29827</v>
      </c>
    </row>
    <row r="2064" spans="1:30">
      <c r="A2064" t="s">
        <v>29828</v>
      </c>
      <c r="B2064">
        <v>12</v>
      </c>
      <c r="C2064">
        <v>10</v>
      </c>
      <c r="D2064">
        <v>1976</v>
      </c>
      <c r="E2064" s="1">
        <v>28104</v>
      </c>
      <c r="F2064" t="s">
        <v>29829</v>
      </c>
      <c r="G2064">
        <v>0</v>
      </c>
      <c r="H2064">
        <v>2</v>
      </c>
      <c r="I2064">
        <v>2</v>
      </c>
      <c r="J2064">
        <v>0</v>
      </c>
      <c r="L2064" t="s">
        <v>29830</v>
      </c>
      <c r="M2064" t="s">
        <v>29831</v>
      </c>
      <c r="N2064" t="s">
        <v>29832</v>
      </c>
      <c r="O2064" t="s">
        <v>29833</v>
      </c>
      <c r="P2064" t="s">
        <v>29834</v>
      </c>
      <c r="Q2064" t="s">
        <v>29834</v>
      </c>
      <c r="R2064" t="s">
        <v>29835</v>
      </c>
      <c r="S2064" t="s">
        <v>29836</v>
      </c>
      <c r="U2064">
        <v>1</v>
      </c>
      <c r="V2064" t="s">
        <v>29837</v>
      </c>
      <c r="W2064" t="s">
        <v>29838</v>
      </c>
      <c r="X2064" t="s">
        <v>29839</v>
      </c>
      <c r="Z2064" t="s">
        <v>29840</v>
      </c>
      <c r="AA2064" t="s">
        <v>29840</v>
      </c>
      <c r="AB2064" t="s">
        <v>29840</v>
      </c>
      <c r="AC2064" t="s">
        <v>29840</v>
      </c>
      <c r="AD2064" t="s">
        <v>29841</v>
      </c>
    </row>
    <row r="2065" spans="1:29">
      <c r="A2065" t="s">
        <v>29842</v>
      </c>
      <c r="B2065">
        <v>11</v>
      </c>
      <c r="C2065">
        <v>10</v>
      </c>
      <c r="D2065">
        <v>1976</v>
      </c>
      <c r="E2065" s="1">
        <v>28074</v>
      </c>
      <c r="F2065" t="s">
        <v>29843</v>
      </c>
      <c r="G2065">
        <v>1</v>
      </c>
      <c r="H2065">
        <v>0</v>
      </c>
      <c r="I2065">
        <v>1</v>
      </c>
      <c r="J2065">
        <v>0</v>
      </c>
      <c r="L2065" t="s">
        <v>29844</v>
      </c>
      <c r="M2065" t="s">
        <v>29845</v>
      </c>
      <c r="N2065" t="s">
        <v>29846</v>
      </c>
      <c r="O2065" t="s">
        <v>29847</v>
      </c>
      <c r="P2065" t="s">
        <v>29848</v>
      </c>
      <c r="Q2065" t="s">
        <v>29849</v>
      </c>
      <c r="R2065" t="s">
        <v>29850</v>
      </c>
      <c r="S2065" t="s">
        <v>29851</v>
      </c>
      <c r="U2065">
        <v>1</v>
      </c>
      <c r="V2065" t="s">
        <v>29852</v>
      </c>
      <c r="W2065" t="s">
        <v>29853</v>
      </c>
      <c r="X2065" t="s">
        <v>29854</v>
      </c>
      <c r="Y2065" t="s">
        <v>29855</v>
      </c>
      <c r="Z2065" t="s">
        <v>29855</v>
      </c>
      <c r="AA2065" t="s">
        <v>29855</v>
      </c>
      <c r="AB2065" t="s">
        <v>29855</v>
      </c>
      <c r="AC2065" t="s">
        <v>29856</v>
      </c>
    </row>
    <row r="2066" spans="1:29">
      <c r="A2066" t="s">
        <v>29857</v>
      </c>
      <c r="B2066">
        <v>9</v>
      </c>
      <c r="C2066">
        <v>20</v>
      </c>
      <c r="D2066">
        <v>1976</v>
      </c>
      <c r="E2066" s="1">
        <v>28023</v>
      </c>
      <c r="F2066" t="s">
        <v>29858</v>
      </c>
      <c r="G2066">
        <v>0</v>
      </c>
      <c r="H2066">
        <v>1</v>
      </c>
      <c r="I2066">
        <v>1</v>
      </c>
      <c r="J2066">
        <v>1</v>
      </c>
      <c r="L2066" t="s">
        <v>29859</v>
      </c>
      <c r="M2066" t="s">
        <v>29860</v>
      </c>
      <c r="N2066" t="s">
        <v>29861</v>
      </c>
      <c r="P2066" t="s">
        <v>29862</v>
      </c>
      <c r="Q2066" t="s">
        <v>29862</v>
      </c>
      <c r="R2066" t="s">
        <v>29863</v>
      </c>
      <c r="V2066" t="s">
        <v>29864</v>
      </c>
      <c r="W2066" t="s">
        <v>29865</v>
      </c>
      <c r="X2066" t="s">
        <v>29866</v>
      </c>
      <c r="Y2066" t="s">
        <v>29867</v>
      </c>
      <c r="Z2066" t="s">
        <v>29867</v>
      </c>
      <c r="AA2066" t="s">
        <v>29867</v>
      </c>
      <c r="AB2066" t="s">
        <v>29867</v>
      </c>
      <c r="AC2066" t="s">
        <v>29867</v>
      </c>
    </row>
    <row r="2067" spans="1:29">
      <c r="A2067" t="s">
        <v>29868</v>
      </c>
      <c r="B2067">
        <v>6</v>
      </c>
      <c r="C2067">
        <v>2</v>
      </c>
      <c r="D2067">
        <v>1976</v>
      </c>
      <c r="E2067" s="1">
        <v>27913</v>
      </c>
      <c r="F2067" t="s">
        <v>29869</v>
      </c>
      <c r="G2067">
        <v>0</v>
      </c>
      <c r="H2067">
        <v>0</v>
      </c>
      <c r="I2067">
        <v>0</v>
      </c>
      <c r="J2067">
        <v>0</v>
      </c>
      <c r="L2067" t="s">
        <v>29870</v>
      </c>
      <c r="M2067" t="s">
        <v>29871</v>
      </c>
      <c r="N2067" t="s">
        <v>29872</v>
      </c>
      <c r="O2067" t="s">
        <v>29873</v>
      </c>
      <c r="P2067" t="s">
        <v>29874</v>
      </c>
      <c r="Q2067" t="s">
        <v>29875</v>
      </c>
      <c r="R2067" t="s">
        <v>29876</v>
      </c>
      <c r="S2067" t="s">
        <v>29877</v>
      </c>
      <c r="T2067" s="2">
        <v>0.48958333333333331</v>
      </c>
      <c r="V2067" t="s">
        <v>29878</v>
      </c>
      <c r="W2067" t="s">
        <v>29879</v>
      </c>
      <c r="Y2067" t="s">
        <v>29880</v>
      </c>
      <c r="Z2067" t="s">
        <v>29880</v>
      </c>
      <c r="AA2067" t="s">
        <v>29880</v>
      </c>
      <c r="AC2067" t="s">
        <v>29880</v>
      </c>
    </row>
    <row r="2068" spans="1:29">
      <c r="A2068" t="s">
        <v>29881</v>
      </c>
      <c r="B2068">
        <v>5</v>
      </c>
      <c r="C2068">
        <v>14</v>
      </c>
      <c r="D2068">
        <v>1976</v>
      </c>
      <c r="E2068" s="1">
        <v>27894</v>
      </c>
      <c r="F2068" t="s">
        <v>29882</v>
      </c>
      <c r="G2068">
        <v>0</v>
      </c>
      <c r="H2068">
        <v>1</v>
      </c>
      <c r="I2068">
        <v>1</v>
      </c>
      <c r="J2068">
        <v>0</v>
      </c>
      <c r="L2068" t="s">
        <v>29883</v>
      </c>
      <c r="M2068" t="s">
        <v>29884</v>
      </c>
      <c r="N2068" t="s">
        <v>29885</v>
      </c>
      <c r="O2068" t="s">
        <v>29886</v>
      </c>
      <c r="P2068" t="s">
        <v>29887</v>
      </c>
      <c r="Q2068" t="s">
        <v>29887</v>
      </c>
      <c r="R2068" t="s">
        <v>29888</v>
      </c>
      <c r="S2068" t="s">
        <v>29889</v>
      </c>
      <c r="T2068" s="2">
        <v>0.5</v>
      </c>
      <c r="U2068">
        <v>1</v>
      </c>
      <c r="V2068" t="s">
        <v>29890</v>
      </c>
      <c r="W2068" t="s">
        <v>29891</v>
      </c>
      <c r="X2068" t="s">
        <v>29892</v>
      </c>
      <c r="Y2068" t="s">
        <v>29893</v>
      </c>
      <c r="Z2068" t="s">
        <v>29893</v>
      </c>
      <c r="AA2068" t="s">
        <v>29893</v>
      </c>
      <c r="AB2068" t="s">
        <v>29893</v>
      </c>
      <c r="AC2068" t="s">
        <v>29893</v>
      </c>
    </row>
    <row r="2069" spans="1:29">
      <c r="A2069" t="s">
        <v>29894</v>
      </c>
      <c r="B2069">
        <v>5</v>
      </c>
      <c r="C2069">
        <v>13</v>
      </c>
      <c r="D2069">
        <v>1976</v>
      </c>
      <c r="E2069" s="1">
        <v>27893</v>
      </c>
      <c r="F2069" t="s">
        <v>29895</v>
      </c>
      <c r="G2069">
        <v>0</v>
      </c>
      <c r="H2069">
        <v>1</v>
      </c>
      <c r="I2069">
        <v>1</v>
      </c>
      <c r="J2069">
        <v>0</v>
      </c>
      <c r="L2069" t="s">
        <v>29896</v>
      </c>
      <c r="M2069" t="s">
        <v>29897</v>
      </c>
      <c r="N2069" t="s">
        <v>29898</v>
      </c>
      <c r="O2069" t="s">
        <v>29899</v>
      </c>
      <c r="P2069" t="s">
        <v>29900</v>
      </c>
      <c r="Q2069" t="s">
        <v>29901</v>
      </c>
      <c r="R2069" t="s">
        <v>29902</v>
      </c>
      <c r="S2069" t="s">
        <v>29903</v>
      </c>
      <c r="U2069">
        <v>1</v>
      </c>
      <c r="V2069" t="s">
        <v>29904</v>
      </c>
      <c r="W2069" t="s">
        <v>29905</v>
      </c>
      <c r="X2069" t="s">
        <v>29906</v>
      </c>
      <c r="Y2069" t="s">
        <v>29907</v>
      </c>
      <c r="Z2069" t="s">
        <v>29907</v>
      </c>
      <c r="AA2069" t="s">
        <v>29907</v>
      </c>
      <c r="AB2069" t="s">
        <v>29907</v>
      </c>
      <c r="AC2069" t="s">
        <v>29907</v>
      </c>
    </row>
    <row r="2070" spans="1:29">
      <c r="A2070" t="s">
        <v>29908</v>
      </c>
      <c r="B2070">
        <v>4</v>
      </c>
      <c r="C2070">
        <v>12</v>
      </c>
      <c r="D2070">
        <v>1976</v>
      </c>
      <c r="E2070" s="1">
        <v>27862</v>
      </c>
      <c r="F2070" t="s">
        <v>29909</v>
      </c>
      <c r="G2070">
        <v>1</v>
      </c>
      <c r="H2070">
        <v>1</v>
      </c>
      <c r="I2070">
        <v>2</v>
      </c>
      <c r="J2070">
        <v>0</v>
      </c>
      <c r="L2070" t="s">
        <v>29910</v>
      </c>
      <c r="M2070" t="s">
        <v>29911</v>
      </c>
      <c r="N2070" t="s">
        <v>29912</v>
      </c>
      <c r="O2070" t="s">
        <v>29913</v>
      </c>
      <c r="P2070" t="s">
        <v>29914</v>
      </c>
      <c r="Q2070" t="s">
        <v>29915</v>
      </c>
      <c r="R2070" t="s">
        <v>29916</v>
      </c>
      <c r="S2070" t="s">
        <v>29917</v>
      </c>
      <c r="U2070">
        <v>1</v>
      </c>
      <c r="V2070" t="s">
        <v>29918</v>
      </c>
      <c r="W2070" t="s">
        <v>29919</v>
      </c>
      <c r="X2070" t="s">
        <v>29920</v>
      </c>
      <c r="Y2070" t="s">
        <v>29921</v>
      </c>
      <c r="Z2070" t="s">
        <v>29921</v>
      </c>
      <c r="AA2070" t="s">
        <v>29921</v>
      </c>
      <c r="AC2070" t="s">
        <v>29921</v>
      </c>
    </row>
    <row r="2071" spans="1:29">
      <c r="A2071" t="s">
        <v>29922</v>
      </c>
      <c r="B2071">
        <v>2</v>
      </c>
      <c r="C2071">
        <v>12</v>
      </c>
      <c r="D2071">
        <v>1976</v>
      </c>
      <c r="E2071" s="1">
        <v>27802</v>
      </c>
      <c r="F2071" t="s">
        <v>29923</v>
      </c>
      <c r="G2071">
        <v>0</v>
      </c>
      <c r="H2071">
        <v>5</v>
      </c>
      <c r="I2071">
        <v>5</v>
      </c>
      <c r="J2071">
        <v>0</v>
      </c>
      <c r="L2071" t="s">
        <v>29924</v>
      </c>
      <c r="M2071" t="s">
        <v>29925</v>
      </c>
      <c r="N2071" t="s">
        <v>29926</v>
      </c>
      <c r="O2071" t="s">
        <v>29927</v>
      </c>
      <c r="P2071" t="s">
        <v>29928</v>
      </c>
      <c r="Q2071" t="s">
        <v>29929</v>
      </c>
      <c r="R2071" t="s">
        <v>29930</v>
      </c>
      <c r="U2071">
        <v>1</v>
      </c>
      <c r="V2071" t="s">
        <v>29931</v>
      </c>
      <c r="W2071" t="s">
        <v>29932</v>
      </c>
      <c r="X2071" t="s">
        <v>29933</v>
      </c>
      <c r="Y2071" t="s">
        <v>29934</v>
      </c>
      <c r="Z2071" t="s">
        <v>29935</v>
      </c>
      <c r="AA2071" t="s">
        <v>29935</v>
      </c>
      <c r="AB2071" t="s">
        <v>29935</v>
      </c>
      <c r="AC2071" t="s">
        <v>29936</v>
      </c>
    </row>
    <row r="2072" spans="1:29">
      <c r="A2072" t="s">
        <v>29937</v>
      </c>
      <c r="B2072">
        <v>2</v>
      </c>
      <c r="C2072">
        <v>6</v>
      </c>
      <c r="D2072">
        <v>1976</v>
      </c>
      <c r="E2072" s="1">
        <v>27796</v>
      </c>
      <c r="F2072" t="s">
        <v>29938</v>
      </c>
      <c r="G2072">
        <v>0</v>
      </c>
      <c r="H2072">
        <v>4</v>
      </c>
      <c r="I2072">
        <v>4</v>
      </c>
      <c r="J2072">
        <v>0</v>
      </c>
      <c r="L2072" t="s">
        <v>29939</v>
      </c>
      <c r="M2072" t="s">
        <v>29940</v>
      </c>
      <c r="N2072" t="s">
        <v>29941</v>
      </c>
      <c r="O2072" t="s">
        <v>29942</v>
      </c>
      <c r="P2072" t="s">
        <v>29943</v>
      </c>
      <c r="Q2072" t="s">
        <v>29943</v>
      </c>
      <c r="R2072" t="s">
        <v>29944</v>
      </c>
      <c r="S2072" t="s">
        <v>29945</v>
      </c>
      <c r="U2072">
        <v>180</v>
      </c>
      <c r="V2072" t="s">
        <v>29946</v>
      </c>
      <c r="W2072" t="s">
        <v>29947</v>
      </c>
      <c r="X2072" t="s">
        <v>29948</v>
      </c>
      <c r="Y2072" t="s">
        <v>29949</v>
      </c>
      <c r="Z2072" t="s">
        <v>29949</v>
      </c>
      <c r="AA2072" t="s">
        <v>29949</v>
      </c>
      <c r="AB2072" t="s">
        <v>29949</v>
      </c>
      <c r="AC2072" t="s">
        <v>29949</v>
      </c>
    </row>
    <row r="2073" spans="1:29">
      <c r="A2073" t="s">
        <v>29950</v>
      </c>
      <c r="B2073">
        <v>1</v>
      </c>
      <c r="C2073">
        <v>23</v>
      </c>
      <c r="D2073">
        <v>1976</v>
      </c>
      <c r="E2073" s="1">
        <v>27782</v>
      </c>
      <c r="F2073" t="s">
        <v>29951</v>
      </c>
      <c r="G2073">
        <v>1</v>
      </c>
      <c r="H2073">
        <v>1</v>
      </c>
      <c r="I2073">
        <v>2</v>
      </c>
      <c r="J2073">
        <v>0</v>
      </c>
      <c r="L2073" t="s">
        <v>29952</v>
      </c>
      <c r="M2073" t="s">
        <v>29953</v>
      </c>
      <c r="N2073" t="s">
        <v>29954</v>
      </c>
      <c r="O2073" t="s">
        <v>29955</v>
      </c>
      <c r="P2073" t="s">
        <v>29956</v>
      </c>
      <c r="Q2073" t="s">
        <v>29957</v>
      </c>
      <c r="R2073" t="s">
        <v>29958</v>
      </c>
      <c r="S2073" t="s">
        <v>29959</v>
      </c>
      <c r="T2073" s="2">
        <v>0.59722222222222221</v>
      </c>
      <c r="V2073" t="s">
        <v>29960</v>
      </c>
      <c r="W2073" t="s">
        <v>29961</v>
      </c>
      <c r="X2073" t="s">
        <v>29962</v>
      </c>
      <c r="Y2073" t="s">
        <v>29963</v>
      </c>
      <c r="Z2073" t="s">
        <v>29963</v>
      </c>
      <c r="AA2073" t="s">
        <v>29963</v>
      </c>
    </row>
    <row r="2074" spans="1:29">
      <c r="A2074" t="s">
        <v>29964</v>
      </c>
      <c r="B2074">
        <v>1</v>
      </c>
      <c r="C2074">
        <v>1</v>
      </c>
      <c r="D2074">
        <v>1976</v>
      </c>
      <c r="E2074" s="1">
        <v>27760</v>
      </c>
      <c r="F2074" t="s">
        <v>29965</v>
      </c>
      <c r="G2074">
        <v>0</v>
      </c>
      <c r="H2074">
        <v>1</v>
      </c>
      <c r="I2074">
        <v>1</v>
      </c>
      <c r="J2074">
        <v>0</v>
      </c>
      <c r="L2074" t="s">
        <v>29966</v>
      </c>
      <c r="M2074" t="s">
        <v>29967</v>
      </c>
      <c r="N2074" t="s">
        <v>29968</v>
      </c>
      <c r="O2074" t="s">
        <v>29969</v>
      </c>
      <c r="P2074" t="s">
        <v>29970</v>
      </c>
      <c r="Q2074" t="s">
        <v>29970</v>
      </c>
      <c r="R2074" t="s">
        <v>29971</v>
      </c>
      <c r="S2074" t="s">
        <v>29972</v>
      </c>
      <c r="U2074">
        <v>1</v>
      </c>
      <c r="V2074" t="s">
        <v>29973</v>
      </c>
      <c r="W2074" t="s">
        <v>29974</v>
      </c>
      <c r="Y2074" t="s">
        <v>29975</v>
      </c>
      <c r="Z2074" t="s">
        <v>29975</v>
      </c>
      <c r="AA2074" t="s">
        <v>29975</v>
      </c>
      <c r="AB2074" t="s">
        <v>29975</v>
      </c>
      <c r="AC2074" t="s">
        <v>29975</v>
      </c>
    </row>
    <row r="2075" spans="1:29">
      <c r="A2075" t="s">
        <v>29976</v>
      </c>
      <c r="B2075">
        <v>12</v>
      </c>
      <c r="C2075">
        <v>18</v>
      </c>
      <c r="D2075">
        <v>1975</v>
      </c>
      <c r="E2075" s="1">
        <v>27746</v>
      </c>
      <c r="F2075" t="s">
        <v>29977</v>
      </c>
      <c r="G2075">
        <v>0</v>
      </c>
      <c r="H2075">
        <v>1</v>
      </c>
      <c r="I2075">
        <v>1</v>
      </c>
      <c r="J2075">
        <v>0</v>
      </c>
      <c r="L2075" t="s">
        <v>29978</v>
      </c>
      <c r="M2075" t="s">
        <v>29979</v>
      </c>
      <c r="N2075" t="s">
        <v>29980</v>
      </c>
      <c r="O2075" t="s">
        <v>29981</v>
      </c>
      <c r="P2075" t="s">
        <v>29982</v>
      </c>
      <c r="Q2075" t="s">
        <v>29983</v>
      </c>
      <c r="R2075" t="s">
        <v>29984</v>
      </c>
      <c r="S2075" t="s">
        <v>29985</v>
      </c>
      <c r="T2075" s="2">
        <v>0.5</v>
      </c>
      <c r="U2075">
        <v>1</v>
      </c>
      <c r="V2075" t="s">
        <v>29986</v>
      </c>
      <c r="W2075" t="s">
        <v>29987</v>
      </c>
      <c r="X2075" t="s">
        <v>29988</v>
      </c>
      <c r="Y2075" t="s">
        <v>29989</v>
      </c>
      <c r="Z2075" t="s">
        <v>29989</v>
      </c>
      <c r="AA2075" t="s">
        <v>29989</v>
      </c>
      <c r="AB2075" t="s">
        <v>29989</v>
      </c>
      <c r="AC2075" t="s">
        <v>29989</v>
      </c>
    </row>
    <row r="2076" spans="1:29">
      <c r="A2076" t="s">
        <v>29990</v>
      </c>
      <c r="B2076">
        <v>10</v>
      </c>
      <c r="C2076">
        <v>24</v>
      </c>
      <c r="D2076">
        <v>1975</v>
      </c>
      <c r="E2076" s="1">
        <v>27691</v>
      </c>
      <c r="F2076" t="s">
        <v>29991</v>
      </c>
      <c r="G2076">
        <v>0</v>
      </c>
      <c r="H2076">
        <v>1</v>
      </c>
      <c r="I2076">
        <v>1</v>
      </c>
      <c r="J2076">
        <v>0</v>
      </c>
      <c r="L2076" t="s">
        <v>29992</v>
      </c>
      <c r="M2076" t="s">
        <v>29993</v>
      </c>
      <c r="N2076" t="s">
        <v>29994</v>
      </c>
      <c r="O2076" t="s">
        <v>29995</v>
      </c>
      <c r="P2076" t="s">
        <v>29996</v>
      </c>
      <c r="Q2076" t="s">
        <v>29997</v>
      </c>
      <c r="R2076" t="s">
        <v>29998</v>
      </c>
      <c r="S2076" t="s">
        <v>29999</v>
      </c>
      <c r="U2076">
        <v>1</v>
      </c>
      <c r="V2076" t="s">
        <v>30000</v>
      </c>
      <c r="W2076" t="s">
        <v>30001</v>
      </c>
      <c r="X2076" t="s">
        <v>30002</v>
      </c>
      <c r="Y2076" t="s">
        <v>30003</v>
      </c>
      <c r="Z2076" t="s">
        <v>30003</v>
      </c>
      <c r="AA2076" t="s">
        <v>30003</v>
      </c>
      <c r="AB2076" t="s">
        <v>30003</v>
      </c>
      <c r="AC2076" t="s">
        <v>30003</v>
      </c>
    </row>
    <row r="2077" spans="1:29">
      <c r="A2077" t="s">
        <v>30004</v>
      </c>
      <c r="B2077">
        <v>10</v>
      </c>
      <c r="C2077">
        <v>1</v>
      </c>
      <c r="D2077">
        <v>1975</v>
      </c>
      <c r="E2077" s="1">
        <v>27668</v>
      </c>
      <c r="F2077" t="s">
        <v>30005</v>
      </c>
      <c r="G2077">
        <v>1</v>
      </c>
      <c r="H2077">
        <v>0</v>
      </c>
      <c r="I2077">
        <v>1</v>
      </c>
      <c r="J2077">
        <v>0</v>
      </c>
      <c r="L2077" t="s">
        <v>30006</v>
      </c>
      <c r="M2077" t="s">
        <v>30007</v>
      </c>
      <c r="N2077" t="s">
        <v>30008</v>
      </c>
      <c r="O2077" t="s">
        <v>30009</v>
      </c>
      <c r="P2077" t="s">
        <v>30010</v>
      </c>
      <c r="Q2077" t="s">
        <v>30011</v>
      </c>
      <c r="R2077" t="s">
        <v>30012</v>
      </c>
      <c r="S2077" t="s">
        <v>30013</v>
      </c>
      <c r="T2077" s="2">
        <v>0.33333333333333331</v>
      </c>
      <c r="V2077" t="s">
        <v>30014</v>
      </c>
      <c r="W2077" t="s">
        <v>30015</v>
      </c>
      <c r="X2077" t="s">
        <v>30016</v>
      </c>
      <c r="Z2077" t="s">
        <v>30017</v>
      </c>
      <c r="AA2077" t="s">
        <v>30017</v>
      </c>
      <c r="AB2077" t="s">
        <v>30017</v>
      </c>
      <c r="AC2077" t="s">
        <v>30017</v>
      </c>
    </row>
    <row r="2078" spans="1:29">
      <c r="A2078" t="s">
        <v>30018</v>
      </c>
      <c r="B2078">
        <v>9</v>
      </c>
      <c r="C2078">
        <v>11</v>
      </c>
      <c r="D2078">
        <v>1975</v>
      </c>
      <c r="E2078" s="1">
        <v>27648</v>
      </c>
      <c r="F2078" t="s">
        <v>30019</v>
      </c>
      <c r="G2078">
        <v>1</v>
      </c>
      <c r="H2078">
        <v>2</v>
      </c>
      <c r="I2078">
        <v>3</v>
      </c>
      <c r="J2078">
        <v>0</v>
      </c>
      <c r="L2078" t="s">
        <v>30020</v>
      </c>
      <c r="M2078" t="s">
        <v>30021</v>
      </c>
      <c r="N2078" t="s">
        <v>30022</v>
      </c>
      <c r="O2078" t="s">
        <v>30023</v>
      </c>
      <c r="P2078" t="s">
        <v>30024</v>
      </c>
      <c r="Q2078" t="s">
        <v>30024</v>
      </c>
      <c r="R2078" t="s">
        <v>30025</v>
      </c>
      <c r="V2078" t="s">
        <v>30026</v>
      </c>
      <c r="W2078" t="s">
        <v>30027</v>
      </c>
      <c r="X2078" t="s">
        <v>30028</v>
      </c>
      <c r="Y2078" t="s">
        <v>30029</v>
      </c>
      <c r="Z2078" t="s">
        <v>30029</v>
      </c>
      <c r="AA2078" t="s">
        <v>30029</v>
      </c>
      <c r="AB2078" t="s">
        <v>30029</v>
      </c>
      <c r="AC2078" t="s">
        <v>30029</v>
      </c>
    </row>
    <row r="2079" spans="1:29">
      <c r="A2079" t="s">
        <v>30030</v>
      </c>
      <c r="B2079">
        <v>7</v>
      </c>
      <c r="C2079">
        <v>11</v>
      </c>
      <c r="D2079">
        <v>1975</v>
      </c>
      <c r="E2079" s="1">
        <v>27586</v>
      </c>
      <c r="F2079" t="s">
        <v>30031</v>
      </c>
      <c r="G2079">
        <v>0</v>
      </c>
      <c r="H2079">
        <v>2</v>
      </c>
      <c r="I2079">
        <v>2</v>
      </c>
      <c r="J2079">
        <v>0</v>
      </c>
      <c r="L2079" t="s">
        <v>30032</v>
      </c>
      <c r="M2079" t="s">
        <v>30033</v>
      </c>
      <c r="N2079" t="s">
        <v>30034</v>
      </c>
      <c r="O2079" t="s">
        <v>30035</v>
      </c>
      <c r="P2079" t="s">
        <v>30036</v>
      </c>
      <c r="Q2079" t="s">
        <v>30036</v>
      </c>
      <c r="R2079" t="s">
        <v>30037</v>
      </c>
      <c r="S2079" t="s">
        <v>30038</v>
      </c>
      <c r="T2079" s="2">
        <v>0.31597222222222227</v>
      </c>
      <c r="U2079">
        <v>1</v>
      </c>
      <c r="V2079" t="s">
        <v>30039</v>
      </c>
      <c r="W2079" t="s">
        <v>30040</v>
      </c>
      <c r="X2079" t="s">
        <v>30041</v>
      </c>
      <c r="Y2079" t="s">
        <v>30042</v>
      </c>
      <c r="Z2079" t="s">
        <v>30043</v>
      </c>
      <c r="AA2079" t="s">
        <v>30043</v>
      </c>
      <c r="AB2079" t="s">
        <v>30043</v>
      </c>
      <c r="AC2079" t="s">
        <v>30043</v>
      </c>
    </row>
    <row r="2080" spans="1:29">
      <c r="A2080" t="s">
        <v>30044</v>
      </c>
      <c r="B2080">
        <v>7</v>
      </c>
      <c r="C2080">
        <v>9</v>
      </c>
      <c r="D2080">
        <v>1975</v>
      </c>
      <c r="E2080" s="1">
        <v>27584</v>
      </c>
      <c r="F2080" t="s">
        <v>30045</v>
      </c>
      <c r="G2080">
        <v>0</v>
      </c>
      <c r="H2080">
        <v>1</v>
      </c>
      <c r="I2080">
        <v>1</v>
      </c>
      <c r="J2080">
        <v>0</v>
      </c>
      <c r="L2080" t="s">
        <v>30046</v>
      </c>
      <c r="M2080" t="s">
        <v>30047</v>
      </c>
      <c r="N2080" t="s">
        <v>30048</v>
      </c>
      <c r="O2080" t="s">
        <v>30049</v>
      </c>
      <c r="P2080" t="s">
        <v>30050</v>
      </c>
      <c r="Q2080" t="s">
        <v>30051</v>
      </c>
      <c r="R2080" t="s">
        <v>30052</v>
      </c>
      <c r="S2080" t="s">
        <v>30053</v>
      </c>
      <c r="T2080" s="2">
        <v>0.34375</v>
      </c>
      <c r="U2080">
        <v>1</v>
      </c>
      <c r="V2080" t="s">
        <v>30054</v>
      </c>
      <c r="W2080" t="s">
        <v>30055</v>
      </c>
      <c r="X2080" t="s">
        <v>30056</v>
      </c>
      <c r="Y2080" t="s">
        <v>30057</v>
      </c>
      <c r="Z2080" t="s">
        <v>30057</v>
      </c>
      <c r="AA2080" t="s">
        <v>30057</v>
      </c>
      <c r="AB2080" t="s">
        <v>30057</v>
      </c>
      <c r="AC2080" t="s">
        <v>30058</v>
      </c>
    </row>
    <row r="2081" spans="1:30">
      <c r="A2081" t="s">
        <v>30059</v>
      </c>
      <c r="B2081">
        <v>5</v>
      </c>
      <c r="C2081">
        <v>27</v>
      </c>
      <c r="D2081">
        <v>1975</v>
      </c>
      <c r="E2081" s="1">
        <v>27541</v>
      </c>
      <c r="F2081" t="s">
        <v>30060</v>
      </c>
      <c r="G2081">
        <v>1</v>
      </c>
      <c r="H2081">
        <v>0</v>
      </c>
      <c r="I2081">
        <v>1</v>
      </c>
      <c r="J2081">
        <v>0</v>
      </c>
      <c r="L2081" t="s">
        <v>30061</v>
      </c>
      <c r="M2081" t="s">
        <v>30062</v>
      </c>
      <c r="N2081" t="s">
        <v>30063</v>
      </c>
      <c r="O2081" t="s">
        <v>30064</v>
      </c>
      <c r="P2081" t="s">
        <v>30065</v>
      </c>
      <c r="Q2081" t="s">
        <v>30065</v>
      </c>
      <c r="R2081" t="s">
        <v>30066</v>
      </c>
      <c r="S2081" t="s">
        <v>30067</v>
      </c>
      <c r="U2081">
        <v>1</v>
      </c>
      <c r="V2081" t="s">
        <v>30068</v>
      </c>
      <c r="W2081" t="s">
        <v>30069</v>
      </c>
      <c r="X2081" t="s">
        <v>30070</v>
      </c>
      <c r="Y2081" t="s">
        <v>30071</v>
      </c>
      <c r="Z2081" t="s">
        <v>30071</v>
      </c>
      <c r="AA2081" t="s">
        <v>30071</v>
      </c>
      <c r="AB2081" t="s">
        <v>30071</v>
      </c>
      <c r="AC2081" t="s">
        <v>30071</v>
      </c>
    </row>
    <row r="2082" spans="1:30">
      <c r="A2082" t="s">
        <v>30072</v>
      </c>
      <c r="B2082">
        <v>5</v>
      </c>
      <c r="C2082">
        <v>15</v>
      </c>
      <c r="D2082">
        <v>1975</v>
      </c>
      <c r="E2082" s="1">
        <v>27529</v>
      </c>
      <c r="F2082" t="s">
        <v>30073</v>
      </c>
      <c r="G2082">
        <v>0</v>
      </c>
      <c r="H2082">
        <v>1</v>
      </c>
      <c r="I2082">
        <v>1</v>
      </c>
      <c r="J2082">
        <v>0</v>
      </c>
      <c r="L2082" t="s">
        <v>30074</v>
      </c>
      <c r="M2082" t="s">
        <v>30075</v>
      </c>
      <c r="N2082" t="s">
        <v>30076</v>
      </c>
      <c r="O2082" t="s">
        <v>30077</v>
      </c>
      <c r="P2082" t="s">
        <v>30078</v>
      </c>
      <c r="Q2082" t="s">
        <v>30079</v>
      </c>
      <c r="R2082" t="s">
        <v>30080</v>
      </c>
      <c r="S2082" t="s">
        <v>30081</v>
      </c>
      <c r="T2082" s="2">
        <v>0.52083333333333337</v>
      </c>
      <c r="U2082">
        <v>1</v>
      </c>
      <c r="V2082" t="s">
        <v>30082</v>
      </c>
      <c r="W2082" t="s">
        <v>30083</v>
      </c>
      <c r="X2082" t="s">
        <v>30084</v>
      </c>
      <c r="Y2082" t="s">
        <v>30085</v>
      </c>
      <c r="Z2082" t="s">
        <v>30085</v>
      </c>
      <c r="AA2082" t="s">
        <v>30085</v>
      </c>
      <c r="AB2082" t="s">
        <v>30085</v>
      </c>
      <c r="AC2082" t="s">
        <v>30085</v>
      </c>
    </row>
    <row r="2083" spans="1:30">
      <c r="A2083" t="s">
        <v>30086</v>
      </c>
      <c r="B2083">
        <v>3</v>
      </c>
      <c r="C2083">
        <v>21</v>
      </c>
      <c r="D2083">
        <v>1975</v>
      </c>
      <c r="E2083" s="1">
        <v>27474</v>
      </c>
      <c r="F2083" t="s">
        <v>30087</v>
      </c>
      <c r="G2083">
        <v>0</v>
      </c>
      <c r="H2083">
        <v>1</v>
      </c>
      <c r="I2083">
        <v>1</v>
      </c>
      <c r="J2083">
        <v>0</v>
      </c>
      <c r="L2083" t="s">
        <v>30088</v>
      </c>
      <c r="M2083" t="s">
        <v>30089</v>
      </c>
      <c r="N2083" t="s">
        <v>30090</v>
      </c>
      <c r="O2083" t="s">
        <v>30091</v>
      </c>
      <c r="P2083" t="s">
        <v>30092</v>
      </c>
      <c r="Q2083" t="s">
        <v>30093</v>
      </c>
      <c r="R2083" t="s">
        <v>30094</v>
      </c>
      <c r="S2083" t="s">
        <v>30095</v>
      </c>
      <c r="U2083">
        <v>1</v>
      </c>
      <c r="V2083" t="s">
        <v>30096</v>
      </c>
      <c r="W2083" t="s">
        <v>30097</v>
      </c>
      <c r="X2083" t="s">
        <v>30098</v>
      </c>
      <c r="Y2083" t="s">
        <v>30099</v>
      </c>
      <c r="Z2083" t="s">
        <v>30099</v>
      </c>
      <c r="AA2083" t="s">
        <v>30100</v>
      </c>
      <c r="AB2083" t="s">
        <v>30101</v>
      </c>
      <c r="AC2083" t="s">
        <v>30101</v>
      </c>
      <c r="AD2083" t="s">
        <v>30102</v>
      </c>
    </row>
    <row r="2084" spans="1:30">
      <c r="A2084" t="s">
        <v>30103</v>
      </c>
      <c r="B2084">
        <v>3</v>
      </c>
      <c r="C2084">
        <v>21</v>
      </c>
      <c r="D2084">
        <v>1975</v>
      </c>
      <c r="E2084" s="1">
        <v>27474</v>
      </c>
      <c r="F2084" t="s">
        <v>30104</v>
      </c>
      <c r="G2084">
        <v>0</v>
      </c>
      <c r="H2084">
        <v>1</v>
      </c>
      <c r="I2084">
        <v>1</v>
      </c>
      <c r="J2084">
        <v>0</v>
      </c>
      <c r="L2084" t="s">
        <v>30105</v>
      </c>
      <c r="M2084" t="s">
        <v>30106</v>
      </c>
      <c r="N2084" t="s">
        <v>30107</v>
      </c>
      <c r="O2084" t="s">
        <v>30108</v>
      </c>
      <c r="P2084" t="s">
        <v>30109</v>
      </c>
      <c r="Q2084" t="s">
        <v>30110</v>
      </c>
      <c r="R2084" t="s">
        <v>30111</v>
      </c>
      <c r="S2084" t="s">
        <v>30112</v>
      </c>
      <c r="T2084" s="2">
        <v>0.5</v>
      </c>
      <c r="U2084">
        <v>1</v>
      </c>
      <c r="V2084" t="s">
        <v>30113</v>
      </c>
      <c r="W2084" t="s">
        <v>30114</v>
      </c>
      <c r="X2084" t="s">
        <v>30115</v>
      </c>
      <c r="Y2084" t="s">
        <v>30116</v>
      </c>
      <c r="Z2084" t="s">
        <v>30116</v>
      </c>
      <c r="AA2084" t="s">
        <v>30116</v>
      </c>
      <c r="AB2084" t="s">
        <v>30116</v>
      </c>
      <c r="AC2084" t="s">
        <v>30116</v>
      </c>
    </row>
    <row r="2085" spans="1:30">
      <c r="A2085" t="s">
        <v>30117</v>
      </c>
      <c r="B2085">
        <v>3</v>
      </c>
      <c r="C2085">
        <v>18</v>
      </c>
      <c r="D2085">
        <v>1975</v>
      </c>
      <c r="E2085" s="1">
        <v>27471</v>
      </c>
      <c r="F2085" t="s">
        <v>30118</v>
      </c>
      <c r="G2085">
        <v>1</v>
      </c>
      <c r="H2085">
        <v>0</v>
      </c>
      <c r="I2085">
        <v>1</v>
      </c>
      <c r="J2085">
        <v>0</v>
      </c>
      <c r="L2085" t="s">
        <v>30119</v>
      </c>
      <c r="M2085" t="s">
        <v>30120</v>
      </c>
      <c r="N2085" t="s">
        <v>30121</v>
      </c>
      <c r="O2085" t="s">
        <v>30122</v>
      </c>
      <c r="P2085" t="s">
        <v>30123</v>
      </c>
      <c r="Q2085" t="s">
        <v>30123</v>
      </c>
      <c r="R2085" t="s">
        <v>30124</v>
      </c>
      <c r="S2085" t="s">
        <v>30125</v>
      </c>
      <c r="U2085">
        <v>1</v>
      </c>
      <c r="V2085" t="s">
        <v>30126</v>
      </c>
      <c r="W2085" t="s">
        <v>30127</v>
      </c>
      <c r="X2085" t="s">
        <v>30128</v>
      </c>
      <c r="Y2085" t="s">
        <v>30129</v>
      </c>
      <c r="Z2085" t="s">
        <v>30130</v>
      </c>
      <c r="AA2085" t="s">
        <v>30130</v>
      </c>
      <c r="AB2085" t="s">
        <v>30130</v>
      </c>
      <c r="AC2085" t="s">
        <v>30130</v>
      </c>
    </row>
    <row r="2086" spans="1:30">
      <c r="A2086" t="s">
        <v>30131</v>
      </c>
      <c r="B2086">
        <v>3</v>
      </c>
      <c r="C2086">
        <v>12</v>
      </c>
      <c r="D2086">
        <v>1975</v>
      </c>
      <c r="E2086" s="1">
        <v>27465</v>
      </c>
      <c r="F2086" t="s">
        <v>30132</v>
      </c>
      <c r="G2086">
        <v>0</v>
      </c>
      <c r="H2086">
        <v>2</v>
      </c>
      <c r="I2086">
        <v>2</v>
      </c>
      <c r="J2086">
        <v>0</v>
      </c>
      <c r="L2086" t="s">
        <v>30133</v>
      </c>
      <c r="M2086" t="s">
        <v>30134</v>
      </c>
      <c r="N2086" t="s">
        <v>30135</v>
      </c>
      <c r="O2086" t="s">
        <v>30136</v>
      </c>
      <c r="P2086" t="s">
        <v>30137</v>
      </c>
      <c r="Q2086" t="s">
        <v>30138</v>
      </c>
      <c r="R2086" t="s">
        <v>30139</v>
      </c>
      <c r="S2086" t="s">
        <v>30140</v>
      </c>
      <c r="U2086">
        <v>1</v>
      </c>
      <c r="V2086" t="s">
        <v>30141</v>
      </c>
      <c r="W2086" t="s">
        <v>30142</v>
      </c>
      <c r="Y2086" t="s">
        <v>30143</v>
      </c>
      <c r="Z2086" t="s">
        <v>30143</v>
      </c>
      <c r="AA2086" t="s">
        <v>30143</v>
      </c>
      <c r="AB2086" t="s">
        <v>30143</v>
      </c>
      <c r="AC2086" t="s">
        <v>30143</v>
      </c>
    </row>
    <row r="2087" spans="1:30">
      <c r="A2087" t="s">
        <v>30144</v>
      </c>
      <c r="B2087">
        <v>2</v>
      </c>
      <c r="C2087">
        <v>24</v>
      </c>
      <c r="D2087">
        <v>1975</v>
      </c>
      <c r="E2087" s="1">
        <v>27449</v>
      </c>
      <c r="F2087" t="s">
        <v>30145</v>
      </c>
      <c r="G2087">
        <v>1</v>
      </c>
      <c r="H2087">
        <v>1</v>
      </c>
      <c r="I2087">
        <v>2</v>
      </c>
      <c r="J2087">
        <v>0</v>
      </c>
      <c r="L2087" t="s">
        <v>30146</v>
      </c>
      <c r="M2087" t="s">
        <v>30147</v>
      </c>
      <c r="N2087" t="s">
        <v>30148</v>
      </c>
      <c r="O2087" t="s">
        <v>30149</v>
      </c>
      <c r="P2087" t="s">
        <v>30150</v>
      </c>
      <c r="Q2087" t="s">
        <v>30151</v>
      </c>
      <c r="R2087" t="s">
        <v>30152</v>
      </c>
      <c r="S2087" t="s">
        <v>30153</v>
      </c>
      <c r="U2087">
        <v>1</v>
      </c>
      <c r="V2087" t="s">
        <v>30154</v>
      </c>
      <c r="W2087" t="s">
        <v>30155</v>
      </c>
      <c r="X2087" t="s">
        <v>30156</v>
      </c>
      <c r="Y2087" t="s">
        <v>30157</v>
      </c>
      <c r="Z2087" t="s">
        <v>30157</v>
      </c>
      <c r="AA2087" t="s">
        <v>30157</v>
      </c>
      <c r="AC2087" t="s">
        <v>30157</v>
      </c>
      <c r="AD2087" t="s">
        <v>30158</v>
      </c>
    </row>
    <row r="2088" spans="1:30">
      <c r="A2088" t="s">
        <v>30159</v>
      </c>
      <c r="B2088">
        <v>2</v>
      </c>
      <c r="C2088">
        <v>7</v>
      </c>
      <c r="D2088">
        <v>1975</v>
      </c>
      <c r="E2088" s="1">
        <v>27432</v>
      </c>
      <c r="F2088" t="s">
        <v>30160</v>
      </c>
      <c r="G2088">
        <v>0</v>
      </c>
      <c r="H2088">
        <v>0</v>
      </c>
      <c r="I2088">
        <v>0</v>
      </c>
      <c r="J2088">
        <v>0</v>
      </c>
      <c r="L2088" t="s">
        <v>30161</v>
      </c>
      <c r="M2088" t="s">
        <v>30162</v>
      </c>
      <c r="N2088" t="s">
        <v>30163</v>
      </c>
      <c r="O2088" t="s">
        <v>30164</v>
      </c>
      <c r="P2088" t="s">
        <v>30165</v>
      </c>
      <c r="Q2088" t="s">
        <v>30165</v>
      </c>
      <c r="R2088" t="s">
        <v>30166</v>
      </c>
      <c r="S2088" t="s">
        <v>30167</v>
      </c>
      <c r="U2088">
        <v>1</v>
      </c>
      <c r="V2088" t="s">
        <v>30168</v>
      </c>
      <c r="W2088" t="s">
        <v>30169</v>
      </c>
      <c r="X2088" t="s">
        <v>30170</v>
      </c>
      <c r="Y2088" t="s">
        <v>30171</v>
      </c>
      <c r="Z2088" t="s">
        <v>30171</v>
      </c>
      <c r="AA2088" t="s">
        <v>30171</v>
      </c>
      <c r="AB2088" t="s">
        <v>30171</v>
      </c>
      <c r="AC2088" t="s">
        <v>30171</v>
      </c>
    </row>
    <row r="2089" spans="1:30">
      <c r="A2089" t="s">
        <v>30172</v>
      </c>
      <c r="B2089">
        <v>12</v>
      </c>
      <c r="C2089">
        <v>30</v>
      </c>
      <c r="D2089">
        <v>1974</v>
      </c>
      <c r="E2089" s="1">
        <v>27393</v>
      </c>
      <c r="F2089" t="s">
        <v>30173</v>
      </c>
      <c r="G2089">
        <v>3</v>
      </c>
      <c r="H2089">
        <v>7</v>
      </c>
      <c r="I2089">
        <v>10</v>
      </c>
      <c r="J2089">
        <v>0</v>
      </c>
      <c r="L2089" t="s">
        <v>30174</v>
      </c>
      <c r="M2089" t="s">
        <v>30175</v>
      </c>
      <c r="N2089" t="s">
        <v>30176</v>
      </c>
      <c r="O2089" t="s">
        <v>30177</v>
      </c>
      <c r="P2089" t="s">
        <v>30178</v>
      </c>
      <c r="Q2089" t="s">
        <v>30179</v>
      </c>
      <c r="R2089" t="s">
        <v>30180</v>
      </c>
      <c r="S2089" t="s">
        <v>30181</v>
      </c>
      <c r="T2089" s="2">
        <v>0.625</v>
      </c>
      <c r="U2089">
        <v>150</v>
      </c>
      <c r="V2089" t="s">
        <v>30182</v>
      </c>
      <c r="W2089" t="s">
        <v>30183</v>
      </c>
      <c r="X2089" t="s">
        <v>30184</v>
      </c>
      <c r="Y2089" t="s">
        <v>30185</v>
      </c>
      <c r="Z2089" t="s">
        <v>30185</v>
      </c>
      <c r="AA2089" t="s">
        <v>30186</v>
      </c>
      <c r="AB2089" t="s">
        <v>30187</v>
      </c>
      <c r="AC2089" t="s">
        <v>30187</v>
      </c>
      <c r="AD2089" t="s">
        <v>30188</v>
      </c>
    </row>
    <row r="2090" spans="1:30">
      <c r="A2090" t="s">
        <v>30189</v>
      </c>
      <c r="B2090">
        <v>12</v>
      </c>
      <c r="C2090">
        <v>18</v>
      </c>
      <c r="D2090">
        <v>1974</v>
      </c>
      <c r="E2090" s="1">
        <v>27381</v>
      </c>
      <c r="F2090" t="s">
        <v>30190</v>
      </c>
      <c r="G2090">
        <v>1</v>
      </c>
      <c r="H2090">
        <v>1</v>
      </c>
      <c r="I2090">
        <v>2</v>
      </c>
      <c r="J2090">
        <v>0</v>
      </c>
      <c r="L2090" t="s">
        <v>30191</v>
      </c>
      <c r="M2090" t="s">
        <v>30192</v>
      </c>
      <c r="N2090" t="s">
        <v>30193</v>
      </c>
      <c r="O2090" t="s">
        <v>30194</v>
      </c>
      <c r="P2090" t="s">
        <v>30195</v>
      </c>
      <c r="Q2090" t="s">
        <v>30195</v>
      </c>
      <c r="R2090" t="s">
        <v>30196</v>
      </c>
      <c r="S2090" t="s">
        <v>30197</v>
      </c>
      <c r="T2090" s="2">
        <v>0.5</v>
      </c>
      <c r="U2090">
        <v>1</v>
      </c>
      <c r="V2090" t="s">
        <v>30198</v>
      </c>
      <c r="W2090" t="s">
        <v>30199</v>
      </c>
      <c r="X2090" t="s">
        <v>30200</v>
      </c>
      <c r="Y2090" t="s">
        <v>30201</v>
      </c>
      <c r="Z2090" t="s">
        <v>30201</v>
      </c>
      <c r="AA2090" t="s">
        <v>30201</v>
      </c>
      <c r="AB2090" t="s">
        <v>30201</v>
      </c>
      <c r="AC2090" t="s">
        <v>30201</v>
      </c>
    </row>
    <row r="2091" spans="1:30">
      <c r="A2091" t="s">
        <v>30202</v>
      </c>
      <c r="B2091">
        <v>11</v>
      </c>
      <c r="C2091">
        <v>25</v>
      </c>
      <c r="D2091">
        <v>1974</v>
      </c>
      <c r="E2091" s="1">
        <v>27358</v>
      </c>
      <c r="F2091" t="s">
        <v>30203</v>
      </c>
      <c r="G2091">
        <v>0</v>
      </c>
      <c r="H2091">
        <v>0</v>
      </c>
      <c r="I2091">
        <v>0</v>
      </c>
      <c r="J2091">
        <v>0</v>
      </c>
      <c r="L2091" t="s">
        <v>30204</v>
      </c>
      <c r="M2091" t="s">
        <v>30205</v>
      </c>
      <c r="N2091" t="s">
        <v>30206</v>
      </c>
      <c r="O2091" t="s">
        <v>30207</v>
      </c>
      <c r="P2091" t="s">
        <v>30208</v>
      </c>
      <c r="Q2091" t="s">
        <v>30208</v>
      </c>
      <c r="R2091" t="s">
        <v>30209</v>
      </c>
      <c r="S2091" t="s">
        <v>30210</v>
      </c>
      <c r="T2091" s="2">
        <v>0.625</v>
      </c>
      <c r="U2091">
        <v>1</v>
      </c>
      <c r="V2091" t="s">
        <v>30211</v>
      </c>
      <c r="W2091" t="s">
        <v>30212</v>
      </c>
      <c r="X2091" t="s">
        <v>30213</v>
      </c>
      <c r="Y2091" t="s">
        <v>30214</v>
      </c>
      <c r="Z2091" t="s">
        <v>30215</v>
      </c>
      <c r="AA2091" t="s">
        <v>30215</v>
      </c>
      <c r="AB2091" t="s">
        <v>30215</v>
      </c>
      <c r="AC2091" t="s">
        <v>30215</v>
      </c>
    </row>
    <row r="2092" spans="1:30">
      <c r="A2092" t="s">
        <v>30216</v>
      </c>
      <c r="B2092">
        <v>11</v>
      </c>
      <c r="C2092">
        <v>21</v>
      </c>
      <c r="D2092">
        <v>1974</v>
      </c>
      <c r="E2092" s="1">
        <v>27354</v>
      </c>
      <c r="F2092" t="s">
        <v>30217</v>
      </c>
      <c r="G2092">
        <v>1</v>
      </c>
      <c r="H2092">
        <v>1</v>
      </c>
      <c r="I2092">
        <v>2</v>
      </c>
      <c r="J2092">
        <v>0</v>
      </c>
      <c r="L2092" t="s">
        <v>30218</v>
      </c>
      <c r="M2092" t="s">
        <v>30219</v>
      </c>
      <c r="N2092" t="s">
        <v>30220</v>
      </c>
      <c r="O2092" t="s">
        <v>30221</v>
      </c>
      <c r="P2092" t="s">
        <v>30222</v>
      </c>
      <c r="Q2092" t="s">
        <v>30223</v>
      </c>
      <c r="R2092" t="s">
        <v>30224</v>
      </c>
      <c r="S2092" t="s">
        <v>30225</v>
      </c>
      <c r="T2092" s="2">
        <v>0.5625</v>
      </c>
      <c r="U2092">
        <v>1</v>
      </c>
      <c r="V2092" t="s">
        <v>30226</v>
      </c>
      <c r="W2092" t="s">
        <v>30227</v>
      </c>
      <c r="X2092" t="s">
        <v>30228</v>
      </c>
      <c r="Y2092" t="s">
        <v>30229</v>
      </c>
      <c r="Z2092" t="s">
        <v>30229</v>
      </c>
      <c r="AA2092" t="s">
        <v>30229</v>
      </c>
      <c r="AB2092" t="s">
        <v>30229</v>
      </c>
      <c r="AC2092" t="s">
        <v>30229</v>
      </c>
    </row>
    <row r="2093" spans="1:30">
      <c r="A2093" t="s">
        <v>30230</v>
      </c>
      <c r="B2093">
        <v>11</v>
      </c>
      <c r="C2093">
        <v>18</v>
      </c>
      <c r="D2093">
        <v>1974</v>
      </c>
      <c r="E2093" s="1">
        <v>27351</v>
      </c>
      <c r="F2093" t="s">
        <v>30231</v>
      </c>
      <c r="G2093">
        <v>0</v>
      </c>
      <c r="H2093">
        <v>1</v>
      </c>
      <c r="I2093">
        <v>1</v>
      </c>
      <c r="J2093">
        <v>0</v>
      </c>
      <c r="L2093" t="s">
        <v>30232</v>
      </c>
      <c r="M2093" t="s">
        <v>30233</v>
      </c>
      <c r="N2093" t="s">
        <v>30234</v>
      </c>
      <c r="O2093" t="s">
        <v>30235</v>
      </c>
      <c r="P2093" t="s">
        <v>30236</v>
      </c>
      <c r="Q2093" t="s">
        <v>30236</v>
      </c>
      <c r="R2093" t="s">
        <v>30237</v>
      </c>
      <c r="S2093" t="s">
        <v>30238</v>
      </c>
      <c r="T2093" s="2">
        <v>0.625</v>
      </c>
      <c r="U2093">
        <v>1</v>
      </c>
      <c r="V2093" t="s">
        <v>30239</v>
      </c>
      <c r="W2093" t="s">
        <v>30240</v>
      </c>
      <c r="X2093" t="s">
        <v>30241</v>
      </c>
      <c r="Y2093" t="s">
        <v>30242</v>
      </c>
      <c r="Z2093" t="s">
        <v>30242</v>
      </c>
      <c r="AA2093" t="s">
        <v>30242</v>
      </c>
      <c r="AB2093" t="s">
        <v>30242</v>
      </c>
      <c r="AC2093" t="s">
        <v>30242</v>
      </c>
    </row>
    <row r="2094" spans="1:30">
      <c r="A2094" t="s">
        <v>30243</v>
      </c>
      <c r="B2094">
        <v>10</v>
      </c>
      <c r="C2094">
        <v>21</v>
      </c>
      <c r="D2094">
        <v>1974</v>
      </c>
      <c r="E2094" s="1">
        <v>27323</v>
      </c>
      <c r="F2094" t="s">
        <v>30244</v>
      </c>
      <c r="G2094">
        <v>0</v>
      </c>
      <c r="H2094">
        <v>1</v>
      </c>
      <c r="I2094">
        <v>1</v>
      </c>
      <c r="J2094">
        <v>0</v>
      </c>
      <c r="L2094" t="s">
        <v>30245</v>
      </c>
      <c r="M2094" t="s">
        <v>30246</v>
      </c>
      <c r="N2094" t="s">
        <v>30247</v>
      </c>
      <c r="O2094" t="s">
        <v>30248</v>
      </c>
      <c r="P2094" t="s">
        <v>30249</v>
      </c>
      <c r="Q2094" t="s">
        <v>30249</v>
      </c>
      <c r="R2094" t="s">
        <v>30250</v>
      </c>
      <c r="S2094" t="s">
        <v>30251</v>
      </c>
      <c r="U2094">
        <v>1</v>
      </c>
      <c r="V2094" t="s">
        <v>30252</v>
      </c>
      <c r="W2094" t="s">
        <v>30253</v>
      </c>
      <c r="X2094" t="s">
        <v>30254</v>
      </c>
      <c r="Y2094" t="s">
        <v>30255</v>
      </c>
      <c r="Z2094" t="s">
        <v>30256</v>
      </c>
      <c r="AA2094" t="s">
        <v>30256</v>
      </c>
      <c r="AB2094" t="s">
        <v>30256</v>
      </c>
      <c r="AC2094" t="s">
        <v>30256</v>
      </c>
    </row>
    <row r="2095" spans="1:30">
      <c r="A2095" t="s">
        <v>30257</v>
      </c>
      <c r="B2095">
        <v>10</v>
      </c>
      <c r="C2095">
        <v>7</v>
      </c>
      <c r="D2095">
        <v>1974</v>
      </c>
      <c r="E2095" s="1">
        <v>27309</v>
      </c>
      <c r="F2095" t="s">
        <v>30258</v>
      </c>
      <c r="G2095">
        <v>1</v>
      </c>
      <c r="H2095">
        <v>1</v>
      </c>
      <c r="I2095">
        <v>2</v>
      </c>
      <c r="J2095">
        <v>0</v>
      </c>
      <c r="L2095" t="s">
        <v>30259</v>
      </c>
      <c r="M2095" t="s">
        <v>30260</v>
      </c>
      <c r="N2095" t="s">
        <v>30261</v>
      </c>
      <c r="O2095" t="s">
        <v>30262</v>
      </c>
      <c r="P2095" t="s">
        <v>30263</v>
      </c>
      <c r="Q2095" t="s">
        <v>30264</v>
      </c>
      <c r="R2095" t="s">
        <v>30265</v>
      </c>
      <c r="S2095" t="s">
        <v>30266</v>
      </c>
      <c r="U2095">
        <v>1</v>
      </c>
      <c r="V2095" t="s">
        <v>30267</v>
      </c>
      <c r="W2095" t="s">
        <v>30268</v>
      </c>
      <c r="X2095" t="s">
        <v>30269</v>
      </c>
      <c r="Y2095" t="s">
        <v>30270</v>
      </c>
      <c r="Z2095" t="s">
        <v>30270</v>
      </c>
      <c r="AA2095" t="s">
        <v>30270</v>
      </c>
      <c r="AB2095" t="s">
        <v>30270</v>
      </c>
      <c r="AC2095" t="s">
        <v>30270</v>
      </c>
    </row>
    <row r="2096" spans="1:30">
      <c r="A2096" t="s">
        <v>30271</v>
      </c>
      <c r="B2096">
        <v>9</v>
      </c>
      <c r="C2096">
        <v>25</v>
      </c>
      <c r="D2096">
        <v>1974</v>
      </c>
      <c r="E2096" s="1">
        <v>27297</v>
      </c>
      <c r="F2096" t="s">
        <v>30272</v>
      </c>
      <c r="G2096">
        <v>0</v>
      </c>
      <c r="H2096">
        <v>1</v>
      </c>
      <c r="I2096">
        <v>1</v>
      </c>
      <c r="J2096">
        <v>0</v>
      </c>
      <c r="L2096" t="s">
        <v>30273</v>
      </c>
      <c r="M2096" t="s">
        <v>30274</v>
      </c>
      <c r="N2096" t="s">
        <v>30275</v>
      </c>
      <c r="O2096" t="s">
        <v>30276</v>
      </c>
      <c r="P2096" t="s">
        <v>30277</v>
      </c>
      <c r="Q2096" t="s">
        <v>30277</v>
      </c>
      <c r="R2096" t="s">
        <v>30278</v>
      </c>
      <c r="U2096">
        <v>1</v>
      </c>
      <c r="V2096" t="s">
        <v>30279</v>
      </c>
      <c r="W2096" t="s">
        <v>30280</v>
      </c>
      <c r="Y2096" t="s">
        <v>30281</v>
      </c>
      <c r="Z2096" t="s">
        <v>30281</v>
      </c>
      <c r="AA2096" t="s">
        <v>30281</v>
      </c>
    </row>
    <row r="2097" spans="1:30">
      <c r="A2097" t="s">
        <v>30282</v>
      </c>
      <c r="B2097">
        <v>9</v>
      </c>
      <c r="C2097">
        <v>23</v>
      </c>
      <c r="D2097">
        <v>1974</v>
      </c>
      <c r="E2097" s="1">
        <v>27295</v>
      </c>
      <c r="F2097" t="s">
        <v>30283</v>
      </c>
      <c r="G2097">
        <v>0</v>
      </c>
      <c r="H2097">
        <v>1</v>
      </c>
      <c r="I2097">
        <v>1</v>
      </c>
      <c r="J2097">
        <v>0</v>
      </c>
      <c r="L2097" t="s">
        <v>30284</v>
      </c>
      <c r="M2097" t="s">
        <v>30285</v>
      </c>
      <c r="N2097" t="s">
        <v>30286</v>
      </c>
      <c r="O2097" t="s">
        <v>30287</v>
      </c>
      <c r="P2097" t="s">
        <v>30288</v>
      </c>
      <c r="Q2097" t="s">
        <v>30289</v>
      </c>
      <c r="R2097" t="s">
        <v>30290</v>
      </c>
      <c r="V2097" t="s">
        <v>30291</v>
      </c>
      <c r="W2097" t="s">
        <v>30292</v>
      </c>
      <c r="X2097" t="s">
        <v>30293</v>
      </c>
      <c r="Y2097" t="s">
        <v>30294</v>
      </c>
      <c r="Z2097" t="s">
        <v>30294</v>
      </c>
      <c r="AA2097" t="s">
        <v>30294</v>
      </c>
      <c r="AC2097" t="s">
        <v>30294</v>
      </c>
    </row>
    <row r="2098" spans="1:30">
      <c r="A2098" t="s">
        <v>30295</v>
      </c>
      <c r="B2098">
        <v>5</v>
      </c>
      <c r="C2098">
        <v>19</v>
      </c>
      <c r="D2098">
        <v>1974</v>
      </c>
      <c r="E2098" s="1">
        <v>27168</v>
      </c>
      <c r="F2098" t="s">
        <v>30296</v>
      </c>
      <c r="G2098">
        <v>0</v>
      </c>
      <c r="H2098">
        <v>0</v>
      </c>
      <c r="I2098">
        <v>0</v>
      </c>
      <c r="J2098">
        <v>0</v>
      </c>
      <c r="L2098" t="s">
        <v>30297</v>
      </c>
      <c r="M2098" t="s">
        <v>30298</v>
      </c>
      <c r="N2098" t="s">
        <v>30299</v>
      </c>
      <c r="O2098" t="s">
        <v>30300</v>
      </c>
      <c r="P2098" t="s">
        <v>30301</v>
      </c>
      <c r="Q2098" t="s">
        <v>30301</v>
      </c>
      <c r="R2098" t="s">
        <v>30302</v>
      </c>
      <c r="S2098" t="s">
        <v>30303</v>
      </c>
      <c r="U2098">
        <v>1</v>
      </c>
      <c r="V2098" t="s">
        <v>30304</v>
      </c>
      <c r="W2098" t="s">
        <v>30305</v>
      </c>
      <c r="X2098" t="s">
        <v>30306</v>
      </c>
      <c r="Y2098" t="s">
        <v>30307</v>
      </c>
      <c r="Z2098" t="s">
        <v>30307</v>
      </c>
      <c r="AA2098" t="s">
        <v>30307</v>
      </c>
      <c r="AB2098" t="s">
        <v>30307</v>
      </c>
      <c r="AC2098" t="s">
        <v>30308</v>
      </c>
    </row>
    <row r="2099" spans="1:30">
      <c r="A2099" t="s">
        <v>30309</v>
      </c>
      <c r="B2099">
        <v>5</v>
      </c>
      <c r="C2099">
        <v>10</v>
      </c>
      <c r="D2099">
        <v>1974</v>
      </c>
      <c r="E2099" s="1">
        <v>27159</v>
      </c>
      <c r="F2099" t="s">
        <v>30310</v>
      </c>
      <c r="G2099">
        <v>1</v>
      </c>
      <c r="H2099">
        <v>0</v>
      </c>
      <c r="I2099">
        <v>1</v>
      </c>
      <c r="J2099">
        <v>0</v>
      </c>
      <c r="L2099" t="s">
        <v>30311</v>
      </c>
      <c r="M2099" t="s">
        <v>30312</v>
      </c>
      <c r="N2099" t="s">
        <v>30313</v>
      </c>
      <c r="O2099" t="s">
        <v>30314</v>
      </c>
      <c r="P2099" t="s">
        <v>30315</v>
      </c>
      <c r="Q2099" t="s">
        <v>30316</v>
      </c>
      <c r="R2099" t="s">
        <v>30317</v>
      </c>
      <c r="S2099" t="s">
        <v>30318</v>
      </c>
      <c r="U2099">
        <v>1</v>
      </c>
      <c r="V2099" t="s">
        <v>30319</v>
      </c>
      <c r="W2099" t="s">
        <v>30320</v>
      </c>
      <c r="X2099" t="s">
        <v>30321</v>
      </c>
      <c r="Z2099" t="s">
        <v>30322</v>
      </c>
      <c r="AA2099" t="s">
        <v>30322</v>
      </c>
      <c r="AB2099" t="s">
        <v>30322</v>
      </c>
      <c r="AC2099" t="s">
        <v>30322</v>
      </c>
    </row>
    <row r="2100" spans="1:30">
      <c r="A2100" t="s">
        <v>30323</v>
      </c>
      <c r="B2100">
        <v>4</v>
      </c>
      <c r="C2100">
        <v>2</v>
      </c>
      <c r="D2100">
        <v>1974</v>
      </c>
      <c r="E2100" s="1">
        <v>27121</v>
      </c>
      <c r="F2100" t="s">
        <v>30324</v>
      </c>
      <c r="G2100">
        <v>0</v>
      </c>
      <c r="H2100">
        <v>2</v>
      </c>
      <c r="I2100">
        <v>2</v>
      </c>
      <c r="J2100">
        <v>0</v>
      </c>
      <c r="L2100" t="s">
        <v>30325</v>
      </c>
      <c r="M2100" t="s">
        <v>30326</v>
      </c>
      <c r="N2100" t="s">
        <v>30327</v>
      </c>
      <c r="O2100" t="s">
        <v>30328</v>
      </c>
      <c r="P2100" t="s">
        <v>30329</v>
      </c>
      <c r="Q2100" t="s">
        <v>30330</v>
      </c>
      <c r="R2100" t="s">
        <v>30331</v>
      </c>
      <c r="S2100" t="s">
        <v>30332</v>
      </c>
      <c r="T2100" s="2">
        <v>0.55208333333333326</v>
      </c>
      <c r="U2100">
        <v>1</v>
      </c>
      <c r="V2100" t="s">
        <v>30333</v>
      </c>
      <c r="W2100" t="s">
        <v>30334</v>
      </c>
      <c r="Y2100" t="s">
        <v>30335</v>
      </c>
      <c r="Z2100" t="s">
        <v>30335</v>
      </c>
      <c r="AA2100" t="s">
        <v>30335</v>
      </c>
      <c r="AB2100" t="s">
        <v>30335</v>
      </c>
    </row>
    <row r="2101" spans="1:30">
      <c r="A2101" t="s">
        <v>30336</v>
      </c>
      <c r="B2101">
        <v>3</v>
      </c>
      <c r="C2101">
        <v>22</v>
      </c>
      <c r="D2101">
        <v>1974</v>
      </c>
      <c r="E2101" s="1">
        <v>27110</v>
      </c>
      <c r="F2101" t="s">
        <v>30337</v>
      </c>
      <c r="G2101">
        <v>1</v>
      </c>
      <c r="H2101">
        <v>0</v>
      </c>
      <c r="I2101">
        <v>1</v>
      </c>
      <c r="J2101">
        <v>0</v>
      </c>
      <c r="L2101" t="s">
        <v>30338</v>
      </c>
      <c r="M2101" t="s">
        <v>30339</v>
      </c>
      <c r="N2101" t="s">
        <v>30340</v>
      </c>
      <c r="O2101" t="s">
        <v>30341</v>
      </c>
      <c r="P2101" t="s">
        <v>30342</v>
      </c>
      <c r="Q2101" t="s">
        <v>30343</v>
      </c>
      <c r="R2101" t="s">
        <v>30344</v>
      </c>
      <c r="S2101" t="s">
        <v>30345</v>
      </c>
      <c r="T2101" s="2">
        <v>0.33333333333333331</v>
      </c>
      <c r="U2101">
        <v>1</v>
      </c>
      <c r="V2101" t="s">
        <v>30346</v>
      </c>
      <c r="W2101" t="s">
        <v>30347</v>
      </c>
      <c r="X2101" t="s">
        <v>30348</v>
      </c>
      <c r="Y2101" t="s">
        <v>30349</v>
      </c>
      <c r="Z2101" t="s">
        <v>30349</v>
      </c>
      <c r="AA2101" t="s">
        <v>30349</v>
      </c>
      <c r="AB2101" t="s">
        <v>30349</v>
      </c>
      <c r="AC2101" t="s">
        <v>30349</v>
      </c>
    </row>
    <row r="2102" spans="1:30">
      <c r="A2102" t="s">
        <v>30350</v>
      </c>
      <c r="B2102">
        <v>2</v>
      </c>
      <c r="C2102">
        <v>7</v>
      </c>
      <c r="D2102">
        <v>1974</v>
      </c>
      <c r="E2102" s="1">
        <v>27067</v>
      </c>
      <c r="F2102" t="s">
        <v>30351</v>
      </c>
      <c r="G2102">
        <v>2</v>
      </c>
      <c r="H2102">
        <v>0</v>
      </c>
      <c r="I2102">
        <v>2</v>
      </c>
      <c r="J2102">
        <v>0</v>
      </c>
      <c r="L2102" t="s">
        <v>30352</v>
      </c>
      <c r="M2102" t="s">
        <v>30353</v>
      </c>
      <c r="N2102" t="s">
        <v>30354</v>
      </c>
      <c r="O2102" t="s">
        <v>30355</v>
      </c>
      <c r="P2102" t="s">
        <v>30356</v>
      </c>
      <c r="Q2102" t="s">
        <v>30357</v>
      </c>
      <c r="R2102" t="s">
        <v>30358</v>
      </c>
      <c r="S2102" t="s">
        <v>30359</v>
      </c>
      <c r="V2102" t="s">
        <v>30360</v>
      </c>
      <c r="W2102" t="s">
        <v>30361</v>
      </c>
      <c r="X2102" t="s">
        <v>30362</v>
      </c>
      <c r="Y2102" t="s">
        <v>30363</v>
      </c>
      <c r="Z2102" t="s">
        <v>30363</v>
      </c>
      <c r="AA2102" t="s">
        <v>30363</v>
      </c>
      <c r="AB2102" t="s">
        <v>30363</v>
      </c>
      <c r="AC2102" t="s">
        <v>30363</v>
      </c>
      <c r="AD2102" t="s">
        <v>30364</v>
      </c>
    </row>
    <row r="2103" spans="1:30">
      <c r="A2103" t="s">
        <v>30365</v>
      </c>
      <c r="B2103">
        <v>1</v>
      </c>
      <c r="C2103">
        <v>22</v>
      </c>
      <c r="D2103">
        <v>1974</v>
      </c>
      <c r="E2103" s="1">
        <v>27051</v>
      </c>
      <c r="F2103" t="s">
        <v>30366</v>
      </c>
      <c r="G2103">
        <v>1</v>
      </c>
      <c r="H2103">
        <v>0</v>
      </c>
      <c r="I2103">
        <v>1</v>
      </c>
      <c r="J2103">
        <v>0</v>
      </c>
      <c r="L2103" t="s">
        <v>30367</v>
      </c>
      <c r="M2103" t="s">
        <v>30368</v>
      </c>
      <c r="N2103" t="s">
        <v>30369</v>
      </c>
      <c r="O2103" t="s">
        <v>30370</v>
      </c>
      <c r="P2103" t="s">
        <v>30371</v>
      </c>
      <c r="Q2103" t="s">
        <v>30372</v>
      </c>
      <c r="R2103" t="s">
        <v>30373</v>
      </c>
      <c r="U2103">
        <v>1</v>
      </c>
      <c r="V2103" t="s">
        <v>30374</v>
      </c>
      <c r="W2103" t="s">
        <v>30375</v>
      </c>
      <c r="X2103" t="s">
        <v>30376</v>
      </c>
      <c r="Y2103" t="s">
        <v>30377</v>
      </c>
      <c r="Z2103" t="s">
        <v>30377</v>
      </c>
      <c r="AA2103" t="s">
        <v>30377</v>
      </c>
      <c r="AB2103" t="s">
        <v>30377</v>
      </c>
      <c r="AC2103" t="s">
        <v>30377</v>
      </c>
    </row>
    <row r="2104" spans="1:30">
      <c r="A2104" t="s">
        <v>30378</v>
      </c>
      <c r="B2104">
        <v>1</v>
      </c>
      <c r="C2104">
        <v>17</v>
      </c>
      <c r="D2104">
        <v>1974</v>
      </c>
      <c r="E2104" s="1">
        <v>27046</v>
      </c>
      <c r="F2104" t="s">
        <v>30379</v>
      </c>
      <c r="G2104">
        <v>1</v>
      </c>
      <c r="H2104">
        <v>2</v>
      </c>
      <c r="I2104">
        <v>3</v>
      </c>
      <c r="J2104">
        <v>0</v>
      </c>
      <c r="L2104" t="s">
        <v>30380</v>
      </c>
      <c r="M2104" t="s">
        <v>30381</v>
      </c>
      <c r="N2104" t="s">
        <v>30382</v>
      </c>
      <c r="O2104" t="s">
        <v>30383</v>
      </c>
      <c r="P2104" t="s">
        <v>30384</v>
      </c>
      <c r="Q2104" t="s">
        <v>30385</v>
      </c>
      <c r="R2104" t="s">
        <v>30386</v>
      </c>
      <c r="V2104" t="s">
        <v>30387</v>
      </c>
      <c r="W2104" t="s">
        <v>30388</v>
      </c>
      <c r="X2104" t="s">
        <v>30389</v>
      </c>
      <c r="Y2104" t="s">
        <v>30390</v>
      </c>
      <c r="Z2104" t="s">
        <v>30390</v>
      </c>
      <c r="AA2104" t="s">
        <v>30390</v>
      </c>
      <c r="AC2104" t="s">
        <v>30390</v>
      </c>
      <c r="AD2104" t="s">
        <v>30391</v>
      </c>
    </row>
    <row r="2105" spans="1:30">
      <c r="A2105" t="s">
        <v>30392</v>
      </c>
      <c r="B2105">
        <v>12</v>
      </c>
      <c r="C2105">
        <v>13</v>
      </c>
      <c r="D2105">
        <v>1973</v>
      </c>
      <c r="E2105" s="1">
        <v>27011</v>
      </c>
      <c r="F2105" t="s">
        <v>30393</v>
      </c>
      <c r="G2105">
        <v>0</v>
      </c>
      <c r="H2105">
        <v>1</v>
      </c>
      <c r="I2105">
        <v>1</v>
      </c>
      <c r="J2105">
        <v>0</v>
      </c>
      <c r="L2105" t="s">
        <v>30394</v>
      </c>
      <c r="M2105" t="s">
        <v>30395</v>
      </c>
      <c r="N2105" t="s">
        <v>30396</v>
      </c>
      <c r="O2105" t="s">
        <v>30397</v>
      </c>
      <c r="P2105" t="s">
        <v>30398</v>
      </c>
      <c r="Q2105" t="s">
        <v>30399</v>
      </c>
      <c r="R2105" t="s">
        <v>30400</v>
      </c>
      <c r="S2105" t="s">
        <v>30401</v>
      </c>
      <c r="T2105" s="2">
        <v>0.54861111111111105</v>
      </c>
      <c r="U2105">
        <v>1</v>
      </c>
      <c r="V2105" t="s">
        <v>30402</v>
      </c>
      <c r="W2105" t="s">
        <v>30403</v>
      </c>
      <c r="X2105" t="s">
        <v>30404</v>
      </c>
      <c r="Y2105" t="s">
        <v>30405</v>
      </c>
      <c r="Z2105" t="s">
        <v>30406</v>
      </c>
      <c r="AA2105" t="s">
        <v>30406</v>
      </c>
      <c r="AB2105" t="s">
        <v>30406</v>
      </c>
      <c r="AC2105" t="s">
        <v>30406</v>
      </c>
    </row>
    <row r="2106" spans="1:30">
      <c r="A2106" t="s">
        <v>30407</v>
      </c>
      <c r="B2106">
        <v>12</v>
      </c>
      <c r="C2106">
        <v>6</v>
      </c>
      <c r="D2106">
        <v>1973</v>
      </c>
      <c r="E2106" s="1">
        <v>27004</v>
      </c>
      <c r="F2106" t="s">
        <v>30408</v>
      </c>
      <c r="G2106">
        <v>0</v>
      </c>
      <c r="H2106">
        <v>1</v>
      </c>
      <c r="I2106">
        <v>1</v>
      </c>
      <c r="J2106">
        <v>0</v>
      </c>
      <c r="L2106" t="s">
        <v>30409</v>
      </c>
      <c r="M2106" t="s">
        <v>30410</v>
      </c>
      <c r="N2106" t="s">
        <v>30411</v>
      </c>
      <c r="O2106" t="s">
        <v>30412</v>
      </c>
      <c r="P2106" t="s">
        <v>30413</v>
      </c>
      <c r="Q2106" t="s">
        <v>30414</v>
      </c>
      <c r="R2106" t="s">
        <v>30415</v>
      </c>
      <c r="U2106">
        <v>1</v>
      </c>
      <c r="V2106" t="s">
        <v>30416</v>
      </c>
      <c r="W2106" t="s">
        <v>30417</v>
      </c>
      <c r="X2106" t="s">
        <v>30418</v>
      </c>
      <c r="Y2106" t="s">
        <v>30419</v>
      </c>
      <c r="Z2106" t="s">
        <v>30420</v>
      </c>
      <c r="AA2106" t="s">
        <v>30420</v>
      </c>
      <c r="AB2106" t="s">
        <v>30420</v>
      </c>
      <c r="AC2106" t="s">
        <v>30420</v>
      </c>
    </row>
    <row r="2107" spans="1:30">
      <c r="A2107" t="s">
        <v>30421</v>
      </c>
      <c r="B2107">
        <v>11</v>
      </c>
      <c r="C2107">
        <v>9</v>
      </c>
      <c r="D2107">
        <v>1973</v>
      </c>
      <c r="E2107" s="1">
        <v>26977</v>
      </c>
      <c r="F2107" t="s">
        <v>30422</v>
      </c>
      <c r="G2107">
        <v>1</v>
      </c>
      <c r="H2107">
        <v>1</v>
      </c>
      <c r="I2107">
        <v>2</v>
      </c>
      <c r="J2107">
        <v>0</v>
      </c>
      <c r="L2107" t="s">
        <v>30423</v>
      </c>
      <c r="M2107" t="s">
        <v>30424</v>
      </c>
      <c r="N2107" t="s">
        <v>30425</v>
      </c>
      <c r="O2107" t="s">
        <v>30426</v>
      </c>
      <c r="P2107" t="s">
        <v>30427</v>
      </c>
      <c r="Q2107" t="s">
        <v>30428</v>
      </c>
      <c r="U2107">
        <v>1</v>
      </c>
      <c r="V2107" t="s">
        <v>30429</v>
      </c>
      <c r="W2107" t="s">
        <v>30430</v>
      </c>
      <c r="Y2107" t="s">
        <v>30431</v>
      </c>
      <c r="Z2107" t="s">
        <v>30432</v>
      </c>
      <c r="AA2107" t="s">
        <v>30432</v>
      </c>
      <c r="AB2107" t="s">
        <v>30432</v>
      </c>
    </row>
    <row r="2108" spans="1:30">
      <c r="A2108" t="s">
        <v>30433</v>
      </c>
      <c r="B2108">
        <v>11</v>
      </c>
      <c r="C2108">
        <v>8</v>
      </c>
      <c r="D2108">
        <v>1973</v>
      </c>
      <c r="E2108" s="1">
        <v>26976</v>
      </c>
      <c r="F2108" t="s">
        <v>30434</v>
      </c>
      <c r="G2108">
        <v>1</v>
      </c>
      <c r="H2108">
        <v>0</v>
      </c>
      <c r="I2108">
        <v>1</v>
      </c>
      <c r="J2108">
        <v>0</v>
      </c>
      <c r="L2108" t="s">
        <v>30435</v>
      </c>
      <c r="M2108" t="s">
        <v>30436</v>
      </c>
      <c r="N2108" t="s">
        <v>30437</v>
      </c>
      <c r="O2108" t="s">
        <v>30438</v>
      </c>
      <c r="P2108" t="s">
        <v>30439</v>
      </c>
      <c r="Q2108" t="s">
        <v>30440</v>
      </c>
      <c r="R2108" t="s">
        <v>30441</v>
      </c>
      <c r="S2108" t="s">
        <v>30442</v>
      </c>
      <c r="T2108" s="2">
        <v>0.41666666666666669</v>
      </c>
      <c r="U2108">
        <v>1</v>
      </c>
      <c r="V2108" t="s">
        <v>30443</v>
      </c>
      <c r="W2108" t="s">
        <v>30444</v>
      </c>
      <c r="X2108" t="s">
        <v>30445</v>
      </c>
      <c r="Y2108" t="s">
        <v>30446</v>
      </c>
      <c r="Z2108" t="s">
        <v>30446</v>
      </c>
      <c r="AA2108" t="s">
        <v>30446</v>
      </c>
      <c r="AB2108" t="s">
        <v>30446</v>
      </c>
      <c r="AC2108" t="s">
        <v>30446</v>
      </c>
    </row>
    <row r="2109" spans="1:30">
      <c r="A2109" t="s">
        <v>30447</v>
      </c>
      <c r="B2109">
        <v>10</v>
      </c>
      <c r="C2109">
        <v>31</v>
      </c>
      <c r="D2109">
        <v>1973</v>
      </c>
      <c r="E2109" s="1">
        <v>26968</v>
      </c>
      <c r="F2109" t="s">
        <v>30448</v>
      </c>
      <c r="G2109">
        <v>0</v>
      </c>
      <c r="H2109">
        <v>1</v>
      </c>
      <c r="I2109">
        <v>1</v>
      </c>
      <c r="J2109">
        <v>0</v>
      </c>
      <c r="L2109" t="s">
        <v>30449</v>
      </c>
      <c r="M2109" t="s">
        <v>30450</v>
      </c>
      <c r="N2109" t="s">
        <v>30451</v>
      </c>
      <c r="O2109" t="s">
        <v>30452</v>
      </c>
      <c r="P2109" t="s">
        <v>30453</v>
      </c>
      <c r="Q2109" t="s">
        <v>30454</v>
      </c>
      <c r="R2109" t="s">
        <v>30455</v>
      </c>
      <c r="U2109">
        <v>1</v>
      </c>
      <c r="V2109" t="s">
        <v>30456</v>
      </c>
      <c r="W2109" t="s">
        <v>30457</v>
      </c>
      <c r="X2109" t="s">
        <v>30458</v>
      </c>
      <c r="Y2109" t="s">
        <v>30459</v>
      </c>
      <c r="Z2109" t="s">
        <v>30459</v>
      </c>
      <c r="AA2109" t="s">
        <v>30459</v>
      </c>
      <c r="AB2109" t="s">
        <v>30459</v>
      </c>
      <c r="AC2109" t="s">
        <v>30459</v>
      </c>
    </row>
    <row r="2110" spans="1:30">
      <c r="A2110" t="s">
        <v>30460</v>
      </c>
      <c r="B2110">
        <v>10</v>
      </c>
      <c r="C2110">
        <v>24</v>
      </c>
      <c r="D2110">
        <v>1973</v>
      </c>
      <c r="E2110" s="1">
        <v>26961</v>
      </c>
      <c r="F2110" t="s">
        <v>30461</v>
      </c>
      <c r="G2110">
        <v>0</v>
      </c>
      <c r="H2110">
        <v>1</v>
      </c>
      <c r="I2110">
        <v>1</v>
      </c>
      <c r="J2110">
        <v>0</v>
      </c>
      <c r="L2110" t="s">
        <v>30462</v>
      </c>
      <c r="M2110" t="s">
        <v>30463</v>
      </c>
      <c r="N2110" t="s">
        <v>30464</v>
      </c>
      <c r="O2110" t="s">
        <v>30465</v>
      </c>
      <c r="P2110" t="s">
        <v>30466</v>
      </c>
      <c r="Q2110" t="s">
        <v>30466</v>
      </c>
      <c r="R2110" t="s">
        <v>30467</v>
      </c>
      <c r="U2110">
        <v>1</v>
      </c>
      <c r="V2110" t="s">
        <v>30468</v>
      </c>
      <c r="W2110" t="s">
        <v>30469</v>
      </c>
      <c r="X2110" t="s">
        <v>30470</v>
      </c>
      <c r="Y2110" t="s">
        <v>30471</v>
      </c>
      <c r="Z2110" t="s">
        <v>30472</v>
      </c>
      <c r="AA2110" t="s">
        <v>30472</v>
      </c>
      <c r="AB2110" t="s">
        <v>30472</v>
      </c>
      <c r="AC2110" t="s">
        <v>30472</v>
      </c>
    </row>
    <row r="2111" spans="1:30">
      <c r="A2111" t="s">
        <v>30473</v>
      </c>
      <c r="B2111">
        <v>10</v>
      </c>
      <c r="C2111">
        <v>23</v>
      </c>
      <c r="D2111">
        <v>1973</v>
      </c>
      <c r="E2111" s="1">
        <v>26960</v>
      </c>
      <c r="F2111" t="s">
        <v>30474</v>
      </c>
      <c r="G2111">
        <v>0</v>
      </c>
      <c r="H2111">
        <v>1</v>
      </c>
      <c r="I2111">
        <v>1</v>
      </c>
      <c r="J2111">
        <v>0</v>
      </c>
      <c r="L2111" t="s">
        <v>30475</v>
      </c>
      <c r="M2111" t="s">
        <v>30476</v>
      </c>
      <c r="N2111" t="s">
        <v>30477</v>
      </c>
      <c r="O2111" t="s">
        <v>30478</v>
      </c>
      <c r="P2111" t="s">
        <v>30479</v>
      </c>
      <c r="Q2111" t="s">
        <v>30480</v>
      </c>
      <c r="R2111" t="s">
        <v>30481</v>
      </c>
      <c r="S2111" t="s">
        <v>30482</v>
      </c>
      <c r="T2111" s="2">
        <v>0.54166666666666663</v>
      </c>
      <c r="U2111">
        <v>1</v>
      </c>
      <c r="V2111" t="s">
        <v>30483</v>
      </c>
      <c r="W2111" t="s">
        <v>30484</v>
      </c>
      <c r="X2111" t="s">
        <v>30485</v>
      </c>
      <c r="Y2111" t="s">
        <v>30486</v>
      </c>
      <c r="Z2111" t="s">
        <v>30487</v>
      </c>
      <c r="AA2111" t="s">
        <v>30487</v>
      </c>
      <c r="AB2111" t="s">
        <v>30487</v>
      </c>
      <c r="AC2111" t="s">
        <v>30487</v>
      </c>
    </row>
    <row r="2112" spans="1:30">
      <c r="A2112" t="s">
        <v>30488</v>
      </c>
      <c r="B2112">
        <v>10</v>
      </c>
      <c r="C2112">
        <v>23</v>
      </c>
      <c r="D2112">
        <v>1973</v>
      </c>
      <c r="E2112" s="1">
        <v>26960</v>
      </c>
      <c r="F2112" t="s">
        <v>30489</v>
      </c>
      <c r="G2112">
        <v>0</v>
      </c>
      <c r="H2112">
        <v>1</v>
      </c>
      <c r="I2112">
        <v>1</v>
      </c>
      <c r="J2112">
        <v>0</v>
      </c>
      <c r="L2112" t="s">
        <v>30490</v>
      </c>
      <c r="M2112" t="s">
        <v>30491</v>
      </c>
      <c r="N2112" t="s">
        <v>30492</v>
      </c>
      <c r="O2112" t="s">
        <v>30493</v>
      </c>
      <c r="P2112" t="s">
        <v>30494</v>
      </c>
      <c r="Q2112" t="s">
        <v>30495</v>
      </c>
      <c r="R2112" t="s">
        <v>30496</v>
      </c>
      <c r="S2112" t="s">
        <v>30497</v>
      </c>
      <c r="T2112" s="2">
        <v>0.5</v>
      </c>
      <c r="U2112">
        <v>1</v>
      </c>
      <c r="V2112" t="s">
        <v>30498</v>
      </c>
      <c r="W2112" t="s">
        <v>30499</v>
      </c>
      <c r="X2112" t="s">
        <v>30500</v>
      </c>
      <c r="Y2112" t="s">
        <v>30501</v>
      </c>
      <c r="Z2112" t="s">
        <v>30501</v>
      </c>
      <c r="AA2112" t="s">
        <v>30501</v>
      </c>
      <c r="AB2112" t="s">
        <v>30501</v>
      </c>
      <c r="AC2112" t="s">
        <v>30501</v>
      </c>
      <c r="AD2112" t="s">
        <v>30502</v>
      </c>
    </row>
    <row r="2113" spans="1:30">
      <c r="A2113" t="s">
        <v>30503</v>
      </c>
      <c r="B2113">
        <v>10</v>
      </c>
      <c r="C2113">
        <v>19</v>
      </c>
      <c r="D2113">
        <v>1973</v>
      </c>
      <c r="E2113" s="1">
        <v>26956</v>
      </c>
      <c r="F2113" t="s">
        <v>30504</v>
      </c>
      <c r="G2113">
        <v>1</v>
      </c>
      <c r="H2113">
        <v>0</v>
      </c>
      <c r="I2113">
        <v>1</v>
      </c>
      <c r="J2113">
        <v>0</v>
      </c>
      <c r="L2113" t="s">
        <v>30505</v>
      </c>
      <c r="M2113" t="s">
        <v>30506</v>
      </c>
      <c r="N2113" t="s">
        <v>30507</v>
      </c>
      <c r="O2113" t="s">
        <v>30508</v>
      </c>
      <c r="P2113" t="s">
        <v>30509</v>
      </c>
      <c r="Q2113" t="s">
        <v>30509</v>
      </c>
      <c r="R2113" t="s">
        <v>30510</v>
      </c>
      <c r="S2113" t="s">
        <v>30511</v>
      </c>
      <c r="V2113" t="s">
        <v>30512</v>
      </c>
      <c r="W2113" t="s">
        <v>30513</v>
      </c>
      <c r="Y2113" t="s">
        <v>30514</v>
      </c>
      <c r="Z2113" t="s">
        <v>30514</v>
      </c>
      <c r="AA2113" t="s">
        <v>30514</v>
      </c>
      <c r="AB2113" t="s">
        <v>30514</v>
      </c>
      <c r="AC2113" t="s">
        <v>30514</v>
      </c>
    </row>
    <row r="2114" spans="1:30">
      <c r="A2114" t="s">
        <v>30515</v>
      </c>
      <c r="B2114">
        <v>10</v>
      </c>
      <c r="C2114">
        <v>2</v>
      </c>
      <c r="D2114">
        <v>1973</v>
      </c>
      <c r="E2114" s="1">
        <v>26939</v>
      </c>
      <c r="F2114" t="s">
        <v>30516</v>
      </c>
      <c r="G2114">
        <v>1</v>
      </c>
      <c r="H2114">
        <v>0</v>
      </c>
      <c r="I2114">
        <v>1</v>
      </c>
      <c r="J2114">
        <v>1</v>
      </c>
      <c r="L2114" t="s">
        <v>30517</v>
      </c>
      <c r="M2114" t="s">
        <v>30518</v>
      </c>
      <c r="N2114" t="s">
        <v>30519</v>
      </c>
      <c r="O2114" t="s">
        <v>30520</v>
      </c>
      <c r="P2114" t="s">
        <v>30521</v>
      </c>
      <c r="Q2114" t="s">
        <v>30522</v>
      </c>
      <c r="R2114" t="s">
        <v>30523</v>
      </c>
      <c r="S2114" t="s">
        <v>30524</v>
      </c>
      <c r="U2114">
        <v>1</v>
      </c>
      <c r="V2114" t="s">
        <v>30525</v>
      </c>
      <c r="W2114" t="s">
        <v>30526</v>
      </c>
      <c r="X2114" t="s">
        <v>30527</v>
      </c>
      <c r="Y2114" t="s">
        <v>30528</v>
      </c>
      <c r="Z2114" t="s">
        <v>30528</v>
      </c>
      <c r="AA2114" t="s">
        <v>30528</v>
      </c>
      <c r="AB2114" t="s">
        <v>30528</v>
      </c>
      <c r="AC2114" t="s">
        <v>30529</v>
      </c>
      <c r="AD2114" t="s">
        <v>30529</v>
      </c>
    </row>
    <row r="2115" spans="1:30">
      <c r="A2115" t="s">
        <v>30530</v>
      </c>
      <c r="B2115">
        <v>9</v>
      </c>
      <c r="C2115">
        <v>28</v>
      </c>
      <c r="D2115">
        <v>1973</v>
      </c>
      <c r="E2115" s="1">
        <v>26935</v>
      </c>
      <c r="F2115" t="s">
        <v>30531</v>
      </c>
      <c r="G2115">
        <v>0</v>
      </c>
      <c r="H2115">
        <v>3</v>
      </c>
      <c r="I2115">
        <v>3</v>
      </c>
      <c r="J2115">
        <v>0</v>
      </c>
      <c r="L2115" t="s">
        <v>30532</v>
      </c>
      <c r="M2115" t="s">
        <v>30533</v>
      </c>
      <c r="N2115" t="s">
        <v>30534</v>
      </c>
      <c r="O2115" t="s">
        <v>30535</v>
      </c>
      <c r="P2115" t="s">
        <v>30536</v>
      </c>
      <c r="Q2115" t="s">
        <v>30537</v>
      </c>
      <c r="R2115" t="s">
        <v>30538</v>
      </c>
      <c r="S2115" t="s">
        <v>30539</v>
      </c>
      <c r="T2115" s="2">
        <v>0.4375</v>
      </c>
      <c r="U2115">
        <v>1</v>
      </c>
      <c r="V2115" t="s">
        <v>30540</v>
      </c>
      <c r="W2115" t="s">
        <v>30541</v>
      </c>
      <c r="X2115" t="s">
        <v>30542</v>
      </c>
      <c r="Y2115" t="s">
        <v>30543</v>
      </c>
      <c r="Z2115" t="s">
        <v>30543</v>
      </c>
      <c r="AA2115" t="s">
        <v>30543</v>
      </c>
      <c r="AB2115" t="s">
        <v>30543</v>
      </c>
      <c r="AC2115" t="s">
        <v>30543</v>
      </c>
    </row>
    <row r="2116" spans="1:30">
      <c r="A2116" t="s">
        <v>30544</v>
      </c>
      <c r="B2116">
        <v>5</v>
      </c>
      <c r="C2116">
        <v>1</v>
      </c>
      <c r="D2116">
        <v>1973</v>
      </c>
      <c r="E2116" s="1">
        <v>26785</v>
      </c>
      <c r="F2116" t="s">
        <v>30545</v>
      </c>
      <c r="G2116">
        <v>0</v>
      </c>
      <c r="H2116">
        <v>3</v>
      </c>
      <c r="I2116">
        <v>3</v>
      </c>
      <c r="J2116">
        <v>0</v>
      </c>
      <c r="L2116" t="s">
        <v>30546</v>
      </c>
      <c r="M2116" t="s">
        <v>30547</v>
      </c>
      <c r="N2116" t="s">
        <v>30548</v>
      </c>
      <c r="O2116" t="s">
        <v>30549</v>
      </c>
      <c r="P2116" t="s">
        <v>30550</v>
      </c>
      <c r="Q2116" t="s">
        <v>30551</v>
      </c>
      <c r="R2116" t="s">
        <v>30552</v>
      </c>
      <c r="U2116">
        <v>1</v>
      </c>
      <c r="V2116" t="s">
        <v>30553</v>
      </c>
      <c r="W2116" t="s">
        <v>30554</v>
      </c>
      <c r="X2116" t="s">
        <v>30555</v>
      </c>
      <c r="Y2116" t="s">
        <v>30556</v>
      </c>
      <c r="Z2116" t="s">
        <v>30556</v>
      </c>
      <c r="AA2116" t="s">
        <v>30556</v>
      </c>
      <c r="AB2116" t="s">
        <v>30556</v>
      </c>
      <c r="AC2116" t="s">
        <v>30556</v>
      </c>
    </row>
    <row r="2117" spans="1:30">
      <c r="A2117" t="s">
        <v>30557</v>
      </c>
      <c r="B2117">
        <v>4</v>
      </c>
      <c r="C2117">
        <v>5</v>
      </c>
      <c r="D2117">
        <v>1973</v>
      </c>
      <c r="E2117" s="1">
        <v>26759</v>
      </c>
      <c r="F2117" t="s">
        <v>30558</v>
      </c>
      <c r="G2117">
        <v>0</v>
      </c>
      <c r="H2117">
        <v>2</v>
      </c>
      <c r="I2117">
        <v>2</v>
      </c>
      <c r="J2117">
        <v>0</v>
      </c>
      <c r="L2117" t="s">
        <v>30559</v>
      </c>
      <c r="M2117" t="s">
        <v>30560</v>
      </c>
      <c r="N2117" t="s">
        <v>30561</v>
      </c>
      <c r="O2117" t="s">
        <v>30562</v>
      </c>
      <c r="P2117" t="s">
        <v>30563</v>
      </c>
      <c r="Q2117" t="s">
        <v>30563</v>
      </c>
      <c r="R2117" t="s">
        <v>30564</v>
      </c>
      <c r="V2117" t="s">
        <v>30565</v>
      </c>
      <c r="W2117" t="s">
        <v>30566</v>
      </c>
      <c r="X2117" t="s">
        <v>30567</v>
      </c>
      <c r="Y2117" t="s">
        <v>30568</v>
      </c>
      <c r="Z2117" t="s">
        <v>30569</v>
      </c>
      <c r="AA2117" t="s">
        <v>30569</v>
      </c>
      <c r="AB2117" t="s">
        <v>30569</v>
      </c>
      <c r="AC2117" t="s">
        <v>30569</v>
      </c>
    </row>
    <row r="2118" spans="1:30">
      <c r="A2118" t="s">
        <v>30570</v>
      </c>
      <c r="B2118">
        <v>2</v>
      </c>
      <c r="C2118">
        <v>26</v>
      </c>
      <c r="D2118">
        <v>1973</v>
      </c>
      <c r="E2118" s="1">
        <v>26721</v>
      </c>
      <c r="F2118" t="s">
        <v>30571</v>
      </c>
      <c r="G2118">
        <v>1</v>
      </c>
      <c r="H2118">
        <v>1</v>
      </c>
      <c r="I2118">
        <v>2</v>
      </c>
      <c r="J2118">
        <v>0</v>
      </c>
      <c r="L2118" t="s">
        <v>30572</v>
      </c>
      <c r="M2118" t="s">
        <v>30573</v>
      </c>
      <c r="N2118" t="s">
        <v>30574</v>
      </c>
      <c r="O2118" t="s">
        <v>30575</v>
      </c>
      <c r="P2118" t="s">
        <v>30576</v>
      </c>
      <c r="Q2118" t="s">
        <v>30576</v>
      </c>
      <c r="R2118" t="s">
        <v>30577</v>
      </c>
      <c r="S2118" t="s">
        <v>30578</v>
      </c>
      <c r="T2118" s="2">
        <v>0.33333333333333331</v>
      </c>
      <c r="U2118">
        <v>1</v>
      </c>
      <c r="V2118" t="s">
        <v>30579</v>
      </c>
      <c r="W2118" t="s">
        <v>30580</v>
      </c>
      <c r="X2118" t="s">
        <v>30581</v>
      </c>
      <c r="Y2118" t="s">
        <v>30582</v>
      </c>
      <c r="Z2118" t="s">
        <v>30583</v>
      </c>
      <c r="AA2118" t="s">
        <v>30583</v>
      </c>
      <c r="AB2118" t="s">
        <v>30583</v>
      </c>
      <c r="AC2118" t="s">
        <v>30583</v>
      </c>
    </row>
    <row r="2119" spans="1:30">
      <c r="A2119" t="s">
        <v>30584</v>
      </c>
      <c r="B2119">
        <v>2</v>
      </c>
      <c r="C2119">
        <v>12</v>
      </c>
      <c r="D2119">
        <v>1973</v>
      </c>
      <c r="E2119" s="1">
        <v>26707</v>
      </c>
      <c r="F2119" t="s">
        <v>30585</v>
      </c>
      <c r="G2119">
        <v>0</v>
      </c>
      <c r="H2119">
        <v>1</v>
      </c>
      <c r="I2119">
        <v>1</v>
      </c>
      <c r="J2119">
        <v>0</v>
      </c>
      <c r="L2119" t="s">
        <v>30586</v>
      </c>
      <c r="M2119" t="s">
        <v>30587</v>
      </c>
      <c r="N2119" t="s">
        <v>30588</v>
      </c>
      <c r="O2119" t="s">
        <v>30589</v>
      </c>
      <c r="P2119" t="s">
        <v>30590</v>
      </c>
      <c r="Q2119" t="s">
        <v>30591</v>
      </c>
      <c r="R2119" t="s">
        <v>30592</v>
      </c>
      <c r="S2119" t="s">
        <v>30593</v>
      </c>
      <c r="T2119" s="2">
        <v>0.71875</v>
      </c>
      <c r="U2119">
        <v>1</v>
      </c>
      <c r="V2119" t="s">
        <v>30594</v>
      </c>
      <c r="W2119" t="s">
        <v>30595</v>
      </c>
      <c r="Y2119" t="s">
        <v>30596</v>
      </c>
      <c r="Z2119" t="s">
        <v>30596</v>
      </c>
      <c r="AA2119" t="s">
        <v>30596</v>
      </c>
      <c r="AB2119" t="s">
        <v>30596</v>
      </c>
      <c r="AC2119" t="s">
        <v>30596</v>
      </c>
    </row>
    <row r="2120" spans="1:30">
      <c r="A2120" t="s">
        <v>30597</v>
      </c>
      <c r="B2120">
        <v>1</v>
      </c>
      <c r="C2120">
        <v>31</v>
      </c>
      <c r="D2120">
        <v>1973</v>
      </c>
      <c r="E2120" s="1">
        <v>26695</v>
      </c>
      <c r="F2120" t="s">
        <v>30598</v>
      </c>
      <c r="G2120">
        <v>0</v>
      </c>
      <c r="H2120">
        <v>1</v>
      </c>
      <c r="I2120">
        <v>1</v>
      </c>
      <c r="J2120">
        <v>0</v>
      </c>
      <c r="L2120" t="s">
        <v>30599</v>
      </c>
      <c r="M2120" t="s">
        <v>30600</v>
      </c>
      <c r="N2120" t="s">
        <v>30601</v>
      </c>
      <c r="O2120" t="s">
        <v>30602</v>
      </c>
      <c r="P2120" t="s">
        <v>30603</v>
      </c>
      <c r="Q2120" t="s">
        <v>30603</v>
      </c>
      <c r="R2120" t="s">
        <v>30604</v>
      </c>
      <c r="S2120" t="s">
        <v>30605</v>
      </c>
      <c r="T2120" s="2">
        <v>0.5</v>
      </c>
      <c r="U2120">
        <v>1</v>
      </c>
      <c r="V2120" t="s">
        <v>30606</v>
      </c>
      <c r="W2120" t="s">
        <v>30607</v>
      </c>
      <c r="X2120" t="s">
        <v>30608</v>
      </c>
      <c r="Y2120" t="s">
        <v>30609</v>
      </c>
      <c r="Z2120" t="s">
        <v>30609</v>
      </c>
      <c r="AA2120" t="s">
        <v>30609</v>
      </c>
      <c r="AB2120" t="s">
        <v>30609</v>
      </c>
      <c r="AC2120" t="s">
        <v>30609</v>
      </c>
    </row>
    <row r="2121" spans="1:30">
      <c r="A2121" t="s">
        <v>30610</v>
      </c>
      <c r="B2121">
        <v>1</v>
      </c>
      <c r="C2121">
        <v>18</v>
      </c>
      <c r="D2121">
        <v>1973</v>
      </c>
      <c r="E2121" s="1">
        <v>26682</v>
      </c>
      <c r="F2121" t="s">
        <v>30611</v>
      </c>
      <c r="G2121">
        <v>0</v>
      </c>
      <c r="H2121">
        <v>2</v>
      </c>
      <c r="I2121">
        <v>2</v>
      </c>
      <c r="J2121">
        <v>0</v>
      </c>
      <c r="L2121" t="s">
        <v>30612</v>
      </c>
      <c r="M2121" t="s">
        <v>30613</v>
      </c>
      <c r="N2121" t="s">
        <v>30614</v>
      </c>
      <c r="O2121" t="s">
        <v>30615</v>
      </c>
      <c r="P2121" t="s">
        <v>30616</v>
      </c>
      <c r="Q2121" t="s">
        <v>30617</v>
      </c>
      <c r="R2121" t="s">
        <v>30618</v>
      </c>
      <c r="S2121" t="s">
        <v>30619</v>
      </c>
      <c r="U2121">
        <v>1</v>
      </c>
      <c r="V2121" t="s">
        <v>30620</v>
      </c>
      <c r="W2121" t="s">
        <v>30621</v>
      </c>
      <c r="X2121" t="s">
        <v>30622</v>
      </c>
      <c r="Y2121" t="s">
        <v>30623</v>
      </c>
      <c r="Z2121" t="s">
        <v>30624</v>
      </c>
      <c r="AA2121" t="s">
        <v>30624</v>
      </c>
      <c r="AB2121" t="s">
        <v>30624</v>
      </c>
      <c r="AC2121" t="s">
        <v>30624</v>
      </c>
    </row>
    <row r="2122" spans="1:30">
      <c r="A2122" t="s">
        <v>30625</v>
      </c>
      <c r="B2122">
        <v>1</v>
      </c>
      <c r="C2122">
        <v>5</v>
      </c>
      <c r="D2122">
        <v>1973</v>
      </c>
      <c r="E2122" s="1">
        <v>26669</v>
      </c>
      <c r="F2122" t="s">
        <v>30626</v>
      </c>
      <c r="G2122">
        <v>0</v>
      </c>
      <c r="H2122">
        <v>4</v>
      </c>
      <c r="I2122">
        <v>4</v>
      </c>
      <c r="J2122">
        <v>0</v>
      </c>
      <c r="L2122" t="s">
        <v>30627</v>
      </c>
      <c r="M2122" t="s">
        <v>30628</v>
      </c>
      <c r="N2122" t="s">
        <v>30629</v>
      </c>
      <c r="O2122" t="s">
        <v>30630</v>
      </c>
      <c r="P2122" t="s">
        <v>30631</v>
      </c>
      <c r="Q2122" t="s">
        <v>30632</v>
      </c>
      <c r="R2122" t="s">
        <v>30633</v>
      </c>
      <c r="S2122" t="s">
        <v>30634</v>
      </c>
      <c r="V2122" t="s">
        <v>30635</v>
      </c>
      <c r="W2122" t="s">
        <v>30636</v>
      </c>
      <c r="X2122" t="s">
        <v>30637</v>
      </c>
      <c r="Y2122" t="s">
        <v>30638</v>
      </c>
      <c r="Z2122" t="s">
        <v>30638</v>
      </c>
      <c r="AA2122" t="s">
        <v>30638</v>
      </c>
      <c r="AB2122" t="s">
        <v>30638</v>
      </c>
      <c r="AC2122" t="s">
        <v>30638</v>
      </c>
    </row>
    <row r="2123" spans="1:30">
      <c r="A2123" t="s">
        <v>30639</v>
      </c>
      <c r="B2123">
        <v>11</v>
      </c>
      <c r="C2123">
        <v>29</v>
      </c>
      <c r="D2123">
        <v>1972</v>
      </c>
      <c r="E2123" s="1">
        <v>26632</v>
      </c>
      <c r="F2123" t="s">
        <v>30640</v>
      </c>
      <c r="G2123">
        <v>0</v>
      </c>
      <c r="H2123">
        <v>1</v>
      </c>
      <c r="I2123">
        <v>1</v>
      </c>
      <c r="J2123">
        <v>0</v>
      </c>
      <c r="L2123" t="s">
        <v>30641</v>
      </c>
      <c r="M2123" t="s">
        <v>30642</v>
      </c>
      <c r="N2123" t="s">
        <v>30643</v>
      </c>
      <c r="O2123" t="s">
        <v>30644</v>
      </c>
      <c r="P2123" t="s">
        <v>30645</v>
      </c>
      <c r="Q2123" t="s">
        <v>30645</v>
      </c>
      <c r="R2123" t="s">
        <v>30646</v>
      </c>
      <c r="U2123">
        <v>1</v>
      </c>
      <c r="V2123" t="s">
        <v>30647</v>
      </c>
      <c r="W2123" t="s">
        <v>30648</v>
      </c>
      <c r="Y2123" t="s">
        <v>30649</v>
      </c>
      <c r="Z2123" t="s">
        <v>30649</v>
      </c>
      <c r="AA2123" t="s">
        <v>30649</v>
      </c>
      <c r="AB2123" t="s">
        <v>30649</v>
      </c>
      <c r="AC2123" t="s">
        <v>30649</v>
      </c>
    </row>
    <row r="2124" spans="1:30">
      <c r="A2124" t="s">
        <v>30650</v>
      </c>
      <c r="B2124">
        <v>11</v>
      </c>
      <c r="C2124">
        <v>27</v>
      </c>
      <c r="D2124">
        <v>1972</v>
      </c>
      <c r="E2124" s="1">
        <v>26630</v>
      </c>
      <c r="F2124" t="s">
        <v>30651</v>
      </c>
      <c r="G2124">
        <v>0</v>
      </c>
      <c r="H2124">
        <v>5</v>
      </c>
      <c r="I2124">
        <v>5</v>
      </c>
      <c r="J2124">
        <v>0</v>
      </c>
      <c r="L2124" t="s">
        <v>30652</v>
      </c>
      <c r="M2124" t="s">
        <v>30653</v>
      </c>
      <c r="N2124" t="s">
        <v>30654</v>
      </c>
      <c r="O2124" t="s">
        <v>30655</v>
      </c>
      <c r="P2124" t="s">
        <v>30656</v>
      </c>
      <c r="Q2124" t="s">
        <v>30656</v>
      </c>
      <c r="R2124" t="s">
        <v>30657</v>
      </c>
      <c r="V2124" t="s">
        <v>30658</v>
      </c>
      <c r="W2124" t="s">
        <v>30659</v>
      </c>
      <c r="X2124" t="s">
        <v>30660</v>
      </c>
      <c r="Y2124" t="s">
        <v>30661</v>
      </c>
      <c r="Z2124" t="s">
        <v>30661</v>
      </c>
      <c r="AA2124" t="s">
        <v>30661</v>
      </c>
      <c r="AB2124" t="s">
        <v>30661</v>
      </c>
      <c r="AC2124" t="s">
        <v>30661</v>
      </c>
    </row>
    <row r="2125" spans="1:30">
      <c r="A2125" t="s">
        <v>30662</v>
      </c>
      <c r="B2125">
        <v>11</v>
      </c>
      <c r="C2125">
        <v>11</v>
      </c>
      <c r="D2125">
        <v>1972</v>
      </c>
      <c r="E2125" s="1">
        <v>26614</v>
      </c>
      <c r="F2125" t="s">
        <v>30663</v>
      </c>
      <c r="G2125">
        <v>0</v>
      </c>
      <c r="H2125">
        <v>5</v>
      </c>
      <c r="I2125">
        <v>5</v>
      </c>
      <c r="J2125">
        <v>0</v>
      </c>
      <c r="L2125" t="s">
        <v>30664</v>
      </c>
      <c r="M2125" t="s">
        <v>30665</v>
      </c>
      <c r="N2125" t="s">
        <v>30666</v>
      </c>
      <c r="O2125" t="s">
        <v>30667</v>
      </c>
      <c r="P2125" t="s">
        <v>30668</v>
      </c>
      <c r="Q2125" t="s">
        <v>30669</v>
      </c>
      <c r="R2125" t="s">
        <v>30670</v>
      </c>
      <c r="S2125" t="s">
        <v>30671</v>
      </c>
      <c r="V2125" t="s">
        <v>30672</v>
      </c>
      <c r="W2125" t="s">
        <v>30673</v>
      </c>
      <c r="X2125" t="s">
        <v>30674</v>
      </c>
      <c r="Y2125" t="s">
        <v>30675</v>
      </c>
      <c r="Z2125" t="s">
        <v>30676</v>
      </c>
      <c r="AA2125" t="s">
        <v>30676</v>
      </c>
      <c r="AB2125" t="s">
        <v>30676</v>
      </c>
      <c r="AC2125" t="s">
        <v>30676</v>
      </c>
    </row>
    <row r="2126" spans="1:30">
      <c r="A2126" t="s">
        <v>30677</v>
      </c>
      <c r="B2126">
        <v>9</v>
      </c>
      <c r="C2126">
        <v>21</v>
      </c>
      <c r="D2126">
        <v>1972</v>
      </c>
      <c r="E2126" s="1">
        <v>26563</v>
      </c>
      <c r="F2126" t="s">
        <v>30678</v>
      </c>
      <c r="G2126">
        <v>0</v>
      </c>
      <c r="H2126">
        <v>1</v>
      </c>
      <c r="I2126">
        <v>1</v>
      </c>
      <c r="J2126">
        <v>0</v>
      </c>
      <c r="L2126" t="s">
        <v>30679</v>
      </c>
      <c r="M2126" t="s">
        <v>30680</v>
      </c>
      <c r="N2126" t="s">
        <v>30681</v>
      </c>
      <c r="O2126" t="s">
        <v>30682</v>
      </c>
      <c r="P2126" t="s">
        <v>30683</v>
      </c>
      <c r="Q2126" t="s">
        <v>30684</v>
      </c>
      <c r="R2126" t="s">
        <v>30685</v>
      </c>
      <c r="S2126" t="s">
        <v>30686</v>
      </c>
      <c r="U2126">
        <v>1</v>
      </c>
      <c r="V2126" t="s">
        <v>30687</v>
      </c>
      <c r="W2126" t="s">
        <v>30688</v>
      </c>
      <c r="X2126" t="s">
        <v>30689</v>
      </c>
      <c r="Y2126" t="s">
        <v>30690</v>
      </c>
      <c r="Z2126" t="s">
        <v>30690</v>
      </c>
      <c r="AA2126" t="s">
        <v>30690</v>
      </c>
      <c r="AB2126" t="s">
        <v>30690</v>
      </c>
      <c r="AC2126" t="s">
        <v>30690</v>
      </c>
    </row>
    <row r="2127" spans="1:30">
      <c r="A2127" t="s">
        <v>30691</v>
      </c>
      <c r="B2127">
        <v>9</v>
      </c>
      <c r="C2127">
        <v>19</v>
      </c>
      <c r="D2127">
        <v>1972</v>
      </c>
      <c r="E2127" s="1">
        <v>26561</v>
      </c>
      <c r="F2127" t="s">
        <v>30692</v>
      </c>
      <c r="G2127">
        <v>0</v>
      </c>
      <c r="H2127">
        <v>1</v>
      </c>
      <c r="I2127">
        <v>1</v>
      </c>
      <c r="J2127">
        <v>0</v>
      </c>
      <c r="L2127" t="s">
        <v>30693</v>
      </c>
      <c r="M2127" t="s">
        <v>30694</v>
      </c>
      <c r="N2127" t="s">
        <v>30695</v>
      </c>
      <c r="O2127" t="s">
        <v>30696</v>
      </c>
      <c r="P2127" t="s">
        <v>30697</v>
      </c>
      <c r="Q2127" t="s">
        <v>30697</v>
      </c>
      <c r="R2127" t="s">
        <v>30698</v>
      </c>
      <c r="S2127" t="s">
        <v>30699</v>
      </c>
      <c r="U2127">
        <v>1</v>
      </c>
      <c r="V2127" t="s">
        <v>30700</v>
      </c>
      <c r="W2127" t="s">
        <v>30701</v>
      </c>
      <c r="X2127" t="s">
        <v>30702</v>
      </c>
      <c r="Y2127" t="s">
        <v>30703</v>
      </c>
      <c r="Z2127" t="s">
        <v>30703</v>
      </c>
      <c r="AA2127" t="s">
        <v>30703</v>
      </c>
      <c r="AB2127" t="s">
        <v>30703</v>
      </c>
      <c r="AC2127" t="s">
        <v>30704</v>
      </c>
    </row>
    <row r="2128" spans="1:30">
      <c r="A2128" t="s">
        <v>30705</v>
      </c>
      <c r="B2128">
        <v>9</v>
      </c>
      <c r="C2128">
        <v>15</v>
      </c>
      <c r="D2128">
        <v>1972</v>
      </c>
      <c r="E2128" s="1">
        <v>26557</v>
      </c>
      <c r="F2128" t="s">
        <v>30706</v>
      </c>
      <c r="G2128">
        <v>0</v>
      </c>
      <c r="H2128">
        <v>2</v>
      </c>
      <c r="I2128">
        <v>2</v>
      </c>
      <c r="J2128">
        <v>0</v>
      </c>
      <c r="L2128" t="s">
        <v>30707</v>
      </c>
      <c r="M2128" t="s">
        <v>30708</v>
      </c>
      <c r="N2128" t="s">
        <v>30709</v>
      </c>
      <c r="O2128" t="s">
        <v>30710</v>
      </c>
      <c r="P2128" t="s">
        <v>30711</v>
      </c>
      <c r="Q2128" t="s">
        <v>30712</v>
      </c>
      <c r="R2128" t="s">
        <v>30713</v>
      </c>
      <c r="S2128" t="s">
        <v>30714</v>
      </c>
      <c r="U2128">
        <v>1</v>
      </c>
      <c r="V2128" t="s">
        <v>30715</v>
      </c>
      <c r="W2128" t="s">
        <v>30716</v>
      </c>
      <c r="Y2128" t="s">
        <v>30717</v>
      </c>
      <c r="Z2128" t="s">
        <v>30717</v>
      </c>
      <c r="AA2128" t="s">
        <v>30717</v>
      </c>
    </row>
    <row r="2129" spans="1:30">
      <c r="A2129" t="s">
        <v>30718</v>
      </c>
      <c r="B2129">
        <v>9</v>
      </c>
      <c r="C2129">
        <v>14</v>
      </c>
      <c r="D2129">
        <v>1972</v>
      </c>
      <c r="E2129" s="1">
        <v>26556</v>
      </c>
      <c r="F2129" t="s">
        <v>30719</v>
      </c>
      <c r="G2129">
        <v>0</v>
      </c>
      <c r="H2129">
        <v>1</v>
      </c>
      <c r="I2129">
        <v>1</v>
      </c>
      <c r="J2129">
        <v>0</v>
      </c>
      <c r="L2129" t="s">
        <v>30720</v>
      </c>
      <c r="M2129" t="s">
        <v>30721</v>
      </c>
      <c r="N2129" t="s">
        <v>30722</v>
      </c>
      <c r="O2129" t="s">
        <v>30723</v>
      </c>
      <c r="P2129" t="s">
        <v>30724</v>
      </c>
      <c r="Q2129" t="s">
        <v>30725</v>
      </c>
      <c r="R2129" t="s">
        <v>30726</v>
      </c>
      <c r="S2129" t="s">
        <v>30727</v>
      </c>
      <c r="T2129" s="2">
        <v>0.5</v>
      </c>
      <c r="U2129">
        <v>1</v>
      </c>
      <c r="V2129" t="s">
        <v>30728</v>
      </c>
      <c r="W2129" t="s">
        <v>30729</v>
      </c>
      <c r="X2129" t="s">
        <v>30730</v>
      </c>
      <c r="Y2129" t="s">
        <v>30731</v>
      </c>
      <c r="Z2129" t="s">
        <v>30731</v>
      </c>
      <c r="AA2129" t="s">
        <v>30731</v>
      </c>
      <c r="AB2129" t="s">
        <v>30731</v>
      </c>
      <c r="AC2129" t="s">
        <v>30731</v>
      </c>
    </row>
    <row r="2130" spans="1:30">
      <c r="A2130" t="s">
        <v>30732</v>
      </c>
      <c r="B2130">
        <v>5</v>
      </c>
      <c r="C2130">
        <v>5</v>
      </c>
      <c r="D2130">
        <v>1972</v>
      </c>
      <c r="E2130" s="1">
        <v>26424</v>
      </c>
      <c r="F2130" t="s">
        <v>30733</v>
      </c>
      <c r="G2130">
        <v>1</v>
      </c>
      <c r="H2130">
        <v>0</v>
      </c>
      <c r="I2130">
        <v>1</v>
      </c>
      <c r="J2130">
        <v>0</v>
      </c>
      <c r="L2130" t="s">
        <v>30734</v>
      </c>
      <c r="M2130" t="s">
        <v>30735</v>
      </c>
      <c r="N2130" t="s">
        <v>30736</v>
      </c>
      <c r="O2130" t="s">
        <v>30737</v>
      </c>
      <c r="P2130" t="s">
        <v>30738</v>
      </c>
      <c r="Q2130" t="s">
        <v>30739</v>
      </c>
      <c r="R2130" t="s">
        <v>30740</v>
      </c>
      <c r="S2130" t="s">
        <v>30741</v>
      </c>
      <c r="T2130" s="2">
        <v>0.5625</v>
      </c>
      <c r="U2130">
        <v>1</v>
      </c>
      <c r="V2130" t="s">
        <v>30742</v>
      </c>
      <c r="W2130" t="s">
        <v>30743</v>
      </c>
      <c r="X2130" t="s">
        <v>30744</v>
      </c>
      <c r="Z2130" t="s">
        <v>30745</v>
      </c>
      <c r="AA2130" t="s">
        <v>30745</v>
      </c>
      <c r="AB2130" t="s">
        <v>30745</v>
      </c>
      <c r="AC2130" t="s">
        <v>30745</v>
      </c>
    </row>
    <row r="2131" spans="1:30">
      <c r="A2131" t="s">
        <v>30746</v>
      </c>
      <c r="B2131">
        <v>5</v>
      </c>
      <c r="C2131">
        <v>4</v>
      </c>
      <c r="D2131">
        <v>1972</v>
      </c>
      <c r="E2131" s="1">
        <v>26423</v>
      </c>
      <c r="F2131" t="s">
        <v>30747</v>
      </c>
      <c r="G2131">
        <v>1</v>
      </c>
      <c r="H2131">
        <v>0</v>
      </c>
      <c r="I2131">
        <v>1</v>
      </c>
      <c r="J2131">
        <v>0</v>
      </c>
      <c r="L2131" t="s">
        <v>30748</v>
      </c>
      <c r="M2131" t="s">
        <v>30749</v>
      </c>
      <c r="N2131" t="s">
        <v>30750</v>
      </c>
      <c r="O2131" t="s">
        <v>30751</v>
      </c>
      <c r="P2131" t="s">
        <v>30752</v>
      </c>
      <c r="Q2131" t="s">
        <v>30753</v>
      </c>
      <c r="R2131" t="s">
        <v>30754</v>
      </c>
      <c r="S2131" t="s">
        <v>30755</v>
      </c>
      <c r="T2131" s="2">
        <v>0.5</v>
      </c>
      <c r="U2131">
        <v>1</v>
      </c>
      <c r="V2131" t="s">
        <v>30756</v>
      </c>
      <c r="W2131" t="s">
        <v>30757</v>
      </c>
      <c r="X2131" t="s">
        <v>30758</v>
      </c>
      <c r="Y2131" t="s">
        <v>30759</v>
      </c>
      <c r="Z2131" t="s">
        <v>30759</v>
      </c>
      <c r="AA2131" t="s">
        <v>30759</v>
      </c>
      <c r="AB2131" t="s">
        <v>30759</v>
      </c>
      <c r="AC2131" t="s">
        <v>30759</v>
      </c>
    </row>
    <row r="2132" spans="1:30">
      <c r="A2132" t="s">
        <v>30760</v>
      </c>
      <c r="B2132">
        <v>4</v>
      </c>
      <c r="C2132">
        <v>12</v>
      </c>
      <c r="D2132">
        <v>1972</v>
      </c>
      <c r="E2132" s="1">
        <v>26401</v>
      </c>
      <c r="F2132" t="s">
        <v>30761</v>
      </c>
      <c r="G2132">
        <v>0</v>
      </c>
      <c r="H2132">
        <v>1</v>
      </c>
      <c r="I2132">
        <v>1</v>
      </c>
      <c r="J2132">
        <v>1</v>
      </c>
      <c r="L2132" t="s">
        <v>30762</v>
      </c>
      <c r="M2132" t="s">
        <v>30763</v>
      </c>
      <c r="N2132" t="s">
        <v>30764</v>
      </c>
      <c r="O2132" t="s">
        <v>30765</v>
      </c>
      <c r="P2132" t="s">
        <v>30766</v>
      </c>
      <c r="Q2132" t="s">
        <v>30766</v>
      </c>
      <c r="R2132" t="s">
        <v>30767</v>
      </c>
      <c r="S2132" t="s">
        <v>30768</v>
      </c>
      <c r="U2132">
        <v>1</v>
      </c>
      <c r="V2132" t="s">
        <v>30769</v>
      </c>
      <c r="W2132" t="s">
        <v>30770</v>
      </c>
      <c r="X2132" t="s">
        <v>30771</v>
      </c>
      <c r="Y2132" t="s">
        <v>30772</v>
      </c>
      <c r="Z2132" t="s">
        <v>30772</v>
      </c>
      <c r="AA2132" t="s">
        <v>30772</v>
      </c>
      <c r="AB2132" t="s">
        <v>30772</v>
      </c>
      <c r="AC2132" t="s">
        <v>30773</v>
      </c>
    </row>
    <row r="2133" spans="1:30">
      <c r="A2133" t="s">
        <v>30774</v>
      </c>
      <c r="B2133">
        <v>3</v>
      </c>
      <c r="C2133">
        <v>13</v>
      </c>
      <c r="D2133">
        <v>1972</v>
      </c>
      <c r="E2133" s="1">
        <v>26371</v>
      </c>
      <c r="F2133" t="s">
        <v>30775</v>
      </c>
      <c r="G2133">
        <v>0</v>
      </c>
      <c r="H2133">
        <v>1</v>
      </c>
      <c r="I2133">
        <v>1</v>
      </c>
      <c r="J2133">
        <v>0</v>
      </c>
      <c r="L2133" t="s">
        <v>30776</v>
      </c>
      <c r="M2133" t="s">
        <v>30777</v>
      </c>
      <c r="N2133" t="s">
        <v>30778</v>
      </c>
      <c r="O2133" t="s">
        <v>30779</v>
      </c>
      <c r="P2133" t="s">
        <v>30780</v>
      </c>
      <c r="Q2133" t="s">
        <v>30781</v>
      </c>
      <c r="R2133" t="s">
        <v>30782</v>
      </c>
      <c r="U2133">
        <v>1</v>
      </c>
      <c r="V2133" t="s">
        <v>30783</v>
      </c>
      <c r="W2133" t="s">
        <v>30784</v>
      </c>
      <c r="X2133" t="s">
        <v>30785</v>
      </c>
      <c r="Y2133" t="s">
        <v>30786</v>
      </c>
      <c r="Z2133" t="s">
        <v>30786</v>
      </c>
      <c r="AA2133" t="s">
        <v>30786</v>
      </c>
      <c r="AB2133" t="s">
        <v>30786</v>
      </c>
      <c r="AC2133" t="s">
        <v>30786</v>
      </c>
    </row>
    <row r="2134" spans="1:30">
      <c r="A2134" t="s">
        <v>30787</v>
      </c>
      <c r="B2134">
        <v>2</v>
      </c>
      <c r="C2134">
        <v>28</v>
      </c>
      <c r="D2134">
        <v>1972</v>
      </c>
      <c r="E2134" s="1">
        <v>26357</v>
      </c>
      <c r="F2134" t="s">
        <v>30788</v>
      </c>
      <c r="G2134">
        <v>0</v>
      </c>
      <c r="H2134">
        <v>1</v>
      </c>
      <c r="I2134">
        <v>1</v>
      </c>
      <c r="J2134">
        <v>0</v>
      </c>
      <c r="L2134" t="s">
        <v>30789</v>
      </c>
      <c r="M2134" t="s">
        <v>30790</v>
      </c>
      <c r="N2134" t="s">
        <v>30791</v>
      </c>
      <c r="O2134" t="s">
        <v>30792</v>
      </c>
      <c r="P2134" t="s">
        <v>30793</v>
      </c>
      <c r="Q2134" t="s">
        <v>30793</v>
      </c>
      <c r="R2134" t="s">
        <v>30794</v>
      </c>
      <c r="U2134">
        <v>1</v>
      </c>
      <c r="V2134" t="s">
        <v>30795</v>
      </c>
      <c r="W2134" t="s">
        <v>30796</v>
      </c>
      <c r="X2134" t="s">
        <v>30797</v>
      </c>
      <c r="Y2134" t="s">
        <v>30798</v>
      </c>
      <c r="Z2134" t="s">
        <v>30798</v>
      </c>
      <c r="AA2134" t="s">
        <v>30798</v>
      </c>
      <c r="AB2134" t="s">
        <v>30798</v>
      </c>
      <c r="AC2134" t="s">
        <v>30798</v>
      </c>
    </row>
    <row r="2135" spans="1:30">
      <c r="A2135" t="s">
        <v>30799</v>
      </c>
      <c r="B2135">
        <v>2</v>
      </c>
      <c r="C2135">
        <v>15</v>
      </c>
      <c r="D2135">
        <v>1972</v>
      </c>
      <c r="E2135" s="1">
        <v>26344</v>
      </c>
      <c r="F2135" t="s">
        <v>30800</v>
      </c>
      <c r="G2135">
        <v>0</v>
      </c>
      <c r="H2135">
        <v>0</v>
      </c>
      <c r="I2135">
        <v>0</v>
      </c>
      <c r="J2135">
        <v>1</v>
      </c>
      <c r="L2135" t="s">
        <v>30801</v>
      </c>
      <c r="M2135" t="s">
        <v>30802</v>
      </c>
      <c r="N2135" t="s">
        <v>30803</v>
      </c>
      <c r="O2135" t="s">
        <v>30804</v>
      </c>
      <c r="P2135" t="s">
        <v>30805</v>
      </c>
      <c r="Q2135" t="s">
        <v>30805</v>
      </c>
      <c r="R2135" t="s">
        <v>30806</v>
      </c>
      <c r="S2135" t="s">
        <v>30807</v>
      </c>
      <c r="U2135">
        <v>1</v>
      </c>
      <c r="V2135" t="s">
        <v>30808</v>
      </c>
      <c r="W2135" t="s">
        <v>30809</v>
      </c>
      <c r="X2135" t="s">
        <v>30810</v>
      </c>
      <c r="Y2135" t="s">
        <v>30811</v>
      </c>
      <c r="Z2135" t="s">
        <v>30811</v>
      </c>
      <c r="AA2135" t="s">
        <v>30811</v>
      </c>
      <c r="AB2135" t="s">
        <v>30812</v>
      </c>
      <c r="AC2135" t="s">
        <v>30812</v>
      </c>
      <c r="AD2135" t="s">
        <v>30812</v>
      </c>
    </row>
    <row r="2136" spans="1:30">
      <c r="A2136" t="s">
        <v>30813</v>
      </c>
      <c r="B2136">
        <v>2</v>
      </c>
      <c r="C2136">
        <v>14</v>
      </c>
      <c r="D2136">
        <v>1972</v>
      </c>
      <c r="E2136" s="1">
        <v>26343</v>
      </c>
      <c r="F2136" t="s">
        <v>30814</v>
      </c>
      <c r="G2136">
        <v>1</v>
      </c>
      <c r="H2136">
        <v>0</v>
      </c>
      <c r="I2136">
        <v>1</v>
      </c>
      <c r="J2136">
        <v>0</v>
      </c>
      <c r="L2136" t="s">
        <v>30815</v>
      </c>
      <c r="M2136" t="s">
        <v>30816</v>
      </c>
      <c r="N2136" t="s">
        <v>30817</v>
      </c>
      <c r="O2136" t="s">
        <v>30818</v>
      </c>
      <c r="P2136" t="s">
        <v>30819</v>
      </c>
      <c r="Q2136" t="s">
        <v>30819</v>
      </c>
      <c r="R2136" t="s">
        <v>30820</v>
      </c>
      <c r="S2136" t="s">
        <v>30821</v>
      </c>
      <c r="U2136">
        <v>1</v>
      </c>
      <c r="V2136" t="s">
        <v>30822</v>
      </c>
      <c r="W2136" t="s">
        <v>30823</v>
      </c>
      <c r="X2136" t="s">
        <v>30824</v>
      </c>
      <c r="Y2136" t="s">
        <v>30825</v>
      </c>
      <c r="Z2136" t="s">
        <v>30826</v>
      </c>
      <c r="AA2136" t="s">
        <v>30826</v>
      </c>
      <c r="AB2136" t="s">
        <v>30826</v>
      </c>
      <c r="AC2136" t="s">
        <v>30826</v>
      </c>
    </row>
    <row r="2137" spans="1:30">
      <c r="A2137" t="s">
        <v>30827</v>
      </c>
      <c r="B2137">
        <v>1</v>
      </c>
      <c r="C2137">
        <v>26</v>
      </c>
      <c r="D2137">
        <v>1972</v>
      </c>
      <c r="E2137" s="1">
        <v>26324</v>
      </c>
      <c r="F2137" t="s">
        <v>30828</v>
      </c>
      <c r="G2137">
        <v>0</v>
      </c>
      <c r="H2137">
        <v>1</v>
      </c>
      <c r="I2137">
        <v>1</v>
      </c>
      <c r="J2137">
        <v>0</v>
      </c>
      <c r="L2137" t="s">
        <v>30829</v>
      </c>
      <c r="M2137" t="s">
        <v>30830</v>
      </c>
      <c r="N2137" t="s">
        <v>30831</v>
      </c>
      <c r="O2137" t="s">
        <v>30832</v>
      </c>
      <c r="P2137" t="s">
        <v>30833</v>
      </c>
      <c r="Q2137" t="s">
        <v>30834</v>
      </c>
      <c r="R2137" t="s">
        <v>30835</v>
      </c>
      <c r="S2137" t="s">
        <v>30836</v>
      </c>
      <c r="T2137" s="2">
        <v>0.57986111111111105</v>
      </c>
      <c r="U2137">
        <v>1</v>
      </c>
      <c r="V2137" t="s">
        <v>30837</v>
      </c>
      <c r="W2137" t="s">
        <v>30838</v>
      </c>
      <c r="X2137" t="s">
        <v>30839</v>
      </c>
      <c r="Y2137" t="s">
        <v>30840</v>
      </c>
      <c r="Z2137" t="s">
        <v>30840</v>
      </c>
      <c r="AA2137" t="s">
        <v>30840</v>
      </c>
      <c r="AB2137" t="s">
        <v>30840</v>
      </c>
      <c r="AC2137" t="s">
        <v>30840</v>
      </c>
    </row>
    <row r="2138" spans="1:30">
      <c r="A2138" t="s">
        <v>30841</v>
      </c>
      <c r="B2138">
        <v>1</v>
      </c>
      <c r="C2138">
        <v>26</v>
      </c>
      <c r="D2138">
        <v>1972</v>
      </c>
      <c r="E2138" s="1">
        <v>26324</v>
      </c>
      <c r="F2138" t="s">
        <v>30842</v>
      </c>
      <c r="G2138">
        <v>0</v>
      </c>
      <c r="H2138">
        <v>1</v>
      </c>
      <c r="I2138">
        <v>1</v>
      </c>
      <c r="J2138">
        <v>0</v>
      </c>
      <c r="L2138" t="s">
        <v>30843</v>
      </c>
      <c r="M2138" t="s">
        <v>30844</v>
      </c>
      <c r="N2138" t="s">
        <v>30845</v>
      </c>
      <c r="O2138" t="s">
        <v>30846</v>
      </c>
      <c r="P2138" t="s">
        <v>30847</v>
      </c>
      <c r="Q2138" t="s">
        <v>30848</v>
      </c>
      <c r="R2138" t="s">
        <v>30849</v>
      </c>
      <c r="S2138" t="s">
        <v>30850</v>
      </c>
      <c r="T2138" s="2">
        <v>0.61458333333333337</v>
      </c>
      <c r="U2138">
        <v>1</v>
      </c>
      <c r="V2138" t="s">
        <v>30851</v>
      </c>
      <c r="W2138" t="s">
        <v>30852</v>
      </c>
      <c r="X2138" t="s">
        <v>30853</v>
      </c>
      <c r="Y2138" t="s">
        <v>30854</v>
      </c>
      <c r="Z2138" t="s">
        <v>30855</v>
      </c>
      <c r="AA2138" t="s">
        <v>30855</v>
      </c>
      <c r="AC2138" t="s">
        <v>30855</v>
      </c>
    </row>
    <row r="2139" spans="1:30">
      <c r="A2139" t="s">
        <v>30856</v>
      </c>
      <c r="B2139">
        <v>1</v>
      </c>
      <c r="C2139">
        <v>24</v>
      </c>
      <c r="D2139">
        <v>1972</v>
      </c>
      <c r="E2139" s="1">
        <v>26322</v>
      </c>
      <c r="F2139" t="s">
        <v>30857</v>
      </c>
      <c r="G2139">
        <v>0</v>
      </c>
      <c r="H2139">
        <v>1</v>
      </c>
      <c r="I2139">
        <v>1</v>
      </c>
      <c r="J2139">
        <v>0</v>
      </c>
      <c r="L2139" t="s">
        <v>30858</v>
      </c>
      <c r="M2139" t="s">
        <v>30859</v>
      </c>
      <c r="N2139" t="s">
        <v>30860</v>
      </c>
      <c r="O2139" t="s">
        <v>30861</v>
      </c>
      <c r="P2139" t="s">
        <v>30862</v>
      </c>
      <c r="Q2139" t="s">
        <v>30863</v>
      </c>
      <c r="R2139" t="s">
        <v>30864</v>
      </c>
      <c r="S2139" t="s">
        <v>30865</v>
      </c>
      <c r="T2139" s="2">
        <v>0.41666666666666669</v>
      </c>
      <c r="U2139">
        <v>1</v>
      </c>
      <c r="V2139" t="s">
        <v>30866</v>
      </c>
      <c r="W2139" t="s">
        <v>30867</v>
      </c>
      <c r="X2139" t="s">
        <v>30868</v>
      </c>
      <c r="Y2139" t="s">
        <v>30869</v>
      </c>
      <c r="Z2139" t="s">
        <v>30869</v>
      </c>
      <c r="AA2139" t="s">
        <v>30869</v>
      </c>
      <c r="AB2139" t="s">
        <v>30869</v>
      </c>
      <c r="AC2139" t="s">
        <v>30869</v>
      </c>
    </row>
    <row r="2140" spans="1:30">
      <c r="A2140" t="s">
        <v>30870</v>
      </c>
      <c r="B2140">
        <v>1</v>
      </c>
      <c r="C2140">
        <v>5</v>
      </c>
      <c r="D2140">
        <v>1972</v>
      </c>
      <c r="E2140" s="1">
        <v>26303</v>
      </c>
      <c r="F2140" t="s">
        <v>30871</v>
      </c>
      <c r="G2140">
        <v>1</v>
      </c>
      <c r="H2140">
        <v>0</v>
      </c>
      <c r="I2140">
        <v>1</v>
      </c>
      <c r="J2140">
        <v>0</v>
      </c>
      <c r="L2140" t="s">
        <v>30872</v>
      </c>
      <c r="M2140" t="s">
        <v>30873</v>
      </c>
      <c r="N2140" t="s">
        <v>30874</v>
      </c>
      <c r="O2140" t="s">
        <v>30875</v>
      </c>
      <c r="P2140" t="s">
        <v>30876</v>
      </c>
      <c r="Q2140" t="s">
        <v>30877</v>
      </c>
      <c r="R2140" t="s">
        <v>30878</v>
      </c>
      <c r="S2140" t="s">
        <v>30879</v>
      </c>
      <c r="T2140" s="2">
        <v>0.39583333333333331</v>
      </c>
      <c r="V2140" t="s">
        <v>30880</v>
      </c>
      <c r="W2140" t="s">
        <v>30881</v>
      </c>
      <c r="X2140" t="s">
        <v>30882</v>
      </c>
      <c r="Y2140" t="s">
        <v>30883</v>
      </c>
      <c r="Z2140" t="s">
        <v>30883</v>
      </c>
      <c r="AA2140" t="s">
        <v>30883</v>
      </c>
      <c r="AB2140" t="s">
        <v>30883</v>
      </c>
      <c r="AC2140" t="s">
        <v>30884</v>
      </c>
    </row>
    <row r="2141" spans="1:30">
      <c r="A2141" t="s">
        <v>30885</v>
      </c>
      <c r="B2141">
        <v>12</v>
      </c>
      <c r="C2141">
        <v>13</v>
      </c>
      <c r="D2141">
        <v>1971</v>
      </c>
      <c r="E2141" s="1">
        <v>26280</v>
      </c>
      <c r="F2141" t="s">
        <v>30886</v>
      </c>
      <c r="G2141">
        <v>0</v>
      </c>
      <c r="H2141">
        <v>1</v>
      </c>
      <c r="I2141">
        <v>1</v>
      </c>
      <c r="J2141">
        <v>0</v>
      </c>
      <c r="L2141" t="s">
        <v>30887</v>
      </c>
      <c r="M2141" t="s">
        <v>30888</v>
      </c>
      <c r="N2141" t="s">
        <v>30889</v>
      </c>
      <c r="O2141" t="s">
        <v>30890</v>
      </c>
      <c r="P2141" t="s">
        <v>30891</v>
      </c>
      <c r="Q2141" t="s">
        <v>30892</v>
      </c>
      <c r="R2141" t="s">
        <v>30893</v>
      </c>
      <c r="S2141" t="s">
        <v>30894</v>
      </c>
      <c r="T2141" s="2">
        <v>0.34583333333333333</v>
      </c>
      <c r="U2141">
        <v>1</v>
      </c>
      <c r="V2141" t="s">
        <v>30895</v>
      </c>
      <c r="W2141" t="s">
        <v>30896</v>
      </c>
      <c r="X2141" t="s">
        <v>30897</v>
      </c>
      <c r="Y2141" t="s">
        <v>30898</v>
      </c>
      <c r="Z2141" t="s">
        <v>30898</v>
      </c>
      <c r="AA2141" t="s">
        <v>30898</v>
      </c>
      <c r="AB2141" t="s">
        <v>30898</v>
      </c>
      <c r="AC2141" t="s">
        <v>30898</v>
      </c>
    </row>
    <row r="2142" spans="1:30">
      <c r="A2142" t="s">
        <v>30899</v>
      </c>
      <c r="B2142">
        <v>12</v>
      </c>
      <c r="C2142">
        <v>6</v>
      </c>
      <c r="D2142">
        <v>1971</v>
      </c>
      <c r="E2142" s="1">
        <v>26273</v>
      </c>
      <c r="F2142" t="s">
        <v>30900</v>
      </c>
      <c r="G2142">
        <v>0</v>
      </c>
      <c r="H2142">
        <v>4</v>
      </c>
      <c r="I2142">
        <v>4</v>
      </c>
      <c r="J2142">
        <v>0</v>
      </c>
      <c r="L2142" t="s">
        <v>30901</v>
      </c>
      <c r="M2142" t="s">
        <v>30902</v>
      </c>
      <c r="N2142" t="s">
        <v>30903</v>
      </c>
      <c r="O2142" t="s">
        <v>30904</v>
      </c>
      <c r="P2142" t="s">
        <v>30905</v>
      </c>
      <c r="Q2142" t="s">
        <v>30906</v>
      </c>
      <c r="R2142" t="s">
        <v>30907</v>
      </c>
      <c r="V2142" t="s">
        <v>30908</v>
      </c>
      <c r="W2142" t="s">
        <v>30909</v>
      </c>
      <c r="X2142" t="s">
        <v>30910</v>
      </c>
      <c r="Y2142" t="s">
        <v>30911</v>
      </c>
      <c r="Z2142" t="s">
        <v>30912</v>
      </c>
      <c r="AA2142" t="s">
        <v>30912</v>
      </c>
      <c r="AB2142" t="s">
        <v>30912</v>
      </c>
      <c r="AC2142" t="s">
        <v>30912</v>
      </c>
    </row>
    <row r="2143" spans="1:30">
      <c r="A2143" t="s">
        <v>30913</v>
      </c>
      <c r="B2143">
        <v>11</v>
      </c>
      <c r="C2143">
        <v>24</v>
      </c>
      <c r="D2143">
        <v>1971</v>
      </c>
      <c r="E2143" s="1">
        <v>26261</v>
      </c>
      <c r="F2143" t="s">
        <v>30914</v>
      </c>
      <c r="G2143">
        <v>1</v>
      </c>
      <c r="H2143">
        <v>0</v>
      </c>
      <c r="I2143">
        <v>1</v>
      </c>
      <c r="J2143">
        <v>0</v>
      </c>
      <c r="L2143" t="s">
        <v>30915</v>
      </c>
      <c r="M2143" t="s">
        <v>30916</v>
      </c>
      <c r="N2143" t="s">
        <v>30917</v>
      </c>
      <c r="O2143" t="s">
        <v>30918</v>
      </c>
      <c r="P2143" t="s">
        <v>30919</v>
      </c>
      <c r="Q2143" t="s">
        <v>30920</v>
      </c>
      <c r="R2143" t="s">
        <v>30921</v>
      </c>
      <c r="S2143" t="s">
        <v>30922</v>
      </c>
      <c r="T2143" s="2">
        <v>0.60208333333333341</v>
      </c>
      <c r="U2143">
        <v>1</v>
      </c>
      <c r="V2143" t="s">
        <v>30923</v>
      </c>
      <c r="W2143" t="s">
        <v>30924</v>
      </c>
      <c r="X2143" t="s">
        <v>30925</v>
      </c>
      <c r="Y2143" t="s">
        <v>30926</v>
      </c>
      <c r="Z2143" t="s">
        <v>30926</v>
      </c>
      <c r="AA2143" t="s">
        <v>30926</v>
      </c>
      <c r="AB2143" t="s">
        <v>30926</v>
      </c>
      <c r="AC2143" t="s">
        <v>30926</v>
      </c>
    </row>
    <row r="2144" spans="1:30">
      <c r="A2144" t="s">
        <v>30927</v>
      </c>
      <c r="B2144">
        <v>11</v>
      </c>
      <c r="C2144">
        <v>8</v>
      </c>
      <c r="D2144">
        <v>1971</v>
      </c>
      <c r="E2144" s="1">
        <v>26245</v>
      </c>
      <c r="F2144" t="s">
        <v>30928</v>
      </c>
      <c r="G2144">
        <v>1</v>
      </c>
      <c r="H2144">
        <v>0</v>
      </c>
      <c r="I2144">
        <v>1</v>
      </c>
      <c r="J2144">
        <v>0</v>
      </c>
      <c r="L2144" t="s">
        <v>30929</v>
      </c>
      <c r="M2144" t="s">
        <v>30930</v>
      </c>
      <c r="N2144" t="s">
        <v>30931</v>
      </c>
      <c r="O2144" t="s">
        <v>30932</v>
      </c>
      <c r="P2144" t="s">
        <v>30933</v>
      </c>
      <c r="Q2144" t="s">
        <v>30934</v>
      </c>
      <c r="R2144" t="s">
        <v>30935</v>
      </c>
      <c r="S2144" t="s">
        <v>30936</v>
      </c>
      <c r="T2144" s="2">
        <v>0.375</v>
      </c>
      <c r="U2144">
        <v>1</v>
      </c>
      <c r="V2144" t="s">
        <v>30937</v>
      </c>
      <c r="W2144" t="s">
        <v>30938</v>
      </c>
      <c r="X2144" t="s">
        <v>30939</v>
      </c>
      <c r="Y2144" t="s">
        <v>30940</v>
      </c>
      <c r="Z2144" t="s">
        <v>30940</v>
      </c>
      <c r="AA2144" t="s">
        <v>30940</v>
      </c>
      <c r="AB2144" t="s">
        <v>30940</v>
      </c>
      <c r="AC2144" t="s">
        <v>30940</v>
      </c>
    </row>
    <row r="2145" spans="1:30">
      <c r="A2145" t="s">
        <v>30941</v>
      </c>
      <c r="B2145">
        <v>11</v>
      </c>
      <c r="C2145">
        <v>3</v>
      </c>
      <c r="D2145">
        <v>1971</v>
      </c>
      <c r="E2145" s="1">
        <v>26240</v>
      </c>
      <c r="F2145" t="s">
        <v>30942</v>
      </c>
      <c r="G2145">
        <v>0</v>
      </c>
      <c r="H2145">
        <v>1</v>
      </c>
      <c r="I2145">
        <v>1</v>
      </c>
      <c r="J2145">
        <v>1</v>
      </c>
      <c r="L2145" t="s">
        <v>30943</v>
      </c>
      <c r="M2145" t="s">
        <v>30944</v>
      </c>
      <c r="N2145" t="s">
        <v>30945</v>
      </c>
      <c r="O2145" t="s">
        <v>30946</v>
      </c>
      <c r="P2145" t="s">
        <v>30947</v>
      </c>
      <c r="Q2145" t="s">
        <v>30948</v>
      </c>
      <c r="R2145" t="s">
        <v>30949</v>
      </c>
      <c r="S2145" t="s">
        <v>30950</v>
      </c>
      <c r="T2145" s="2">
        <v>0.42986111111111114</v>
      </c>
      <c r="U2145">
        <v>121</v>
      </c>
      <c r="V2145" t="s">
        <v>30951</v>
      </c>
      <c r="W2145" t="s">
        <v>30952</v>
      </c>
      <c r="X2145" t="s">
        <v>30953</v>
      </c>
      <c r="Y2145" t="s">
        <v>30954</v>
      </c>
      <c r="Z2145" t="s">
        <v>30954</v>
      </c>
      <c r="AA2145" t="s">
        <v>30955</v>
      </c>
      <c r="AB2145" t="s">
        <v>30956</v>
      </c>
      <c r="AC2145" t="s">
        <v>30956</v>
      </c>
      <c r="AD2145" t="s">
        <v>30957</v>
      </c>
    </row>
    <row r="2146" spans="1:30">
      <c r="A2146" t="s">
        <v>30958</v>
      </c>
      <c r="B2146">
        <v>10</v>
      </c>
      <c r="C2146">
        <v>29</v>
      </c>
      <c r="D2146">
        <v>1971</v>
      </c>
      <c r="E2146" s="1">
        <v>26235</v>
      </c>
      <c r="F2146" t="s">
        <v>30959</v>
      </c>
      <c r="G2146">
        <v>0</v>
      </c>
      <c r="H2146">
        <v>2</v>
      </c>
      <c r="I2146">
        <v>2</v>
      </c>
      <c r="J2146">
        <v>0</v>
      </c>
      <c r="L2146" t="s">
        <v>30960</v>
      </c>
      <c r="M2146" t="s">
        <v>30961</v>
      </c>
      <c r="N2146" t="s">
        <v>30962</v>
      </c>
      <c r="O2146" t="s">
        <v>30963</v>
      </c>
      <c r="P2146" t="s">
        <v>30964</v>
      </c>
      <c r="Q2146" t="s">
        <v>30965</v>
      </c>
      <c r="R2146" t="s">
        <v>30966</v>
      </c>
      <c r="S2146" t="s">
        <v>30967</v>
      </c>
      <c r="T2146" s="2">
        <v>0.625</v>
      </c>
      <c r="U2146">
        <v>1</v>
      </c>
      <c r="V2146" t="s">
        <v>30968</v>
      </c>
      <c r="W2146" t="s">
        <v>30969</v>
      </c>
      <c r="X2146" t="s">
        <v>30970</v>
      </c>
      <c r="Y2146" t="s">
        <v>30971</v>
      </c>
      <c r="Z2146" t="s">
        <v>30972</v>
      </c>
      <c r="AA2146" t="s">
        <v>30972</v>
      </c>
      <c r="AB2146" t="s">
        <v>30972</v>
      </c>
      <c r="AC2146" t="s">
        <v>30972</v>
      </c>
    </row>
    <row r="2147" spans="1:30">
      <c r="A2147" t="s">
        <v>30973</v>
      </c>
      <c r="B2147">
        <v>10</v>
      </c>
      <c r="C2147">
        <v>29</v>
      </c>
      <c r="D2147">
        <v>1971</v>
      </c>
      <c r="E2147" s="1">
        <v>26235</v>
      </c>
      <c r="F2147" t="s">
        <v>30974</v>
      </c>
      <c r="G2147">
        <v>0</v>
      </c>
      <c r="H2147">
        <v>1</v>
      </c>
      <c r="I2147">
        <v>1</v>
      </c>
      <c r="J2147">
        <v>0</v>
      </c>
      <c r="L2147" t="s">
        <v>30975</v>
      </c>
      <c r="M2147" t="s">
        <v>30976</v>
      </c>
      <c r="N2147" t="s">
        <v>30977</v>
      </c>
      <c r="O2147" t="s">
        <v>30978</v>
      </c>
      <c r="P2147" t="s">
        <v>30979</v>
      </c>
      <c r="Q2147" t="s">
        <v>30980</v>
      </c>
      <c r="R2147" t="s">
        <v>30981</v>
      </c>
      <c r="S2147" t="s">
        <v>30982</v>
      </c>
      <c r="T2147" s="2">
        <v>0.49652777777777779</v>
      </c>
      <c r="U2147">
        <v>1</v>
      </c>
      <c r="V2147" t="s">
        <v>30983</v>
      </c>
      <c r="W2147" t="s">
        <v>30984</v>
      </c>
      <c r="X2147" t="s">
        <v>30985</v>
      </c>
      <c r="Y2147" t="s">
        <v>30986</v>
      </c>
      <c r="Z2147" t="s">
        <v>30986</v>
      </c>
      <c r="AA2147" t="s">
        <v>30986</v>
      </c>
      <c r="AB2147" t="s">
        <v>30986</v>
      </c>
      <c r="AC2147" t="s">
        <v>30986</v>
      </c>
    </row>
    <row r="2148" spans="1:30">
      <c r="A2148" t="s">
        <v>30987</v>
      </c>
      <c r="B2148">
        <v>10</v>
      </c>
      <c r="C2148">
        <v>28</v>
      </c>
      <c r="D2148">
        <v>1971</v>
      </c>
      <c r="E2148" s="1">
        <v>26234</v>
      </c>
      <c r="F2148" t="s">
        <v>30988</v>
      </c>
      <c r="G2148">
        <v>0</v>
      </c>
      <c r="H2148">
        <v>1</v>
      </c>
      <c r="I2148">
        <v>1</v>
      </c>
      <c r="J2148">
        <v>0</v>
      </c>
      <c r="L2148" t="s">
        <v>30989</v>
      </c>
      <c r="M2148" t="s">
        <v>30990</v>
      </c>
      <c r="N2148" t="s">
        <v>30991</v>
      </c>
      <c r="O2148" t="s">
        <v>30992</v>
      </c>
      <c r="P2148" t="s">
        <v>30993</v>
      </c>
      <c r="Q2148" t="s">
        <v>30994</v>
      </c>
      <c r="R2148" t="s">
        <v>30995</v>
      </c>
      <c r="S2148" t="s">
        <v>30996</v>
      </c>
      <c r="T2148" s="2">
        <v>0.49305555555555552</v>
      </c>
      <c r="U2148">
        <v>1</v>
      </c>
      <c r="V2148" t="s">
        <v>30997</v>
      </c>
      <c r="W2148" t="s">
        <v>30998</v>
      </c>
      <c r="X2148" t="s">
        <v>30999</v>
      </c>
      <c r="Y2148" t="s">
        <v>31000</v>
      </c>
      <c r="Z2148" t="s">
        <v>31000</v>
      </c>
      <c r="AA2148" t="s">
        <v>31000</v>
      </c>
      <c r="AB2148" t="s">
        <v>31000</v>
      </c>
      <c r="AC2148" t="s">
        <v>31000</v>
      </c>
    </row>
    <row r="2149" spans="1:30">
      <c r="A2149" t="s">
        <v>31001</v>
      </c>
      <c r="B2149">
        <v>9</v>
      </c>
      <c r="C2149">
        <v>29</v>
      </c>
      <c r="D2149">
        <v>1971</v>
      </c>
      <c r="E2149" s="1">
        <v>26205</v>
      </c>
      <c r="F2149" t="s">
        <v>31002</v>
      </c>
      <c r="G2149">
        <v>1</v>
      </c>
      <c r="H2149">
        <v>2</v>
      </c>
      <c r="I2149">
        <v>3</v>
      </c>
      <c r="J2149">
        <v>0</v>
      </c>
      <c r="L2149" t="s">
        <v>31003</v>
      </c>
      <c r="M2149" t="s">
        <v>31004</v>
      </c>
      <c r="N2149" t="s">
        <v>31005</v>
      </c>
      <c r="O2149" t="s">
        <v>31006</v>
      </c>
      <c r="P2149" t="s">
        <v>31007</v>
      </c>
      <c r="Q2149" t="s">
        <v>31008</v>
      </c>
      <c r="R2149" t="s">
        <v>31009</v>
      </c>
      <c r="U2149">
        <v>1</v>
      </c>
      <c r="V2149" t="s">
        <v>31010</v>
      </c>
      <c r="W2149" t="s">
        <v>31011</v>
      </c>
      <c r="X2149" t="s">
        <v>31012</v>
      </c>
      <c r="Y2149" t="s">
        <v>31013</v>
      </c>
      <c r="Z2149" t="s">
        <v>31013</v>
      </c>
      <c r="AA2149" t="s">
        <v>31013</v>
      </c>
      <c r="AC2149" t="s">
        <v>31013</v>
      </c>
      <c r="AD2149" t="s">
        <v>31014</v>
      </c>
    </row>
    <row r="2150" spans="1:30">
      <c r="A2150" t="s">
        <v>31015</v>
      </c>
      <c r="B2150">
        <v>9</v>
      </c>
      <c r="C2150">
        <v>28</v>
      </c>
      <c r="D2150">
        <v>1971</v>
      </c>
      <c r="E2150" s="1">
        <v>26204</v>
      </c>
      <c r="F2150" t="s">
        <v>31016</v>
      </c>
      <c r="G2150">
        <v>0</v>
      </c>
      <c r="H2150">
        <v>0</v>
      </c>
      <c r="I2150">
        <v>0</v>
      </c>
      <c r="J2150">
        <v>0</v>
      </c>
      <c r="L2150" t="s">
        <v>31017</v>
      </c>
      <c r="M2150" t="s">
        <v>31018</v>
      </c>
      <c r="N2150" t="s">
        <v>31019</v>
      </c>
      <c r="O2150" t="s">
        <v>31020</v>
      </c>
      <c r="P2150" t="s">
        <v>31021</v>
      </c>
      <c r="Q2150" t="s">
        <v>31021</v>
      </c>
      <c r="R2150" t="s">
        <v>31022</v>
      </c>
      <c r="S2150" t="s">
        <v>31023</v>
      </c>
      <c r="T2150" s="2">
        <v>0.5</v>
      </c>
      <c r="U2150">
        <v>1</v>
      </c>
      <c r="V2150" t="s">
        <v>31024</v>
      </c>
      <c r="W2150" t="s">
        <v>31025</v>
      </c>
      <c r="X2150" t="s">
        <v>31026</v>
      </c>
      <c r="Y2150" t="s">
        <v>31027</v>
      </c>
      <c r="Z2150" t="s">
        <v>31027</v>
      </c>
      <c r="AA2150" t="s">
        <v>31027</v>
      </c>
      <c r="AB2150" t="s">
        <v>31027</v>
      </c>
      <c r="AC2150" t="s">
        <v>31027</v>
      </c>
    </row>
    <row r="2151" spans="1:30">
      <c r="A2151" t="s">
        <v>31028</v>
      </c>
      <c r="B2151">
        <v>9</v>
      </c>
      <c r="C2151">
        <v>24</v>
      </c>
      <c r="D2151">
        <v>1971</v>
      </c>
      <c r="E2151" s="1">
        <v>26200</v>
      </c>
      <c r="F2151" t="s">
        <v>31029</v>
      </c>
      <c r="G2151">
        <v>1</v>
      </c>
      <c r="H2151">
        <v>0</v>
      </c>
      <c r="I2151">
        <v>1</v>
      </c>
      <c r="J2151">
        <v>0</v>
      </c>
      <c r="L2151" t="s">
        <v>31030</v>
      </c>
      <c r="M2151" t="s">
        <v>31031</v>
      </c>
      <c r="N2151" t="s">
        <v>31032</v>
      </c>
      <c r="O2151" t="s">
        <v>31033</v>
      </c>
      <c r="P2151" t="s">
        <v>31034</v>
      </c>
      <c r="Q2151" t="s">
        <v>31035</v>
      </c>
      <c r="R2151" t="s">
        <v>31036</v>
      </c>
      <c r="U2151">
        <v>1</v>
      </c>
      <c r="V2151" t="s">
        <v>31037</v>
      </c>
      <c r="W2151" t="s">
        <v>31038</v>
      </c>
      <c r="X2151" t="s">
        <v>31039</v>
      </c>
      <c r="Y2151" t="s">
        <v>31040</v>
      </c>
      <c r="Z2151" t="s">
        <v>31040</v>
      </c>
      <c r="AA2151" t="s">
        <v>31040</v>
      </c>
      <c r="AB2151" t="s">
        <v>31040</v>
      </c>
      <c r="AC2151" t="s">
        <v>31040</v>
      </c>
    </row>
    <row r="2152" spans="1:30">
      <c r="A2152" t="s">
        <v>31041</v>
      </c>
      <c r="B2152">
        <v>9</v>
      </c>
      <c r="C2152">
        <v>9</v>
      </c>
      <c r="D2152">
        <v>1971</v>
      </c>
      <c r="E2152" s="1">
        <v>26185</v>
      </c>
      <c r="F2152" t="s">
        <v>31042</v>
      </c>
      <c r="G2152">
        <v>1</v>
      </c>
      <c r="H2152">
        <v>0</v>
      </c>
      <c r="I2152">
        <v>1</v>
      </c>
      <c r="J2152">
        <v>0</v>
      </c>
      <c r="L2152" t="s">
        <v>31043</v>
      </c>
      <c r="M2152" t="s">
        <v>31044</v>
      </c>
      <c r="N2152" t="s">
        <v>31045</v>
      </c>
      <c r="O2152" t="s">
        <v>31046</v>
      </c>
      <c r="P2152" t="s">
        <v>31047</v>
      </c>
      <c r="Q2152" t="s">
        <v>31047</v>
      </c>
      <c r="R2152" t="s">
        <v>31048</v>
      </c>
      <c r="S2152" t="s">
        <v>31049</v>
      </c>
      <c r="V2152" t="s">
        <v>31050</v>
      </c>
      <c r="W2152" t="s">
        <v>31051</v>
      </c>
      <c r="X2152" t="s">
        <v>31052</v>
      </c>
      <c r="Y2152" t="s">
        <v>31053</v>
      </c>
      <c r="Z2152" t="s">
        <v>31053</v>
      </c>
      <c r="AA2152" t="s">
        <v>31053</v>
      </c>
      <c r="AB2152" t="s">
        <v>31053</v>
      </c>
      <c r="AC2152" t="s">
        <v>31053</v>
      </c>
    </row>
    <row r="2153" spans="1:30">
      <c r="A2153" t="s">
        <v>31054</v>
      </c>
      <c r="B2153">
        <v>8</v>
      </c>
      <c r="C2153">
        <v>20</v>
      </c>
      <c r="D2153">
        <v>1971</v>
      </c>
      <c r="E2153" s="1">
        <v>26165</v>
      </c>
      <c r="F2153" t="s">
        <v>31055</v>
      </c>
      <c r="G2153">
        <v>0</v>
      </c>
      <c r="H2153">
        <v>1</v>
      </c>
      <c r="I2153">
        <v>1</v>
      </c>
      <c r="J2153">
        <v>0</v>
      </c>
      <c r="L2153" t="s">
        <v>31056</v>
      </c>
      <c r="M2153" t="s">
        <v>31057</v>
      </c>
      <c r="N2153" t="s">
        <v>31058</v>
      </c>
      <c r="O2153" t="s">
        <v>31059</v>
      </c>
      <c r="P2153" t="s">
        <v>31060</v>
      </c>
      <c r="Q2153" t="s">
        <v>31060</v>
      </c>
      <c r="R2153" t="s">
        <v>31061</v>
      </c>
      <c r="S2153" t="s">
        <v>31062</v>
      </c>
      <c r="V2153" t="s">
        <v>31063</v>
      </c>
      <c r="W2153" t="s">
        <v>31064</v>
      </c>
      <c r="X2153" t="s">
        <v>31065</v>
      </c>
      <c r="Y2153" t="s">
        <v>31066</v>
      </c>
      <c r="Z2153" t="s">
        <v>31066</v>
      </c>
      <c r="AA2153" t="s">
        <v>31066</v>
      </c>
      <c r="AB2153" t="s">
        <v>31066</v>
      </c>
      <c r="AC2153" t="s">
        <v>31066</v>
      </c>
    </row>
    <row r="2154" spans="1:30">
      <c r="A2154" t="s">
        <v>31067</v>
      </c>
      <c r="B2154">
        <v>6</v>
      </c>
      <c r="C2154">
        <v>2</v>
      </c>
      <c r="D2154">
        <v>1971</v>
      </c>
      <c r="E2154" s="1">
        <v>26086</v>
      </c>
      <c r="F2154" t="s">
        <v>31068</v>
      </c>
      <c r="G2154">
        <v>0</v>
      </c>
      <c r="H2154">
        <v>0</v>
      </c>
      <c r="I2154">
        <v>0</v>
      </c>
      <c r="J2154">
        <v>1</v>
      </c>
      <c r="L2154" t="s">
        <v>31069</v>
      </c>
      <c r="M2154" t="s">
        <v>31070</v>
      </c>
      <c r="N2154" t="s">
        <v>31071</v>
      </c>
      <c r="O2154" t="s">
        <v>31072</v>
      </c>
      <c r="P2154" t="s">
        <v>31073</v>
      </c>
      <c r="Q2154" t="s">
        <v>31074</v>
      </c>
      <c r="R2154" t="s">
        <v>31075</v>
      </c>
      <c r="S2154" t="s">
        <v>31076</v>
      </c>
      <c r="U2154">
        <v>1</v>
      </c>
      <c r="V2154" t="s">
        <v>31077</v>
      </c>
      <c r="W2154" t="s">
        <v>31078</v>
      </c>
      <c r="X2154" t="s">
        <v>31079</v>
      </c>
      <c r="Y2154" t="s">
        <v>31080</v>
      </c>
      <c r="Z2154" t="s">
        <v>31080</v>
      </c>
      <c r="AA2154" t="s">
        <v>31080</v>
      </c>
      <c r="AB2154" t="s">
        <v>31080</v>
      </c>
      <c r="AC2154" t="s">
        <v>31080</v>
      </c>
    </row>
    <row r="2155" spans="1:30">
      <c r="A2155" t="s">
        <v>31081</v>
      </c>
      <c r="B2155">
        <v>5</v>
      </c>
      <c r="C2155">
        <v>27</v>
      </c>
      <c r="D2155">
        <v>1971</v>
      </c>
      <c r="E2155" s="1">
        <v>26080</v>
      </c>
      <c r="F2155" t="s">
        <v>31082</v>
      </c>
      <c r="G2155">
        <v>0</v>
      </c>
      <c r="H2155">
        <v>1</v>
      </c>
      <c r="I2155">
        <v>1</v>
      </c>
      <c r="J2155">
        <v>0</v>
      </c>
      <c r="L2155" t="s">
        <v>31083</v>
      </c>
      <c r="M2155" t="s">
        <v>31084</v>
      </c>
      <c r="N2155" t="s">
        <v>31085</v>
      </c>
      <c r="O2155" t="s">
        <v>31086</v>
      </c>
      <c r="P2155" t="s">
        <v>31087</v>
      </c>
      <c r="Q2155" t="s">
        <v>31087</v>
      </c>
      <c r="R2155" t="s">
        <v>31088</v>
      </c>
      <c r="U2155">
        <v>1</v>
      </c>
      <c r="V2155" t="s">
        <v>31089</v>
      </c>
      <c r="W2155" t="s">
        <v>31090</v>
      </c>
      <c r="X2155" t="s">
        <v>31091</v>
      </c>
      <c r="Y2155" t="s">
        <v>31092</v>
      </c>
      <c r="Z2155" t="s">
        <v>31092</v>
      </c>
      <c r="AA2155" t="s">
        <v>31092</v>
      </c>
      <c r="AB2155" t="s">
        <v>31093</v>
      </c>
      <c r="AC2155" t="s">
        <v>31094</v>
      </c>
    </row>
    <row r="2156" spans="1:30">
      <c r="A2156" t="s">
        <v>31095</v>
      </c>
      <c r="B2156">
        <v>4</v>
      </c>
      <c r="C2156">
        <v>5</v>
      </c>
      <c r="D2156">
        <v>1971</v>
      </c>
      <c r="E2156" s="1">
        <v>26028</v>
      </c>
      <c r="F2156" t="s">
        <v>31096</v>
      </c>
      <c r="G2156">
        <v>0</v>
      </c>
      <c r="H2156">
        <v>0</v>
      </c>
      <c r="I2156">
        <v>0</v>
      </c>
      <c r="J2156">
        <v>0</v>
      </c>
      <c r="L2156" t="s">
        <v>31097</v>
      </c>
      <c r="M2156" t="s">
        <v>31098</v>
      </c>
      <c r="N2156" t="s">
        <v>31099</v>
      </c>
      <c r="O2156" t="s">
        <v>31100</v>
      </c>
      <c r="P2156" t="s">
        <v>31101</v>
      </c>
      <c r="Q2156" t="s">
        <v>31102</v>
      </c>
      <c r="R2156" t="s">
        <v>31103</v>
      </c>
      <c r="U2156">
        <v>1</v>
      </c>
      <c r="V2156" t="s">
        <v>31104</v>
      </c>
      <c r="W2156" t="s">
        <v>31105</v>
      </c>
      <c r="X2156" t="s">
        <v>31106</v>
      </c>
      <c r="Y2156" t="s">
        <v>31107</v>
      </c>
      <c r="Z2156" t="s">
        <v>31107</v>
      </c>
      <c r="AA2156" t="s">
        <v>31107</v>
      </c>
      <c r="AB2156" t="s">
        <v>31107</v>
      </c>
      <c r="AC2156" t="s">
        <v>31108</v>
      </c>
    </row>
    <row r="2157" spans="1:30">
      <c r="A2157" t="s">
        <v>31109</v>
      </c>
      <c r="B2157">
        <v>3</v>
      </c>
      <c r="C2157">
        <v>9</v>
      </c>
      <c r="D2157">
        <v>1971</v>
      </c>
      <c r="E2157" s="1">
        <v>26001</v>
      </c>
      <c r="F2157" t="s">
        <v>31110</v>
      </c>
      <c r="G2157">
        <v>0</v>
      </c>
      <c r="H2157">
        <v>1</v>
      </c>
      <c r="I2157">
        <v>1</v>
      </c>
      <c r="J2157">
        <v>0</v>
      </c>
      <c r="L2157" t="s">
        <v>31111</v>
      </c>
      <c r="M2157" t="s">
        <v>31112</v>
      </c>
      <c r="N2157" t="s">
        <v>31113</v>
      </c>
      <c r="O2157" t="s">
        <v>31114</v>
      </c>
      <c r="P2157" t="s">
        <v>31115</v>
      </c>
      <c r="Q2157" t="s">
        <v>31116</v>
      </c>
      <c r="R2157" t="s">
        <v>31117</v>
      </c>
      <c r="U2157">
        <v>1</v>
      </c>
      <c r="V2157" t="s">
        <v>31118</v>
      </c>
      <c r="W2157" t="s">
        <v>31119</v>
      </c>
      <c r="X2157" t="s">
        <v>31120</v>
      </c>
      <c r="Y2157" t="s">
        <v>31121</v>
      </c>
      <c r="Z2157" t="s">
        <v>31121</v>
      </c>
      <c r="AA2157" t="s">
        <v>31121</v>
      </c>
      <c r="AB2157" t="s">
        <v>31121</v>
      </c>
      <c r="AC2157" t="s">
        <v>31121</v>
      </c>
    </row>
    <row r="2158" spans="1:30">
      <c r="A2158" t="s">
        <v>31122</v>
      </c>
      <c r="B2158">
        <v>2</v>
      </c>
      <c r="C2158">
        <v>25</v>
      </c>
      <c r="D2158">
        <v>1971</v>
      </c>
      <c r="E2158" s="1">
        <v>25989</v>
      </c>
      <c r="F2158" t="s">
        <v>31123</v>
      </c>
      <c r="G2158">
        <v>1</v>
      </c>
      <c r="H2158">
        <v>0</v>
      </c>
      <c r="I2158">
        <v>1</v>
      </c>
      <c r="J2158">
        <v>0</v>
      </c>
      <c r="L2158" t="s">
        <v>31124</v>
      </c>
      <c r="M2158" t="s">
        <v>31125</v>
      </c>
      <c r="N2158" t="s">
        <v>31126</v>
      </c>
      <c r="O2158" t="s">
        <v>31127</v>
      </c>
      <c r="P2158" t="s">
        <v>31128</v>
      </c>
      <c r="Q2158" t="s">
        <v>31129</v>
      </c>
      <c r="R2158" t="s">
        <v>31130</v>
      </c>
      <c r="V2158" t="s">
        <v>31131</v>
      </c>
      <c r="W2158" t="s">
        <v>31132</v>
      </c>
      <c r="X2158" t="s">
        <v>31133</v>
      </c>
      <c r="Y2158" t="s">
        <v>31134</v>
      </c>
      <c r="Z2158" t="s">
        <v>31135</v>
      </c>
      <c r="AA2158" t="s">
        <v>31135</v>
      </c>
      <c r="AC2158" t="s">
        <v>31135</v>
      </c>
    </row>
    <row r="2159" spans="1:30">
      <c r="A2159" t="s">
        <v>31136</v>
      </c>
      <c r="B2159">
        <v>2</v>
      </c>
      <c r="C2159">
        <v>10</v>
      </c>
      <c r="D2159">
        <v>1971</v>
      </c>
      <c r="E2159" s="1">
        <v>25974</v>
      </c>
      <c r="F2159" t="s">
        <v>31137</v>
      </c>
      <c r="G2159">
        <v>0</v>
      </c>
      <c r="H2159">
        <v>2</v>
      </c>
      <c r="I2159">
        <v>2</v>
      </c>
      <c r="J2159">
        <v>0</v>
      </c>
      <c r="L2159" t="s">
        <v>31138</v>
      </c>
      <c r="M2159" t="s">
        <v>31139</v>
      </c>
      <c r="N2159" t="s">
        <v>31140</v>
      </c>
      <c r="O2159" t="s">
        <v>31141</v>
      </c>
      <c r="P2159" t="s">
        <v>31142</v>
      </c>
      <c r="Q2159" t="s">
        <v>31142</v>
      </c>
      <c r="R2159" t="s">
        <v>31143</v>
      </c>
      <c r="V2159" t="s">
        <v>31144</v>
      </c>
      <c r="W2159" t="s">
        <v>31145</v>
      </c>
      <c r="X2159" t="s">
        <v>31146</v>
      </c>
      <c r="Y2159" t="s">
        <v>31147</v>
      </c>
      <c r="Z2159" t="s">
        <v>31148</v>
      </c>
      <c r="AA2159" t="s">
        <v>31148</v>
      </c>
      <c r="AB2159" t="s">
        <v>31148</v>
      </c>
      <c r="AC2159" t="s">
        <v>31148</v>
      </c>
    </row>
    <row r="2160" spans="1:30">
      <c r="A2160" t="s">
        <v>31149</v>
      </c>
      <c r="B2160">
        <v>2</v>
      </c>
      <c r="C2160">
        <v>5</v>
      </c>
      <c r="D2160">
        <v>1971</v>
      </c>
      <c r="E2160" s="1">
        <v>25969</v>
      </c>
      <c r="F2160" t="s">
        <v>31150</v>
      </c>
      <c r="G2160">
        <v>0</v>
      </c>
      <c r="H2160">
        <v>1</v>
      </c>
      <c r="I2160">
        <v>1</v>
      </c>
      <c r="J2160">
        <v>0</v>
      </c>
      <c r="L2160" t="s">
        <v>31151</v>
      </c>
      <c r="M2160" t="s">
        <v>31152</v>
      </c>
      <c r="N2160" t="s">
        <v>31153</v>
      </c>
      <c r="O2160" t="s">
        <v>31154</v>
      </c>
      <c r="P2160" t="s">
        <v>31155</v>
      </c>
      <c r="Q2160" t="s">
        <v>31155</v>
      </c>
      <c r="R2160" t="s">
        <v>31156</v>
      </c>
      <c r="S2160" t="s">
        <v>31157</v>
      </c>
      <c r="V2160" t="s">
        <v>31158</v>
      </c>
      <c r="W2160" t="s">
        <v>31159</v>
      </c>
      <c r="X2160" t="s">
        <v>31160</v>
      </c>
      <c r="Y2160" t="s">
        <v>31161</v>
      </c>
      <c r="Z2160" t="s">
        <v>31161</v>
      </c>
      <c r="AA2160" t="s">
        <v>31161</v>
      </c>
    </row>
    <row r="2161" spans="1:30">
      <c r="A2161" t="s">
        <v>31162</v>
      </c>
      <c r="B2161">
        <v>2</v>
      </c>
      <c r="C2161">
        <v>2</v>
      </c>
      <c r="D2161">
        <v>1971</v>
      </c>
      <c r="E2161" s="1">
        <v>25966</v>
      </c>
      <c r="F2161" t="s">
        <v>31163</v>
      </c>
      <c r="G2161">
        <v>1</v>
      </c>
      <c r="H2161">
        <v>0</v>
      </c>
      <c r="I2161">
        <v>1</v>
      </c>
      <c r="J2161">
        <v>0</v>
      </c>
      <c r="L2161" t="s">
        <v>31164</v>
      </c>
      <c r="M2161" t="s">
        <v>31165</v>
      </c>
      <c r="N2161" t="s">
        <v>31166</v>
      </c>
      <c r="O2161" t="s">
        <v>31167</v>
      </c>
      <c r="P2161" t="s">
        <v>31168</v>
      </c>
      <c r="Q2161" t="s">
        <v>31168</v>
      </c>
      <c r="R2161" t="s">
        <v>31169</v>
      </c>
      <c r="V2161" t="s">
        <v>31170</v>
      </c>
      <c r="W2161" t="s">
        <v>31171</v>
      </c>
      <c r="X2161" t="s">
        <v>31172</v>
      </c>
      <c r="Y2161" t="s">
        <v>31173</v>
      </c>
      <c r="Z2161" t="s">
        <v>31173</v>
      </c>
      <c r="AA2161" t="s">
        <v>31173</v>
      </c>
      <c r="AB2161" t="s">
        <v>31173</v>
      </c>
      <c r="AC2161" t="s">
        <v>31173</v>
      </c>
    </row>
    <row r="2162" spans="1:30">
      <c r="A2162" t="s">
        <v>31174</v>
      </c>
      <c r="B2162">
        <v>12</v>
      </c>
      <c r="C2162">
        <v>12</v>
      </c>
      <c r="D2162">
        <v>1970</v>
      </c>
      <c r="E2162" s="1">
        <v>25914</v>
      </c>
      <c r="F2162" t="s">
        <v>31175</v>
      </c>
      <c r="G2162">
        <v>1</v>
      </c>
      <c r="H2162">
        <v>0</v>
      </c>
      <c r="I2162">
        <v>1</v>
      </c>
      <c r="J2162">
        <v>0</v>
      </c>
      <c r="L2162" t="s">
        <v>31176</v>
      </c>
      <c r="M2162" t="s">
        <v>31177</v>
      </c>
      <c r="N2162" t="s">
        <v>31178</v>
      </c>
      <c r="O2162" t="s">
        <v>31179</v>
      </c>
      <c r="P2162" t="s">
        <v>31180</v>
      </c>
      <c r="Q2162" t="s">
        <v>31180</v>
      </c>
      <c r="R2162" t="s">
        <v>31181</v>
      </c>
      <c r="S2162" t="s">
        <v>31182</v>
      </c>
      <c r="T2162" s="2">
        <v>0.99652777777777779</v>
      </c>
      <c r="U2162">
        <v>1</v>
      </c>
      <c r="V2162" t="s">
        <v>31183</v>
      </c>
      <c r="W2162" t="s">
        <v>31184</v>
      </c>
      <c r="X2162" t="s">
        <v>31185</v>
      </c>
      <c r="Y2162" t="s">
        <v>31186</v>
      </c>
      <c r="Z2162" t="s">
        <v>31186</v>
      </c>
      <c r="AA2162" t="s">
        <v>31186</v>
      </c>
      <c r="AB2162" t="s">
        <v>31186</v>
      </c>
      <c r="AC2162" t="s">
        <v>31186</v>
      </c>
      <c r="AD2162" t="s">
        <v>31187</v>
      </c>
    </row>
    <row r="2163" spans="1:30">
      <c r="A2163" t="s">
        <v>31188</v>
      </c>
      <c r="B2163">
        <v>11</v>
      </c>
      <c r="C2163">
        <v>20</v>
      </c>
      <c r="D2163">
        <v>1970</v>
      </c>
      <c r="E2163" s="1">
        <v>25892</v>
      </c>
      <c r="F2163" t="s">
        <v>31189</v>
      </c>
      <c r="G2163">
        <v>0</v>
      </c>
      <c r="H2163">
        <v>2</v>
      </c>
      <c r="I2163">
        <v>2</v>
      </c>
      <c r="J2163">
        <v>0</v>
      </c>
      <c r="L2163" t="s">
        <v>31190</v>
      </c>
      <c r="M2163" t="s">
        <v>31191</v>
      </c>
      <c r="N2163" t="s">
        <v>31192</v>
      </c>
      <c r="O2163" t="s">
        <v>31193</v>
      </c>
      <c r="P2163" t="s">
        <v>31194</v>
      </c>
      <c r="Q2163" t="s">
        <v>31194</v>
      </c>
      <c r="R2163" t="s">
        <v>31195</v>
      </c>
      <c r="U2163">
        <v>1</v>
      </c>
      <c r="V2163" t="s">
        <v>31196</v>
      </c>
      <c r="W2163" t="s">
        <v>31197</v>
      </c>
      <c r="Y2163" t="s">
        <v>31198</v>
      </c>
      <c r="Z2163" t="s">
        <v>31199</v>
      </c>
      <c r="AA2163" t="s">
        <v>31199</v>
      </c>
      <c r="AB2163" t="s">
        <v>31199</v>
      </c>
      <c r="AC2163" t="s">
        <v>31199</v>
      </c>
    </row>
    <row r="2164" spans="1:30">
      <c r="A2164" t="s">
        <v>31200</v>
      </c>
      <c r="B2164">
        <v>10</v>
      </c>
      <c r="C2164">
        <v>27</v>
      </c>
      <c r="D2164">
        <v>1970</v>
      </c>
      <c r="E2164" s="1">
        <v>25868</v>
      </c>
      <c r="F2164" t="s">
        <v>31201</v>
      </c>
      <c r="G2164">
        <v>0</v>
      </c>
      <c r="H2164">
        <v>1</v>
      </c>
      <c r="I2164">
        <v>1</v>
      </c>
      <c r="J2164">
        <v>0</v>
      </c>
      <c r="L2164" t="s">
        <v>31202</v>
      </c>
      <c r="M2164" t="s">
        <v>31203</v>
      </c>
      <c r="N2164" t="s">
        <v>31204</v>
      </c>
      <c r="O2164" t="s">
        <v>31205</v>
      </c>
      <c r="P2164" t="s">
        <v>31206</v>
      </c>
      <c r="Q2164" t="s">
        <v>31207</v>
      </c>
      <c r="R2164" t="s">
        <v>31208</v>
      </c>
      <c r="S2164" t="s">
        <v>31209</v>
      </c>
      <c r="T2164" s="2">
        <v>0.35416666666666663</v>
      </c>
      <c r="U2164">
        <v>1</v>
      </c>
      <c r="V2164" t="s">
        <v>31210</v>
      </c>
      <c r="W2164" t="s">
        <v>31211</v>
      </c>
      <c r="X2164" t="s">
        <v>31212</v>
      </c>
      <c r="Y2164" t="s">
        <v>31213</v>
      </c>
      <c r="Z2164" t="s">
        <v>31213</v>
      </c>
      <c r="AA2164" t="s">
        <v>31213</v>
      </c>
      <c r="AC2164" t="s">
        <v>31213</v>
      </c>
    </row>
    <row r="2165" spans="1:30">
      <c r="A2165" t="s">
        <v>31214</v>
      </c>
      <c r="B2165">
        <v>10</v>
      </c>
      <c r="C2165">
        <v>20</v>
      </c>
      <c r="D2165">
        <v>1970</v>
      </c>
      <c r="E2165" s="1">
        <v>25861</v>
      </c>
      <c r="F2165" t="s">
        <v>31215</v>
      </c>
      <c r="G2165">
        <v>0</v>
      </c>
      <c r="H2165">
        <v>1</v>
      </c>
      <c r="I2165">
        <v>1</v>
      </c>
      <c r="J2165">
        <v>0</v>
      </c>
      <c r="L2165" t="s">
        <v>31216</v>
      </c>
      <c r="M2165" t="s">
        <v>31217</v>
      </c>
      <c r="N2165" t="s">
        <v>31218</v>
      </c>
      <c r="O2165" t="s">
        <v>31219</v>
      </c>
      <c r="P2165" t="s">
        <v>31220</v>
      </c>
      <c r="Q2165" t="s">
        <v>31221</v>
      </c>
      <c r="R2165" t="s">
        <v>31222</v>
      </c>
      <c r="S2165" t="s">
        <v>31223</v>
      </c>
      <c r="T2165" s="2">
        <v>0.5</v>
      </c>
      <c r="U2165">
        <v>1</v>
      </c>
      <c r="V2165" t="s">
        <v>31224</v>
      </c>
      <c r="W2165" t="s">
        <v>31225</v>
      </c>
      <c r="X2165" t="s">
        <v>31226</v>
      </c>
      <c r="Y2165" t="s">
        <v>31227</v>
      </c>
      <c r="Z2165" t="s">
        <v>31227</v>
      </c>
      <c r="AA2165" t="s">
        <v>31227</v>
      </c>
      <c r="AB2165" t="s">
        <v>31227</v>
      </c>
      <c r="AC2165" t="s">
        <v>31227</v>
      </c>
    </row>
    <row r="2166" spans="1:30">
      <c r="A2166" t="s">
        <v>31228</v>
      </c>
      <c r="B2166">
        <v>10</v>
      </c>
      <c r="C2166">
        <v>19</v>
      </c>
      <c r="D2166">
        <v>1970</v>
      </c>
      <c r="E2166" s="1">
        <v>25860</v>
      </c>
      <c r="F2166" t="s">
        <v>31229</v>
      </c>
      <c r="G2166">
        <v>1</v>
      </c>
      <c r="H2166">
        <v>0</v>
      </c>
      <c r="I2166">
        <v>1</v>
      </c>
      <c r="J2166">
        <v>0</v>
      </c>
      <c r="L2166" t="s">
        <v>31230</v>
      </c>
      <c r="M2166" t="s">
        <v>31231</v>
      </c>
      <c r="N2166" t="s">
        <v>31232</v>
      </c>
      <c r="O2166" t="s">
        <v>31233</v>
      </c>
      <c r="P2166" t="s">
        <v>31234</v>
      </c>
      <c r="Q2166" t="s">
        <v>31234</v>
      </c>
      <c r="R2166" t="s">
        <v>31235</v>
      </c>
      <c r="V2166" t="s">
        <v>31236</v>
      </c>
      <c r="W2166" t="s">
        <v>31237</v>
      </c>
      <c r="X2166" t="s">
        <v>31238</v>
      </c>
      <c r="Y2166" t="s">
        <v>31239</v>
      </c>
      <c r="Z2166" t="s">
        <v>31239</v>
      </c>
      <c r="AA2166" t="s">
        <v>31239</v>
      </c>
      <c r="AB2166" t="s">
        <v>31239</v>
      </c>
      <c r="AC2166" t="s">
        <v>31239</v>
      </c>
    </row>
    <row r="2167" spans="1:30">
      <c r="A2167" t="s">
        <v>31240</v>
      </c>
      <c r="B2167">
        <v>10</v>
      </c>
      <c r="C2167">
        <v>5</v>
      </c>
      <c r="D2167">
        <v>1970</v>
      </c>
      <c r="E2167" s="1">
        <v>25846</v>
      </c>
      <c r="F2167" t="s">
        <v>31241</v>
      </c>
      <c r="G2167">
        <v>0</v>
      </c>
      <c r="H2167">
        <v>4</v>
      </c>
      <c r="I2167">
        <v>4</v>
      </c>
      <c r="J2167">
        <v>0</v>
      </c>
      <c r="L2167" t="s">
        <v>31242</v>
      </c>
      <c r="M2167" t="s">
        <v>31243</v>
      </c>
      <c r="N2167" t="s">
        <v>31244</v>
      </c>
      <c r="O2167" t="s">
        <v>31245</v>
      </c>
      <c r="P2167" t="s">
        <v>31246</v>
      </c>
      <c r="Q2167" t="s">
        <v>31246</v>
      </c>
      <c r="R2167" t="s">
        <v>31247</v>
      </c>
      <c r="V2167" t="s">
        <v>31248</v>
      </c>
      <c r="W2167" t="s">
        <v>31249</v>
      </c>
      <c r="X2167" t="s">
        <v>31250</v>
      </c>
      <c r="Y2167" t="s">
        <v>31251</v>
      </c>
      <c r="Z2167" t="s">
        <v>31252</v>
      </c>
      <c r="AA2167" t="s">
        <v>31252</v>
      </c>
      <c r="AB2167" t="s">
        <v>31252</v>
      </c>
      <c r="AC2167" t="s">
        <v>31252</v>
      </c>
    </row>
    <row r="2168" spans="1:30">
      <c r="A2168" t="s">
        <v>31253</v>
      </c>
      <c r="B2168">
        <v>9</v>
      </c>
      <c r="C2168">
        <v>28</v>
      </c>
      <c r="D2168">
        <v>1970</v>
      </c>
      <c r="E2168" s="1">
        <v>25839</v>
      </c>
      <c r="F2168" t="s">
        <v>31254</v>
      </c>
      <c r="G2168">
        <v>0</v>
      </c>
      <c r="H2168">
        <v>1</v>
      </c>
      <c r="I2168">
        <v>1</v>
      </c>
      <c r="J2168">
        <v>0</v>
      </c>
      <c r="L2168" t="s">
        <v>31255</v>
      </c>
      <c r="M2168" t="s">
        <v>31256</v>
      </c>
      <c r="N2168" t="s">
        <v>31257</v>
      </c>
      <c r="O2168" t="s">
        <v>31258</v>
      </c>
      <c r="P2168" t="s">
        <v>31259</v>
      </c>
      <c r="Q2168" t="s">
        <v>31260</v>
      </c>
      <c r="R2168" t="s">
        <v>31261</v>
      </c>
      <c r="V2168" t="s">
        <v>31262</v>
      </c>
      <c r="W2168" t="s">
        <v>31263</v>
      </c>
      <c r="X2168" t="s">
        <v>31264</v>
      </c>
      <c r="Y2168" t="s">
        <v>31265</v>
      </c>
      <c r="Z2168" t="s">
        <v>31265</v>
      </c>
      <c r="AA2168" t="s">
        <v>31265</v>
      </c>
      <c r="AB2168" t="s">
        <v>31265</v>
      </c>
      <c r="AC2168" t="s">
        <v>31266</v>
      </c>
    </row>
    <row r="2169" spans="1:30">
      <c r="A2169" t="s">
        <v>31267</v>
      </c>
      <c r="B2169">
        <v>9</v>
      </c>
      <c r="C2169">
        <v>24</v>
      </c>
      <c r="D2169">
        <v>1970</v>
      </c>
      <c r="E2169" s="1">
        <v>25835</v>
      </c>
      <c r="F2169" t="s">
        <v>31268</v>
      </c>
      <c r="G2169">
        <v>1</v>
      </c>
      <c r="H2169">
        <v>0</v>
      </c>
      <c r="I2169">
        <v>1</v>
      </c>
      <c r="J2169">
        <v>0</v>
      </c>
      <c r="L2169" t="s">
        <v>31269</v>
      </c>
      <c r="M2169" t="s">
        <v>31270</v>
      </c>
      <c r="N2169" t="s">
        <v>31271</v>
      </c>
      <c r="O2169" t="s">
        <v>31272</v>
      </c>
      <c r="P2169" t="s">
        <v>31273</v>
      </c>
      <c r="Q2169" t="s">
        <v>31274</v>
      </c>
      <c r="V2169" t="s">
        <v>31275</v>
      </c>
      <c r="W2169" t="s">
        <v>31276</v>
      </c>
      <c r="X2169" t="s">
        <v>31277</v>
      </c>
      <c r="Y2169" t="s">
        <v>31278</v>
      </c>
      <c r="Z2169" t="s">
        <v>31278</v>
      </c>
      <c r="AB2169" t="s">
        <v>31278</v>
      </c>
      <c r="AC2169" t="s">
        <v>31278</v>
      </c>
      <c r="AD2169" t="s">
        <v>31278</v>
      </c>
    </row>
    <row r="2170" spans="1:30">
      <c r="A2170" t="s">
        <v>31279</v>
      </c>
      <c r="B2170">
        <v>9</v>
      </c>
      <c r="C2170">
        <v>14</v>
      </c>
      <c r="D2170">
        <v>1970</v>
      </c>
      <c r="E2170" s="1">
        <v>25825</v>
      </c>
      <c r="F2170" t="s">
        <v>31280</v>
      </c>
      <c r="G2170">
        <v>1</v>
      </c>
      <c r="H2170">
        <v>2</v>
      </c>
      <c r="I2170">
        <v>3</v>
      </c>
      <c r="J2170">
        <v>0</v>
      </c>
      <c r="L2170" t="s">
        <v>31281</v>
      </c>
      <c r="M2170" t="s">
        <v>31282</v>
      </c>
      <c r="N2170" t="s">
        <v>31283</v>
      </c>
      <c r="O2170" t="s">
        <v>31284</v>
      </c>
      <c r="P2170" t="s">
        <v>31285</v>
      </c>
      <c r="Q2170" t="s">
        <v>31286</v>
      </c>
      <c r="R2170" t="s">
        <v>31287</v>
      </c>
      <c r="V2170" t="s">
        <v>31288</v>
      </c>
      <c r="W2170" t="s">
        <v>31289</v>
      </c>
      <c r="X2170" t="s">
        <v>31290</v>
      </c>
      <c r="Y2170" t="s">
        <v>31291</v>
      </c>
      <c r="Z2170" t="s">
        <v>31291</v>
      </c>
      <c r="AA2170" t="s">
        <v>31291</v>
      </c>
      <c r="AB2170" t="s">
        <v>31291</v>
      </c>
      <c r="AC2170" t="s">
        <v>31291</v>
      </c>
    </row>
    <row r="2171" spans="1:30">
      <c r="A2171" t="s">
        <v>31292</v>
      </c>
      <c r="B2171">
        <v>8</v>
      </c>
      <c r="C2171">
        <v>31</v>
      </c>
      <c r="D2171">
        <v>1970</v>
      </c>
      <c r="E2171" s="1">
        <v>25811</v>
      </c>
      <c r="F2171" t="s">
        <v>31293</v>
      </c>
      <c r="G2171">
        <v>1</v>
      </c>
      <c r="H2171">
        <v>0</v>
      </c>
      <c r="I2171">
        <v>1</v>
      </c>
      <c r="J2171">
        <v>0</v>
      </c>
      <c r="L2171" t="s">
        <v>31294</v>
      </c>
      <c r="M2171" t="s">
        <v>31295</v>
      </c>
      <c r="N2171" t="s">
        <v>31296</v>
      </c>
      <c r="O2171" t="s">
        <v>31297</v>
      </c>
      <c r="P2171" t="s">
        <v>31298</v>
      </c>
      <c r="Q2171" t="s">
        <v>31298</v>
      </c>
      <c r="R2171" t="s">
        <v>31299</v>
      </c>
      <c r="S2171" t="s">
        <v>31300</v>
      </c>
      <c r="V2171" t="s">
        <v>31301</v>
      </c>
      <c r="W2171" t="s">
        <v>31302</v>
      </c>
      <c r="X2171" t="s">
        <v>31303</v>
      </c>
      <c r="Y2171" t="s">
        <v>31304</v>
      </c>
      <c r="Z2171" t="s">
        <v>31304</v>
      </c>
      <c r="AA2171" t="s">
        <v>31304</v>
      </c>
      <c r="AB2171" t="s">
        <v>31304</v>
      </c>
      <c r="AC2171" t="s">
        <v>31304</v>
      </c>
    </row>
    <row r="2172" spans="1:30">
      <c r="A2172" t="s">
        <v>31305</v>
      </c>
      <c r="B2172">
        <v>8</v>
      </c>
      <c r="C2172">
        <v>28</v>
      </c>
      <c r="D2172">
        <v>1970</v>
      </c>
      <c r="E2172" s="1">
        <v>25808</v>
      </c>
      <c r="F2172" t="s">
        <v>31306</v>
      </c>
      <c r="G2172">
        <v>0</v>
      </c>
      <c r="H2172">
        <v>1</v>
      </c>
      <c r="I2172">
        <v>1</v>
      </c>
      <c r="J2172">
        <v>0</v>
      </c>
      <c r="L2172" t="s">
        <v>31307</v>
      </c>
      <c r="M2172" t="s">
        <v>31308</v>
      </c>
      <c r="N2172" t="s">
        <v>31309</v>
      </c>
      <c r="O2172" t="s">
        <v>31310</v>
      </c>
      <c r="P2172" t="s">
        <v>31311</v>
      </c>
      <c r="Q2172" t="s">
        <v>31311</v>
      </c>
      <c r="R2172" t="s">
        <v>31312</v>
      </c>
      <c r="S2172" t="s">
        <v>31313</v>
      </c>
      <c r="T2172" s="2">
        <v>0</v>
      </c>
      <c r="U2172">
        <v>1</v>
      </c>
      <c r="V2172" t="s">
        <v>31314</v>
      </c>
      <c r="W2172" t="s">
        <v>31315</v>
      </c>
      <c r="X2172" t="s">
        <v>31316</v>
      </c>
      <c r="Y2172" t="s">
        <v>31317</v>
      </c>
      <c r="Z2172" t="s">
        <v>31318</v>
      </c>
      <c r="AA2172" t="s">
        <v>31318</v>
      </c>
      <c r="AB2172" t="s">
        <v>31318</v>
      </c>
      <c r="AC2172" t="s">
        <v>31318</v>
      </c>
    </row>
    <row r="2173" spans="1:30">
      <c r="A2173" t="s">
        <v>31319</v>
      </c>
      <c r="B2173">
        <v>5</v>
      </c>
      <c r="C2173">
        <v>15</v>
      </c>
      <c r="D2173">
        <v>1970</v>
      </c>
      <c r="E2173" s="1">
        <v>25703</v>
      </c>
      <c r="F2173" t="s">
        <v>31320</v>
      </c>
      <c r="G2173">
        <v>0</v>
      </c>
      <c r="H2173">
        <v>2</v>
      </c>
      <c r="I2173">
        <v>2</v>
      </c>
      <c r="J2173">
        <v>0</v>
      </c>
      <c r="L2173" t="s">
        <v>31321</v>
      </c>
      <c r="M2173" t="s">
        <v>31322</v>
      </c>
      <c r="N2173" t="s">
        <v>31323</v>
      </c>
      <c r="O2173" t="s">
        <v>31324</v>
      </c>
      <c r="P2173" t="s">
        <v>31325</v>
      </c>
      <c r="Q2173" t="s">
        <v>31326</v>
      </c>
      <c r="R2173" t="s">
        <v>31327</v>
      </c>
      <c r="V2173" t="s">
        <v>31328</v>
      </c>
      <c r="W2173" t="s">
        <v>31329</v>
      </c>
      <c r="X2173" t="s">
        <v>31330</v>
      </c>
      <c r="Y2173" t="s">
        <v>31331</v>
      </c>
      <c r="Z2173" t="s">
        <v>31331</v>
      </c>
      <c r="AA2173" t="s">
        <v>31331</v>
      </c>
      <c r="AC2173" t="s">
        <v>31331</v>
      </c>
    </row>
    <row r="2174" spans="1:30">
      <c r="A2174" t="s">
        <v>31332</v>
      </c>
      <c r="B2174">
        <v>5</v>
      </c>
      <c r="C2174">
        <v>8</v>
      </c>
      <c r="D2174">
        <v>1970</v>
      </c>
      <c r="E2174" s="1">
        <v>25696</v>
      </c>
      <c r="F2174" t="s">
        <v>31333</v>
      </c>
      <c r="G2174">
        <v>0</v>
      </c>
      <c r="H2174">
        <v>1</v>
      </c>
      <c r="I2174">
        <v>1</v>
      </c>
      <c r="J2174">
        <v>0</v>
      </c>
      <c r="L2174" t="s">
        <v>31334</v>
      </c>
      <c r="M2174" t="s">
        <v>31335</v>
      </c>
      <c r="N2174" t="s">
        <v>31336</v>
      </c>
      <c r="O2174" t="s">
        <v>31337</v>
      </c>
      <c r="P2174" t="s">
        <v>31338</v>
      </c>
      <c r="Q2174" t="s">
        <v>31338</v>
      </c>
      <c r="R2174" t="s">
        <v>31339</v>
      </c>
      <c r="S2174" t="s">
        <v>31340</v>
      </c>
      <c r="T2174" s="2">
        <v>0.41666666666666669</v>
      </c>
      <c r="U2174">
        <v>1</v>
      </c>
      <c r="V2174" t="s">
        <v>31341</v>
      </c>
      <c r="W2174" t="s">
        <v>31342</v>
      </c>
      <c r="X2174" t="s">
        <v>31343</v>
      </c>
      <c r="Y2174" t="s">
        <v>31344</v>
      </c>
      <c r="Z2174" t="s">
        <v>31344</v>
      </c>
      <c r="AA2174" t="s">
        <v>31344</v>
      </c>
      <c r="AB2174" t="s">
        <v>31344</v>
      </c>
      <c r="AC2174" t="s">
        <v>31344</v>
      </c>
    </row>
    <row r="2175" spans="1:30">
      <c r="A2175" t="s">
        <v>31345</v>
      </c>
      <c r="B2175">
        <v>4</v>
      </c>
      <c r="C2175">
        <v>22</v>
      </c>
      <c r="D2175">
        <v>1970</v>
      </c>
      <c r="E2175" s="1">
        <v>25680</v>
      </c>
      <c r="F2175" t="s">
        <v>31346</v>
      </c>
      <c r="G2175">
        <v>1</v>
      </c>
      <c r="H2175">
        <v>0</v>
      </c>
      <c r="I2175">
        <v>1</v>
      </c>
      <c r="J2175">
        <v>0</v>
      </c>
      <c r="L2175" t="s">
        <v>31347</v>
      </c>
      <c r="M2175" t="s">
        <v>31348</v>
      </c>
      <c r="N2175" t="s">
        <v>31349</v>
      </c>
      <c r="O2175" t="s">
        <v>31350</v>
      </c>
      <c r="P2175" t="s">
        <v>31351</v>
      </c>
      <c r="Q2175" t="s">
        <v>31352</v>
      </c>
      <c r="R2175" t="s">
        <v>31353</v>
      </c>
      <c r="S2175" t="s">
        <v>31354</v>
      </c>
      <c r="T2175" s="2">
        <v>0.375</v>
      </c>
      <c r="U2175">
        <v>1</v>
      </c>
      <c r="V2175" t="s">
        <v>31355</v>
      </c>
      <c r="W2175" t="s">
        <v>31356</v>
      </c>
      <c r="X2175" t="s">
        <v>31357</v>
      </c>
      <c r="Y2175" t="s">
        <v>31358</v>
      </c>
      <c r="Z2175" t="s">
        <v>31358</v>
      </c>
      <c r="AA2175" t="s">
        <v>31358</v>
      </c>
      <c r="AB2175" t="s">
        <v>31358</v>
      </c>
      <c r="AC2175" t="s">
        <v>31358</v>
      </c>
    </row>
    <row r="2176" spans="1:30">
      <c r="A2176" t="s">
        <v>31359</v>
      </c>
      <c r="B2176">
        <v>4</v>
      </c>
      <c r="C2176">
        <v>15</v>
      </c>
      <c r="D2176">
        <v>1970</v>
      </c>
      <c r="E2176" s="1">
        <v>25673</v>
      </c>
      <c r="F2176" t="s">
        <v>31360</v>
      </c>
      <c r="G2176">
        <v>1</v>
      </c>
      <c r="H2176">
        <v>5</v>
      </c>
      <c r="I2176">
        <v>6</v>
      </c>
      <c r="J2176">
        <v>0</v>
      </c>
      <c r="L2176" t="s">
        <v>31361</v>
      </c>
      <c r="M2176" t="s">
        <v>31362</v>
      </c>
      <c r="N2176" t="s">
        <v>31363</v>
      </c>
      <c r="O2176" t="s">
        <v>31364</v>
      </c>
      <c r="P2176" t="s">
        <v>31365</v>
      </c>
      <c r="Q2176" t="s">
        <v>31366</v>
      </c>
      <c r="R2176" t="s">
        <v>31367</v>
      </c>
      <c r="S2176" t="s">
        <v>31368</v>
      </c>
      <c r="T2176" s="2">
        <v>0.5</v>
      </c>
      <c r="U2176">
        <v>8</v>
      </c>
      <c r="V2176" t="s">
        <v>31369</v>
      </c>
      <c r="W2176" t="s">
        <v>31370</v>
      </c>
      <c r="X2176" t="s">
        <v>31371</v>
      </c>
      <c r="Y2176" t="s">
        <v>31372</v>
      </c>
      <c r="Z2176" t="s">
        <v>31373</v>
      </c>
      <c r="AA2176" t="s">
        <v>31373</v>
      </c>
      <c r="AB2176" t="s">
        <v>31373</v>
      </c>
      <c r="AC2176" t="s">
        <v>31373</v>
      </c>
    </row>
    <row r="2177" spans="1:29">
      <c r="A2177" t="s">
        <v>31374</v>
      </c>
      <c r="B2177">
        <v>3</v>
      </c>
      <c r="C2177">
        <v>23</v>
      </c>
      <c r="D2177">
        <v>1970</v>
      </c>
      <c r="E2177" s="1">
        <v>25650</v>
      </c>
      <c r="F2177" t="s">
        <v>31375</v>
      </c>
      <c r="G2177">
        <v>0</v>
      </c>
      <c r="H2177">
        <v>2</v>
      </c>
      <c r="I2177">
        <v>2</v>
      </c>
      <c r="J2177">
        <v>0</v>
      </c>
      <c r="L2177" t="s">
        <v>31376</v>
      </c>
      <c r="M2177" t="s">
        <v>31377</v>
      </c>
      <c r="N2177" t="s">
        <v>31378</v>
      </c>
      <c r="O2177" t="s">
        <v>31379</v>
      </c>
      <c r="P2177" t="s">
        <v>31380</v>
      </c>
      <c r="Q2177" t="s">
        <v>31381</v>
      </c>
      <c r="R2177" t="s">
        <v>31382</v>
      </c>
      <c r="S2177" t="s">
        <v>31383</v>
      </c>
      <c r="V2177" t="s">
        <v>31384</v>
      </c>
      <c r="W2177" t="s">
        <v>31385</v>
      </c>
      <c r="X2177" t="s">
        <v>31386</v>
      </c>
      <c r="Y2177" t="s">
        <v>31387</v>
      </c>
      <c r="Z2177" t="s">
        <v>31388</v>
      </c>
      <c r="AA2177" t="s">
        <v>31388</v>
      </c>
      <c r="AB2177" t="s">
        <v>31388</v>
      </c>
      <c r="AC2177" t="s">
        <v>31388</v>
      </c>
    </row>
    <row r="2178" spans="1:29">
      <c r="A2178" t="s">
        <v>31389</v>
      </c>
      <c r="B2178">
        <v>2</v>
      </c>
      <c r="C2178">
        <v>6</v>
      </c>
      <c r="D2178">
        <v>1970</v>
      </c>
      <c r="E2178" s="1">
        <v>25605</v>
      </c>
      <c r="F2178" t="s">
        <v>31390</v>
      </c>
      <c r="G2178">
        <v>0</v>
      </c>
      <c r="H2178">
        <v>1</v>
      </c>
      <c r="I2178">
        <v>1</v>
      </c>
      <c r="J2178">
        <v>0</v>
      </c>
      <c r="L2178" t="s">
        <v>31391</v>
      </c>
      <c r="M2178" t="s">
        <v>31392</v>
      </c>
      <c r="N2178" t="s">
        <v>31393</v>
      </c>
      <c r="O2178" t="s">
        <v>31394</v>
      </c>
      <c r="P2178" t="s">
        <v>31395</v>
      </c>
      <c r="Q2178" t="s">
        <v>31396</v>
      </c>
      <c r="R2178" t="s">
        <v>31397</v>
      </c>
      <c r="U2178">
        <v>1</v>
      </c>
      <c r="V2178" t="s">
        <v>31398</v>
      </c>
      <c r="W2178" t="s">
        <v>31399</v>
      </c>
      <c r="X2178" t="s">
        <v>31400</v>
      </c>
      <c r="Y2178" t="s">
        <v>31401</v>
      </c>
      <c r="Z2178" t="s">
        <v>31401</v>
      </c>
      <c r="AA2178" t="s">
        <v>31401</v>
      </c>
      <c r="AB2178" t="s">
        <v>31401</v>
      </c>
      <c r="AC2178" t="s">
        <v>31401</v>
      </c>
    </row>
    <row r="2179" spans="1:29">
      <c r="A2179" t="s">
        <v>31402</v>
      </c>
      <c r="B2179">
        <v>1</v>
      </c>
      <c r="C2179">
        <v>5</v>
      </c>
      <c r="D2179">
        <v>1970</v>
      </c>
      <c r="E2179" s="1">
        <v>25573</v>
      </c>
      <c r="F2179" t="s">
        <v>31403</v>
      </c>
      <c r="G2179">
        <v>0</v>
      </c>
      <c r="H2179">
        <v>0</v>
      </c>
      <c r="I2179">
        <v>0</v>
      </c>
      <c r="J2179">
        <v>0</v>
      </c>
      <c r="L2179" t="s">
        <v>31404</v>
      </c>
      <c r="M2179" t="s">
        <v>31405</v>
      </c>
      <c r="N2179" t="s">
        <v>31406</v>
      </c>
      <c r="O2179" t="s">
        <v>31407</v>
      </c>
      <c r="P2179" t="s">
        <v>31408</v>
      </c>
      <c r="Q2179" t="s">
        <v>31409</v>
      </c>
      <c r="R2179" t="s">
        <v>31410</v>
      </c>
      <c r="U2179">
        <v>1</v>
      </c>
      <c r="V2179" t="s">
        <v>31411</v>
      </c>
      <c r="W2179" t="s">
        <v>31412</v>
      </c>
      <c r="X2179" t="s">
        <v>31413</v>
      </c>
      <c r="Y2179" t="s">
        <v>31414</v>
      </c>
      <c r="Z2179" t="s">
        <v>31415</v>
      </c>
      <c r="AA2179" t="s">
        <v>31415</v>
      </c>
      <c r="AB2179" t="s">
        <v>31415</v>
      </c>
      <c r="AC2179" t="s">
        <v>31415</v>
      </c>
    </row>
    <row r="2180" spans="1:29">
      <c r="A2180" t="s">
        <v>31416</v>
      </c>
      <c r="B2180">
        <v>1</v>
      </c>
      <c r="C2180">
        <v>5</v>
      </c>
      <c r="D2180">
        <v>1970</v>
      </c>
      <c r="E2180" s="1">
        <v>25573</v>
      </c>
      <c r="F2180" t="s">
        <v>31417</v>
      </c>
      <c r="G2180">
        <v>0</v>
      </c>
      <c r="H2180">
        <v>1</v>
      </c>
      <c r="I2180">
        <v>1</v>
      </c>
      <c r="J2180">
        <v>0</v>
      </c>
      <c r="L2180" t="s">
        <v>31418</v>
      </c>
      <c r="M2180" t="s">
        <v>31419</v>
      </c>
      <c r="N2180" t="s">
        <v>31420</v>
      </c>
      <c r="O2180" t="s">
        <v>31421</v>
      </c>
      <c r="P2180" t="s">
        <v>31422</v>
      </c>
      <c r="Q2180" t="s">
        <v>31423</v>
      </c>
      <c r="R2180" t="s">
        <v>31424</v>
      </c>
      <c r="U2180">
        <v>1</v>
      </c>
      <c r="V2180" t="s">
        <v>31425</v>
      </c>
      <c r="W2180" t="s">
        <v>31426</v>
      </c>
      <c r="X2180" t="s">
        <v>31427</v>
      </c>
      <c r="Y2180" t="s">
        <v>31428</v>
      </c>
      <c r="Z2180" t="s">
        <v>31428</v>
      </c>
      <c r="AA2180" t="s">
        <v>31428</v>
      </c>
      <c r="AB2180" t="s">
        <v>31428</v>
      </c>
      <c r="AC2180" t="s">
        <v>31428</v>
      </c>
    </row>
    <row r="2181" spans="1:29">
      <c r="A2181" t="s">
        <v>31429</v>
      </c>
      <c r="B2181">
        <v>1</v>
      </c>
      <c r="C2181">
        <v>5</v>
      </c>
      <c r="D2181">
        <v>1970</v>
      </c>
      <c r="E2181" s="1">
        <v>25573</v>
      </c>
      <c r="F2181" t="s">
        <v>31430</v>
      </c>
      <c r="G2181">
        <v>1</v>
      </c>
      <c r="H2181">
        <v>0</v>
      </c>
      <c r="I2181">
        <v>1</v>
      </c>
      <c r="J2181">
        <v>0</v>
      </c>
      <c r="L2181" t="s">
        <v>31431</v>
      </c>
      <c r="M2181" t="s">
        <v>31432</v>
      </c>
      <c r="N2181" t="s">
        <v>31433</v>
      </c>
      <c r="O2181" t="s">
        <v>31434</v>
      </c>
      <c r="P2181" t="s">
        <v>31435</v>
      </c>
      <c r="Q2181" t="s">
        <v>31435</v>
      </c>
      <c r="R2181" t="s">
        <v>31436</v>
      </c>
      <c r="U2181">
        <v>1</v>
      </c>
      <c r="V2181" t="s">
        <v>31437</v>
      </c>
      <c r="W2181" t="s">
        <v>31438</v>
      </c>
      <c r="X2181" t="s">
        <v>31439</v>
      </c>
      <c r="Y2181" t="s">
        <v>31440</v>
      </c>
      <c r="Z2181" t="s">
        <v>31441</v>
      </c>
      <c r="AA2181" t="s">
        <v>31441</v>
      </c>
      <c r="AB2181" t="s">
        <v>31441</v>
      </c>
      <c r="AC2181" t="s">
        <v>31441</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4A2F-DC81-254A-8124-F69190008641}">
  <sheetPr>
    <outlinePr summaryBelow="0" summaryRight="0"/>
  </sheetPr>
  <dimension ref="A1:G2427"/>
  <sheetViews>
    <sheetView workbookViewId="0">
      <selection activeCell="A10" sqref="A10"/>
    </sheetView>
  </sheetViews>
  <sheetFormatPr defaultColWidth="12.42578125" defaultRowHeight="15.75" customHeight="1"/>
  <cols>
    <col min="1" max="1" width="29.5703125" style="4" customWidth="1"/>
    <col min="2" max="16384" width="12.42578125" style="4"/>
  </cols>
  <sheetData>
    <row r="1" spans="1:7" ht="15.75" customHeight="1">
      <c r="A1" s="9" t="str">
        <f ca="1">IFERROR(__xludf.DUMMYFUNCTION("IMPORTRANGE(""https://docs.google.com/spreadsheets/d/13by1rx0kMN24Sm2nKqqR6GsRtIyhgOO8U6IyuCHwhEU/edit#gid=1519919770"", ""Shooter!A1:H2500"")"),"Incident_ID")</f>
        <v>Incident_ID</v>
      </c>
      <c r="B1" s="8" t="str">
        <f ca="1">IFERROR(__xludf.DUMMYFUNCTION("""COMPUTED_VALUE"""),"Age")</f>
        <v>Age</v>
      </c>
      <c r="C1" s="8" t="str">
        <f ca="1">IFERROR(__xludf.DUMMYFUNCTION("""COMPUTED_VALUE"""),"Gender")</f>
        <v>Gender</v>
      </c>
      <c r="D1" s="8" t="str">
        <f ca="1">IFERROR(__xludf.DUMMYFUNCTION("""COMPUTED_VALUE"""),"School_Affiliation")</f>
        <v>School_Affiliation</v>
      </c>
      <c r="E1" s="8" t="str">
        <f ca="1">IFERROR(__xludf.DUMMYFUNCTION("""COMPUTED_VALUE"""),"Shooter_Outcome")</f>
        <v>Shooter_Outcome</v>
      </c>
      <c r="F1" s="8" t="str">
        <f ca="1">IFERROR(__xludf.DUMMYFUNCTION("""COMPUTED_VALUE"""),"Shooter_Died")</f>
        <v>Shooter_Died</v>
      </c>
      <c r="G1" s="8" t="str">
        <f ca="1">IFERROR(__xludf.DUMMYFUNCTION("""COMPUTED_VALUE"""),"Injury")</f>
        <v>Injury</v>
      </c>
    </row>
    <row r="2" spans="1:7" ht="12.75">
      <c r="A2" s="8" t="str">
        <f ca="1">IFERROR(__xludf.DUMMYFUNCTION("""COMPUTED_VALUE"""),"20221029TXAVA")</f>
        <v>20221029TXAVA</v>
      </c>
      <c r="B2" s="8" t="str">
        <f ca="1">IFERROR(__xludf.DUMMYFUNCTION("""COMPUTED_VALUE"""),"Teen")</f>
        <v>Teen</v>
      </c>
      <c r="C2" s="8" t="str">
        <f ca="1">IFERROR(__xludf.DUMMYFUNCTION("""COMPUTED_VALUE"""),"Male")</f>
        <v>Male</v>
      </c>
      <c r="D2" s="8" t="str">
        <f ca="1">IFERROR(__xludf.DUMMYFUNCTION("""COMPUTED_VALUE"""),"No Relation")</f>
        <v>No Relation</v>
      </c>
      <c r="E2" s="8" t="str">
        <f ca="1">IFERROR(__xludf.DUMMYFUNCTION("""COMPUTED_VALUE"""),"Fled/Escaped")</f>
        <v>Fled/Escaped</v>
      </c>
      <c r="F2" s="8" t="str">
        <f ca="1">IFERROR(__xludf.DUMMYFUNCTION("""COMPUTED_VALUE"""),"No")</f>
        <v>No</v>
      </c>
      <c r="G2" s="8" t="str">
        <f ca="1">IFERROR(__xludf.DUMMYFUNCTION("""COMPUTED_VALUE"""),"None")</f>
        <v>None</v>
      </c>
    </row>
    <row r="3" spans="1:7" ht="12.75">
      <c r="A3" s="8" t="str">
        <f ca="1">IFERROR(__xludf.DUMMYFUNCTION("""COMPUTED_VALUE"""),"20221029COCRH")</f>
        <v>20221029COCRH</v>
      </c>
      <c r="B3" s="8">
        <f ca="1">IFERROR(__xludf.DUMMYFUNCTION("""COMPUTED_VALUE"""),65)</f>
        <v>65</v>
      </c>
      <c r="C3" s="8" t="str">
        <f ca="1">IFERROR(__xludf.DUMMYFUNCTION("""COMPUTED_VALUE"""),"Male")</f>
        <v>Male</v>
      </c>
      <c r="D3" s="8" t="str">
        <f ca="1">IFERROR(__xludf.DUMMYFUNCTION("""COMPUTED_VALUE"""),"Nonstudent Using Athletic Facilities/Attending Game")</f>
        <v>Nonstudent Using Athletic Facilities/Attending Game</v>
      </c>
      <c r="E3" s="8" t="str">
        <f ca="1">IFERROR(__xludf.DUMMYFUNCTION("""COMPUTED_VALUE"""),"Apprehended/Killed by LE")</f>
        <v>Apprehended/Killed by LE</v>
      </c>
      <c r="F3" s="8" t="str">
        <f ca="1">IFERROR(__xludf.DUMMYFUNCTION("""COMPUTED_VALUE"""),"No")</f>
        <v>No</v>
      </c>
      <c r="G3" s="8" t="str">
        <f ca="1">IFERROR(__xludf.DUMMYFUNCTION("""COMPUTED_VALUE"""),"None")</f>
        <v>None</v>
      </c>
    </row>
    <row r="4" spans="1:7" ht="12.75">
      <c r="A4" s="8" t="str">
        <f ca="1">IFERROR(__xludf.DUMMYFUNCTION("""COMPUTED_VALUE"""),"20221028NCWAT")</f>
        <v>20221028NCWAT</v>
      </c>
      <c r="B4" s="8">
        <f ca="1">IFERROR(__xludf.DUMMYFUNCTION("""COMPUTED_VALUE"""),20)</f>
        <v>20</v>
      </c>
      <c r="C4" s="8" t="str">
        <f ca="1">IFERROR(__xludf.DUMMYFUNCTION("""COMPUTED_VALUE"""),"Male")</f>
        <v>Male</v>
      </c>
      <c r="D4" s="8" t="str">
        <f ca="1">IFERROR(__xludf.DUMMYFUNCTION("""COMPUTED_VALUE"""),"Nonstudent Using Athletic Facilities/Attending Game")</f>
        <v>Nonstudent Using Athletic Facilities/Attending Game</v>
      </c>
      <c r="E4" s="8" t="str">
        <f ca="1">IFERROR(__xludf.DUMMYFUNCTION("""COMPUTED_VALUE"""),"Fled/Apprehended")</f>
        <v>Fled/Apprehended</v>
      </c>
      <c r="F4" s="8" t="str">
        <f ca="1">IFERROR(__xludf.DUMMYFUNCTION("""COMPUTED_VALUE"""),"No")</f>
        <v>No</v>
      </c>
      <c r="G4" s="8" t="str">
        <f ca="1">IFERROR(__xludf.DUMMYFUNCTION("""COMPUTED_VALUE"""),"None")</f>
        <v>None</v>
      </c>
    </row>
    <row r="5" spans="1:7" ht="12.75">
      <c r="A5" s="8" t="str">
        <f ca="1">IFERROR(__xludf.DUMMYFUNCTION("""COMPUTED_VALUE"""),"20221028TXROR")</f>
        <v>20221028TXROR</v>
      </c>
      <c r="B5" s="8" t="str">
        <f ca="1">IFERROR(__xludf.DUMMYFUNCTION("""COMPUTED_VALUE"""),"Teen")</f>
        <v>Teen</v>
      </c>
      <c r="C5" s="8" t="str">
        <f ca="1">IFERROR(__xludf.DUMMYFUNCTION("""COMPUTED_VALUE"""),"Male")</f>
        <v>Male</v>
      </c>
      <c r="D5" s="8" t="str">
        <f ca="1">IFERROR(__xludf.DUMMYFUNCTION("""COMPUTED_VALUE"""),"Student")</f>
        <v>Student</v>
      </c>
      <c r="E5" s="8" t="str">
        <f ca="1">IFERROR(__xludf.DUMMYFUNCTION("""COMPUTED_VALUE"""),"Apprehended/Killed by SRO")</f>
        <v>Apprehended/Killed by SRO</v>
      </c>
      <c r="F5" s="8" t="str">
        <f ca="1">IFERROR(__xludf.DUMMYFUNCTION("""COMPUTED_VALUE"""),"No")</f>
        <v>No</v>
      </c>
      <c r="G5" s="8" t="str">
        <f ca="1">IFERROR(__xludf.DUMMYFUNCTION("""COMPUTED_VALUE"""),"None")</f>
        <v>None</v>
      </c>
    </row>
    <row r="6" spans="1:7" ht="12.75">
      <c r="A6" s="8" t="str">
        <f ca="1">IFERROR(__xludf.DUMMYFUNCTION("""COMPUTED_VALUE"""),"20221028ARROR")</f>
        <v>20221028ARROR</v>
      </c>
      <c r="B6" s="8">
        <f ca="1">IFERROR(__xludf.DUMMYFUNCTION("""COMPUTED_VALUE"""),12)</f>
        <v>12</v>
      </c>
      <c r="C6" s="8"/>
      <c r="D6" s="8"/>
      <c r="E6" s="8" t="str">
        <f ca="1">IFERROR(__xludf.DUMMYFUNCTION("""COMPUTED_VALUE"""),"Fled/Apprehended")</f>
        <v>Fled/Apprehended</v>
      </c>
      <c r="F6" s="8" t="str">
        <f ca="1">IFERROR(__xludf.DUMMYFUNCTION("""COMPUTED_VALUE"""),"No")</f>
        <v>No</v>
      </c>
      <c r="G6" s="8" t="str">
        <f ca="1">IFERROR(__xludf.DUMMYFUNCTION("""COMPUTED_VALUE"""),"None")</f>
        <v>None</v>
      </c>
    </row>
    <row r="7" spans="1:7" ht="12.75">
      <c r="A7" s="8" t="str">
        <f ca="1">IFERROR(__xludf.DUMMYFUNCTION("""COMPUTED_VALUE"""),"20221026ILMIW")</f>
        <v>20221026ILMIW</v>
      </c>
      <c r="B7" s="8"/>
      <c r="C7" s="8"/>
      <c r="D7" s="8" t="str">
        <f ca="1">IFERROR(__xludf.DUMMYFUNCTION("""COMPUTED_VALUE"""),"No Relation")</f>
        <v>No Relation</v>
      </c>
      <c r="E7" s="8" t="str">
        <f ca="1">IFERROR(__xludf.DUMMYFUNCTION("""COMPUTED_VALUE"""),"Fled/Escaped")</f>
        <v>Fled/Escaped</v>
      </c>
      <c r="F7" s="8" t="str">
        <f ca="1">IFERROR(__xludf.DUMMYFUNCTION("""COMPUTED_VALUE"""),"No")</f>
        <v>No</v>
      </c>
      <c r="G7" s="8" t="str">
        <f ca="1">IFERROR(__xludf.DUMMYFUNCTION("""COMPUTED_VALUE"""),"None")</f>
        <v>None</v>
      </c>
    </row>
    <row r="8" spans="1:7" ht="12.75">
      <c r="A8" s="8" t="str">
        <f ca="1">IFERROR(__xludf.DUMMYFUNCTION("""COMPUTED_VALUE"""),"20221025PAPAP")</f>
        <v>20221025PAPAP</v>
      </c>
      <c r="B8" s="8" t="str">
        <f ca="1">IFERROR(__xludf.DUMMYFUNCTION("""COMPUTED_VALUE"""),"Adult")</f>
        <v>Adult</v>
      </c>
      <c r="C8" s="8" t="str">
        <f ca="1">IFERROR(__xludf.DUMMYFUNCTION("""COMPUTED_VALUE"""),"Male")</f>
        <v>Male</v>
      </c>
      <c r="D8" s="8" t="str">
        <f ca="1">IFERROR(__xludf.DUMMYFUNCTION("""COMPUTED_VALUE"""),"No Relation")</f>
        <v>No Relation</v>
      </c>
      <c r="E8" s="8" t="str">
        <f ca="1">IFERROR(__xludf.DUMMYFUNCTION("""COMPUTED_VALUE"""),"Fled/Apprehended")</f>
        <v>Fled/Apprehended</v>
      </c>
      <c r="F8" s="8" t="str">
        <f ca="1">IFERROR(__xludf.DUMMYFUNCTION("""COMPUTED_VALUE"""),"No")</f>
        <v>No</v>
      </c>
      <c r="G8" s="8" t="str">
        <f ca="1">IFERROR(__xludf.DUMMYFUNCTION("""COMPUTED_VALUE"""),"None")</f>
        <v>None</v>
      </c>
    </row>
    <row r="9" spans="1:7" ht="12.75">
      <c r="A9" s="8" t="str">
        <f ca="1">IFERROR(__xludf.DUMMYFUNCTION("""COMPUTED_VALUE"""),"20221025NYTOS")</f>
        <v>20221025NYTOS</v>
      </c>
      <c r="B9" s="8" t="str">
        <f ca="1">IFERROR(__xludf.DUMMYFUNCTION("""COMPUTED_VALUE"""),"Teen")</f>
        <v>Teen</v>
      </c>
      <c r="C9" s="8" t="str">
        <f ca="1">IFERROR(__xludf.DUMMYFUNCTION("""COMPUTED_VALUE"""),"Male")</f>
        <v>Male</v>
      </c>
      <c r="D9" s="8" t="str">
        <f ca="1">IFERROR(__xludf.DUMMYFUNCTION("""COMPUTED_VALUE"""),"Student")</f>
        <v>Student</v>
      </c>
      <c r="E9" s="8" t="str">
        <f ca="1">IFERROR(__xludf.DUMMYFUNCTION("""COMPUTED_VALUE"""),"Fled/Escaped")</f>
        <v>Fled/Escaped</v>
      </c>
      <c r="F9" s="8" t="str">
        <f ca="1">IFERROR(__xludf.DUMMYFUNCTION("""COMPUTED_VALUE"""),"No")</f>
        <v>No</v>
      </c>
      <c r="G9" s="8" t="str">
        <f ca="1">IFERROR(__xludf.DUMMYFUNCTION("""COMPUTED_VALUE"""),"None")</f>
        <v>None</v>
      </c>
    </row>
    <row r="10" spans="1:7" ht="12.75">
      <c r="A10" s="8" t="str">
        <f ca="1">IFERROR(__xludf.DUMMYFUNCTION("""COMPUTED_VALUE"""),"20221024MOCES")</f>
        <v>20221024MOCES</v>
      </c>
      <c r="B10" s="8">
        <f ca="1">IFERROR(__xludf.DUMMYFUNCTION("""COMPUTED_VALUE"""),19)</f>
        <v>19</v>
      </c>
      <c r="C10" s="8" t="str">
        <f ca="1">IFERROR(__xludf.DUMMYFUNCTION("""COMPUTED_VALUE"""),"Male")</f>
        <v>Male</v>
      </c>
      <c r="D10" s="8" t="str">
        <f ca="1">IFERROR(__xludf.DUMMYFUNCTION("""COMPUTED_VALUE"""),"Former Student")</f>
        <v>Former Student</v>
      </c>
      <c r="E10" s="8" t="str">
        <f ca="1">IFERROR(__xludf.DUMMYFUNCTION("""COMPUTED_VALUE"""),"Apprehended/Killed by LE")</f>
        <v>Apprehended/Killed by LE</v>
      </c>
      <c r="F10" s="8" t="str">
        <f ca="1">IFERROR(__xludf.DUMMYFUNCTION("""COMPUTED_VALUE"""),"Yes")</f>
        <v>Yes</v>
      </c>
      <c r="G10" s="8" t="str">
        <f ca="1">IFERROR(__xludf.DUMMYFUNCTION("""COMPUTED_VALUE"""),"Fatal")</f>
        <v>Fatal</v>
      </c>
    </row>
    <row r="11" spans="1:7" ht="12.75">
      <c r="A11" s="8" t="str">
        <f ca="1">IFERROR(__xludf.DUMMYFUNCTION("""COMPUTED_VALUE"""),"20221022OHDUC")</f>
        <v>20221022OHDUC</v>
      </c>
      <c r="B11" s="8"/>
      <c r="C11" s="8"/>
      <c r="D11" s="8" t="str">
        <f ca="1">IFERROR(__xludf.DUMMYFUNCTION("""COMPUTED_VALUE"""),"No Relation")</f>
        <v>No Relation</v>
      </c>
      <c r="E11" s="8" t="str">
        <f ca="1">IFERROR(__xludf.DUMMYFUNCTION("""COMPUTED_VALUE"""),"Fled/Escaped")</f>
        <v>Fled/Escaped</v>
      </c>
      <c r="F11" s="8" t="str">
        <f ca="1">IFERROR(__xludf.DUMMYFUNCTION("""COMPUTED_VALUE"""),"No")</f>
        <v>No</v>
      </c>
      <c r="G11" s="8" t="str">
        <f ca="1">IFERROR(__xludf.DUMMYFUNCTION("""COMPUTED_VALUE"""),"None")</f>
        <v>None</v>
      </c>
    </row>
    <row r="12" spans="1:7" ht="12.75">
      <c r="A12" s="8" t="str">
        <f ca="1">IFERROR(__xludf.DUMMYFUNCTION("""COMPUTED_VALUE"""),"20221022ILCHC")</f>
        <v>20221022ILCHC</v>
      </c>
      <c r="B12" s="8" t="str">
        <f ca="1">IFERROR(__xludf.DUMMYFUNCTION("""COMPUTED_VALUE"""),"Adult")</f>
        <v>Adult</v>
      </c>
      <c r="C12" s="8" t="str">
        <f ca="1">IFERROR(__xludf.DUMMYFUNCTION("""COMPUTED_VALUE"""),"Male")</f>
        <v>Male</v>
      </c>
      <c r="D12" s="8" t="str">
        <f ca="1">IFERROR(__xludf.DUMMYFUNCTION("""COMPUTED_VALUE"""),"No Relation")</f>
        <v>No Relation</v>
      </c>
      <c r="E12" s="8" t="str">
        <f ca="1">IFERROR(__xludf.DUMMYFUNCTION("""COMPUTED_VALUE"""),"Fled/Escaped")</f>
        <v>Fled/Escaped</v>
      </c>
      <c r="F12" s="8" t="str">
        <f ca="1">IFERROR(__xludf.DUMMYFUNCTION("""COMPUTED_VALUE"""),"No")</f>
        <v>No</v>
      </c>
      <c r="G12" s="8" t="str">
        <f ca="1">IFERROR(__xludf.DUMMYFUNCTION("""COMPUTED_VALUE"""),"None")</f>
        <v>None</v>
      </c>
    </row>
    <row r="13" spans="1:7" ht="12.75">
      <c r="A13" s="8" t="str">
        <f ca="1">IFERROR(__xludf.DUMMYFUNCTION("""COMPUTED_VALUE"""),"20221022ILCHC")</f>
        <v>20221022ILCHC</v>
      </c>
      <c r="B13" s="8" t="str">
        <f ca="1">IFERROR(__xludf.DUMMYFUNCTION("""COMPUTED_VALUE"""),"Adult")</f>
        <v>Adult</v>
      </c>
      <c r="C13" s="8" t="str">
        <f ca="1">IFERROR(__xludf.DUMMYFUNCTION("""COMPUTED_VALUE"""),"Male")</f>
        <v>Male</v>
      </c>
      <c r="D13" s="8" t="str">
        <f ca="1">IFERROR(__xludf.DUMMYFUNCTION("""COMPUTED_VALUE"""),"No Relation")</f>
        <v>No Relation</v>
      </c>
      <c r="E13" s="8" t="str">
        <f ca="1">IFERROR(__xludf.DUMMYFUNCTION("""COMPUTED_VALUE"""),"Fled/Escaped")</f>
        <v>Fled/Escaped</v>
      </c>
      <c r="F13" s="8" t="str">
        <f ca="1">IFERROR(__xludf.DUMMYFUNCTION("""COMPUTED_VALUE"""),"No")</f>
        <v>No</v>
      </c>
      <c r="G13" s="8" t="str">
        <f ca="1">IFERROR(__xludf.DUMMYFUNCTION("""COMPUTED_VALUE"""),"None")</f>
        <v>None</v>
      </c>
    </row>
    <row r="14" spans="1:7" ht="12.75">
      <c r="A14" s="8" t="str">
        <f ca="1">IFERROR(__xludf.DUMMYFUNCTION("""COMPUTED_VALUE"""),"20221021OHSHS")</f>
        <v>20221021OHSHS</v>
      </c>
      <c r="B14" s="8" t="str">
        <f ca="1">IFERROR(__xludf.DUMMYFUNCTION("""COMPUTED_VALUE"""),"Adult")</f>
        <v>Adult</v>
      </c>
      <c r="C14" s="8"/>
      <c r="D14" s="8" t="str">
        <f ca="1">IFERROR(__xludf.DUMMYFUNCTION("""COMPUTED_VALUE"""),"Police Officer/SRO")</f>
        <v>Police Officer/SRO</v>
      </c>
      <c r="E14" s="8" t="str">
        <f ca="1">IFERROR(__xludf.DUMMYFUNCTION("""COMPUTED_VALUE"""),"Law Enforcement")</f>
        <v>Law Enforcement</v>
      </c>
      <c r="F14" s="8" t="str">
        <f ca="1">IFERROR(__xludf.DUMMYFUNCTION("""COMPUTED_VALUE"""),"No")</f>
        <v>No</v>
      </c>
      <c r="G14" s="8" t="str">
        <f ca="1">IFERROR(__xludf.DUMMYFUNCTION("""COMPUTED_VALUE"""),"None")</f>
        <v>None</v>
      </c>
    </row>
    <row r="15" spans="1:7" ht="12.75">
      <c r="A15" s="8" t="str">
        <f ca="1">IFERROR(__xludf.DUMMYFUNCTION("""COMPUTED_VALUE"""),"20221021CAGRS")</f>
        <v>20221021CAGRS</v>
      </c>
      <c r="B15" s="8" t="str">
        <f ca="1">IFERROR(__xludf.DUMMYFUNCTION("""COMPUTED_VALUE"""),"Adult")</f>
        <v>Adult</v>
      </c>
      <c r="C15" s="8"/>
      <c r="D15" s="8" t="str">
        <f ca="1">IFERROR(__xludf.DUMMYFUNCTION("""COMPUTED_VALUE"""),"Nonstudent Using Athletic Facilities/Attending Game")</f>
        <v>Nonstudent Using Athletic Facilities/Attending Game</v>
      </c>
      <c r="E15" s="8" t="str">
        <f ca="1">IFERROR(__xludf.DUMMYFUNCTION("""COMPUTED_VALUE"""),"Fled/Escaped")</f>
        <v>Fled/Escaped</v>
      </c>
      <c r="F15" s="8" t="str">
        <f ca="1">IFERROR(__xludf.DUMMYFUNCTION("""COMPUTED_VALUE"""),"No")</f>
        <v>No</v>
      </c>
      <c r="G15" s="8" t="str">
        <f ca="1">IFERROR(__xludf.DUMMYFUNCTION("""COMPUTED_VALUE"""),"None")</f>
        <v>None</v>
      </c>
    </row>
    <row r="16" spans="1:7" ht="12.75">
      <c r="A16" s="8" t="str">
        <f ca="1">IFERROR(__xludf.DUMMYFUNCTION("""COMPUTED_VALUE"""),"20221020COCAD")</f>
        <v>20221020COCAD</v>
      </c>
      <c r="B16" s="8" t="str">
        <f ca="1">IFERROR(__xludf.DUMMYFUNCTION("""COMPUTED_VALUE"""),"Adult")</f>
        <v>Adult</v>
      </c>
      <c r="C16" s="8" t="str">
        <f ca="1">IFERROR(__xludf.DUMMYFUNCTION("""COMPUTED_VALUE"""),"Male")</f>
        <v>Male</v>
      </c>
      <c r="D16" s="8" t="str">
        <f ca="1">IFERROR(__xludf.DUMMYFUNCTION("""COMPUTED_VALUE"""),"No Relation")</f>
        <v>No Relation</v>
      </c>
      <c r="E16" s="8" t="str">
        <f ca="1">IFERROR(__xludf.DUMMYFUNCTION("""COMPUTED_VALUE"""),"Fled/Apprehended")</f>
        <v>Fled/Apprehended</v>
      </c>
      <c r="F16" s="8" t="str">
        <f ca="1">IFERROR(__xludf.DUMMYFUNCTION("""COMPUTED_VALUE"""),"No")</f>
        <v>No</v>
      </c>
      <c r="G16" s="8" t="str">
        <f ca="1">IFERROR(__xludf.DUMMYFUNCTION("""COMPUTED_VALUE"""),"None")</f>
        <v>None</v>
      </c>
    </row>
    <row r="17" spans="1:7" ht="12.75">
      <c r="A17" s="8" t="str">
        <f ca="1">IFERROR(__xludf.DUMMYFUNCTION("""COMPUTED_VALUE"""),"20221020PAPAP")</f>
        <v>20221020PAPAP</v>
      </c>
      <c r="B17" s="8" t="str">
        <f ca="1">IFERROR(__xludf.DUMMYFUNCTION("""COMPUTED_VALUE"""),"Adult")</f>
        <v>Adult</v>
      </c>
      <c r="C17" s="8" t="str">
        <f ca="1">IFERROR(__xludf.DUMMYFUNCTION("""COMPUTED_VALUE"""),"Male")</f>
        <v>Male</v>
      </c>
      <c r="D17" s="8" t="str">
        <f ca="1">IFERROR(__xludf.DUMMYFUNCTION("""COMPUTED_VALUE"""),"No Relation")</f>
        <v>No Relation</v>
      </c>
      <c r="E17" s="8" t="str">
        <f ca="1">IFERROR(__xludf.DUMMYFUNCTION("""COMPUTED_VALUE"""),"Surrendered")</f>
        <v>Surrendered</v>
      </c>
      <c r="F17" s="8" t="str">
        <f ca="1">IFERROR(__xludf.DUMMYFUNCTION("""COMPUTED_VALUE"""),"No")</f>
        <v>No</v>
      </c>
      <c r="G17" s="8" t="str">
        <f ca="1">IFERROR(__xludf.DUMMYFUNCTION("""COMPUTED_VALUE"""),"None")</f>
        <v>None</v>
      </c>
    </row>
    <row r="18" spans="1:7" ht="12.75">
      <c r="A18" s="8" t="str">
        <f ca="1">IFERROR(__xludf.DUMMYFUNCTION("""COMPUTED_VALUE"""),"20221019TNROR")</f>
        <v>20221019TNROR</v>
      </c>
      <c r="B18" s="8"/>
      <c r="C18" s="8" t="str">
        <f ca="1">IFERROR(__xludf.DUMMYFUNCTION("""COMPUTED_VALUE"""),"Male")</f>
        <v>Male</v>
      </c>
      <c r="D18" s="8"/>
      <c r="E18" s="8" t="str">
        <f ca="1">IFERROR(__xludf.DUMMYFUNCTION("""COMPUTED_VALUE"""),"Surrendered")</f>
        <v>Surrendered</v>
      </c>
      <c r="F18" s="8" t="str">
        <f ca="1">IFERROR(__xludf.DUMMYFUNCTION("""COMPUTED_VALUE"""),"No")</f>
        <v>No</v>
      </c>
      <c r="G18" s="8" t="str">
        <f ca="1">IFERROR(__xludf.DUMMYFUNCTION("""COMPUTED_VALUE"""),"None")</f>
        <v>None</v>
      </c>
    </row>
    <row r="19" spans="1:7" ht="12.75">
      <c r="A19" s="8" t="str">
        <f ca="1">IFERROR(__xludf.DUMMYFUNCTION("""COMPUTED_VALUE"""),"20221018NVSUL")</f>
        <v>20221018NVSUL</v>
      </c>
      <c r="B19" s="8"/>
      <c r="C19" s="8"/>
      <c r="D19" s="8"/>
      <c r="E19" s="8" t="str">
        <f ca="1">IFERROR(__xludf.DUMMYFUNCTION("""COMPUTED_VALUE"""),"Fled/Escaped")</f>
        <v>Fled/Escaped</v>
      </c>
      <c r="F19" s="8" t="str">
        <f ca="1">IFERROR(__xludf.DUMMYFUNCTION("""COMPUTED_VALUE"""),"No")</f>
        <v>No</v>
      </c>
      <c r="G19" s="8" t="str">
        <f ca="1">IFERROR(__xludf.DUMMYFUNCTION("""COMPUTED_VALUE"""),"None")</f>
        <v>None</v>
      </c>
    </row>
    <row r="20" spans="1:7" ht="12.75">
      <c r="A20" s="8" t="str">
        <f ca="1">IFERROR(__xludf.DUMMYFUNCTION("""COMPUTED_VALUE"""),"20221018ORJEP")</f>
        <v>20221018ORJEP</v>
      </c>
      <c r="B20" s="8"/>
      <c r="C20" s="8"/>
      <c r="D20" s="8"/>
      <c r="E20" s="8" t="str">
        <f ca="1">IFERROR(__xludf.DUMMYFUNCTION("""COMPUTED_VALUE"""),"Fled/Escaped")</f>
        <v>Fled/Escaped</v>
      </c>
      <c r="F20" s="8" t="str">
        <f ca="1">IFERROR(__xludf.DUMMYFUNCTION("""COMPUTED_VALUE"""),"No")</f>
        <v>No</v>
      </c>
      <c r="G20" s="8" t="str">
        <f ca="1">IFERROR(__xludf.DUMMYFUNCTION("""COMPUTED_VALUE"""),"None")</f>
        <v>None</v>
      </c>
    </row>
    <row r="21" spans="1:7" ht="12.75">
      <c r="A21" s="8" t="str">
        <f ca="1">IFERROR(__xludf.DUMMYFUNCTION("""COMPUTED_VALUE"""),"20221017CAWIS")</f>
        <v>20221017CAWIS</v>
      </c>
      <c r="B21" s="8"/>
      <c r="C21" s="8"/>
      <c r="D21" s="8"/>
      <c r="E21" s="8" t="str">
        <f ca="1">IFERROR(__xludf.DUMMYFUNCTION("""COMPUTED_VALUE"""),"Fled/Escaped")</f>
        <v>Fled/Escaped</v>
      </c>
      <c r="F21" s="8" t="str">
        <f ca="1">IFERROR(__xludf.DUMMYFUNCTION("""COMPUTED_VALUE"""),"No")</f>
        <v>No</v>
      </c>
      <c r="G21" s="8" t="str">
        <f ca="1">IFERROR(__xludf.DUMMYFUNCTION("""COMPUTED_VALUE"""),"None")</f>
        <v>None</v>
      </c>
    </row>
    <row r="22" spans="1:7" ht="12.75">
      <c r="A22" s="8" t="str">
        <f ca="1">IFERROR(__xludf.DUMMYFUNCTION("""COMPUTED_VALUE"""),"20221017FLORT")</f>
        <v>20221017FLORT</v>
      </c>
      <c r="B22" s="8" t="str">
        <f ca="1">IFERROR(__xludf.DUMMYFUNCTION("""COMPUTED_VALUE"""),"Adult")</f>
        <v>Adult</v>
      </c>
      <c r="C22" s="8" t="str">
        <f ca="1">IFERROR(__xludf.DUMMYFUNCTION("""COMPUTED_VALUE"""),"Male")</f>
        <v>Male</v>
      </c>
      <c r="D22" s="8" t="str">
        <f ca="1">IFERROR(__xludf.DUMMYFUNCTION("""COMPUTED_VALUE"""),"No Relation")</f>
        <v>No Relation</v>
      </c>
      <c r="E22" s="8" t="str">
        <f ca="1">IFERROR(__xludf.DUMMYFUNCTION("""COMPUTED_VALUE"""),"Fled/Escaped")</f>
        <v>Fled/Escaped</v>
      </c>
      <c r="F22" s="8" t="str">
        <f ca="1">IFERROR(__xludf.DUMMYFUNCTION("""COMPUTED_VALUE"""),"No")</f>
        <v>No</v>
      </c>
      <c r="G22" s="8" t="str">
        <f ca="1">IFERROR(__xludf.DUMMYFUNCTION("""COMPUTED_VALUE"""),"None")</f>
        <v>None</v>
      </c>
    </row>
    <row r="23" spans="1:7" ht="12.75">
      <c r="A23" s="8" t="str">
        <f ca="1">IFERROR(__xludf.DUMMYFUNCTION("""COMPUTED_VALUE"""),"20221016VAFAR")</f>
        <v>20221016VAFAR</v>
      </c>
      <c r="B23" s="8" t="str">
        <f ca="1">IFERROR(__xludf.DUMMYFUNCTION("""COMPUTED_VALUE"""),"Adult")</f>
        <v>Adult</v>
      </c>
      <c r="C23" s="8"/>
      <c r="D23" s="8" t="str">
        <f ca="1">IFERROR(__xludf.DUMMYFUNCTION("""COMPUTED_VALUE"""),"No Relation")</f>
        <v>No Relation</v>
      </c>
      <c r="E23" s="8" t="str">
        <f ca="1">IFERROR(__xludf.DUMMYFUNCTION("""COMPUTED_VALUE"""),"Fled/Escaped")</f>
        <v>Fled/Escaped</v>
      </c>
      <c r="F23" s="8" t="str">
        <f ca="1">IFERROR(__xludf.DUMMYFUNCTION("""COMPUTED_VALUE"""),"No")</f>
        <v>No</v>
      </c>
      <c r="G23" s="8" t="str">
        <f ca="1">IFERROR(__xludf.DUMMYFUNCTION("""COMPUTED_VALUE"""),"None")</f>
        <v>None</v>
      </c>
    </row>
    <row r="24" spans="1:7" ht="12.75">
      <c r="A24" s="8" t="str">
        <f ca="1">IFERROR(__xludf.DUMMYFUNCTION("""COMPUTED_VALUE"""),"20221014LAJHA")</f>
        <v>20221014LAJHA</v>
      </c>
      <c r="B24" s="8"/>
      <c r="C24" s="8"/>
      <c r="D24" s="8"/>
      <c r="E24" s="8" t="str">
        <f ca="1">IFERROR(__xludf.DUMMYFUNCTION("""COMPUTED_VALUE"""),"Fled/Escaped")</f>
        <v>Fled/Escaped</v>
      </c>
      <c r="F24" s="8" t="str">
        <f ca="1">IFERROR(__xludf.DUMMYFUNCTION("""COMPUTED_VALUE"""),"No")</f>
        <v>No</v>
      </c>
      <c r="G24" s="8" t="str">
        <f ca="1">IFERROR(__xludf.DUMMYFUNCTION("""COMPUTED_VALUE"""),"None")</f>
        <v>None</v>
      </c>
    </row>
    <row r="25" spans="1:7" ht="12.75">
      <c r="A25" s="8" t="str">
        <f ca="1">IFERROR(__xludf.DUMMYFUNCTION("""COMPUTED_VALUE"""),"20220908LAJHA")</f>
        <v>20220908LAJHA</v>
      </c>
      <c r="B25" s="8" t="str">
        <f ca="1">IFERROR(__xludf.DUMMYFUNCTION("""COMPUTED_VALUE"""),"Teen")</f>
        <v>Teen</v>
      </c>
      <c r="C25" s="8"/>
      <c r="D25" s="8"/>
      <c r="E25" s="8" t="str">
        <f ca="1">IFERROR(__xludf.DUMMYFUNCTION("""COMPUTED_VALUE"""),"Fled/Escaped")</f>
        <v>Fled/Escaped</v>
      </c>
      <c r="F25" s="8" t="str">
        <f ca="1">IFERROR(__xludf.DUMMYFUNCTION("""COMPUTED_VALUE"""),"No")</f>
        <v>No</v>
      </c>
      <c r="G25" s="8" t="str">
        <f ca="1">IFERROR(__xludf.DUMMYFUNCTION("""COMPUTED_VALUE"""),"None")</f>
        <v>None</v>
      </c>
    </row>
    <row r="26" spans="1:7" ht="12.75">
      <c r="A26" s="8" t="str">
        <f ca="1">IFERROR(__xludf.DUMMYFUNCTION("""COMPUTED_VALUE"""),"20221014NCJAG")</f>
        <v>20221014NCJAG</v>
      </c>
      <c r="B26" s="8" t="str">
        <f ca="1">IFERROR(__xludf.DUMMYFUNCTION("""COMPUTED_VALUE"""),"Adult")</f>
        <v>Adult</v>
      </c>
      <c r="C26" s="8"/>
      <c r="D26" s="8" t="str">
        <f ca="1">IFERROR(__xludf.DUMMYFUNCTION("""COMPUTED_VALUE"""),"Nonstudent Using Athletic Facilities/Attending Game")</f>
        <v>Nonstudent Using Athletic Facilities/Attending Game</v>
      </c>
      <c r="E26" s="8" t="str">
        <f ca="1">IFERROR(__xludf.DUMMYFUNCTION("""COMPUTED_VALUE"""),"Fled/Apprehended")</f>
        <v>Fled/Apprehended</v>
      </c>
      <c r="F26" s="8" t="str">
        <f ca="1">IFERROR(__xludf.DUMMYFUNCTION("""COMPUTED_VALUE"""),"No")</f>
        <v>No</v>
      </c>
      <c r="G26" s="8" t="str">
        <f ca="1">IFERROR(__xludf.DUMMYFUNCTION("""COMPUTED_VALUE"""),"None")</f>
        <v>None</v>
      </c>
    </row>
    <row r="27" spans="1:7" ht="12.75">
      <c r="A27" s="8" t="str">
        <f ca="1">IFERROR(__xludf.DUMMYFUNCTION("""COMPUTED_VALUE"""),"20221014NCJAG")</f>
        <v>20221014NCJAG</v>
      </c>
      <c r="B27" s="8" t="str">
        <f ca="1">IFERROR(__xludf.DUMMYFUNCTION("""COMPUTED_VALUE"""),"Adult")</f>
        <v>Adult</v>
      </c>
      <c r="C27" s="8"/>
      <c r="D27" s="8" t="str">
        <f ca="1">IFERROR(__xludf.DUMMYFUNCTION("""COMPUTED_VALUE"""),"Nonstudent Using Athletic Facilities/Attending Game")</f>
        <v>Nonstudent Using Athletic Facilities/Attending Game</v>
      </c>
      <c r="E27" s="8" t="str">
        <f ca="1">IFERROR(__xludf.DUMMYFUNCTION("""COMPUTED_VALUE"""),"Apprehended/Killed by LE")</f>
        <v>Apprehended/Killed by LE</v>
      </c>
      <c r="F27" s="8" t="str">
        <f ca="1">IFERROR(__xludf.DUMMYFUNCTION("""COMPUTED_VALUE"""),"No")</f>
        <v>No</v>
      </c>
      <c r="G27" s="8" t="str">
        <f ca="1">IFERROR(__xludf.DUMMYFUNCTION("""COMPUTED_VALUE"""),"None")</f>
        <v>None</v>
      </c>
    </row>
    <row r="28" spans="1:7" ht="12.75">
      <c r="A28" s="8" t="str">
        <f ca="1">IFERROR(__xludf.DUMMYFUNCTION("""COMPUTED_VALUE"""),"20221014VAWER")</f>
        <v>20221014VAWER</v>
      </c>
      <c r="B28" s="8" t="str">
        <f ca="1">IFERROR(__xludf.DUMMYFUNCTION("""COMPUTED_VALUE"""),"Adult")</f>
        <v>Adult</v>
      </c>
      <c r="C28" s="8"/>
      <c r="D28" s="8"/>
      <c r="E28" s="8" t="str">
        <f ca="1">IFERROR(__xludf.DUMMYFUNCTION("""COMPUTED_VALUE"""),"Fled/Escaped")</f>
        <v>Fled/Escaped</v>
      </c>
      <c r="F28" s="8" t="str">
        <f ca="1">IFERROR(__xludf.DUMMYFUNCTION("""COMPUTED_VALUE"""),"No")</f>
        <v>No</v>
      </c>
      <c r="G28" s="8" t="str">
        <f ca="1">IFERROR(__xludf.DUMMYFUNCTION("""COMPUTED_VALUE"""),"None")</f>
        <v>None</v>
      </c>
    </row>
    <row r="29" spans="1:7" ht="12.75">
      <c r="A29" s="8" t="str">
        <f ca="1">IFERROR(__xludf.DUMMYFUNCTION("""COMPUTED_VALUE"""),"20221014LABOB")</f>
        <v>20221014LABOB</v>
      </c>
      <c r="B29" s="8" t="str">
        <f ca="1">IFERROR(__xludf.DUMMYFUNCTION("""COMPUTED_VALUE"""),"Teen")</f>
        <v>Teen</v>
      </c>
      <c r="C29" s="8"/>
      <c r="D29" s="8" t="str">
        <f ca="1">IFERROR(__xludf.DUMMYFUNCTION("""COMPUTED_VALUE"""),"Nonstudent Using Athletic Facilities/Attending Game")</f>
        <v>Nonstudent Using Athletic Facilities/Attending Game</v>
      </c>
      <c r="E29" s="8" t="str">
        <f ca="1">IFERROR(__xludf.DUMMYFUNCTION("""COMPUTED_VALUE"""),"Fled/Escaped")</f>
        <v>Fled/Escaped</v>
      </c>
      <c r="F29" s="8" t="str">
        <f ca="1">IFERROR(__xludf.DUMMYFUNCTION("""COMPUTED_VALUE"""),"No")</f>
        <v>No</v>
      </c>
      <c r="G29" s="8" t="str">
        <f ca="1">IFERROR(__xludf.DUMMYFUNCTION("""COMPUTED_VALUE"""),"None")</f>
        <v>None</v>
      </c>
    </row>
    <row r="30" spans="1:7" ht="12.75">
      <c r="A30" s="8" t="str">
        <f ca="1">IFERROR(__xludf.DUMMYFUNCTION("""COMPUTED_VALUE"""),"20221014LABOB")</f>
        <v>20221014LABOB</v>
      </c>
      <c r="B30" s="8" t="str">
        <f ca="1">IFERROR(__xludf.DUMMYFUNCTION("""COMPUTED_VALUE"""),"Teen")</f>
        <v>Teen</v>
      </c>
      <c r="C30" s="8"/>
      <c r="D30" s="8" t="str">
        <f ca="1">IFERROR(__xludf.DUMMYFUNCTION("""COMPUTED_VALUE"""),"Nonstudent Using Athletic Facilities/Attending Game")</f>
        <v>Nonstudent Using Athletic Facilities/Attending Game</v>
      </c>
      <c r="E30" s="8" t="str">
        <f ca="1">IFERROR(__xludf.DUMMYFUNCTION("""COMPUTED_VALUE"""),"Fled/Escaped")</f>
        <v>Fled/Escaped</v>
      </c>
      <c r="F30" s="8" t="str">
        <f ca="1">IFERROR(__xludf.DUMMYFUNCTION("""COMPUTED_VALUE"""),"No")</f>
        <v>No</v>
      </c>
      <c r="G30" s="8" t="str">
        <f ca="1">IFERROR(__xludf.DUMMYFUNCTION("""COMPUTED_VALUE"""),"None")</f>
        <v>None</v>
      </c>
    </row>
    <row r="31" spans="1:7" ht="12.75">
      <c r="A31" s="8" t="str">
        <f ca="1">IFERROR(__xludf.DUMMYFUNCTION("""COMPUTED_VALUE"""),"20221014LABOB")</f>
        <v>20221014LABOB</v>
      </c>
      <c r="B31" s="8">
        <f ca="1">IFERROR(__xludf.DUMMYFUNCTION("""COMPUTED_VALUE"""),15)</f>
        <v>15</v>
      </c>
      <c r="C31" s="8"/>
      <c r="D31" s="8" t="str">
        <f ca="1">IFERROR(__xludf.DUMMYFUNCTION("""COMPUTED_VALUE"""),"Nonstudent Using Athletic Facilities/Attending Game")</f>
        <v>Nonstudent Using Athletic Facilities/Attending Game</v>
      </c>
      <c r="E31" s="8" t="str">
        <f ca="1">IFERROR(__xludf.DUMMYFUNCTION("""COMPUTED_VALUE"""),"Apprehended/Killed by Other")</f>
        <v>Apprehended/Killed by Other</v>
      </c>
      <c r="F31" s="8" t="str">
        <f ca="1">IFERROR(__xludf.DUMMYFUNCTION("""COMPUTED_VALUE"""),"Yes")</f>
        <v>Yes</v>
      </c>
      <c r="G31" s="8" t="str">
        <f ca="1">IFERROR(__xludf.DUMMYFUNCTION("""COMPUTED_VALUE"""),"Fatal")</f>
        <v>Fatal</v>
      </c>
    </row>
    <row r="32" spans="1:7" ht="12.75">
      <c r="A32" s="8" t="str">
        <f ca="1">IFERROR(__xludf.DUMMYFUNCTION("""COMPUTED_VALUE"""),"20221014TNRIM")</f>
        <v>20221014TNRIM</v>
      </c>
      <c r="B32" s="8"/>
      <c r="C32" s="8"/>
      <c r="D32" s="8"/>
      <c r="E32" s="8" t="str">
        <f ca="1">IFERROR(__xludf.DUMMYFUNCTION("""COMPUTED_VALUE"""),"Fled/Escaped")</f>
        <v>Fled/Escaped</v>
      </c>
      <c r="F32" s="8" t="str">
        <f ca="1">IFERROR(__xludf.DUMMYFUNCTION("""COMPUTED_VALUE"""),"No")</f>
        <v>No</v>
      </c>
      <c r="G32" s="8" t="str">
        <f ca="1">IFERROR(__xludf.DUMMYFUNCTION("""COMPUTED_VALUE"""),"None")</f>
        <v>None</v>
      </c>
    </row>
    <row r="33" spans="1:7" ht="12.75">
      <c r="A33" s="8" t="str">
        <f ca="1">IFERROR(__xludf.DUMMYFUNCTION("""COMPUTED_VALUE"""),"20221013NYSCB")</f>
        <v>20221013NYSCB</v>
      </c>
      <c r="B33" s="8" t="str">
        <f ca="1">IFERROR(__xludf.DUMMYFUNCTION("""COMPUTED_VALUE"""),"Adult")</f>
        <v>Adult</v>
      </c>
      <c r="C33" s="8"/>
      <c r="D33" s="8" t="str">
        <f ca="1">IFERROR(__xludf.DUMMYFUNCTION("""COMPUTED_VALUE"""),"No Relation")</f>
        <v>No Relation</v>
      </c>
      <c r="E33" s="8" t="str">
        <f ca="1">IFERROR(__xludf.DUMMYFUNCTION("""COMPUTED_VALUE"""),"Fled/Escaped")</f>
        <v>Fled/Escaped</v>
      </c>
      <c r="F33" s="8" t="str">
        <f ca="1">IFERROR(__xludf.DUMMYFUNCTION("""COMPUTED_VALUE"""),"No")</f>
        <v>No</v>
      </c>
      <c r="G33" s="8" t="str">
        <f ca="1">IFERROR(__xludf.DUMMYFUNCTION("""COMPUTED_VALUE"""),"None")</f>
        <v>None</v>
      </c>
    </row>
    <row r="34" spans="1:7" ht="12.75">
      <c r="A34" s="8" t="str">
        <f ca="1">IFERROR(__xludf.DUMMYFUNCTION("""COMPUTED_VALUE"""),"20221013NYSCB")</f>
        <v>20221013NYSCB</v>
      </c>
      <c r="B34" s="8" t="str">
        <f ca="1">IFERROR(__xludf.DUMMYFUNCTION("""COMPUTED_VALUE"""),"Adult")</f>
        <v>Adult</v>
      </c>
      <c r="C34" s="8"/>
      <c r="D34" s="8" t="str">
        <f ca="1">IFERROR(__xludf.DUMMYFUNCTION("""COMPUTED_VALUE"""),"No Relation")</f>
        <v>No Relation</v>
      </c>
      <c r="E34" s="8" t="str">
        <f ca="1">IFERROR(__xludf.DUMMYFUNCTION("""COMPUTED_VALUE"""),"Fled/Escaped")</f>
        <v>Fled/Escaped</v>
      </c>
      <c r="F34" s="8" t="str">
        <f ca="1">IFERROR(__xludf.DUMMYFUNCTION("""COMPUTED_VALUE"""),"No")</f>
        <v>No</v>
      </c>
      <c r="G34" s="8" t="str">
        <f ca="1">IFERROR(__xludf.DUMMYFUNCTION("""COMPUTED_VALUE"""),"None")</f>
        <v>None</v>
      </c>
    </row>
    <row r="35" spans="1:7" ht="12.75">
      <c r="A35" s="8" t="str">
        <f ca="1">IFERROR(__xludf.DUMMYFUNCTION("""COMPUTED_VALUE"""),"20221013TXJOD")</f>
        <v>20221013TXJOD</v>
      </c>
      <c r="B35" s="8" t="str">
        <f ca="1">IFERROR(__xludf.DUMMYFUNCTION("""COMPUTED_VALUE"""),"Child")</f>
        <v>Child</v>
      </c>
      <c r="C35" s="8"/>
      <c r="D35" s="8" t="str">
        <f ca="1">IFERROR(__xludf.DUMMYFUNCTION("""COMPUTED_VALUE"""),"Student")</f>
        <v>Student</v>
      </c>
      <c r="E35" s="8" t="str">
        <f ca="1">IFERROR(__xludf.DUMMYFUNCTION("""COMPUTED_VALUE"""),"Surrendered")</f>
        <v>Surrendered</v>
      </c>
      <c r="F35" s="8" t="str">
        <f ca="1">IFERROR(__xludf.DUMMYFUNCTION("""COMPUTED_VALUE"""),"No")</f>
        <v>No</v>
      </c>
      <c r="G35" s="8" t="str">
        <f ca="1">IFERROR(__xludf.DUMMYFUNCTION("""COMPUTED_VALUE"""),"None")</f>
        <v>None</v>
      </c>
    </row>
    <row r="36" spans="1:7" ht="12.75">
      <c r="A36" s="8" t="str">
        <f ca="1">IFERROR(__xludf.DUMMYFUNCTION("""COMPUTED_VALUE"""),"20221012NCCAC")</f>
        <v>20221012NCCAC</v>
      </c>
      <c r="B36" s="8">
        <f ca="1">IFERROR(__xludf.DUMMYFUNCTION("""COMPUTED_VALUE"""),14)</f>
        <v>14</v>
      </c>
      <c r="C36" s="8" t="str">
        <f ca="1">IFERROR(__xludf.DUMMYFUNCTION("""COMPUTED_VALUE"""),"Male")</f>
        <v>Male</v>
      </c>
      <c r="D36" s="8" t="str">
        <f ca="1">IFERROR(__xludf.DUMMYFUNCTION("""COMPUTED_VALUE"""),"Student")</f>
        <v>Student</v>
      </c>
      <c r="E36" s="8" t="str">
        <f ca="1">IFERROR(__xludf.DUMMYFUNCTION("""COMPUTED_VALUE"""),"Surrendered")</f>
        <v>Surrendered</v>
      </c>
      <c r="F36" s="8" t="str">
        <f ca="1">IFERROR(__xludf.DUMMYFUNCTION("""COMPUTED_VALUE"""),"No")</f>
        <v>No</v>
      </c>
      <c r="G36" s="8" t="str">
        <f ca="1">IFERROR(__xludf.DUMMYFUNCTION("""COMPUTED_VALUE"""),"None")</f>
        <v>None</v>
      </c>
    </row>
    <row r="37" spans="1:7" ht="12.75">
      <c r="A37" s="8" t="str">
        <f ca="1">IFERROR(__xludf.DUMMYFUNCTION("""COMPUTED_VALUE"""),"20221011ORREP")</f>
        <v>20221011ORREP</v>
      </c>
      <c r="B37" s="8"/>
      <c r="C37" s="8"/>
      <c r="D37" s="8"/>
      <c r="E37" s="8" t="str">
        <f ca="1">IFERROR(__xludf.DUMMYFUNCTION("""COMPUTED_VALUE"""),"Fled/Escaped")</f>
        <v>Fled/Escaped</v>
      </c>
      <c r="F37" s="8" t="str">
        <f ca="1">IFERROR(__xludf.DUMMYFUNCTION("""COMPUTED_VALUE"""),"No")</f>
        <v>No</v>
      </c>
      <c r="G37" s="8" t="str">
        <f ca="1">IFERROR(__xludf.DUMMYFUNCTION("""COMPUTED_VALUE"""),"None")</f>
        <v>None</v>
      </c>
    </row>
    <row r="38" spans="1:7" ht="12.75">
      <c r="A38" s="8" t="str">
        <f ca="1">IFERROR(__xludf.DUMMYFUNCTION("""COMPUTED_VALUE"""),"20221011KSSAS")</f>
        <v>20221011KSSAS</v>
      </c>
      <c r="B38" s="8">
        <f ca="1">IFERROR(__xludf.DUMMYFUNCTION("""COMPUTED_VALUE"""),15)</f>
        <v>15</v>
      </c>
      <c r="C38" s="8" t="str">
        <f ca="1">IFERROR(__xludf.DUMMYFUNCTION("""COMPUTED_VALUE"""),"Male")</f>
        <v>Male</v>
      </c>
      <c r="D38" s="8" t="str">
        <f ca="1">IFERROR(__xludf.DUMMYFUNCTION("""COMPUTED_VALUE"""),"Student")</f>
        <v>Student</v>
      </c>
      <c r="E38" s="8" t="str">
        <f ca="1">IFERROR(__xludf.DUMMYFUNCTION("""COMPUTED_VALUE"""),"Fled/Apprehended")</f>
        <v>Fled/Apprehended</v>
      </c>
      <c r="F38" s="8" t="str">
        <f ca="1">IFERROR(__xludf.DUMMYFUNCTION("""COMPUTED_VALUE"""),"No")</f>
        <v>No</v>
      </c>
      <c r="G38" s="8" t="str">
        <f ca="1">IFERROR(__xludf.DUMMYFUNCTION("""COMPUTED_VALUE"""),"None")</f>
        <v>None</v>
      </c>
    </row>
    <row r="39" spans="1:7" ht="12.75">
      <c r="A39" s="8" t="str">
        <f ca="1">IFERROR(__xludf.DUMMYFUNCTION("""COMPUTED_VALUE"""),"20221010WIJAM")</f>
        <v>20221010WIJAM</v>
      </c>
      <c r="B39" s="8">
        <f ca="1">IFERROR(__xludf.DUMMYFUNCTION("""COMPUTED_VALUE"""),17)</f>
        <v>17</v>
      </c>
      <c r="C39" s="8" t="str">
        <f ca="1">IFERROR(__xludf.DUMMYFUNCTION("""COMPUTED_VALUE"""),"Male")</f>
        <v>Male</v>
      </c>
      <c r="D39" s="8" t="str">
        <f ca="1">IFERROR(__xludf.DUMMYFUNCTION("""COMPUTED_VALUE"""),"Nonstudent Using Athletic Facilities/Attending Game")</f>
        <v>Nonstudent Using Athletic Facilities/Attending Game</v>
      </c>
      <c r="E39" s="8" t="str">
        <f ca="1">IFERROR(__xludf.DUMMYFUNCTION("""COMPUTED_VALUE"""),"Fled/Apprehended")</f>
        <v>Fled/Apprehended</v>
      </c>
      <c r="F39" s="8" t="str">
        <f ca="1">IFERROR(__xludf.DUMMYFUNCTION("""COMPUTED_VALUE"""),"No")</f>
        <v>No</v>
      </c>
      <c r="G39" s="8" t="str">
        <f ca="1">IFERROR(__xludf.DUMMYFUNCTION("""COMPUTED_VALUE"""),"Wounded")</f>
        <v>Wounded</v>
      </c>
    </row>
    <row r="40" spans="1:7" ht="12.75">
      <c r="A40" s="8" t="str">
        <f ca="1">IFERROR(__xludf.DUMMYFUNCTION("""COMPUTED_VALUE"""),"20221009MAWAA")</f>
        <v>20221009MAWAA</v>
      </c>
      <c r="B40" s="8"/>
      <c r="C40" s="8"/>
      <c r="D40" s="8" t="str">
        <f ca="1">IFERROR(__xludf.DUMMYFUNCTION("""COMPUTED_VALUE"""),"No Relation")</f>
        <v>No Relation</v>
      </c>
      <c r="E40" s="8" t="str">
        <f ca="1">IFERROR(__xludf.DUMMYFUNCTION("""COMPUTED_VALUE"""),"Fled/Escaped")</f>
        <v>Fled/Escaped</v>
      </c>
      <c r="F40" s="8" t="str">
        <f ca="1">IFERROR(__xludf.DUMMYFUNCTION("""COMPUTED_VALUE"""),"No")</f>
        <v>No</v>
      </c>
      <c r="G40" s="8" t="str">
        <f ca="1">IFERROR(__xludf.DUMMYFUNCTION("""COMPUTED_VALUE"""),"None")</f>
        <v>None</v>
      </c>
    </row>
    <row r="41" spans="1:7" ht="12.75">
      <c r="A41" s="8" t="str">
        <f ca="1">IFERROR(__xludf.DUMMYFUNCTION("""COMPUTED_VALUE"""),"20221008MOJCK")</f>
        <v>20221008MOJCK</v>
      </c>
      <c r="B41" s="8" t="str">
        <f ca="1">IFERROR(__xludf.DUMMYFUNCTION("""COMPUTED_VALUE"""),"Teen")</f>
        <v>Teen</v>
      </c>
      <c r="C41" s="8"/>
      <c r="D41" s="8" t="str">
        <f ca="1">IFERROR(__xludf.DUMMYFUNCTION("""COMPUTED_VALUE"""),"Student")</f>
        <v>Student</v>
      </c>
      <c r="E41" s="8" t="str">
        <f ca="1">IFERROR(__xludf.DUMMYFUNCTION("""COMPUTED_VALUE"""),"Fled/Escaped")</f>
        <v>Fled/Escaped</v>
      </c>
      <c r="F41" s="8" t="str">
        <f ca="1">IFERROR(__xludf.DUMMYFUNCTION("""COMPUTED_VALUE"""),"No")</f>
        <v>No</v>
      </c>
      <c r="G41" s="8" t="str">
        <f ca="1">IFERROR(__xludf.DUMMYFUNCTION("""COMPUTED_VALUE"""),"None")</f>
        <v>None</v>
      </c>
    </row>
    <row r="42" spans="1:7" ht="12.75">
      <c r="A42" s="8" t="str">
        <f ca="1">IFERROR(__xludf.DUMMYFUNCTION("""COMPUTED_VALUE"""),"20221007MIBAB")</f>
        <v>20221007MIBAB</v>
      </c>
      <c r="B42" s="8"/>
      <c r="C42" s="8"/>
      <c r="D42" s="8"/>
      <c r="E42" s="8" t="str">
        <f ca="1">IFERROR(__xludf.DUMMYFUNCTION("""COMPUTED_VALUE"""),"Fled/Escaped")</f>
        <v>Fled/Escaped</v>
      </c>
      <c r="F42" s="8" t="str">
        <f ca="1">IFERROR(__xludf.DUMMYFUNCTION("""COMPUTED_VALUE"""),"No")</f>
        <v>No</v>
      </c>
      <c r="G42" s="8" t="str">
        <f ca="1">IFERROR(__xludf.DUMMYFUNCTION("""COMPUTED_VALUE"""),"None")</f>
        <v>None</v>
      </c>
    </row>
    <row r="43" spans="1:7" ht="12.75">
      <c r="A43" s="8" t="str">
        <f ca="1">IFERROR(__xludf.DUMMYFUNCTION("""COMPUTED_VALUE"""),"20221007NCJHG")</f>
        <v>20221007NCJHG</v>
      </c>
      <c r="B43" s="8"/>
      <c r="C43" s="8"/>
      <c r="D43" s="8"/>
      <c r="E43" s="8" t="str">
        <f ca="1">IFERROR(__xludf.DUMMYFUNCTION("""COMPUTED_VALUE"""),"Fled/Escaped")</f>
        <v>Fled/Escaped</v>
      </c>
      <c r="F43" s="8" t="str">
        <f ca="1">IFERROR(__xludf.DUMMYFUNCTION("""COMPUTED_VALUE"""),"No")</f>
        <v>No</v>
      </c>
      <c r="G43" s="8" t="str">
        <f ca="1">IFERROR(__xludf.DUMMYFUNCTION("""COMPUTED_VALUE"""),"None")</f>
        <v>None</v>
      </c>
    </row>
    <row r="44" spans="1:7" ht="12.75">
      <c r="A44" s="8" t="str">
        <f ca="1">IFERROR(__xludf.DUMMYFUNCTION("""COMPUTED_VALUE"""),"20221007AZCAP")</f>
        <v>20221007AZCAP</v>
      </c>
      <c r="B44" s="8"/>
      <c r="C44" s="8"/>
      <c r="D44" s="8"/>
      <c r="E44" s="8" t="str">
        <f ca="1">IFERROR(__xludf.DUMMYFUNCTION("""COMPUTED_VALUE"""),"Fled/Escaped")</f>
        <v>Fled/Escaped</v>
      </c>
      <c r="F44" s="8" t="str">
        <f ca="1">IFERROR(__xludf.DUMMYFUNCTION("""COMPUTED_VALUE"""),"No")</f>
        <v>No</v>
      </c>
      <c r="G44" s="8" t="str">
        <f ca="1">IFERROR(__xludf.DUMMYFUNCTION("""COMPUTED_VALUE"""),"None")</f>
        <v>None</v>
      </c>
    </row>
    <row r="45" spans="1:7" ht="12.75">
      <c r="A45" s="8" t="str">
        <f ca="1">IFERROR(__xludf.DUMMYFUNCTION("""COMPUTED_VALUE"""),"20221007OHWHT")</f>
        <v>20221007OHWHT</v>
      </c>
      <c r="B45" s="8"/>
      <c r="C45" s="8" t="str">
        <f ca="1">IFERROR(__xludf.DUMMYFUNCTION("""COMPUTED_VALUE"""),"Male")</f>
        <v>Male</v>
      </c>
      <c r="D45" s="8"/>
      <c r="E45" s="8" t="str">
        <f ca="1">IFERROR(__xludf.DUMMYFUNCTION("""COMPUTED_VALUE"""),"Fled/Escaped")</f>
        <v>Fled/Escaped</v>
      </c>
      <c r="F45" s="8" t="str">
        <f ca="1">IFERROR(__xludf.DUMMYFUNCTION("""COMPUTED_VALUE"""),"No")</f>
        <v>No</v>
      </c>
      <c r="G45" s="8" t="str">
        <f ca="1">IFERROR(__xludf.DUMMYFUNCTION("""COMPUTED_VALUE"""),"None")</f>
        <v>None</v>
      </c>
    </row>
    <row r="46" spans="1:7" ht="12.75">
      <c r="A46" s="8" t="str">
        <f ca="1">IFERROR(__xludf.DUMMYFUNCTION("""COMPUTED_VALUE"""),"20221006OHMAC")</f>
        <v>20221006OHMAC</v>
      </c>
      <c r="B46" s="8" t="str">
        <f ca="1">IFERROR(__xludf.DUMMYFUNCTION("""COMPUTED_VALUE"""),"Adult")</f>
        <v>Adult</v>
      </c>
      <c r="C46" s="8"/>
      <c r="D46" s="8" t="str">
        <f ca="1">IFERROR(__xludf.DUMMYFUNCTION("""COMPUTED_VALUE"""),"Nonstudent Using Athletic Facilities/Attending Game")</f>
        <v>Nonstudent Using Athletic Facilities/Attending Game</v>
      </c>
      <c r="E46" s="8" t="str">
        <f ca="1">IFERROR(__xludf.DUMMYFUNCTION("""COMPUTED_VALUE"""),"Fled/Escaped")</f>
        <v>Fled/Escaped</v>
      </c>
      <c r="F46" s="8" t="str">
        <f ca="1">IFERROR(__xludf.DUMMYFUNCTION("""COMPUTED_VALUE"""),"No")</f>
        <v>No</v>
      </c>
      <c r="G46" s="8" t="str">
        <f ca="1">IFERROR(__xludf.DUMMYFUNCTION("""COMPUTED_VALUE"""),"None")</f>
        <v>None</v>
      </c>
    </row>
    <row r="47" spans="1:7" ht="12.75">
      <c r="A47" s="8" t="str">
        <f ca="1">IFERROR(__xludf.DUMMYFUNCTION("""COMPUTED_VALUE"""),"20221004MAJB")</f>
        <v>20221004MAJB</v>
      </c>
      <c r="B47" s="8">
        <f ca="1">IFERROR(__xludf.DUMMYFUNCTION("""COMPUTED_VALUE"""),17)</f>
        <v>17</v>
      </c>
      <c r="C47" s="8" t="str">
        <f ca="1">IFERROR(__xludf.DUMMYFUNCTION("""COMPUTED_VALUE"""),"Male")</f>
        <v>Male</v>
      </c>
      <c r="D47" s="8" t="str">
        <f ca="1">IFERROR(__xludf.DUMMYFUNCTION("""COMPUTED_VALUE"""),"Student")</f>
        <v>Student</v>
      </c>
      <c r="E47" s="8" t="str">
        <f ca="1">IFERROR(__xludf.DUMMYFUNCTION("""COMPUTED_VALUE"""),"Fled/Apprehended")</f>
        <v>Fled/Apprehended</v>
      </c>
      <c r="F47" s="8" t="str">
        <f ca="1">IFERROR(__xludf.DUMMYFUNCTION("""COMPUTED_VALUE"""),"No")</f>
        <v>No</v>
      </c>
      <c r="G47" s="8" t="str">
        <f ca="1">IFERROR(__xludf.DUMMYFUNCTION("""COMPUTED_VALUE"""),"None")</f>
        <v>None</v>
      </c>
    </row>
    <row r="48" spans="1:7" ht="12.75">
      <c r="A48" s="8" t="str">
        <f ca="1">IFERROR(__xludf.DUMMYFUNCTION("""COMPUTED_VALUE"""),"20221004NCPIS")</f>
        <v>20221004NCPIS</v>
      </c>
      <c r="B48" s="8" t="str">
        <f ca="1">IFERROR(__xludf.DUMMYFUNCTION("""COMPUTED_VALUE"""),"Child")</f>
        <v>Child</v>
      </c>
      <c r="C48" s="8"/>
      <c r="D48" s="8" t="str">
        <f ca="1">IFERROR(__xludf.DUMMYFUNCTION("""COMPUTED_VALUE"""),"No Relation")</f>
        <v>No Relation</v>
      </c>
      <c r="E48" s="8" t="str">
        <f ca="1">IFERROR(__xludf.DUMMYFUNCTION("""COMPUTED_VALUE"""),"Fled/Apprehended")</f>
        <v>Fled/Apprehended</v>
      </c>
      <c r="F48" s="8" t="str">
        <f ca="1">IFERROR(__xludf.DUMMYFUNCTION("""COMPUTED_VALUE"""),"No")</f>
        <v>No</v>
      </c>
      <c r="G48" s="8" t="str">
        <f ca="1">IFERROR(__xludf.DUMMYFUNCTION("""COMPUTED_VALUE"""),"None")</f>
        <v>None</v>
      </c>
    </row>
    <row r="49" spans="1:7" ht="12.75">
      <c r="A49" s="8" t="str">
        <f ca="1">IFERROR(__xludf.DUMMYFUNCTION("""COMPUTED_VALUE"""),"20221003MIOXO")</f>
        <v>20221003MIOXO</v>
      </c>
      <c r="B49" s="8" t="str">
        <f ca="1">IFERROR(__xludf.DUMMYFUNCTION("""COMPUTED_VALUE"""),"Adult")</f>
        <v>Adult</v>
      </c>
      <c r="C49" s="8"/>
      <c r="D49" s="8" t="str">
        <f ca="1">IFERROR(__xludf.DUMMYFUNCTION("""COMPUTED_VALUE"""),"Police Officer/SRO")</f>
        <v>Police Officer/SRO</v>
      </c>
      <c r="E49" s="8" t="str">
        <f ca="1">IFERROR(__xludf.DUMMYFUNCTION("""COMPUTED_VALUE"""),"Law Enforcement")</f>
        <v>Law Enforcement</v>
      </c>
      <c r="F49" s="8" t="str">
        <f ca="1">IFERROR(__xludf.DUMMYFUNCTION("""COMPUTED_VALUE"""),"No")</f>
        <v>No</v>
      </c>
      <c r="G49" s="8" t="str">
        <f ca="1">IFERROR(__xludf.DUMMYFUNCTION("""COMPUTED_VALUE"""),"None")</f>
        <v>None</v>
      </c>
    </row>
    <row r="50" spans="1:7" ht="12.75">
      <c r="A50" s="8" t="str">
        <f ca="1">IFERROR(__xludf.DUMMYFUNCTION("""COMPUTED_VALUE"""),"20221001CACOO")</f>
        <v>20221001CACOO</v>
      </c>
      <c r="B50" s="8">
        <f ca="1">IFERROR(__xludf.DUMMYFUNCTION("""COMPUTED_VALUE"""),37)</f>
        <v>37</v>
      </c>
      <c r="C50" s="8" t="str">
        <f ca="1">IFERROR(__xludf.DUMMYFUNCTION("""COMPUTED_VALUE"""),"Male")</f>
        <v>Male</v>
      </c>
      <c r="D50" s="8"/>
      <c r="E50" s="8" t="str">
        <f ca="1">IFERROR(__xludf.DUMMYFUNCTION("""COMPUTED_VALUE"""),"Fled/Apprehended")</f>
        <v>Fled/Apprehended</v>
      </c>
      <c r="F50" s="8" t="str">
        <f ca="1">IFERROR(__xludf.DUMMYFUNCTION("""COMPUTED_VALUE"""),"No")</f>
        <v>No</v>
      </c>
      <c r="G50" s="8" t="str">
        <f ca="1">IFERROR(__xludf.DUMMYFUNCTION("""COMPUTED_VALUE"""),"None")</f>
        <v>None</v>
      </c>
    </row>
    <row r="51" spans="1:7" ht="12.75">
      <c r="A51" s="8" t="str">
        <f ca="1">IFERROR(__xludf.DUMMYFUNCTION("""COMPUTED_VALUE"""),"20220930OKMCT")</f>
        <v>20220930OKMCT</v>
      </c>
      <c r="B51" s="8"/>
      <c r="C51" s="8"/>
      <c r="D51" s="8"/>
      <c r="E51" s="8" t="str">
        <f ca="1">IFERROR(__xludf.DUMMYFUNCTION("""COMPUTED_VALUE"""),"Fled/Escaped")</f>
        <v>Fled/Escaped</v>
      </c>
      <c r="F51" s="8" t="str">
        <f ca="1">IFERROR(__xludf.DUMMYFUNCTION("""COMPUTED_VALUE"""),"No")</f>
        <v>No</v>
      </c>
      <c r="G51" s="8" t="str">
        <f ca="1">IFERROR(__xludf.DUMMYFUNCTION("""COMPUTED_VALUE"""),"None")</f>
        <v>None</v>
      </c>
    </row>
    <row r="52" spans="1:7" ht="12.75">
      <c r="A52" s="8" t="str">
        <f ca="1">IFERROR(__xludf.DUMMYFUNCTION("""COMPUTED_VALUE"""),"20220930NYNEN")</f>
        <v>20220930NYNEN</v>
      </c>
      <c r="B52" s="8"/>
      <c r="C52" s="8"/>
      <c r="D52" s="8"/>
      <c r="E52" s="8" t="str">
        <f ca="1">IFERROR(__xludf.DUMMYFUNCTION("""COMPUTED_VALUE"""),"Fled/Escaped")</f>
        <v>Fled/Escaped</v>
      </c>
      <c r="F52" s="8" t="str">
        <f ca="1">IFERROR(__xludf.DUMMYFUNCTION("""COMPUTED_VALUE"""),"No")</f>
        <v>No</v>
      </c>
      <c r="G52" s="8" t="str">
        <f ca="1">IFERROR(__xludf.DUMMYFUNCTION("""COMPUTED_VALUE"""),"None")</f>
        <v>None</v>
      </c>
    </row>
    <row r="53" spans="1:7" ht="12.75">
      <c r="A53" s="8" t="str">
        <f ca="1">IFERROR(__xludf.DUMMYFUNCTION("""COMPUTED_VALUE"""),"20220928LASEB")</f>
        <v>20220928LASEB</v>
      </c>
      <c r="B53" s="8">
        <f ca="1">IFERROR(__xludf.DUMMYFUNCTION("""COMPUTED_VALUE"""),15)</f>
        <v>15</v>
      </c>
      <c r="C53" s="8" t="str">
        <f ca="1">IFERROR(__xludf.DUMMYFUNCTION("""COMPUTED_VALUE"""),"Male")</f>
        <v>Male</v>
      </c>
      <c r="D53" s="8" t="str">
        <f ca="1">IFERROR(__xludf.DUMMYFUNCTION("""COMPUTED_VALUE"""),"Student")</f>
        <v>Student</v>
      </c>
      <c r="E53" s="8" t="str">
        <f ca="1">IFERROR(__xludf.DUMMYFUNCTION("""COMPUTED_VALUE"""),"Fled/Apprehended")</f>
        <v>Fled/Apprehended</v>
      </c>
      <c r="F53" s="8" t="str">
        <f ca="1">IFERROR(__xludf.DUMMYFUNCTION("""COMPUTED_VALUE"""),"No")</f>
        <v>No</v>
      </c>
      <c r="G53" s="8" t="str">
        <f ca="1">IFERROR(__xludf.DUMMYFUNCTION("""COMPUTED_VALUE"""),"None")</f>
        <v>None</v>
      </c>
    </row>
    <row r="54" spans="1:7" ht="12.75">
      <c r="A54" s="8" t="str">
        <f ca="1">IFERROR(__xludf.DUMMYFUNCTION("""COMPUTED_VALUE"""),"20220928CARUO")</f>
        <v>20220928CARUO</v>
      </c>
      <c r="B54" s="8" t="str">
        <f ca="1">IFERROR(__xludf.DUMMYFUNCTION("""COMPUTED_VALUE"""),"Adult")</f>
        <v>Adult</v>
      </c>
      <c r="C54" s="8"/>
      <c r="D54" s="8"/>
      <c r="E54" s="8" t="str">
        <f ca="1">IFERROR(__xludf.DUMMYFUNCTION("""COMPUTED_VALUE"""),"Fled/Escaped")</f>
        <v>Fled/Escaped</v>
      </c>
      <c r="F54" s="8" t="str">
        <f ca="1">IFERROR(__xludf.DUMMYFUNCTION("""COMPUTED_VALUE"""),"No")</f>
        <v>No</v>
      </c>
      <c r="G54" s="8" t="str">
        <f ca="1">IFERROR(__xludf.DUMMYFUNCTION("""COMPUTED_VALUE"""),"None")</f>
        <v>None</v>
      </c>
    </row>
    <row r="55" spans="1:7" ht="12.75">
      <c r="A55" s="8" t="str">
        <f ca="1">IFERROR(__xludf.DUMMYFUNCTION("""COMPUTED_VALUE"""),"20220928CARUO")</f>
        <v>20220928CARUO</v>
      </c>
      <c r="B55" s="8" t="str">
        <f ca="1">IFERROR(__xludf.DUMMYFUNCTION("""COMPUTED_VALUE"""),"Adult")</f>
        <v>Adult</v>
      </c>
      <c r="C55" s="8"/>
      <c r="D55" s="8"/>
      <c r="E55" s="8" t="str">
        <f ca="1">IFERROR(__xludf.DUMMYFUNCTION("""COMPUTED_VALUE"""),"Fled/Escaped")</f>
        <v>Fled/Escaped</v>
      </c>
      <c r="F55" s="8" t="str">
        <f ca="1">IFERROR(__xludf.DUMMYFUNCTION("""COMPUTED_VALUE"""),"No")</f>
        <v>No</v>
      </c>
      <c r="G55" s="8" t="str">
        <f ca="1">IFERROR(__xludf.DUMMYFUNCTION("""COMPUTED_VALUE"""),"None")</f>
        <v>None</v>
      </c>
    </row>
    <row r="56" spans="1:7" ht="12.75">
      <c r="A56" s="8" t="str">
        <f ca="1">IFERROR(__xludf.DUMMYFUNCTION("""COMPUTED_VALUE"""),"20220927PAROP")</f>
        <v>20220927PAROP</v>
      </c>
      <c r="B56" s="8">
        <f ca="1">IFERROR(__xludf.DUMMYFUNCTION("""COMPUTED_VALUE"""),21)</f>
        <v>21</v>
      </c>
      <c r="C56" s="8" t="str">
        <f ca="1">IFERROR(__xludf.DUMMYFUNCTION("""COMPUTED_VALUE"""),"Male")</f>
        <v>Male</v>
      </c>
      <c r="D56" s="8" t="str">
        <f ca="1">IFERROR(__xludf.DUMMYFUNCTION("""COMPUTED_VALUE"""),"No Relation")</f>
        <v>No Relation</v>
      </c>
      <c r="E56" s="8" t="str">
        <f ca="1">IFERROR(__xludf.DUMMYFUNCTION("""COMPUTED_VALUE"""),"Fled/Apprehended")</f>
        <v>Fled/Apprehended</v>
      </c>
      <c r="F56" s="8" t="str">
        <f ca="1">IFERROR(__xludf.DUMMYFUNCTION("""COMPUTED_VALUE"""),"No")</f>
        <v>No</v>
      </c>
      <c r="G56" s="8" t="str">
        <f ca="1">IFERROR(__xludf.DUMMYFUNCTION("""COMPUTED_VALUE"""),"None")</f>
        <v>None</v>
      </c>
    </row>
    <row r="57" spans="1:7" ht="12.75">
      <c r="A57" s="8" t="str">
        <f ca="1">IFERROR(__xludf.DUMMYFUNCTION("""COMPUTED_VALUE"""),"20220927PAROP")</f>
        <v>20220927PAROP</v>
      </c>
      <c r="B57" s="8">
        <f ca="1">IFERROR(__xludf.DUMMYFUNCTION("""COMPUTED_VALUE"""),17)</f>
        <v>17</v>
      </c>
      <c r="C57" s="8"/>
      <c r="D57" s="8"/>
      <c r="E57" s="8" t="str">
        <f ca="1">IFERROR(__xludf.DUMMYFUNCTION("""COMPUTED_VALUE"""),"Fled/Apprehended")</f>
        <v>Fled/Apprehended</v>
      </c>
      <c r="F57" s="8" t="str">
        <f ca="1">IFERROR(__xludf.DUMMYFUNCTION("""COMPUTED_VALUE"""),"No")</f>
        <v>No</v>
      </c>
      <c r="G57" s="8" t="str">
        <f ca="1">IFERROR(__xludf.DUMMYFUNCTION("""COMPUTED_VALUE"""),"None")</f>
        <v>None</v>
      </c>
    </row>
    <row r="58" spans="1:7" ht="12.75">
      <c r="A58" s="8" t="str">
        <f ca="1">IFERROR(__xludf.DUMMYFUNCTION("""COMPUTED_VALUE"""),"20220927PAROP")</f>
        <v>20220927PAROP</v>
      </c>
      <c r="B58" s="8">
        <f ca="1">IFERROR(__xludf.DUMMYFUNCTION("""COMPUTED_VALUE"""),15)</f>
        <v>15</v>
      </c>
      <c r="C58" s="8"/>
      <c r="D58" s="8"/>
      <c r="E58" s="8" t="str">
        <f ca="1">IFERROR(__xludf.DUMMYFUNCTION("""COMPUTED_VALUE"""),"Fled/Apprehended")</f>
        <v>Fled/Apprehended</v>
      </c>
      <c r="F58" s="8" t="str">
        <f ca="1">IFERROR(__xludf.DUMMYFUNCTION("""COMPUTED_VALUE"""),"No")</f>
        <v>No</v>
      </c>
      <c r="G58" s="8" t="str">
        <f ca="1">IFERROR(__xludf.DUMMYFUNCTION("""COMPUTED_VALUE"""),"None")</f>
        <v>None</v>
      </c>
    </row>
    <row r="59" spans="1:7" ht="12.75">
      <c r="A59" s="8" t="str">
        <f ca="1">IFERROR(__xludf.DUMMYFUNCTION("""COMPUTED_VALUE"""),"20220927PAROP")</f>
        <v>20220927PAROP</v>
      </c>
      <c r="B59" s="8">
        <f ca="1">IFERROR(__xludf.DUMMYFUNCTION("""COMPUTED_VALUE"""),16)</f>
        <v>16</v>
      </c>
      <c r="C59" s="8" t="str">
        <f ca="1">IFERROR(__xludf.DUMMYFUNCTION("""COMPUTED_VALUE"""),"Male")</f>
        <v>Male</v>
      </c>
      <c r="D59" s="8"/>
      <c r="E59" s="8" t="str">
        <f ca="1">IFERROR(__xludf.DUMMYFUNCTION("""COMPUTED_VALUE"""),"Fled/Apprehended")</f>
        <v>Fled/Apprehended</v>
      </c>
      <c r="F59" s="8" t="str">
        <f ca="1">IFERROR(__xludf.DUMMYFUNCTION("""COMPUTED_VALUE"""),"No")</f>
        <v>No</v>
      </c>
      <c r="G59" s="8" t="str">
        <f ca="1">IFERROR(__xludf.DUMMYFUNCTION("""COMPUTED_VALUE"""),"None")</f>
        <v>None</v>
      </c>
    </row>
    <row r="60" spans="1:7" ht="12.75">
      <c r="A60" s="8" t="str">
        <f ca="1">IFERROR(__xludf.DUMMYFUNCTION("""COMPUTED_VALUE"""),"20220927PAROP")</f>
        <v>20220927PAROP</v>
      </c>
      <c r="B60" s="8"/>
      <c r="C60" s="8"/>
      <c r="D60" s="8"/>
      <c r="E60" s="8" t="str">
        <f ca="1">IFERROR(__xludf.DUMMYFUNCTION("""COMPUTED_VALUE"""),"Fled/Escaped")</f>
        <v>Fled/Escaped</v>
      </c>
      <c r="F60" s="8" t="str">
        <f ca="1">IFERROR(__xludf.DUMMYFUNCTION("""COMPUTED_VALUE"""),"No")</f>
        <v>No</v>
      </c>
      <c r="G60" s="8" t="str">
        <f ca="1">IFERROR(__xludf.DUMMYFUNCTION("""COMPUTED_VALUE"""),"None")</f>
        <v>None</v>
      </c>
    </row>
    <row r="61" spans="1:7" ht="12.75">
      <c r="A61" s="8" t="str">
        <f ca="1">IFERROR(__xludf.DUMMYFUNCTION("""COMPUTED_VALUE"""),"20220927TXHGD")</f>
        <v>20220927TXHGD</v>
      </c>
      <c r="B61" s="8"/>
      <c r="C61" s="8"/>
      <c r="D61" s="8"/>
      <c r="E61" s="8" t="str">
        <f ca="1">IFERROR(__xludf.DUMMYFUNCTION("""COMPUTED_VALUE"""),"Fled/Escaped")</f>
        <v>Fled/Escaped</v>
      </c>
      <c r="F61" s="8" t="str">
        <f ca="1">IFERROR(__xludf.DUMMYFUNCTION("""COMPUTED_VALUE"""),"No")</f>
        <v>No</v>
      </c>
      <c r="G61" s="8" t="str">
        <f ca="1">IFERROR(__xludf.DUMMYFUNCTION("""COMPUTED_VALUE"""),"None")</f>
        <v>None</v>
      </c>
    </row>
    <row r="62" spans="1:7" ht="12.75">
      <c r="A62" s="8" t="str">
        <f ca="1">IFERROR(__xludf.DUMMYFUNCTION("""COMPUTED_VALUE"""),"20220926GAVAV")</f>
        <v>20220926GAVAV</v>
      </c>
      <c r="B62" s="8"/>
      <c r="C62" s="8" t="str">
        <f ca="1">IFERROR(__xludf.DUMMYFUNCTION("""COMPUTED_VALUE"""),"Male")</f>
        <v>Male</v>
      </c>
      <c r="D62" s="8"/>
      <c r="E62" s="8" t="str">
        <f ca="1">IFERROR(__xludf.DUMMYFUNCTION("""COMPUTED_VALUE"""),"Fled/Escaped")</f>
        <v>Fled/Escaped</v>
      </c>
      <c r="F62" s="8" t="str">
        <f ca="1">IFERROR(__xludf.DUMMYFUNCTION("""COMPUTED_VALUE"""),"No")</f>
        <v>No</v>
      </c>
      <c r="G62" s="8" t="str">
        <f ca="1">IFERROR(__xludf.DUMMYFUNCTION("""COMPUTED_VALUE"""),"None")</f>
        <v>None</v>
      </c>
    </row>
    <row r="63" spans="1:7" ht="12.75">
      <c r="A63" s="8" t="str">
        <f ca="1">IFERROR(__xludf.DUMMYFUNCTION("""COMPUTED_VALUE"""),"20220923CANOC")</f>
        <v>20220923CANOC</v>
      </c>
      <c r="B63" s="8" t="str">
        <f ca="1">IFERROR(__xludf.DUMMYFUNCTION("""COMPUTED_VALUE"""),"Teen")</f>
        <v>Teen</v>
      </c>
      <c r="C63" s="8" t="str">
        <f ca="1">IFERROR(__xludf.DUMMYFUNCTION("""COMPUTED_VALUE"""),"Male")</f>
        <v>Male</v>
      </c>
      <c r="D63" s="8" t="str">
        <f ca="1">IFERROR(__xludf.DUMMYFUNCTION("""COMPUTED_VALUE"""),"Nonstudent Using Athletic Facilities/Attending Game")</f>
        <v>Nonstudent Using Athletic Facilities/Attending Game</v>
      </c>
      <c r="E63" s="8" t="str">
        <f ca="1">IFERROR(__xludf.DUMMYFUNCTION("""COMPUTED_VALUE"""),"Fled/Escaped")</f>
        <v>Fled/Escaped</v>
      </c>
      <c r="F63" s="8" t="str">
        <f ca="1">IFERROR(__xludf.DUMMYFUNCTION("""COMPUTED_VALUE"""),"No")</f>
        <v>No</v>
      </c>
      <c r="G63" s="8" t="str">
        <f ca="1">IFERROR(__xludf.DUMMYFUNCTION("""COMPUTED_VALUE"""),"None")</f>
        <v>None</v>
      </c>
    </row>
    <row r="64" spans="1:7" ht="12.75">
      <c r="A64" s="8" t="str">
        <f ca="1">IFERROR(__xludf.DUMMYFUNCTION("""COMPUTED_VALUE"""),"20220923WIROM")</f>
        <v>20220923WIROM</v>
      </c>
      <c r="B64" s="8" t="str">
        <f ca="1">IFERROR(__xludf.DUMMYFUNCTION("""COMPUTED_VALUE"""),"Adult")</f>
        <v>Adult</v>
      </c>
      <c r="C64" s="8" t="str">
        <f ca="1">IFERROR(__xludf.DUMMYFUNCTION("""COMPUTED_VALUE"""),"Male")</f>
        <v>Male</v>
      </c>
      <c r="D64" s="8" t="str">
        <f ca="1">IFERROR(__xludf.DUMMYFUNCTION("""COMPUTED_VALUE"""),"No Relation")</f>
        <v>No Relation</v>
      </c>
      <c r="E64" s="8" t="str">
        <f ca="1">IFERROR(__xludf.DUMMYFUNCTION("""COMPUTED_VALUE"""),"Fled/Escaped")</f>
        <v>Fled/Escaped</v>
      </c>
      <c r="F64" s="8" t="str">
        <f ca="1">IFERROR(__xludf.DUMMYFUNCTION("""COMPUTED_VALUE"""),"No")</f>
        <v>No</v>
      </c>
      <c r="G64" s="8" t="str">
        <f ca="1">IFERROR(__xludf.DUMMYFUNCTION("""COMPUTED_VALUE"""),"None")</f>
        <v>None</v>
      </c>
    </row>
    <row r="65" spans="1:7" ht="12.75">
      <c r="A65" s="8" t="str">
        <f ca="1">IFERROR(__xludf.DUMMYFUNCTION("""COMPUTED_VALUE"""),"20220923PAWEP")</f>
        <v>20220923PAWEP</v>
      </c>
      <c r="B65" s="8"/>
      <c r="C65" s="8"/>
      <c r="D65" s="8"/>
      <c r="E65" s="8" t="str">
        <f ca="1">IFERROR(__xludf.DUMMYFUNCTION("""COMPUTED_VALUE"""),"Fled/Escaped")</f>
        <v>Fled/Escaped</v>
      </c>
      <c r="F65" s="8" t="str">
        <f ca="1">IFERROR(__xludf.DUMMYFUNCTION("""COMPUTED_VALUE"""),"No")</f>
        <v>No</v>
      </c>
      <c r="G65" s="8" t="str">
        <f ca="1">IFERROR(__xludf.DUMMYFUNCTION("""COMPUTED_VALUE"""),"None")</f>
        <v>None</v>
      </c>
    </row>
    <row r="66" spans="1:7" ht="12.75">
      <c r="A66" s="8" t="str">
        <f ca="1">IFERROR(__xludf.DUMMYFUNCTION("""COMPUTED_VALUE"""),"20220923DEAPM")</f>
        <v>20220923DEAPM</v>
      </c>
      <c r="B66" s="8"/>
      <c r="C66" s="8"/>
      <c r="D66" s="8"/>
      <c r="E66" s="8" t="str">
        <f ca="1">IFERROR(__xludf.DUMMYFUNCTION("""COMPUTED_VALUE"""),"Fled/Escaped")</f>
        <v>Fled/Escaped</v>
      </c>
      <c r="F66" s="8" t="str">
        <f ca="1">IFERROR(__xludf.DUMMYFUNCTION("""COMPUTED_VALUE"""),"No")</f>
        <v>No</v>
      </c>
      <c r="G66" s="8" t="str">
        <f ca="1">IFERROR(__xludf.DUMMYFUNCTION("""COMPUTED_VALUE"""),"None")</f>
        <v>None</v>
      </c>
    </row>
    <row r="67" spans="1:7" ht="12.75">
      <c r="A67" s="8" t="str">
        <f ca="1">IFERROR(__xludf.DUMMYFUNCTION("""COMPUTED_VALUE"""),"20220923MNRIM")</f>
        <v>20220923MNRIM</v>
      </c>
      <c r="B67" s="8">
        <f ca="1">IFERROR(__xludf.DUMMYFUNCTION("""COMPUTED_VALUE"""),15)</f>
        <v>15</v>
      </c>
      <c r="C67" s="8" t="str">
        <f ca="1">IFERROR(__xludf.DUMMYFUNCTION("""COMPUTED_VALUE"""),"Male")</f>
        <v>Male</v>
      </c>
      <c r="D67" s="8" t="str">
        <f ca="1">IFERROR(__xludf.DUMMYFUNCTION("""COMPUTED_VALUE"""),"Student")</f>
        <v>Student</v>
      </c>
      <c r="E67" s="8" t="str">
        <f ca="1">IFERROR(__xludf.DUMMYFUNCTION("""COMPUTED_VALUE"""),"Fled/Apprehended")</f>
        <v>Fled/Apprehended</v>
      </c>
      <c r="F67" s="8" t="str">
        <f ca="1">IFERROR(__xludf.DUMMYFUNCTION("""COMPUTED_VALUE"""),"No")</f>
        <v>No</v>
      </c>
      <c r="G67" s="8" t="str">
        <f ca="1">IFERROR(__xludf.DUMMYFUNCTION("""COMPUTED_VALUE"""),"None")</f>
        <v>None</v>
      </c>
    </row>
    <row r="68" spans="1:7" ht="12.75">
      <c r="A68" s="8" t="str">
        <f ca="1">IFERROR(__xludf.DUMMYFUNCTION("""COMPUTED_VALUE"""),"20220923MNRIM")</f>
        <v>20220923MNRIM</v>
      </c>
      <c r="B68" s="8">
        <f ca="1">IFERROR(__xludf.DUMMYFUNCTION("""COMPUTED_VALUE"""),16)</f>
        <v>16</v>
      </c>
      <c r="C68" s="8" t="str">
        <f ca="1">IFERROR(__xludf.DUMMYFUNCTION("""COMPUTED_VALUE"""),"Male")</f>
        <v>Male</v>
      </c>
      <c r="D68" s="8" t="str">
        <f ca="1">IFERROR(__xludf.DUMMYFUNCTION("""COMPUTED_VALUE"""),"Former Student")</f>
        <v>Former Student</v>
      </c>
      <c r="E68" s="8" t="str">
        <f ca="1">IFERROR(__xludf.DUMMYFUNCTION("""COMPUTED_VALUE"""),"Fled/Apprehended")</f>
        <v>Fled/Apprehended</v>
      </c>
      <c r="F68" s="8" t="str">
        <f ca="1">IFERROR(__xludf.DUMMYFUNCTION("""COMPUTED_VALUE"""),"No")</f>
        <v>No</v>
      </c>
      <c r="G68" s="8" t="str">
        <f ca="1">IFERROR(__xludf.DUMMYFUNCTION("""COMPUTED_VALUE"""),"None")</f>
        <v>None</v>
      </c>
    </row>
    <row r="69" spans="1:7" ht="12.75">
      <c r="A69" s="8" t="str">
        <f ca="1">IFERROR(__xludf.DUMMYFUNCTION("""COMPUTED_VALUE"""),"20220921INJAS")</f>
        <v>20220921INJAS</v>
      </c>
      <c r="B69" s="8" t="str">
        <f ca="1">IFERROR(__xludf.DUMMYFUNCTION("""COMPUTED_VALUE"""),"Teen")</f>
        <v>Teen</v>
      </c>
      <c r="C69" s="8"/>
      <c r="D69" s="8" t="str">
        <f ca="1">IFERROR(__xludf.DUMMYFUNCTION("""COMPUTED_VALUE"""),"Student")</f>
        <v>Student</v>
      </c>
      <c r="E69" s="8" t="str">
        <f ca="1">IFERROR(__xludf.DUMMYFUNCTION("""COMPUTED_VALUE"""),"Fled/Apprehended")</f>
        <v>Fled/Apprehended</v>
      </c>
      <c r="F69" s="8" t="str">
        <f ca="1">IFERROR(__xludf.DUMMYFUNCTION("""COMPUTED_VALUE"""),"No")</f>
        <v>No</v>
      </c>
      <c r="G69" s="8" t="str">
        <f ca="1">IFERROR(__xludf.DUMMYFUNCTION("""COMPUTED_VALUE"""),"None")</f>
        <v>None</v>
      </c>
    </row>
    <row r="70" spans="1:7" ht="12.75">
      <c r="A70" s="8" t="str">
        <f ca="1">IFERROR(__xludf.DUMMYFUNCTION("""COMPUTED_VALUE"""),"20220920NYINB")</f>
        <v>20220920NYINB</v>
      </c>
      <c r="B70" s="8">
        <f ca="1">IFERROR(__xludf.DUMMYFUNCTION("""COMPUTED_VALUE"""),36)</f>
        <v>36</v>
      </c>
      <c r="C70" s="8" t="str">
        <f ca="1">IFERROR(__xludf.DUMMYFUNCTION("""COMPUTED_VALUE"""),"Female")</f>
        <v>Female</v>
      </c>
      <c r="D70" s="8" t="str">
        <f ca="1">IFERROR(__xludf.DUMMYFUNCTION("""COMPUTED_VALUE"""),"No Relation")</f>
        <v>No Relation</v>
      </c>
      <c r="E70" s="8" t="str">
        <f ca="1">IFERROR(__xludf.DUMMYFUNCTION("""COMPUTED_VALUE"""),"Suicide")</f>
        <v>Suicide</v>
      </c>
      <c r="F70" s="8" t="str">
        <f ca="1">IFERROR(__xludf.DUMMYFUNCTION("""COMPUTED_VALUE"""),"No")</f>
        <v>No</v>
      </c>
      <c r="G70" s="8" t="str">
        <f ca="1">IFERROR(__xludf.DUMMYFUNCTION("""COMPUTED_VALUE"""),"Suicide")</f>
        <v>Suicide</v>
      </c>
    </row>
    <row r="71" spans="1:7" ht="12.75">
      <c r="A71" s="8" t="str">
        <f ca="1">IFERROR(__xludf.DUMMYFUNCTION("""COMPUTED_VALUE"""),"20220919FLTRS")</f>
        <v>20220919FLTRS</v>
      </c>
      <c r="B71" s="8" t="str">
        <f ca="1">IFERROR(__xludf.DUMMYFUNCTION("""COMPUTED_VALUE"""),"Adult")</f>
        <v>Adult</v>
      </c>
      <c r="C71" s="8" t="str">
        <f ca="1">IFERROR(__xludf.DUMMYFUNCTION("""COMPUTED_VALUE"""),"Male")</f>
        <v>Male</v>
      </c>
      <c r="D71" s="8" t="str">
        <f ca="1">IFERROR(__xludf.DUMMYFUNCTION("""COMPUTED_VALUE"""),"Police Officer/SRO")</f>
        <v>Police Officer/SRO</v>
      </c>
      <c r="E71" s="8" t="str">
        <f ca="1">IFERROR(__xludf.DUMMYFUNCTION("""COMPUTED_VALUE"""),"Other")</f>
        <v>Other</v>
      </c>
      <c r="F71" s="8" t="str">
        <f ca="1">IFERROR(__xludf.DUMMYFUNCTION("""COMPUTED_VALUE"""),"No")</f>
        <v>No</v>
      </c>
      <c r="G71" s="8" t="str">
        <f ca="1">IFERROR(__xludf.DUMMYFUNCTION("""COMPUTED_VALUE"""),"None")</f>
        <v>None</v>
      </c>
    </row>
    <row r="72" spans="1:7" ht="12.75">
      <c r="A72" s="8" t="str">
        <f ca="1">IFERROR(__xludf.DUMMYFUNCTION("""COMPUTED_VALUE"""),"20220919LALAN")</f>
        <v>20220919LALAN</v>
      </c>
      <c r="B72" s="8" t="str">
        <f ca="1">IFERROR(__xludf.DUMMYFUNCTION("""COMPUTED_VALUE"""),"Child")</f>
        <v>Child</v>
      </c>
      <c r="C72" s="8" t="str">
        <f ca="1">IFERROR(__xludf.DUMMYFUNCTION("""COMPUTED_VALUE"""),"Male")</f>
        <v>Male</v>
      </c>
      <c r="D72" s="8" t="str">
        <f ca="1">IFERROR(__xludf.DUMMYFUNCTION("""COMPUTED_VALUE"""),"Student")</f>
        <v>Student</v>
      </c>
      <c r="E72" s="8" t="str">
        <f ca="1">IFERROR(__xludf.DUMMYFUNCTION("""COMPUTED_VALUE"""),"Apprehended/Killed by LE")</f>
        <v>Apprehended/Killed by LE</v>
      </c>
      <c r="F72" s="8" t="str">
        <f ca="1">IFERROR(__xludf.DUMMYFUNCTION("""COMPUTED_VALUE"""),"No")</f>
        <v>No</v>
      </c>
      <c r="G72" s="8" t="str">
        <f ca="1">IFERROR(__xludf.DUMMYFUNCTION("""COMPUTED_VALUE"""),"None")</f>
        <v>None</v>
      </c>
    </row>
    <row r="73" spans="1:7" ht="12.75">
      <c r="A73" s="8" t="str">
        <f ca="1">IFERROR(__xludf.DUMMYFUNCTION("""COMPUTED_VALUE"""),"20220917GAJOA")</f>
        <v>20220917GAJOA</v>
      </c>
      <c r="B73" s="8">
        <f ca="1">IFERROR(__xludf.DUMMYFUNCTION("""COMPUTED_VALUE"""),19)</f>
        <v>19</v>
      </c>
      <c r="C73" s="8" t="str">
        <f ca="1">IFERROR(__xludf.DUMMYFUNCTION("""COMPUTED_VALUE"""),"Male")</f>
        <v>Male</v>
      </c>
      <c r="D73" s="8" t="str">
        <f ca="1">IFERROR(__xludf.DUMMYFUNCTION("""COMPUTED_VALUE"""),"Nonstudent Using Athletic Facilities/Attending Game")</f>
        <v>Nonstudent Using Athletic Facilities/Attending Game</v>
      </c>
      <c r="E73" s="8" t="str">
        <f ca="1">IFERROR(__xludf.DUMMYFUNCTION("""COMPUTED_VALUE"""),"Fled/Escaped")</f>
        <v>Fled/Escaped</v>
      </c>
      <c r="F73" s="8" t="str">
        <f ca="1">IFERROR(__xludf.DUMMYFUNCTION("""COMPUTED_VALUE"""),"No")</f>
        <v>No</v>
      </c>
      <c r="G73" s="8" t="str">
        <f ca="1">IFERROR(__xludf.DUMMYFUNCTION("""COMPUTED_VALUE"""),"None")</f>
        <v>None</v>
      </c>
    </row>
    <row r="74" spans="1:7" ht="12.75">
      <c r="A74" s="8" t="str">
        <f ca="1">IFERROR(__xludf.DUMMYFUNCTION("""COMPUTED_VALUE"""),"20220916GALAA")</f>
        <v>20220916GALAA</v>
      </c>
      <c r="B74" s="8" t="str">
        <f ca="1">IFERROR(__xludf.DUMMYFUNCTION("""COMPUTED_VALUE"""),"Adult")</f>
        <v>Adult</v>
      </c>
      <c r="C74" s="8"/>
      <c r="D74" s="8" t="str">
        <f ca="1">IFERROR(__xludf.DUMMYFUNCTION("""COMPUTED_VALUE"""),"Nonstudent Using Athletic Facilities/Attending Game")</f>
        <v>Nonstudent Using Athletic Facilities/Attending Game</v>
      </c>
      <c r="E74" s="8" t="str">
        <f ca="1">IFERROR(__xludf.DUMMYFUNCTION("""COMPUTED_VALUE"""),"Fled/Escaped")</f>
        <v>Fled/Escaped</v>
      </c>
      <c r="F74" s="8" t="str">
        <f ca="1">IFERROR(__xludf.DUMMYFUNCTION("""COMPUTED_VALUE"""),"No")</f>
        <v>No</v>
      </c>
      <c r="G74" s="8" t="str">
        <f ca="1">IFERROR(__xludf.DUMMYFUNCTION("""COMPUTED_VALUE"""),"None")</f>
        <v>None</v>
      </c>
    </row>
    <row r="75" spans="1:7" ht="12.75">
      <c r="A75" s="8" t="str">
        <f ca="1">IFERROR(__xludf.DUMMYFUNCTION("""COMPUTED_VALUE"""),"20220916GALAA")</f>
        <v>20220916GALAA</v>
      </c>
      <c r="B75" s="8" t="str">
        <f ca="1">IFERROR(__xludf.DUMMYFUNCTION("""COMPUTED_VALUE"""),"Adult")</f>
        <v>Adult</v>
      </c>
      <c r="C75" s="8"/>
      <c r="D75" s="8" t="str">
        <f ca="1">IFERROR(__xludf.DUMMYFUNCTION("""COMPUTED_VALUE"""),"Nonstudent Using Athletic Facilities/Attending Game")</f>
        <v>Nonstudent Using Athletic Facilities/Attending Game</v>
      </c>
      <c r="E75" s="8" t="str">
        <f ca="1">IFERROR(__xludf.DUMMYFUNCTION("""COMPUTED_VALUE"""),"Fled/Escaped")</f>
        <v>Fled/Escaped</v>
      </c>
      <c r="F75" s="8" t="str">
        <f ca="1">IFERROR(__xludf.DUMMYFUNCTION("""COMPUTED_VALUE"""),"No")</f>
        <v>No</v>
      </c>
      <c r="G75" s="8" t="str">
        <f ca="1">IFERROR(__xludf.DUMMYFUNCTION("""COMPUTED_VALUE"""),"None")</f>
        <v>None</v>
      </c>
    </row>
    <row r="76" spans="1:7" ht="12.75">
      <c r="A76" s="8" t="str">
        <f ca="1">IFERROR(__xludf.DUMMYFUNCTION("""COMPUTED_VALUE"""),"20220916GALAA")</f>
        <v>20220916GALAA</v>
      </c>
      <c r="B76" s="8" t="str">
        <f ca="1">IFERROR(__xludf.DUMMYFUNCTION("""COMPUTED_VALUE"""),"Adult")</f>
        <v>Adult</v>
      </c>
      <c r="C76" s="8"/>
      <c r="D76" s="8" t="str">
        <f ca="1">IFERROR(__xludf.DUMMYFUNCTION("""COMPUTED_VALUE"""),"Nonstudent Using Athletic Facilities/Attending Game")</f>
        <v>Nonstudent Using Athletic Facilities/Attending Game</v>
      </c>
      <c r="E76" s="8" t="str">
        <f ca="1">IFERROR(__xludf.DUMMYFUNCTION("""COMPUTED_VALUE"""),"Fled/Escaped")</f>
        <v>Fled/Escaped</v>
      </c>
      <c r="F76" s="8" t="str">
        <f ca="1">IFERROR(__xludf.DUMMYFUNCTION("""COMPUTED_VALUE"""),"No")</f>
        <v>No</v>
      </c>
      <c r="G76" s="8" t="str">
        <f ca="1">IFERROR(__xludf.DUMMYFUNCTION("""COMPUTED_VALUE"""),"None")</f>
        <v>None</v>
      </c>
    </row>
    <row r="77" spans="1:7" ht="12.75">
      <c r="A77" s="8" t="str">
        <f ca="1">IFERROR(__xludf.DUMMYFUNCTION("""COMPUTED_VALUE"""),"20220916NYPSN")</f>
        <v>20220916NYPSN</v>
      </c>
      <c r="B77" s="8" t="str">
        <f ca="1">IFERROR(__xludf.DUMMYFUNCTION("""COMPUTED_VALUE"""),"Teen")</f>
        <v>Teen</v>
      </c>
      <c r="C77" s="8" t="str">
        <f ca="1">IFERROR(__xludf.DUMMYFUNCTION("""COMPUTED_VALUE"""),"Male")</f>
        <v>Male</v>
      </c>
      <c r="D77" s="8" t="str">
        <f ca="1">IFERROR(__xludf.DUMMYFUNCTION("""COMPUTED_VALUE"""),"Nonstudent Using Athletic Facilities/Attending Game")</f>
        <v>Nonstudent Using Athletic Facilities/Attending Game</v>
      </c>
      <c r="E77" s="8" t="str">
        <f ca="1">IFERROR(__xludf.DUMMYFUNCTION("""COMPUTED_VALUE"""),"Fled/Escaped")</f>
        <v>Fled/Escaped</v>
      </c>
      <c r="F77" s="8" t="str">
        <f ca="1">IFERROR(__xludf.DUMMYFUNCTION("""COMPUTED_VALUE"""),"No")</f>
        <v>No</v>
      </c>
      <c r="G77" s="8" t="str">
        <f ca="1">IFERROR(__xludf.DUMMYFUNCTION("""COMPUTED_VALUE"""),"None")</f>
        <v>None</v>
      </c>
    </row>
    <row r="78" spans="1:7" ht="12.75">
      <c r="A78" s="8" t="str">
        <f ca="1">IFERROR(__xludf.DUMMYFUNCTION("""COMPUTED_VALUE"""),"20220914PACON")</f>
        <v>20220914PACON</v>
      </c>
      <c r="B78" s="8" t="str">
        <f ca="1">IFERROR(__xludf.DUMMYFUNCTION("""COMPUTED_VALUE"""),"Teen")</f>
        <v>Teen</v>
      </c>
      <c r="C78" s="8"/>
      <c r="D78" s="8" t="str">
        <f ca="1">IFERROR(__xludf.DUMMYFUNCTION("""COMPUTED_VALUE"""),"Student")</f>
        <v>Student</v>
      </c>
      <c r="E78" s="8" t="str">
        <f ca="1">IFERROR(__xludf.DUMMYFUNCTION("""COMPUTED_VALUE"""),"Apprehended/Killed by LE")</f>
        <v>Apprehended/Killed by LE</v>
      </c>
      <c r="F78" s="8" t="str">
        <f ca="1">IFERROR(__xludf.DUMMYFUNCTION("""COMPUTED_VALUE"""),"No")</f>
        <v>No</v>
      </c>
      <c r="G78" s="8" t="str">
        <f ca="1">IFERROR(__xludf.DUMMYFUNCTION("""COMPUTED_VALUE"""),"None")</f>
        <v>None</v>
      </c>
    </row>
    <row r="79" spans="1:7" ht="12.75">
      <c r="A79" s="8" t="str">
        <f ca="1">IFERROR(__xludf.DUMMYFUNCTION("""COMPUTED_VALUE"""),"20220913UTBOB")</f>
        <v>20220913UTBOB</v>
      </c>
      <c r="B79" s="8" t="str">
        <f ca="1">IFERROR(__xludf.DUMMYFUNCTION("""COMPUTED_VALUE"""),"Teen")</f>
        <v>Teen</v>
      </c>
      <c r="C79" s="8" t="str">
        <f ca="1">IFERROR(__xludf.DUMMYFUNCTION("""COMPUTED_VALUE"""),"Male")</f>
        <v>Male</v>
      </c>
      <c r="D79" s="8" t="str">
        <f ca="1">IFERROR(__xludf.DUMMYFUNCTION("""COMPUTED_VALUE"""),"Student")</f>
        <v>Student</v>
      </c>
      <c r="E79" s="8" t="str">
        <f ca="1">IFERROR(__xludf.DUMMYFUNCTION("""COMPUTED_VALUE"""),"Fled/Apprehended")</f>
        <v>Fled/Apprehended</v>
      </c>
      <c r="F79" s="8" t="str">
        <f ca="1">IFERROR(__xludf.DUMMYFUNCTION("""COMPUTED_VALUE"""),"No")</f>
        <v>No</v>
      </c>
      <c r="G79" s="8" t="str">
        <f ca="1">IFERROR(__xludf.DUMMYFUNCTION("""COMPUTED_VALUE"""),"None")</f>
        <v>None</v>
      </c>
    </row>
    <row r="80" spans="1:7" ht="12.75">
      <c r="A80" s="8" t="str">
        <f ca="1">IFERROR(__xludf.DUMMYFUNCTION("""COMPUTED_VALUE"""),"20220913MIJAJ")</f>
        <v>20220913MIJAJ</v>
      </c>
      <c r="B80" s="8"/>
      <c r="C80" s="8"/>
      <c r="D80" s="8"/>
      <c r="E80" s="8" t="str">
        <f ca="1">IFERROR(__xludf.DUMMYFUNCTION("""COMPUTED_VALUE"""),"Fled/Escaped")</f>
        <v>Fled/Escaped</v>
      </c>
      <c r="F80" s="8" t="str">
        <f ca="1">IFERROR(__xludf.DUMMYFUNCTION("""COMPUTED_VALUE"""),"No")</f>
        <v>No</v>
      </c>
      <c r="G80" s="8" t="str">
        <f ca="1">IFERROR(__xludf.DUMMYFUNCTION("""COMPUTED_VALUE"""),"None")</f>
        <v>None</v>
      </c>
    </row>
    <row r="81" spans="1:7" ht="12.75">
      <c r="A81" s="8" t="str">
        <f ca="1">IFERROR(__xludf.DUMMYFUNCTION("""COMPUTED_VALUE"""),"20220913MDOXO")</f>
        <v>20220913MDOXO</v>
      </c>
      <c r="B81" s="8"/>
      <c r="C81" s="8"/>
      <c r="D81" s="8"/>
      <c r="E81" s="8" t="str">
        <f ca="1">IFERROR(__xludf.DUMMYFUNCTION("""COMPUTED_VALUE"""),"Fled/Escaped")</f>
        <v>Fled/Escaped</v>
      </c>
      <c r="F81" s="8" t="str">
        <f ca="1">IFERROR(__xludf.DUMMYFUNCTION("""COMPUTED_VALUE"""),"No")</f>
        <v>No</v>
      </c>
      <c r="G81" s="8" t="str">
        <f ca="1">IFERROR(__xludf.DUMMYFUNCTION("""COMPUTED_VALUE"""),"None")</f>
        <v>None</v>
      </c>
    </row>
    <row r="82" spans="1:7" ht="12.75">
      <c r="A82" s="8" t="str">
        <f ca="1">IFERROR(__xludf.DUMMYFUNCTION("""COMPUTED_VALUE"""),"20220913CAVAV")</f>
        <v>20220913CAVAV</v>
      </c>
      <c r="B82" s="8" t="str">
        <f ca="1">IFERROR(__xludf.DUMMYFUNCTION("""COMPUTED_VALUE"""),"Teen")</f>
        <v>Teen</v>
      </c>
      <c r="C82" s="8" t="str">
        <f ca="1">IFERROR(__xludf.DUMMYFUNCTION("""COMPUTED_VALUE"""),"Male")</f>
        <v>Male</v>
      </c>
      <c r="D82" s="8" t="str">
        <f ca="1">IFERROR(__xludf.DUMMYFUNCTION("""COMPUTED_VALUE"""),"Student")</f>
        <v>Student</v>
      </c>
      <c r="E82" s="8" t="str">
        <f ca="1">IFERROR(__xludf.DUMMYFUNCTION("""COMPUTED_VALUE"""),"Fled/Escaped")</f>
        <v>Fled/Escaped</v>
      </c>
      <c r="F82" s="8" t="str">
        <f ca="1">IFERROR(__xludf.DUMMYFUNCTION("""COMPUTED_VALUE"""),"No")</f>
        <v>No</v>
      </c>
      <c r="G82" s="8" t="str">
        <f ca="1">IFERROR(__xludf.DUMMYFUNCTION("""COMPUTED_VALUE"""),"None")</f>
        <v>None</v>
      </c>
    </row>
    <row r="83" spans="1:7" ht="12.75">
      <c r="A83" s="8" t="str">
        <f ca="1">IFERROR(__xludf.DUMMYFUNCTION("""COMPUTED_VALUE"""),"20220909WIWIR")</f>
        <v>20220909WIWIR</v>
      </c>
      <c r="B83" s="8"/>
      <c r="C83" s="8"/>
      <c r="D83" s="8"/>
      <c r="E83" s="8" t="str">
        <f ca="1">IFERROR(__xludf.DUMMYFUNCTION("""COMPUTED_VALUE"""),"Fled/Escaped")</f>
        <v>Fled/Escaped</v>
      </c>
      <c r="F83" s="8" t="str">
        <f ca="1">IFERROR(__xludf.DUMMYFUNCTION("""COMPUTED_VALUE"""),"No")</f>
        <v>No</v>
      </c>
      <c r="G83" s="8" t="str">
        <f ca="1">IFERROR(__xludf.DUMMYFUNCTION("""COMPUTED_VALUE"""),"None")</f>
        <v>None</v>
      </c>
    </row>
    <row r="84" spans="1:7" ht="12.75">
      <c r="A84" s="8" t="str">
        <f ca="1">IFERROR(__xludf.DUMMYFUNCTION("""COMPUTED_VALUE"""),"20220909WIMIM")</f>
        <v>20220909WIMIM</v>
      </c>
      <c r="B84" s="8"/>
      <c r="C84" s="8"/>
      <c r="D84" s="8" t="str">
        <f ca="1">IFERROR(__xludf.DUMMYFUNCTION("""COMPUTED_VALUE"""),"No Relation")</f>
        <v>No Relation</v>
      </c>
      <c r="E84" s="8" t="str">
        <f ca="1">IFERROR(__xludf.DUMMYFUNCTION("""COMPUTED_VALUE"""),"Fled/Escaped")</f>
        <v>Fled/Escaped</v>
      </c>
      <c r="F84" s="8" t="str">
        <f ca="1">IFERROR(__xludf.DUMMYFUNCTION("""COMPUTED_VALUE"""),"No")</f>
        <v>No</v>
      </c>
      <c r="G84" s="8" t="str">
        <f ca="1">IFERROR(__xludf.DUMMYFUNCTION("""COMPUTED_VALUE"""),"None")</f>
        <v>None</v>
      </c>
    </row>
    <row r="85" spans="1:7" ht="12.75">
      <c r="A85" s="8" t="str">
        <f ca="1">IFERROR(__xludf.DUMMYFUNCTION("""COMPUTED_VALUE"""),"20220907OHBEB")</f>
        <v>20220907OHBEB</v>
      </c>
      <c r="B85" s="8" t="str">
        <f ca="1">IFERROR(__xludf.DUMMYFUNCTION("""COMPUTED_VALUE"""),"Adult")</f>
        <v>Adult</v>
      </c>
      <c r="C85" s="8" t="str">
        <f ca="1">IFERROR(__xludf.DUMMYFUNCTION("""COMPUTED_VALUE"""),"Male")</f>
        <v>Male</v>
      </c>
      <c r="D85" s="8" t="str">
        <f ca="1">IFERROR(__xludf.DUMMYFUNCTION("""COMPUTED_VALUE"""),"No Relation")</f>
        <v>No Relation</v>
      </c>
      <c r="E85" s="8" t="str">
        <f ca="1">IFERROR(__xludf.DUMMYFUNCTION("""COMPUTED_VALUE"""),"Other")</f>
        <v>Other</v>
      </c>
      <c r="F85" s="8" t="str">
        <f ca="1">IFERROR(__xludf.DUMMYFUNCTION("""COMPUTED_VALUE"""),"No")</f>
        <v>No</v>
      </c>
      <c r="G85" s="8" t="str">
        <f ca="1">IFERROR(__xludf.DUMMYFUNCTION("""COMPUTED_VALUE"""),"None")</f>
        <v>None</v>
      </c>
    </row>
    <row r="86" spans="1:7" ht="12.75">
      <c r="A86" s="8" t="str">
        <f ca="1">IFERROR(__xludf.DUMMYFUNCTION("""COMPUTED_VALUE"""),"20220907MDCAB")</f>
        <v>20220907MDCAB</v>
      </c>
      <c r="B86" s="8"/>
      <c r="C86" s="8"/>
      <c r="D86" s="8"/>
      <c r="E86" s="8" t="str">
        <f ca="1">IFERROR(__xludf.DUMMYFUNCTION("""COMPUTED_VALUE"""),"Fled/Escaped")</f>
        <v>Fled/Escaped</v>
      </c>
      <c r="F86" s="8" t="str">
        <f ca="1">IFERROR(__xludf.DUMMYFUNCTION("""COMPUTED_VALUE"""),"No")</f>
        <v>No</v>
      </c>
      <c r="G86" s="8" t="str">
        <f ca="1">IFERROR(__xludf.DUMMYFUNCTION("""COMPUTED_VALUE"""),"None")</f>
        <v>None</v>
      </c>
    </row>
    <row r="87" spans="1:7" ht="12.75">
      <c r="A87" s="8" t="str">
        <f ca="1">IFERROR(__xludf.DUMMYFUNCTION("""COMPUTED_VALUE"""),"20220907WIBAM")</f>
        <v>20220907WIBAM</v>
      </c>
      <c r="B87" s="8">
        <f ca="1">IFERROR(__xludf.DUMMYFUNCTION("""COMPUTED_VALUE"""),17)</f>
        <v>17</v>
      </c>
      <c r="C87" s="8" t="str">
        <f ca="1">IFERROR(__xludf.DUMMYFUNCTION("""COMPUTED_VALUE"""),"Male")</f>
        <v>Male</v>
      </c>
      <c r="D87" s="8" t="str">
        <f ca="1">IFERROR(__xludf.DUMMYFUNCTION("""COMPUTED_VALUE"""),"No Relation")</f>
        <v>No Relation</v>
      </c>
      <c r="E87" s="8" t="str">
        <f ca="1">IFERROR(__xludf.DUMMYFUNCTION("""COMPUTED_VALUE"""),"Fled/Apprehended")</f>
        <v>Fled/Apprehended</v>
      </c>
      <c r="F87" s="8" t="str">
        <f ca="1">IFERROR(__xludf.DUMMYFUNCTION("""COMPUTED_VALUE"""),"No")</f>
        <v>No</v>
      </c>
      <c r="G87" s="8" t="str">
        <f ca="1">IFERROR(__xludf.DUMMYFUNCTION("""COMPUTED_VALUE"""),"None")</f>
        <v>None</v>
      </c>
    </row>
    <row r="88" spans="1:7" ht="12.75">
      <c r="A88" s="8" t="str">
        <f ca="1">IFERROR(__xludf.DUMMYFUNCTION("""COMPUTED_VALUE"""),"20220907WIBAM")</f>
        <v>20220907WIBAM</v>
      </c>
      <c r="B88" s="8">
        <f ca="1">IFERROR(__xludf.DUMMYFUNCTION("""COMPUTED_VALUE"""),27)</f>
        <v>27</v>
      </c>
      <c r="C88" s="8" t="str">
        <f ca="1">IFERROR(__xludf.DUMMYFUNCTION("""COMPUTED_VALUE"""),"Male")</f>
        <v>Male</v>
      </c>
      <c r="D88" s="8" t="str">
        <f ca="1">IFERROR(__xludf.DUMMYFUNCTION("""COMPUTED_VALUE"""),"No Relation")</f>
        <v>No Relation</v>
      </c>
      <c r="E88" s="8" t="str">
        <f ca="1">IFERROR(__xludf.DUMMYFUNCTION("""COMPUTED_VALUE"""),"Fled/Apprehended")</f>
        <v>Fled/Apprehended</v>
      </c>
      <c r="F88" s="8" t="str">
        <f ca="1">IFERROR(__xludf.DUMMYFUNCTION("""COMPUTED_VALUE"""),"No")</f>
        <v>No</v>
      </c>
      <c r="G88" s="8" t="str">
        <f ca="1">IFERROR(__xludf.DUMMYFUNCTION("""COMPUTED_VALUE"""),"None")</f>
        <v>None</v>
      </c>
    </row>
    <row r="89" spans="1:7" ht="12.75">
      <c r="A89" s="8" t="str">
        <f ca="1">IFERROR(__xludf.DUMMYFUNCTION("""COMPUTED_VALUE"""),"20220906IANOS")</f>
        <v>20220906IANOS</v>
      </c>
      <c r="B89" s="8">
        <f ca="1">IFERROR(__xludf.DUMMYFUNCTION("""COMPUTED_VALUE"""),16)</f>
        <v>16</v>
      </c>
      <c r="C89" s="8"/>
      <c r="D89" s="8" t="str">
        <f ca="1">IFERROR(__xludf.DUMMYFUNCTION("""COMPUTED_VALUE"""),"Student")</f>
        <v>Student</v>
      </c>
      <c r="E89" s="8" t="str">
        <f ca="1">IFERROR(__xludf.DUMMYFUNCTION("""COMPUTED_VALUE"""),"Fled/Apprehended")</f>
        <v>Fled/Apprehended</v>
      </c>
      <c r="F89" s="8" t="str">
        <f ca="1">IFERROR(__xludf.DUMMYFUNCTION("""COMPUTED_VALUE"""),"No")</f>
        <v>No</v>
      </c>
      <c r="G89" s="8" t="str">
        <f ca="1">IFERROR(__xludf.DUMMYFUNCTION("""COMPUTED_VALUE"""),"None")</f>
        <v>None</v>
      </c>
    </row>
    <row r="90" spans="1:7" ht="12.75">
      <c r="A90" s="8" t="str">
        <f ca="1">IFERROR(__xludf.DUMMYFUNCTION("""COMPUTED_VALUE"""),"20220906IANOS")</f>
        <v>20220906IANOS</v>
      </c>
      <c r="B90" s="8">
        <f ca="1">IFERROR(__xludf.DUMMYFUNCTION("""COMPUTED_VALUE"""),14)</f>
        <v>14</v>
      </c>
      <c r="C90" s="8"/>
      <c r="D90" s="8" t="str">
        <f ca="1">IFERROR(__xludf.DUMMYFUNCTION("""COMPUTED_VALUE"""),"Student")</f>
        <v>Student</v>
      </c>
      <c r="E90" s="8" t="str">
        <f ca="1">IFERROR(__xludf.DUMMYFUNCTION("""COMPUTED_VALUE"""),"Fled/Apprehended")</f>
        <v>Fled/Apprehended</v>
      </c>
      <c r="F90" s="8" t="str">
        <f ca="1">IFERROR(__xludf.DUMMYFUNCTION("""COMPUTED_VALUE"""),"No")</f>
        <v>No</v>
      </c>
      <c r="G90" s="8" t="str">
        <f ca="1">IFERROR(__xludf.DUMMYFUNCTION("""COMPUTED_VALUE"""),"None")</f>
        <v>None</v>
      </c>
    </row>
    <row r="91" spans="1:7" ht="12.75">
      <c r="A91" s="8" t="str">
        <f ca="1">IFERROR(__xludf.DUMMYFUNCTION("""COMPUTED_VALUE"""),"20220904FLBOL")</f>
        <v>20220904FLBOL</v>
      </c>
      <c r="B91" s="8" t="str">
        <f ca="1">IFERROR(__xludf.DUMMYFUNCTION("""COMPUTED_VALUE"""),"Adult")</f>
        <v>Adult</v>
      </c>
      <c r="C91" s="8" t="str">
        <f ca="1">IFERROR(__xludf.DUMMYFUNCTION("""COMPUTED_VALUE"""),"Male")</f>
        <v>Male</v>
      </c>
      <c r="D91" s="8" t="str">
        <f ca="1">IFERROR(__xludf.DUMMYFUNCTION("""COMPUTED_VALUE"""),"Nonstudent Using Athletic Facilities/Attending Game")</f>
        <v>Nonstudent Using Athletic Facilities/Attending Game</v>
      </c>
      <c r="E91" s="8" t="str">
        <f ca="1">IFERROR(__xludf.DUMMYFUNCTION("""COMPUTED_VALUE"""),"Fled/Escaped")</f>
        <v>Fled/Escaped</v>
      </c>
      <c r="F91" s="8" t="str">
        <f ca="1">IFERROR(__xludf.DUMMYFUNCTION("""COMPUTED_VALUE"""),"No")</f>
        <v>No</v>
      </c>
      <c r="G91" s="8" t="str">
        <f ca="1">IFERROR(__xludf.DUMMYFUNCTION("""COMPUTED_VALUE"""),"None")</f>
        <v>None</v>
      </c>
    </row>
    <row r="92" spans="1:7" ht="12.75">
      <c r="A92" s="8" t="str">
        <f ca="1">IFERROR(__xludf.DUMMYFUNCTION("""COMPUTED_VALUE"""),"20220902MDMEB")</f>
        <v>20220902MDMEB</v>
      </c>
      <c r="B92" s="8">
        <f ca="1">IFERROR(__xludf.DUMMYFUNCTION("""COMPUTED_VALUE"""),17)</f>
        <v>17</v>
      </c>
      <c r="C92" s="8" t="str">
        <f ca="1">IFERROR(__xludf.DUMMYFUNCTION("""COMPUTED_VALUE"""),"Male")</f>
        <v>Male</v>
      </c>
      <c r="D92" s="8" t="str">
        <f ca="1">IFERROR(__xludf.DUMMYFUNCTION("""COMPUTED_VALUE"""),"Rival School Student")</f>
        <v>Rival School Student</v>
      </c>
      <c r="E92" s="8" t="str">
        <f ca="1">IFERROR(__xludf.DUMMYFUNCTION("""COMPUTED_VALUE"""),"Apprehended/Killed by SRO")</f>
        <v>Apprehended/Killed by SRO</v>
      </c>
      <c r="F92" s="8" t="str">
        <f ca="1">IFERROR(__xludf.DUMMYFUNCTION("""COMPUTED_VALUE"""),"No")</f>
        <v>No</v>
      </c>
      <c r="G92" s="8" t="str">
        <f ca="1">IFERROR(__xludf.DUMMYFUNCTION("""COMPUTED_VALUE"""),"None")</f>
        <v>None</v>
      </c>
    </row>
    <row r="93" spans="1:7" ht="12.75">
      <c r="A93" s="8" t="str">
        <f ca="1">IFERROR(__xludf.DUMMYFUNCTION("""COMPUTED_VALUE"""),"20220902INJEL")</f>
        <v>20220902INJEL</v>
      </c>
      <c r="B93" s="8">
        <f ca="1">IFERROR(__xludf.DUMMYFUNCTION("""COMPUTED_VALUE"""),15)</f>
        <v>15</v>
      </c>
      <c r="C93" s="8" t="str">
        <f ca="1">IFERROR(__xludf.DUMMYFUNCTION("""COMPUTED_VALUE"""),"Male")</f>
        <v>Male</v>
      </c>
      <c r="D93" s="8" t="str">
        <f ca="1">IFERROR(__xludf.DUMMYFUNCTION("""COMPUTED_VALUE"""),"Student")</f>
        <v>Student</v>
      </c>
      <c r="E93" s="8" t="str">
        <f ca="1">IFERROR(__xludf.DUMMYFUNCTION("""COMPUTED_VALUE"""),"Fled/Apprehended")</f>
        <v>Fled/Apprehended</v>
      </c>
      <c r="F93" s="8" t="str">
        <f ca="1">IFERROR(__xludf.DUMMYFUNCTION("""COMPUTED_VALUE"""),"No")</f>
        <v>No</v>
      </c>
      <c r="G93" s="8" t="str">
        <f ca="1">IFERROR(__xludf.DUMMYFUNCTION("""COMPUTED_VALUE"""),"None")</f>
        <v>None</v>
      </c>
    </row>
    <row r="94" spans="1:7" ht="12.75">
      <c r="A94" s="8" t="str">
        <f ca="1">IFERROR(__xludf.DUMMYFUNCTION("""COMPUTED_VALUE"""),"20220831DCIDW")</f>
        <v>20220831DCIDW</v>
      </c>
      <c r="B94" s="8">
        <f ca="1">IFERROR(__xludf.DUMMYFUNCTION("""COMPUTED_VALUE"""),15)</f>
        <v>15</v>
      </c>
      <c r="C94" s="8" t="str">
        <f ca="1">IFERROR(__xludf.DUMMYFUNCTION("""COMPUTED_VALUE"""),"Male")</f>
        <v>Male</v>
      </c>
      <c r="D94" s="8" t="str">
        <f ca="1">IFERROR(__xludf.DUMMYFUNCTION("""COMPUTED_VALUE"""),"Student")</f>
        <v>Student</v>
      </c>
      <c r="E94" s="8" t="str">
        <f ca="1">IFERROR(__xludf.DUMMYFUNCTION("""COMPUTED_VALUE"""),"Fled/Apprehended")</f>
        <v>Fled/Apprehended</v>
      </c>
      <c r="F94" s="8" t="str">
        <f ca="1">IFERROR(__xludf.DUMMYFUNCTION("""COMPUTED_VALUE"""),"No")</f>
        <v>No</v>
      </c>
      <c r="G94" s="8" t="str">
        <f ca="1">IFERROR(__xludf.DUMMYFUNCTION("""COMPUTED_VALUE"""),"None")</f>
        <v>None</v>
      </c>
    </row>
    <row r="95" spans="1:7" ht="12.75">
      <c r="A95" s="8" t="str">
        <f ca="1">IFERROR(__xludf.DUMMYFUNCTION("""COMPUTED_VALUE"""),"20220831NMDEA")</f>
        <v>20220831NMDEA</v>
      </c>
      <c r="B95" s="8">
        <f ca="1">IFERROR(__xludf.DUMMYFUNCTION("""COMPUTED_VALUE"""),17)</f>
        <v>17</v>
      </c>
      <c r="C95" s="8" t="str">
        <f ca="1">IFERROR(__xludf.DUMMYFUNCTION("""COMPUTED_VALUE"""),"Male")</f>
        <v>Male</v>
      </c>
      <c r="D95" s="8" t="str">
        <f ca="1">IFERROR(__xludf.DUMMYFUNCTION("""COMPUTED_VALUE"""),"Student")</f>
        <v>Student</v>
      </c>
      <c r="E95" s="8" t="str">
        <f ca="1">IFERROR(__xludf.DUMMYFUNCTION("""COMPUTED_VALUE"""),"Fled/Apprehended")</f>
        <v>Fled/Apprehended</v>
      </c>
      <c r="F95" s="8" t="str">
        <f ca="1">IFERROR(__xludf.DUMMYFUNCTION("""COMPUTED_VALUE"""),"No")</f>
        <v>No</v>
      </c>
      <c r="G95" s="8" t="str">
        <f ca="1">IFERROR(__xludf.DUMMYFUNCTION("""COMPUTED_VALUE"""),"None")</f>
        <v>None</v>
      </c>
    </row>
    <row r="96" spans="1:7" ht="12.75">
      <c r="A96" s="8" t="str">
        <f ca="1">IFERROR(__xludf.DUMMYFUNCTION("""COMPUTED_VALUE"""),"20220831PAFRP")</f>
        <v>20220831PAFRP</v>
      </c>
      <c r="B96" s="8"/>
      <c r="C96" s="8"/>
      <c r="D96" s="8" t="str">
        <f ca="1">IFERROR(__xludf.DUMMYFUNCTION("""COMPUTED_VALUE"""),"No Relation")</f>
        <v>No Relation</v>
      </c>
      <c r="E96" s="8" t="str">
        <f ca="1">IFERROR(__xludf.DUMMYFUNCTION("""COMPUTED_VALUE"""),"Fled/Escaped")</f>
        <v>Fled/Escaped</v>
      </c>
      <c r="F96" s="8" t="str">
        <f ca="1">IFERROR(__xludf.DUMMYFUNCTION("""COMPUTED_VALUE"""),"No")</f>
        <v>No</v>
      </c>
      <c r="G96" s="8" t="str">
        <f ca="1">IFERROR(__xludf.DUMMYFUNCTION("""COMPUTED_VALUE"""),"None")</f>
        <v>None</v>
      </c>
    </row>
    <row r="97" spans="1:7" ht="12.75">
      <c r="A97" s="8" t="str">
        <f ca="1">IFERROR(__xludf.DUMMYFUNCTION("""COMPUTED_VALUE"""),"20220829CAMAO")</f>
        <v>20220829CAMAO</v>
      </c>
      <c r="B97" s="8">
        <f ca="1">IFERROR(__xludf.DUMMYFUNCTION("""COMPUTED_VALUE"""),12)</f>
        <v>12</v>
      </c>
      <c r="C97" s="8" t="str">
        <f ca="1">IFERROR(__xludf.DUMMYFUNCTION("""COMPUTED_VALUE"""),"Male")</f>
        <v>Male</v>
      </c>
      <c r="D97" s="8" t="str">
        <f ca="1">IFERROR(__xludf.DUMMYFUNCTION("""COMPUTED_VALUE"""),"Student")</f>
        <v>Student</v>
      </c>
      <c r="E97" s="8" t="str">
        <f ca="1">IFERROR(__xludf.DUMMYFUNCTION("""COMPUTED_VALUE"""),"Fled/Apprehended")</f>
        <v>Fled/Apprehended</v>
      </c>
      <c r="F97" s="8" t="str">
        <f ca="1">IFERROR(__xludf.DUMMYFUNCTION("""COMPUTED_VALUE"""),"No")</f>
        <v>No</v>
      </c>
      <c r="G97" s="8" t="str">
        <f ca="1">IFERROR(__xludf.DUMMYFUNCTION("""COMPUTED_VALUE"""),"None")</f>
        <v>None</v>
      </c>
    </row>
    <row r="98" spans="1:7" ht="12.75">
      <c r="A98" s="8" t="str">
        <f ca="1">IFERROR(__xludf.DUMMYFUNCTION("""COMPUTED_VALUE"""),"20220827MONOS")</f>
        <v>20220827MONOS</v>
      </c>
      <c r="B98" s="8">
        <f ca="1">IFERROR(__xludf.DUMMYFUNCTION("""COMPUTED_VALUE"""),42)</f>
        <v>42</v>
      </c>
      <c r="C98" s="8" t="str">
        <f ca="1">IFERROR(__xludf.DUMMYFUNCTION("""COMPUTED_VALUE"""),"Male")</f>
        <v>Male</v>
      </c>
      <c r="D98" s="8" t="str">
        <f ca="1">IFERROR(__xludf.DUMMYFUNCTION("""COMPUTED_VALUE"""),"Nonstudent Using Athletic Facilities/Attending Game")</f>
        <v>Nonstudent Using Athletic Facilities/Attending Game</v>
      </c>
      <c r="E98" s="8" t="str">
        <f ca="1">IFERROR(__xludf.DUMMYFUNCTION("""COMPUTED_VALUE"""),"Fled/Apprehended")</f>
        <v>Fled/Apprehended</v>
      </c>
      <c r="F98" s="8" t="str">
        <f ca="1">IFERROR(__xludf.DUMMYFUNCTION("""COMPUTED_VALUE"""),"No")</f>
        <v>No</v>
      </c>
      <c r="G98" s="8" t="str">
        <f ca="1">IFERROR(__xludf.DUMMYFUNCTION("""COMPUTED_VALUE"""),"None")</f>
        <v>None</v>
      </c>
    </row>
    <row r="99" spans="1:7" ht="12.75">
      <c r="A99" s="8" t="str">
        <f ca="1">IFERROR(__xludf.DUMMYFUNCTION("""COMPUTED_VALUE"""),"20220826OHGAC")</f>
        <v>20220826OHGAC</v>
      </c>
      <c r="B99" s="8"/>
      <c r="C99" s="8"/>
      <c r="D99" s="8"/>
      <c r="E99" s="8" t="str">
        <f ca="1">IFERROR(__xludf.DUMMYFUNCTION("""COMPUTED_VALUE"""),"Fled/Escaped")</f>
        <v>Fled/Escaped</v>
      </c>
      <c r="F99" s="8" t="str">
        <f ca="1">IFERROR(__xludf.DUMMYFUNCTION("""COMPUTED_VALUE"""),"No")</f>
        <v>No</v>
      </c>
      <c r="G99" s="8" t="str">
        <f ca="1">IFERROR(__xludf.DUMMYFUNCTION("""COMPUTED_VALUE"""),"None")</f>
        <v>None</v>
      </c>
    </row>
    <row r="100" spans="1:7" ht="12.75">
      <c r="A100" s="8" t="str">
        <f ca="1">IFERROR(__xludf.DUMMYFUNCTION("""COMPUTED_VALUE"""),"20220823OHINC")</f>
        <v>20220823OHINC</v>
      </c>
      <c r="B100" s="8"/>
      <c r="C100" s="8"/>
      <c r="D100" s="8"/>
      <c r="E100" s="8" t="str">
        <f ca="1">IFERROR(__xludf.DUMMYFUNCTION("""COMPUTED_VALUE"""),"Fled/Escaped")</f>
        <v>Fled/Escaped</v>
      </c>
      <c r="F100" s="8" t="str">
        <f ca="1">IFERROR(__xludf.DUMMYFUNCTION("""COMPUTED_VALUE"""),"No")</f>
        <v>No</v>
      </c>
      <c r="G100" s="8" t="str">
        <f ca="1">IFERROR(__xludf.DUMMYFUNCTION("""COMPUTED_VALUE"""),"None")</f>
        <v>None</v>
      </c>
    </row>
    <row r="101" spans="1:7" ht="12.75">
      <c r="A101" s="8" t="str">
        <f ca="1">IFERROR(__xludf.DUMMYFUNCTION("""COMPUTED_VALUE"""),"20220823OHART")</f>
        <v>20220823OHART</v>
      </c>
      <c r="B101" s="8" t="str">
        <f ca="1">IFERROR(__xludf.DUMMYFUNCTION("""COMPUTED_VALUE"""),"Adult")</f>
        <v>Adult</v>
      </c>
      <c r="C101" s="8"/>
      <c r="D101" s="8" t="str">
        <f ca="1">IFERROR(__xludf.DUMMYFUNCTION("""COMPUTED_VALUE"""),"Parent")</f>
        <v>Parent</v>
      </c>
      <c r="E101" s="8" t="str">
        <f ca="1">IFERROR(__xludf.DUMMYFUNCTION("""COMPUTED_VALUE"""),"Fled/Escaped")</f>
        <v>Fled/Escaped</v>
      </c>
      <c r="F101" s="8" t="str">
        <f ca="1">IFERROR(__xludf.DUMMYFUNCTION("""COMPUTED_VALUE"""),"No")</f>
        <v>No</v>
      </c>
      <c r="G101" s="8" t="str">
        <f ca="1">IFERROR(__xludf.DUMMYFUNCTION("""COMPUTED_VALUE"""),"None")</f>
        <v>None</v>
      </c>
    </row>
    <row r="102" spans="1:7" ht="12.75">
      <c r="A102" s="8" t="str">
        <f ca="1">IFERROR(__xludf.DUMMYFUNCTION("""COMPUTED_VALUE"""),"20220819LAAKN")</f>
        <v>20220819LAAKN</v>
      </c>
      <c r="B102" s="8">
        <f ca="1">IFERROR(__xludf.DUMMYFUNCTION("""COMPUTED_VALUE"""),12)</f>
        <v>12</v>
      </c>
      <c r="C102" s="8" t="str">
        <f ca="1">IFERROR(__xludf.DUMMYFUNCTION("""COMPUTED_VALUE"""),"Female")</f>
        <v>Female</v>
      </c>
      <c r="D102" s="8" t="str">
        <f ca="1">IFERROR(__xludf.DUMMYFUNCTION("""COMPUTED_VALUE"""),"Student")</f>
        <v>Student</v>
      </c>
      <c r="E102" s="8" t="str">
        <f ca="1">IFERROR(__xludf.DUMMYFUNCTION("""COMPUTED_VALUE"""),"Fled/Apprehended")</f>
        <v>Fled/Apprehended</v>
      </c>
      <c r="F102" s="8" t="str">
        <f ca="1">IFERROR(__xludf.DUMMYFUNCTION("""COMPUTED_VALUE"""),"No")</f>
        <v>No</v>
      </c>
      <c r="G102" s="8" t="str">
        <f ca="1">IFERROR(__xludf.DUMMYFUNCTION("""COMPUTED_VALUE"""),"None")</f>
        <v>None</v>
      </c>
    </row>
    <row r="103" spans="1:7" ht="12.75">
      <c r="A103" s="8" t="str">
        <f ca="1">IFERROR(__xludf.DUMMYFUNCTION("""COMPUTED_VALUE"""),"20220819OHGRG")</f>
        <v>20220819OHGRG</v>
      </c>
      <c r="B103" s="8">
        <f ca="1">IFERROR(__xludf.DUMMYFUNCTION("""COMPUTED_VALUE"""),18)</f>
        <v>18</v>
      </c>
      <c r="C103" s="8" t="str">
        <f ca="1">IFERROR(__xludf.DUMMYFUNCTION("""COMPUTED_VALUE"""),"Male")</f>
        <v>Male</v>
      </c>
      <c r="D103" s="8" t="str">
        <f ca="1">IFERROR(__xludf.DUMMYFUNCTION("""COMPUTED_VALUE"""),"Nonstudent Using Athletic Facilities/Attending Game")</f>
        <v>Nonstudent Using Athletic Facilities/Attending Game</v>
      </c>
      <c r="E103" s="8" t="str">
        <f ca="1">IFERROR(__xludf.DUMMYFUNCTION("""COMPUTED_VALUE"""),"Apprehended/Killed by LE")</f>
        <v>Apprehended/Killed by LE</v>
      </c>
      <c r="F103" s="8" t="str">
        <f ca="1">IFERROR(__xludf.DUMMYFUNCTION("""COMPUTED_VALUE"""),"No")</f>
        <v>No</v>
      </c>
      <c r="G103" s="8" t="str">
        <f ca="1">IFERROR(__xludf.DUMMYFUNCTION("""COMPUTED_VALUE"""),"None")</f>
        <v>None</v>
      </c>
    </row>
    <row r="104" spans="1:7" ht="12.75">
      <c r="A104" s="8" t="str">
        <f ca="1">IFERROR(__xludf.DUMMYFUNCTION("""COMPUTED_VALUE"""),"20220819TNWEC")</f>
        <v>20220819TNWEC</v>
      </c>
      <c r="B104" s="8">
        <f ca="1">IFERROR(__xludf.DUMMYFUNCTION("""COMPUTED_VALUE"""),16)</f>
        <v>16</v>
      </c>
      <c r="C104" s="8" t="str">
        <f ca="1">IFERROR(__xludf.DUMMYFUNCTION("""COMPUTED_VALUE"""),"Male")</f>
        <v>Male</v>
      </c>
      <c r="D104" s="8"/>
      <c r="E104" s="8" t="str">
        <f ca="1">IFERROR(__xludf.DUMMYFUNCTION("""COMPUTED_VALUE"""),"Fled/Apprehended")</f>
        <v>Fled/Apprehended</v>
      </c>
      <c r="F104" s="8" t="str">
        <f ca="1">IFERROR(__xludf.DUMMYFUNCTION("""COMPUTED_VALUE"""),"No")</f>
        <v>No</v>
      </c>
      <c r="G104" s="8" t="str">
        <f ca="1">IFERROR(__xludf.DUMMYFUNCTION("""COMPUTED_VALUE"""),"None")</f>
        <v>None</v>
      </c>
    </row>
    <row r="105" spans="1:7" ht="12.75">
      <c r="A105" s="8" t="str">
        <f ca="1">IFERROR(__xludf.DUMMYFUNCTION("""COMPUTED_VALUE"""),"20220818FLLER")</f>
        <v>20220818FLLER</v>
      </c>
      <c r="B105" s="8">
        <f ca="1">IFERROR(__xludf.DUMMYFUNCTION("""COMPUTED_VALUE"""),18)</f>
        <v>18</v>
      </c>
      <c r="C105" s="8" t="str">
        <f ca="1">IFERROR(__xludf.DUMMYFUNCTION("""COMPUTED_VALUE"""),"Male")</f>
        <v>Male</v>
      </c>
      <c r="D105" s="8" t="str">
        <f ca="1">IFERROR(__xludf.DUMMYFUNCTION("""COMPUTED_VALUE"""),"Former Student")</f>
        <v>Former Student</v>
      </c>
      <c r="E105" s="8" t="str">
        <f ca="1">IFERROR(__xludf.DUMMYFUNCTION("""COMPUTED_VALUE"""),"Fled/Apprehended")</f>
        <v>Fled/Apprehended</v>
      </c>
      <c r="F105" s="8" t="str">
        <f ca="1">IFERROR(__xludf.DUMMYFUNCTION("""COMPUTED_VALUE"""),"No")</f>
        <v>No</v>
      </c>
      <c r="G105" s="8" t="str">
        <f ca="1">IFERROR(__xludf.DUMMYFUNCTION("""COMPUTED_VALUE"""),"Wounded")</f>
        <v>Wounded</v>
      </c>
    </row>
    <row r="106" spans="1:7" ht="12.75">
      <c r="A106" s="8" t="str">
        <f ca="1">IFERROR(__xludf.DUMMYFUNCTION("""COMPUTED_VALUE"""),"20220816TXPOB")</f>
        <v>20220816TXPOB</v>
      </c>
      <c r="B106" s="8" t="str">
        <f ca="1">IFERROR(__xludf.DUMMYFUNCTION("""COMPUTED_VALUE"""),"Teen")</f>
        <v>Teen</v>
      </c>
      <c r="C106" s="8" t="str">
        <f ca="1">IFERROR(__xludf.DUMMYFUNCTION("""COMPUTED_VALUE"""),"Male")</f>
        <v>Male</v>
      </c>
      <c r="D106" s="8" t="str">
        <f ca="1">IFERROR(__xludf.DUMMYFUNCTION("""COMPUTED_VALUE"""),"No Relation")</f>
        <v>No Relation</v>
      </c>
      <c r="E106" s="8" t="str">
        <f ca="1">IFERROR(__xludf.DUMMYFUNCTION("""COMPUTED_VALUE"""),"Fled/Apprehended")</f>
        <v>Fled/Apprehended</v>
      </c>
      <c r="F106" s="8" t="str">
        <f ca="1">IFERROR(__xludf.DUMMYFUNCTION("""COMPUTED_VALUE"""),"No")</f>
        <v>No</v>
      </c>
      <c r="G106" s="8" t="str">
        <f ca="1">IFERROR(__xludf.DUMMYFUNCTION("""COMPUTED_VALUE"""),"None")</f>
        <v>None</v>
      </c>
    </row>
    <row r="107" spans="1:7" ht="12.75">
      <c r="A107" s="8" t="str">
        <f ca="1">IFERROR(__xludf.DUMMYFUNCTION("""COMPUTED_VALUE"""),"20220815CALIS")</f>
        <v>20220815CALIS</v>
      </c>
      <c r="B107" s="8">
        <f ca="1">IFERROR(__xludf.DUMMYFUNCTION("""COMPUTED_VALUE"""),17)</f>
        <v>17</v>
      </c>
      <c r="C107" s="8" t="str">
        <f ca="1">IFERROR(__xludf.DUMMYFUNCTION("""COMPUTED_VALUE"""),"Male")</f>
        <v>Male</v>
      </c>
      <c r="D107" s="8" t="str">
        <f ca="1">IFERROR(__xludf.DUMMYFUNCTION("""COMPUTED_VALUE"""),"Student")</f>
        <v>Student</v>
      </c>
      <c r="E107" s="8" t="str">
        <f ca="1">IFERROR(__xludf.DUMMYFUNCTION("""COMPUTED_VALUE"""),"Apprehended/Killed by SRO")</f>
        <v>Apprehended/Killed by SRO</v>
      </c>
      <c r="F107" s="8" t="str">
        <f ca="1">IFERROR(__xludf.DUMMYFUNCTION("""COMPUTED_VALUE"""),"No")</f>
        <v>No</v>
      </c>
      <c r="G107" s="8" t="str">
        <f ca="1">IFERROR(__xludf.DUMMYFUNCTION("""COMPUTED_VALUE"""),"None")</f>
        <v>None</v>
      </c>
    </row>
    <row r="108" spans="1:7" ht="12.75">
      <c r="A108" s="8" t="str">
        <f ca="1">IFERROR(__xludf.DUMMYFUNCTION("""COMPUTED_VALUE"""),"20220813ARMAL")</f>
        <v>20220813ARMAL</v>
      </c>
      <c r="B108" s="8"/>
      <c r="C108" s="8"/>
      <c r="D108" s="8" t="str">
        <f ca="1">IFERROR(__xludf.DUMMYFUNCTION("""COMPUTED_VALUE"""),"No Relation")</f>
        <v>No Relation</v>
      </c>
      <c r="E108" s="8" t="str">
        <f ca="1">IFERROR(__xludf.DUMMYFUNCTION("""COMPUTED_VALUE"""),"Fled/Escaped")</f>
        <v>Fled/Escaped</v>
      </c>
      <c r="F108" s="8" t="str">
        <f ca="1">IFERROR(__xludf.DUMMYFUNCTION("""COMPUTED_VALUE"""),"No")</f>
        <v>No</v>
      </c>
      <c r="G108" s="8" t="str">
        <f ca="1">IFERROR(__xludf.DUMMYFUNCTION("""COMPUTED_VALUE"""),"None")</f>
        <v>None</v>
      </c>
    </row>
    <row r="109" spans="1:7" ht="12.75">
      <c r="A109" s="8" t="str">
        <f ca="1">IFERROR(__xludf.DUMMYFUNCTION("""COMPUTED_VALUE"""),"20220812CASIV")</f>
        <v>20220812CASIV</v>
      </c>
      <c r="B109" s="8"/>
      <c r="C109" s="8"/>
      <c r="D109" s="8"/>
      <c r="E109" s="8" t="str">
        <f ca="1">IFERROR(__xludf.DUMMYFUNCTION("""COMPUTED_VALUE"""),"Fled/Escaped")</f>
        <v>Fled/Escaped</v>
      </c>
      <c r="F109" s="8" t="str">
        <f ca="1">IFERROR(__xludf.DUMMYFUNCTION("""COMPUTED_VALUE"""),"No")</f>
        <v>No</v>
      </c>
      <c r="G109" s="8" t="str">
        <f ca="1">IFERROR(__xludf.DUMMYFUNCTION("""COMPUTED_VALUE"""),"None")</f>
        <v>None</v>
      </c>
    </row>
    <row r="110" spans="1:7" ht="12.75">
      <c r="A110" s="8" t="str">
        <f ca="1">IFERROR(__xludf.DUMMYFUNCTION("""COMPUTED_VALUE"""),"20220811GAUCB")</f>
        <v>20220811GAUCB</v>
      </c>
      <c r="B110" s="8">
        <f ca="1">IFERROR(__xludf.DUMMYFUNCTION("""COMPUTED_VALUE"""),64)</f>
        <v>64</v>
      </c>
      <c r="C110" s="8" t="str">
        <f ca="1">IFERROR(__xludf.DUMMYFUNCTION("""COMPUTED_VALUE"""),"Male")</f>
        <v>Male</v>
      </c>
      <c r="D110" s="8" t="str">
        <f ca="1">IFERROR(__xludf.DUMMYFUNCTION("""COMPUTED_VALUE"""),"Other Staff")</f>
        <v>Other Staff</v>
      </c>
      <c r="E110" s="8" t="str">
        <f ca="1">IFERROR(__xludf.DUMMYFUNCTION("""COMPUTED_VALUE"""),"Fled/Apprehended")</f>
        <v>Fled/Apprehended</v>
      </c>
      <c r="F110" s="8" t="str">
        <f ca="1">IFERROR(__xludf.DUMMYFUNCTION("""COMPUTED_VALUE"""),"No")</f>
        <v>No</v>
      </c>
      <c r="G110" s="8" t="str">
        <f ca="1">IFERROR(__xludf.DUMMYFUNCTION("""COMPUTED_VALUE"""),"None")</f>
        <v>None</v>
      </c>
    </row>
    <row r="111" spans="1:7" ht="12.75">
      <c r="A111" s="8" t="str">
        <f ca="1">IFERROR(__xludf.DUMMYFUNCTION("""COMPUTED_VALUE"""),"20220810GAMCA")</f>
        <v>20220810GAMCA</v>
      </c>
      <c r="B111" s="8">
        <f ca="1">IFERROR(__xludf.DUMMYFUNCTION("""COMPUTED_VALUE"""),18)</f>
        <v>18</v>
      </c>
      <c r="C111" s="8" t="str">
        <f ca="1">IFERROR(__xludf.DUMMYFUNCTION("""COMPUTED_VALUE"""),"Male")</f>
        <v>Male</v>
      </c>
      <c r="D111" s="8" t="str">
        <f ca="1">IFERROR(__xludf.DUMMYFUNCTION("""COMPUTED_VALUE"""),"Student")</f>
        <v>Student</v>
      </c>
      <c r="E111" s="8" t="str">
        <f ca="1">IFERROR(__xludf.DUMMYFUNCTION("""COMPUTED_VALUE"""),"Apprehended/Killed by SRO")</f>
        <v>Apprehended/Killed by SRO</v>
      </c>
      <c r="F111" s="8" t="str">
        <f ca="1">IFERROR(__xludf.DUMMYFUNCTION("""COMPUTED_VALUE"""),"No")</f>
        <v>No</v>
      </c>
      <c r="G111" s="8" t="str">
        <f ca="1">IFERROR(__xludf.DUMMYFUNCTION("""COMPUTED_VALUE"""),"None")</f>
        <v>None</v>
      </c>
    </row>
    <row r="112" spans="1:7" ht="12.75">
      <c r="A112" s="8" t="str">
        <f ca="1">IFERROR(__xludf.DUMMYFUNCTION("""COMPUTED_VALUE"""),"20220809PACHP")</f>
        <v>20220809PACHP</v>
      </c>
      <c r="B112" s="8" t="str">
        <f ca="1">IFERROR(__xludf.DUMMYFUNCTION("""COMPUTED_VALUE"""),"Adult")</f>
        <v>Adult</v>
      </c>
      <c r="C112" s="8"/>
      <c r="D112" s="8" t="str">
        <f ca="1">IFERROR(__xludf.DUMMYFUNCTION("""COMPUTED_VALUE"""),"No Relation")</f>
        <v>No Relation</v>
      </c>
      <c r="E112" s="8" t="str">
        <f ca="1">IFERROR(__xludf.DUMMYFUNCTION("""COMPUTED_VALUE"""),"Fled/Escaped")</f>
        <v>Fled/Escaped</v>
      </c>
      <c r="F112" s="8" t="str">
        <f ca="1">IFERROR(__xludf.DUMMYFUNCTION("""COMPUTED_VALUE"""),"No")</f>
        <v>No</v>
      </c>
      <c r="G112" s="8" t="str">
        <f ca="1">IFERROR(__xludf.DUMMYFUNCTION("""COMPUTED_VALUE"""),"None")</f>
        <v>None</v>
      </c>
    </row>
    <row r="113" spans="1:7" ht="12.75">
      <c r="A113" s="8" t="str">
        <f ca="1">IFERROR(__xludf.DUMMYFUNCTION("""COMPUTED_VALUE"""),"20220805MATHL")</f>
        <v>20220805MATHL</v>
      </c>
      <c r="B113" s="8">
        <f ca="1">IFERROR(__xludf.DUMMYFUNCTION("""COMPUTED_VALUE"""),25)</f>
        <v>25</v>
      </c>
      <c r="C113" s="8" t="str">
        <f ca="1">IFERROR(__xludf.DUMMYFUNCTION("""COMPUTED_VALUE"""),"Male")</f>
        <v>Male</v>
      </c>
      <c r="D113" s="8" t="str">
        <f ca="1">IFERROR(__xludf.DUMMYFUNCTION("""COMPUTED_VALUE"""),"Nonstudent Using Athletic Facilities/Attending Game")</f>
        <v>Nonstudent Using Athletic Facilities/Attending Game</v>
      </c>
      <c r="E113" s="8" t="str">
        <f ca="1">IFERROR(__xludf.DUMMYFUNCTION("""COMPUTED_VALUE"""),"Fled/Apprehended")</f>
        <v>Fled/Apprehended</v>
      </c>
      <c r="F113" s="8" t="str">
        <f ca="1">IFERROR(__xludf.DUMMYFUNCTION("""COMPUTED_VALUE"""),"No")</f>
        <v>No</v>
      </c>
      <c r="G113" s="8" t="str">
        <f ca="1">IFERROR(__xludf.DUMMYFUNCTION("""COMPUTED_VALUE"""),"None")</f>
        <v>None</v>
      </c>
    </row>
    <row r="114" spans="1:7" ht="12.75">
      <c r="A114" s="8" t="str">
        <f ca="1">IFERROR(__xludf.DUMMYFUNCTION("""COMPUTED_VALUE"""),"20220805GAJOJ")</f>
        <v>20220805GAJOJ</v>
      </c>
      <c r="B114" s="8">
        <f ca="1">IFERROR(__xludf.DUMMYFUNCTION("""COMPUTED_VALUE"""),27)</f>
        <v>27</v>
      </c>
      <c r="C114" s="8" t="str">
        <f ca="1">IFERROR(__xludf.DUMMYFUNCTION("""COMPUTED_VALUE"""),"Male")</f>
        <v>Male</v>
      </c>
      <c r="D114" s="8" t="str">
        <f ca="1">IFERROR(__xludf.DUMMYFUNCTION("""COMPUTED_VALUE"""),"No Relation")</f>
        <v>No Relation</v>
      </c>
      <c r="E114" s="8" t="str">
        <f ca="1">IFERROR(__xludf.DUMMYFUNCTION("""COMPUTED_VALUE"""),"Apprehended/Killed by LE")</f>
        <v>Apprehended/Killed by LE</v>
      </c>
      <c r="F114" s="8" t="str">
        <f ca="1">IFERROR(__xludf.DUMMYFUNCTION("""COMPUTED_VALUE"""),"No")</f>
        <v>No</v>
      </c>
      <c r="G114" s="8" t="str">
        <f ca="1">IFERROR(__xludf.DUMMYFUNCTION("""COMPUTED_VALUE"""),"None")</f>
        <v>None</v>
      </c>
    </row>
    <row r="115" spans="1:7" ht="12.75">
      <c r="A115" s="8" t="str">
        <f ca="1">IFERROR(__xludf.DUMMYFUNCTION("""COMPUTED_VALUE"""),"20220803PALEP")</f>
        <v>20220803PALEP</v>
      </c>
      <c r="B115" s="8" t="str">
        <f ca="1">IFERROR(__xludf.DUMMYFUNCTION("""COMPUTED_VALUE"""),"Adult")</f>
        <v>Adult</v>
      </c>
      <c r="C115" s="8" t="str">
        <f ca="1">IFERROR(__xludf.DUMMYFUNCTION("""COMPUTED_VALUE"""),"Male")</f>
        <v>Male</v>
      </c>
      <c r="D115" s="8" t="str">
        <f ca="1">IFERROR(__xludf.DUMMYFUNCTION("""COMPUTED_VALUE"""),"No Relation")</f>
        <v>No Relation</v>
      </c>
      <c r="E115" s="8" t="str">
        <f ca="1">IFERROR(__xludf.DUMMYFUNCTION("""COMPUTED_VALUE"""),"Fled/Escaped")</f>
        <v>Fled/Escaped</v>
      </c>
      <c r="F115" s="8" t="str">
        <f ca="1">IFERROR(__xludf.DUMMYFUNCTION("""COMPUTED_VALUE"""),"No")</f>
        <v>No</v>
      </c>
      <c r="G115" s="8" t="str">
        <f ca="1">IFERROR(__xludf.DUMMYFUNCTION("""COMPUTED_VALUE"""),"None")</f>
        <v>None</v>
      </c>
    </row>
    <row r="116" spans="1:7" ht="12.75">
      <c r="A116" s="8" t="str">
        <f ca="1">IFERROR(__xludf.DUMMYFUNCTION("""COMPUTED_VALUE"""),"20220731CAOAO")</f>
        <v>20220731CAOAO</v>
      </c>
      <c r="B116" s="8" t="str">
        <f ca="1">IFERROR(__xludf.DUMMYFUNCTION("""COMPUTED_VALUE"""),"Adult")</f>
        <v>Adult</v>
      </c>
      <c r="C116" s="8"/>
      <c r="D116" s="8" t="str">
        <f ca="1">IFERROR(__xludf.DUMMYFUNCTION("""COMPUTED_VALUE"""),"Nonstudent Using Athletic Facilities/Attending Game")</f>
        <v>Nonstudent Using Athletic Facilities/Attending Game</v>
      </c>
      <c r="E116" s="8" t="str">
        <f ca="1">IFERROR(__xludf.DUMMYFUNCTION("""COMPUTED_VALUE"""),"Fled/Escaped")</f>
        <v>Fled/Escaped</v>
      </c>
      <c r="F116" s="8" t="str">
        <f ca="1">IFERROR(__xludf.DUMMYFUNCTION("""COMPUTED_VALUE"""),"No")</f>
        <v>No</v>
      </c>
      <c r="G116" s="8" t="str">
        <f ca="1">IFERROR(__xludf.DUMMYFUNCTION("""COMPUTED_VALUE"""),"None")</f>
        <v>None</v>
      </c>
    </row>
    <row r="117" spans="1:7" ht="12.75">
      <c r="A117" s="8" t="str">
        <f ca="1">IFERROR(__xludf.DUMMYFUNCTION("""COMPUTED_VALUE"""),"20220731CAOAO")</f>
        <v>20220731CAOAO</v>
      </c>
      <c r="B117" s="8" t="str">
        <f ca="1">IFERROR(__xludf.DUMMYFUNCTION("""COMPUTED_VALUE"""),"Adult")</f>
        <v>Adult</v>
      </c>
      <c r="C117" s="8"/>
      <c r="D117" s="8" t="str">
        <f ca="1">IFERROR(__xludf.DUMMYFUNCTION("""COMPUTED_VALUE"""),"Nonstudent Using Athletic Facilities/Attending Game")</f>
        <v>Nonstudent Using Athletic Facilities/Attending Game</v>
      </c>
      <c r="E117" s="8" t="str">
        <f ca="1">IFERROR(__xludf.DUMMYFUNCTION("""COMPUTED_VALUE"""),"Fled/Escaped")</f>
        <v>Fled/Escaped</v>
      </c>
      <c r="F117" s="8" t="str">
        <f ca="1">IFERROR(__xludf.DUMMYFUNCTION("""COMPUTED_VALUE"""),"No")</f>
        <v>No</v>
      </c>
      <c r="G117" s="8" t="str">
        <f ca="1">IFERROR(__xludf.DUMMYFUNCTION("""COMPUTED_VALUE"""),"None")</f>
        <v>None</v>
      </c>
    </row>
    <row r="118" spans="1:7" ht="12.75">
      <c r="A118" s="8" t="str">
        <f ca="1">IFERROR(__xludf.DUMMYFUNCTION("""COMPUTED_VALUE"""),"20220731CAOAO")</f>
        <v>20220731CAOAO</v>
      </c>
      <c r="B118" s="8" t="str">
        <f ca="1">IFERROR(__xludf.DUMMYFUNCTION("""COMPUTED_VALUE"""),"Adult")</f>
        <v>Adult</v>
      </c>
      <c r="C118" s="8" t="str">
        <f ca="1">IFERROR(__xludf.DUMMYFUNCTION("""COMPUTED_VALUE"""),"Male")</f>
        <v>Male</v>
      </c>
      <c r="D118" s="8" t="str">
        <f ca="1">IFERROR(__xludf.DUMMYFUNCTION("""COMPUTED_VALUE"""),"Nonstudent Using Athletic Facilities/Attending Game")</f>
        <v>Nonstudent Using Athletic Facilities/Attending Game</v>
      </c>
      <c r="E118" s="8" t="str">
        <f ca="1">IFERROR(__xludf.DUMMYFUNCTION("""COMPUTED_VALUE"""),"Fled/Escaped")</f>
        <v>Fled/Escaped</v>
      </c>
      <c r="F118" s="8" t="str">
        <f ca="1">IFERROR(__xludf.DUMMYFUNCTION("""COMPUTED_VALUE"""),"No")</f>
        <v>No</v>
      </c>
      <c r="G118" s="8" t="str">
        <f ca="1">IFERROR(__xludf.DUMMYFUNCTION("""COMPUTED_VALUE"""),"None")</f>
        <v>None</v>
      </c>
    </row>
    <row r="119" spans="1:7" ht="12.75">
      <c r="A119" s="8" t="str">
        <f ca="1">IFERROR(__xludf.DUMMYFUNCTION("""COMPUTED_VALUE"""),"20220730NYRHH")</f>
        <v>20220730NYRHH</v>
      </c>
      <c r="B119" s="8"/>
      <c r="C119" s="8"/>
      <c r="D119" s="8" t="str">
        <f ca="1">IFERROR(__xludf.DUMMYFUNCTION("""COMPUTED_VALUE"""),"No Relation")</f>
        <v>No Relation</v>
      </c>
      <c r="E119" s="8" t="str">
        <f ca="1">IFERROR(__xludf.DUMMYFUNCTION("""COMPUTED_VALUE"""),"Fled/Escaped")</f>
        <v>Fled/Escaped</v>
      </c>
      <c r="F119" s="8" t="str">
        <f ca="1">IFERROR(__xludf.DUMMYFUNCTION("""COMPUTED_VALUE"""),"No")</f>
        <v>No</v>
      </c>
      <c r="G119" s="8" t="str">
        <f ca="1">IFERROR(__xludf.DUMMYFUNCTION("""COMPUTED_VALUE"""),"None")</f>
        <v>None</v>
      </c>
    </row>
    <row r="120" spans="1:7" ht="12.75">
      <c r="A120" s="8" t="str">
        <f ca="1">IFERROR(__xludf.DUMMYFUNCTION("""COMPUTED_VALUE"""),"20220729INCOS")</f>
        <v>20220729INCOS</v>
      </c>
      <c r="B120" s="8">
        <f ca="1">IFERROR(__xludf.DUMMYFUNCTION("""COMPUTED_VALUE"""),51)</f>
        <v>51</v>
      </c>
      <c r="C120" s="8" t="str">
        <f ca="1">IFERROR(__xludf.DUMMYFUNCTION("""COMPUTED_VALUE"""),"Male")</f>
        <v>Male</v>
      </c>
      <c r="D120" s="8" t="str">
        <f ca="1">IFERROR(__xludf.DUMMYFUNCTION("""COMPUTED_VALUE"""),"No Relation")</f>
        <v>No Relation</v>
      </c>
      <c r="E120" s="8" t="str">
        <f ca="1">IFERROR(__xludf.DUMMYFUNCTION("""COMPUTED_VALUE"""),"Attempted Suicide")</f>
        <v>Attempted Suicide</v>
      </c>
      <c r="F120" s="8" t="str">
        <f ca="1">IFERROR(__xludf.DUMMYFUNCTION("""COMPUTED_VALUE"""),"Yes")</f>
        <v>Yes</v>
      </c>
      <c r="G120" s="8" t="str">
        <f ca="1">IFERROR(__xludf.DUMMYFUNCTION("""COMPUTED_VALUE"""),"Suicide")</f>
        <v>Suicide</v>
      </c>
    </row>
    <row r="121" spans="1:7" ht="12.75">
      <c r="A121" s="8" t="str">
        <f ca="1">IFERROR(__xludf.DUMMYFUNCTION("""COMPUTED_VALUE"""),"20220728KSMOG")</f>
        <v>20220728KSMOG</v>
      </c>
      <c r="B121" s="8">
        <f ca="1">IFERROR(__xludf.DUMMYFUNCTION("""COMPUTED_VALUE"""),22)</f>
        <v>22</v>
      </c>
      <c r="C121" s="8" t="str">
        <f ca="1">IFERROR(__xludf.DUMMYFUNCTION("""COMPUTED_VALUE"""),"Male")</f>
        <v>Male</v>
      </c>
      <c r="D121" s="8" t="str">
        <f ca="1">IFERROR(__xludf.DUMMYFUNCTION("""COMPUTED_VALUE"""),"No Relation")</f>
        <v>No Relation</v>
      </c>
      <c r="E121" s="8" t="str">
        <f ca="1">IFERROR(__xludf.DUMMYFUNCTION("""COMPUTED_VALUE"""),"Attempted Suicide")</f>
        <v>Attempted Suicide</v>
      </c>
      <c r="F121" s="8" t="str">
        <f ca="1">IFERROR(__xludf.DUMMYFUNCTION("""COMPUTED_VALUE"""),"No")</f>
        <v>No</v>
      </c>
      <c r="G121" s="8" t="str">
        <f ca="1">IFERROR(__xludf.DUMMYFUNCTION("""COMPUTED_VALUE"""),"Suicide")</f>
        <v>Suicide</v>
      </c>
    </row>
    <row r="122" spans="1:7" ht="12.75">
      <c r="A122" s="8" t="str">
        <f ca="1">IFERROR(__xludf.DUMMYFUNCTION("""COMPUTED_VALUE"""),"20220726PALAL")</f>
        <v>20220726PALAL</v>
      </c>
      <c r="B122" s="8">
        <f ca="1">IFERROR(__xludf.DUMMYFUNCTION("""COMPUTED_VALUE"""),20)</f>
        <v>20</v>
      </c>
      <c r="C122" s="8" t="str">
        <f ca="1">IFERROR(__xludf.DUMMYFUNCTION("""COMPUTED_VALUE"""),"Male")</f>
        <v>Male</v>
      </c>
      <c r="D122" s="8" t="str">
        <f ca="1">IFERROR(__xludf.DUMMYFUNCTION("""COMPUTED_VALUE"""),"No Relation")</f>
        <v>No Relation</v>
      </c>
      <c r="E122" s="8" t="str">
        <f ca="1">IFERROR(__xludf.DUMMYFUNCTION("""COMPUTED_VALUE"""),"Fled/Apprehended")</f>
        <v>Fled/Apprehended</v>
      </c>
      <c r="F122" s="8" t="str">
        <f ca="1">IFERROR(__xludf.DUMMYFUNCTION("""COMPUTED_VALUE"""),"No")</f>
        <v>No</v>
      </c>
      <c r="G122" s="8" t="str">
        <f ca="1">IFERROR(__xludf.DUMMYFUNCTION("""COMPUTED_VALUE"""),"None")</f>
        <v>None</v>
      </c>
    </row>
    <row r="123" spans="1:7" ht="12.75">
      <c r="A123" s="8" t="str">
        <f ca="1">IFERROR(__xludf.DUMMYFUNCTION("""COMPUTED_VALUE"""),"20220726TXCOC")</f>
        <v>20220726TXCOC</v>
      </c>
      <c r="B123" s="8" t="str">
        <f ca="1">IFERROR(__xludf.DUMMYFUNCTION("""COMPUTED_VALUE"""),"Adult")</f>
        <v>Adult</v>
      </c>
      <c r="C123" s="8" t="str">
        <f ca="1">IFERROR(__xludf.DUMMYFUNCTION("""COMPUTED_VALUE"""),"Male")</f>
        <v>Male</v>
      </c>
      <c r="D123" s="8"/>
      <c r="E123" s="8" t="str">
        <f ca="1">IFERROR(__xludf.DUMMYFUNCTION("""COMPUTED_VALUE"""),"Fled/Escaped")</f>
        <v>Fled/Escaped</v>
      </c>
      <c r="F123" s="8" t="str">
        <f ca="1">IFERROR(__xludf.DUMMYFUNCTION("""COMPUTED_VALUE"""),"No")</f>
        <v>No</v>
      </c>
      <c r="G123" s="8" t="str">
        <f ca="1">IFERROR(__xludf.DUMMYFUNCTION("""COMPUTED_VALUE"""),"None")</f>
        <v>None</v>
      </c>
    </row>
    <row r="124" spans="1:7" ht="12.75">
      <c r="A124" s="8" t="str">
        <f ca="1">IFERROR(__xludf.DUMMYFUNCTION("""COMPUTED_VALUE"""),"20220725NYBRB")</f>
        <v>20220725NYBRB</v>
      </c>
      <c r="B124" s="8" t="str">
        <f ca="1">IFERROR(__xludf.DUMMYFUNCTION("""COMPUTED_VALUE"""),"Adult")</f>
        <v>Adult</v>
      </c>
      <c r="C124" s="8" t="str">
        <f ca="1">IFERROR(__xludf.DUMMYFUNCTION("""COMPUTED_VALUE"""),"Male")</f>
        <v>Male</v>
      </c>
      <c r="D124" s="8" t="str">
        <f ca="1">IFERROR(__xludf.DUMMYFUNCTION("""COMPUTED_VALUE"""),"No Relation")</f>
        <v>No Relation</v>
      </c>
      <c r="E124" s="8" t="str">
        <f ca="1">IFERROR(__xludf.DUMMYFUNCTION("""COMPUTED_VALUE"""),"Fled/Escaped")</f>
        <v>Fled/Escaped</v>
      </c>
      <c r="F124" s="8" t="str">
        <f ca="1">IFERROR(__xludf.DUMMYFUNCTION("""COMPUTED_VALUE"""),"No")</f>
        <v>No</v>
      </c>
      <c r="G124" s="8" t="str">
        <f ca="1">IFERROR(__xludf.DUMMYFUNCTION("""COMPUTED_VALUE"""),"None")</f>
        <v>None</v>
      </c>
    </row>
    <row r="125" spans="1:7" ht="12.75">
      <c r="A125" s="8" t="str">
        <f ca="1">IFERROR(__xludf.DUMMYFUNCTION("""COMPUTED_VALUE"""),"20220720CAJOV")</f>
        <v>20220720CAJOV</v>
      </c>
      <c r="B125" s="8" t="str">
        <f ca="1">IFERROR(__xludf.DUMMYFUNCTION("""COMPUTED_VALUE"""),"Adult")</f>
        <v>Adult</v>
      </c>
      <c r="C125" s="8" t="str">
        <f ca="1">IFERROR(__xludf.DUMMYFUNCTION("""COMPUTED_VALUE"""),"Male")</f>
        <v>Male</v>
      </c>
      <c r="D125" s="8" t="str">
        <f ca="1">IFERROR(__xludf.DUMMYFUNCTION("""COMPUTED_VALUE"""),"No Relation")</f>
        <v>No Relation</v>
      </c>
      <c r="E125" s="8" t="str">
        <f ca="1">IFERROR(__xludf.DUMMYFUNCTION("""COMPUTED_VALUE"""),"Fled/Escaped")</f>
        <v>Fled/Escaped</v>
      </c>
      <c r="F125" s="8" t="str">
        <f ca="1">IFERROR(__xludf.DUMMYFUNCTION("""COMPUTED_VALUE"""),"No")</f>
        <v>No</v>
      </c>
      <c r="G125" s="8" t="str">
        <f ca="1">IFERROR(__xludf.DUMMYFUNCTION("""COMPUTED_VALUE"""),"None")</f>
        <v>None</v>
      </c>
    </row>
    <row r="126" spans="1:7" ht="12.75">
      <c r="A126" s="8" t="str">
        <f ca="1">IFERROR(__xludf.DUMMYFUNCTION("""COMPUTED_VALUE"""),"20220716NYCLS")</f>
        <v>20220716NYCLS</v>
      </c>
      <c r="B126" s="8" t="str">
        <f ca="1">IFERROR(__xludf.DUMMYFUNCTION("""COMPUTED_VALUE"""),"Adult")</f>
        <v>Adult</v>
      </c>
      <c r="C126" s="8" t="str">
        <f ca="1">IFERROR(__xludf.DUMMYFUNCTION("""COMPUTED_VALUE"""),"Male")</f>
        <v>Male</v>
      </c>
      <c r="D126" s="8" t="str">
        <f ca="1">IFERROR(__xludf.DUMMYFUNCTION("""COMPUTED_VALUE"""),"Nonstudent Using Athletic Facilities/Attending Game")</f>
        <v>Nonstudent Using Athletic Facilities/Attending Game</v>
      </c>
      <c r="E126" s="8" t="str">
        <f ca="1">IFERROR(__xludf.DUMMYFUNCTION("""COMPUTED_VALUE"""),"Fled/Escaped")</f>
        <v>Fled/Escaped</v>
      </c>
      <c r="F126" s="8" t="str">
        <f ca="1">IFERROR(__xludf.DUMMYFUNCTION("""COMPUTED_VALUE"""),"No")</f>
        <v>No</v>
      </c>
      <c r="G126" s="8" t="str">
        <f ca="1">IFERROR(__xludf.DUMMYFUNCTION("""COMPUTED_VALUE"""),"None")</f>
        <v>None</v>
      </c>
    </row>
    <row r="127" spans="1:7" ht="12.75">
      <c r="A127" s="8" t="str">
        <f ca="1">IFERROR(__xludf.DUMMYFUNCTION("""COMPUTED_VALUE"""),"20220716GAAPF")</f>
        <v>20220716GAAPF</v>
      </c>
      <c r="B127" s="8" t="str">
        <f ca="1">IFERROR(__xludf.DUMMYFUNCTION("""COMPUTED_VALUE"""),"Adult")</f>
        <v>Adult</v>
      </c>
      <c r="C127" s="8"/>
      <c r="D127" s="8" t="str">
        <f ca="1">IFERROR(__xludf.DUMMYFUNCTION("""COMPUTED_VALUE"""),"No Relation")</f>
        <v>No Relation</v>
      </c>
      <c r="E127" s="8" t="str">
        <f ca="1">IFERROR(__xludf.DUMMYFUNCTION("""COMPUTED_VALUE"""),"Fled/Escaped")</f>
        <v>Fled/Escaped</v>
      </c>
      <c r="F127" s="8" t="str">
        <f ca="1">IFERROR(__xludf.DUMMYFUNCTION("""COMPUTED_VALUE"""),"No")</f>
        <v>No</v>
      </c>
      <c r="G127" s="8" t="str">
        <f ca="1">IFERROR(__xludf.DUMMYFUNCTION("""COMPUTED_VALUE"""),"None")</f>
        <v>None</v>
      </c>
    </row>
    <row r="128" spans="1:7" ht="12.75">
      <c r="A128" s="8" t="str">
        <f ca="1">IFERROR(__xludf.DUMMYFUNCTION("""COMPUTED_VALUE"""),"20220629CABUA")</f>
        <v>20220629CABUA</v>
      </c>
      <c r="B128" s="8"/>
      <c r="C128" s="8"/>
      <c r="D128" s="8" t="str">
        <f ca="1">IFERROR(__xludf.DUMMYFUNCTION("""COMPUTED_VALUE"""),"No Relation")</f>
        <v>No Relation</v>
      </c>
      <c r="E128" s="8" t="str">
        <f ca="1">IFERROR(__xludf.DUMMYFUNCTION("""COMPUTED_VALUE"""),"Fled/Escaped")</f>
        <v>Fled/Escaped</v>
      </c>
      <c r="F128" s="8" t="str">
        <f ca="1">IFERROR(__xludf.DUMMYFUNCTION("""COMPUTED_VALUE"""),"No")</f>
        <v>No</v>
      </c>
      <c r="G128" s="8" t="str">
        <f ca="1">IFERROR(__xludf.DUMMYFUNCTION("""COMPUTED_VALUE"""),"None")</f>
        <v>None</v>
      </c>
    </row>
    <row r="129" spans="1:7" ht="12.75">
      <c r="A129" s="8" t="str">
        <f ca="1">IFERROR(__xludf.DUMMYFUNCTION("""COMPUTED_VALUE"""),"20220620ILGRC")</f>
        <v>20220620ILGRC</v>
      </c>
      <c r="B129" s="8"/>
      <c r="C129" s="8"/>
      <c r="D129" s="8" t="str">
        <f ca="1">IFERROR(__xludf.DUMMYFUNCTION("""COMPUTED_VALUE"""),"No Relation")</f>
        <v>No Relation</v>
      </c>
      <c r="E129" s="8" t="str">
        <f ca="1">IFERROR(__xludf.DUMMYFUNCTION("""COMPUTED_VALUE"""),"Fled/Escaped")</f>
        <v>Fled/Escaped</v>
      </c>
      <c r="F129" s="8" t="str">
        <f ca="1">IFERROR(__xludf.DUMMYFUNCTION("""COMPUTED_VALUE"""),"No")</f>
        <v>No</v>
      </c>
      <c r="G129" s="8" t="str">
        <f ca="1">IFERROR(__xludf.DUMMYFUNCTION("""COMPUTED_VALUE"""),"None")</f>
        <v>None</v>
      </c>
    </row>
    <row r="130" spans="1:7" ht="12.75">
      <c r="A130" s="8" t="str">
        <f ca="1">IFERROR(__xludf.DUMMYFUNCTION("""COMPUTED_VALUE"""),"20220613WAMAE")</f>
        <v>20220613WAMAE</v>
      </c>
      <c r="B130" s="8">
        <f ca="1">IFERROR(__xludf.DUMMYFUNCTION("""COMPUTED_VALUE"""),15)</f>
        <v>15</v>
      </c>
      <c r="C130" s="8" t="str">
        <f ca="1">IFERROR(__xludf.DUMMYFUNCTION("""COMPUTED_VALUE"""),"Male")</f>
        <v>Male</v>
      </c>
      <c r="D130" s="8" t="str">
        <f ca="1">IFERROR(__xludf.DUMMYFUNCTION("""COMPUTED_VALUE"""),"Student")</f>
        <v>Student</v>
      </c>
      <c r="E130" s="8" t="str">
        <f ca="1">IFERROR(__xludf.DUMMYFUNCTION("""COMPUTED_VALUE"""),"Fled/Apprehended")</f>
        <v>Fled/Apprehended</v>
      </c>
      <c r="F130" s="8" t="str">
        <f ca="1">IFERROR(__xludf.DUMMYFUNCTION("""COMPUTED_VALUE"""),"No")</f>
        <v>No</v>
      </c>
      <c r="G130" s="8" t="str">
        <f ca="1">IFERROR(__xludf.DUMMYFUNCTION("""COMPUTED_VALUE"""),"None")</f>
        <v>None</v>
      </c>
    </row>
    <row r="131" spans="1:7" ht="12.75">
      <c r="A131" s="8" t="str">
        <f ca="1">IFERROR(__xludf.DUMMYFUNCTION("""COMPUTED_VALUE"""),"20220610ALBYB")</f>
        <v>20220610ALBYB</v>
      </c>
      <c r="B131" s="8" t="str">
        <f ca="1">IFERROR(__xludf.DUMMYFUNCTION("""COMPUTED_VALUE"""),"Teen")</f>
        <v>Teen</v>
      </c>
      <c r="C131" s="8" t="str">
        <f ca="1">IFERROR(__xludf.DUMMYFUNCTION("""COMPUTED_VALUE"""),"Male")</f>
        <v>Male</v>
      </c>
      <c r="D131" s="8" t="str">
        <f ca="1">IFERROR(__xludf.DUMMYFUNCTION("""COMPUTED_VALUE"""),"Student")</f>
        <v>Student</v>
      </c>
      <c r="E131" s="8" t="str">
        <f ca="1">IFERROR(__xludf.DUMMYFUNCTION("""COMPUTED_VALUE"""),"Fled/Apprehended")</f>
        <v>Fled/Apprehended</v>
      </c>
      <c r="F131" s="8" t="str">
        <f ca="1">IFERROR(__xludf.DUMMYFUNCTION("""COMPUTED_VALUE"""),"No")</f>
        <v>No</v>
      </c>
      <c r="G131" s="8" t="str">
        <f ca="1">IFERROR(__xludf.DUMMYFUNCTION("""COMPUTED_VALUE"""),"None")</f>
        <v>None</v>
      </c>
    </row>
    <row r="132" spans="1:7" ht="12.75">
      <c r="A132" s="8" t="str">
        <f ca="1">IFERROR(__xludf.DUMMYFUNCTION("""COMPUTED_VALUE"""),"20220609ALWAG")</f>
        <v>20220609ALWAG</v>
      </c>
      <c r="B132" s="8"/>
      <c r="C132" s="8"/>
      <c r="D132" s="8" t="str">
        <f ca="1">IFERROR(__xludf.DUMMYFUNCTION("""COMPUTED_VALUE"""),"Police Officer/SRO")</f>
        <v>Police Officer/SRO</v>
      </c>
      <c r="E132" s="8" t="str">
        <f ca="1">IFERROR(__xludf.DUMMYFUNCTION("""COMPUTED_VALUE"""),"Law Enforcement")</f>
        <v>Law Enforcement</v>
      </c>
      <c r="F132" s="8" t="str">
        <f ca="1">IFERROR(__xludf.DUMMYFUNCTION("""COMPUTED_VALUE"""),"No")</f>
        <v>No</v>
      </c>
      <c r="G132" s="8" t="str">
        <f ca="1">IFERROR(__xludf.DUMMYFUNCTION("""COMPUTED_VALUE"""),"None")</f>
        <v>None</v>
      </c>
    </row>
    <row r="133" spans="1:7" ht="12.75">
      <c r="A133" s="8" t="str">
        <f ca="1">IFERROR(__xludf.DUMMYFUNCTION("""COMPUTED_VALUE"""),"20220608ARLIL")</f>
        <v>20220608ARLIL</v>
      </c>
      <c r="B133" s="8"/>
      <c r="C133" s="8"/>
      <c r="D133" s="8" t="str">
        <f ca="1">IFERROR(__xludf.DUMMYFUNCTION("""COMPUTED_VALUE"""),"No Relation")</f>
        <v>No Relation</v>
      </c>
      <c r="E133" s="8" t="str">
        <f ca="1">IFERROR(__xludf.DUMMYFUNCTION("""COMPUTED_VALUE"""),"Fled/Escaped")</f>
        <v>Fled/Escaped</v>
      </c>
      <c r="F133" s="8" t="str">
        <f ca="1">IFERROR(__xludf.DUMMYFUNCTION("""COMPUTED_VALUE"""),"No")</f>
        <v>No</v>
      </c>
      <c r="G133" s="8" t="str">
        <f ca="1">IFERROR(__xludf.DUMMYFUNCTION("""COMPUTED_VALUE"""),"None")</f>
        <v>None</v>
      </c>
    </row>
    <row r="134" spans="1:7" ht="12.75">
      <c r="A134" s="8" t="str">
        <f ca="1">IFERROR(__xludf.DUMMYFUNCTION("""COMPUTED_VALUE"""),"20220607MIPED")</f>
        <v>20220607MIPED</v>
      </c>
      <c r="B134" s="8"/>
      <c r="C134" s="8"/>
      <c r="D134" s="8"/>
      <c r="E134" s="8" t="str">
        <f ca="1">IFERROR(__xludf.DUMMYFUNCTION("""COMPUTED_VALUE"""),"Apprehended/Killed by SRO")</f>
        <v>Apprehended/Killed by SRO</v>
      </c>
      <c r="F134" s="8" t="str">
        <f ca="1">IFERROR(__xludf.DUMMYFUNCTION("""COMPUTED_VALUE"""),"No")</f>
        <v>No</v>
      </c>
      <c r="G134" s="8" t="str">
        <f ca="1">IFERROR(__xludf.DUMMYFUNCTION("""COMPUTED_VALUE"""),"None")</f>
        <v>None</v>
      </c>
    </row>
    <row r="135" spans="1:7" ht="12.75">
      <c r="A135" s="8" t="str">
        <f ca="1">IFERROR(__xludf.DUMMYFUNCTION("""COMPUTED_VALUE"""),"20220605INWEG")</f>
        <v>20220605INWEG</v>
      </c>
      <c r="B135" s="8" t="str">
        <f ca="1">IFERROR(__xludf.DUMMYFUNCTION("""COMPUTED_VALUE"""),"Teen")</f>
        <v>Teen</v>
      </c>
      <c r="C135" s="8"/>
      <c r="D135" s="8"/>
      <c r="E135" s="8" t="str">
        <f ca="1">IFERROR(__xludf.DUMMYFUNCTION("""COMPUTED_VALUE"""),"Apprehended/Killed by LE")</f>
        <v>Apprehended/Killed by LE</v>
      </c>
      <c r="F135" s="8" t="str">
        <f ca="1">IFERROR(__xludf.DUMMYFUNCTION("""COMPUTED_VALUE"""),"No")</f>
        <v>No</v>
      </c>
      <c r="G135" s="8" t="str">
        <f ca="1">IFERROR(__xludf.DUMMYFUNCTION("""COMPUTED_VALUE"""),"None")</f>
        <v>None</v>
      </c>
    </row>
    <row r="136" spans="1:7" ht="12.75">
      <c r="A136" s="8" t="str">
        <f ca="1">IFERROR(__xludf.DUMMYFUNCTION("""COMPUTED_VALUE"""),"20220601CAULL")</f>
        <v>20220601CAULL</v>
      </c>
      <c r="B136" s="8"/>
      <c r="C136" s="8" t="str">
        <f ca="1">IFERROR(__xludf.DUMMYFUNCTION("""COMPUTED_VALUE"""),"Male")</f>
        <v>Male</v>
      </c>
      <c r="D136" s="8"/>
      <c r="E136" s="8" t="str">
        <f ca="1">IFERROR(__xludf.DUMMYFUNCTION("""COMPUTED_VALUE"""),"Fled/Escaped")</f>
        <v>Fled/Escaped</v>
      </c>
      <c r="F136" s="8" t="str">
        <f ca="1">IFERROR(__xludf.DUMMYFUNCTION("""COMPUTED_VALUE"""),"No")</f>
        <v>No</v>
      </c>
      <c r="G136" s="8" t="str">
        <f ca="1">IFERROR(__xludf.DUMMYFUNCTION("""COMPUTED_VALUE"""),"None")</f>
        <v>None</v>
      </c>
    </row>
    <row r="137" spans="1:7" ht="12.75">
      <c r="A137" s="8" t="str">
        <f ca="1">IFERROR(__xludf.DUMMYFUNCTION("""COMPUTED_VALUE"""),"20220531LAMON")</f>
        <v>20220531LAMON</v>
      </c>
      <c r="B137" s="8">
        <f ca="1">IFERROR(__xludf.DUMMYFUNCTION("""COMPUTED_VALUE"""),18)</f>
        <v>18</v>
      </c>
      <c r="C137" s="8" t="str">
        <f ca="1">IFERROR(__xludf.DUMMYFUNCTION("""COMPUTED_VALUE"""),"Male")</f>
        <v>Male</v>
      </c>
      <c r="D137" s="8"/>
      <c r="E137" s="8" t="str">
        <f ca="1">IFERROR(__xludf.DUMMYFUNCTION("""COMPUTED_VALUE"""),"Fled/Apprehended")</f>
        <v>Fled/Apprehended</v>
      </c>
      <c r="F137" s="8" t="str">
        <f ca="1">IFERROR(__xludf.DUMMYFUNCTION("""COMPUTED_VALUE"""),"No")</f>
        <v>No</v>
      </c>
      <c r="G137" s="8" t="str">
        <f ca="1">IFERROR(__xludf.DUMMYFUNCTION("""COMPUTED_VALUE"""),"None")</f>
        <v>None</v>
      </c>
    </row>
    <row r="138" spans="1:7" ht="12.75">
      <c r="A138" s="8" t="str">
        <f ca="1">IFERROR(__xludf.DUMMYFUNCTION("""COMPUTED_VALUE"""),"20220531LAMON")</f>
        <v>20220531LAMON</v>
      </c>
      <c r="B138" s="8">
        <f ca="1">IFERROR(__xludf.DUMMYFUNCTION("""COMPUTED_VALUE"""),40)</f>
        <v>40</v>
      </c>
      <c r="C138" s="8" t="str">
        <f ca="1">IFERROR(__xludf.DUMMYFUNCTION("""COMPUTED_VALUE"""),"Male")</f>
        <v>Male</v>
      </c>
      <c r="D138" s="8" t="str">
        <f ca="1">IFERROR(__xludf.DUMMYFUNCTION("""COMPUTED_VALUE"""),"Relative")</f>
        <v>Relative</v>
      </c>
      <c r="E138" s="8" t="str">
        <f ca="1">IFERROR(__xludf.DUMMYFUNCTION("""COMPUTED_VALUE"""),"Fled/Apprehended")</f>
        <v>Fled/Apprehended</v>
      </c>
      <c r="F138" s="8" t="str">
        <f ca="1">IFERROR(__xludf.DUMMYFUNCTION("""COMPUTED_VALUE"""),"No")</f>
        <v>No</v>
      </c>
      <c r="G138" s="8" t="str">
        <f ca="1">IFERROR(__xludf.DUMMYFUNCTION("""COMPUTED_VALUE"""),"None")</f>
        <v>None</v>
      </c>
    </row>
    <row r="139" spans="1:7" ht="12.75">
      <c r="A139" s="8" t="str">
        <f ca="1">IFERROR(__xludf.DUMMYFUNCTION("""COMPUTED_VALUE"""),"20220530CAHEL")</f>
        <v>20220530CAHEL</v>
      </c>
      <c r="B139" s="8" t="str">
        <f ca="1">IFERROR(__xludf.DUMMYFUNCTION("""COMPUTED_VALUE"""),"Adult")</f>
        <v>Adult</v>
      </c>
      <c r="C139" s="8" t="str">
        <f ca="1">IFERROR(__xludf.DUMMYFUNCTION("""COMPUTED_VALUE"""),"Male")</f>
        <v>Male</v>
      </c>
      <c r="D139" s="8" t="str">
        <f ca="1">IFERROR(__xludf.DUMMYFUNCTION("""COMPUTED_VALUE"""),"No Relation")</f>
        <v>No Relation</v>
      </c>
      <c r="E139" s="8" t="str">
        <f ca="1">IFERROR(__xludf.DUMMYFUNCTION("""COMPUTED_VALUE"""),"Fled/Escaped")</f>
        <v>Fled/Escaped</v>
      </c>
      <c r="F139" s="8" t="str">
        <f ca="1">IFERROR(__xludf.DUMMYFUNCTION("""COMPUTED_VALUE"""),"No")</f>
        <v>No</v>
      </c>
      <c r="G139" s="8" t="str">
        <f ca="1">IFERROR(__xludf.DUMMYFUNCTION("""COMPUTED_VALUE"""),"None")</f>
        <v>None</v>
      </c>
    </row>
    <row r="140" spans="1:7" ht="12.75">
      <c r="A140" s="8" t="str">
        <f ca="1">IFERROR(__xludf.DUMMYFUNCTION("""COMPUTED_VALUE"""),"20220529ILDAC")</f>
        <v>20220529ILDAC</v>
      </c>
      <c r="B140" s="8"/>
      <c r="C140" s="8"/>
      <c r="D140" s="8"/>
      <c r="E140" s="8" t="str">
        <f ca="1">IFERROR(__xludf.DUMMYFUNCTION("""COMPUTED_VALUE"""),"Fled/Escaped")</f>
        <v>Fled/Escaped</v>
      </c>
      <c r="F140" s="8" t="str">
        <f ca="1">IFERROR(__xludf.DUMMYFUNCTION("""COMPUTED_VALUE"""),"No")</f>
        <v>No</v>
      </c>
      <c r="G140" s="8" t="str">
        <f ca="1">IFERROR(__xludf.DUMMYFUNCTION("""COMPUTED_VALUE"""),"None")</f>
        <v>None</v>
      </c>
    </row>
    <row r="141" spans="1:7" ht="12.75">
      <c r="A141" s="8" t="str">
        <f ca="1">IFERROR(__xludf.DUMMYFUNCTION("""COMPUTED_VALUE"""),"20220529ILDAC")</f>
        <v>20220529ILDAC</v>
      </c>
      <c r="B141" s="8"/>
      <c r="C141" s="8"/>
      <c r="D141" s="8"/>
      <c r="E141" s="8" t="str">
        <f ca="1">IFERROR(__xludf.DUMMYFUNCTION("""COMPUTED_VALUE"""),"Fled/Escaped")</f>
        <v>Fled/Escaped</v>
      </c>
      <c r="F141" s="8" t="str">
        <f ca="1">IFERROR(__xludf.DUMMYFUNCTION("""COMPUTED_VALUE"""),"No")</f>
        <v>No</v>
      </c>
      <c r="G141" s="8" t="str">
        <f ca="1">IFERROR(__xludf.DUMMYFUNCTION("""COMPUTED_VALUE"""),"None")</f>
        <v>None</v>
      </c>
    </row>
    <row r="142" spans="1:7" ht="12.75">
      <c r="A142" s="8" t="str">
        <f ca="1">IFERROR(__xludf.DUMMYFUNCTION("""COMPUTED_VALUE"""),"20220529ILDAC")</f>
        <v>20220529ILDAC</v>
      </c>
      <c r="B142" s="8"/>
      <c r="C142" s="8"/>
      <c r="D142" s="8"/>
      <c r="E142" s="8" t="str">
        <f ca="1">IFERROR(__xludf.DUMMYFUNCTION("""COMPUTED_VALUE"""),"Fled/Escaped")</f>
        <v>Fled/Escaped</v>
      </c>
      <c r="F142" s="8" t="str">
        <f ca="1">IFERROR(__xludf.DUMMYFUNCTION("""COMPUTED_VALUE"""),"No")</f>
        <v>No</v>
      </c>
      <c r="G142" s="8" t="str">
        <f ca="1">IFERROR(__xludf.DUMMYFUNCTION("""COMPUTED_VALUE"""),"None")</f>
        <v>None</v>
      </c>
    </row>
    <row r="143" spans="1:7" ht="12.75">
      <c r="A143" s="8" t="str">
        <f ca="1">IFERROR(__xludf.DUMMYFUNCTION("""COMPUTED_VALUE"""),"20220526TXDUA")</f>
        <v>20220526TXDUA</v>
      </c>
      <c r="B143" s="8">
        <f ca="1">IFERROR(__xludf.DUMMYFUNCTION("""COMPUTED_VALUE"""),55)</f>
        <v>55</v>
      </c>
      <c r="C143" s="8" t="str">
        <f ca="1">IFERROR(__xludf.DUMMYFUNCTION("""COMPUTED_VALUE"""),"Male")</f>
        <v>Male</v>
      </c>
      <c r="D143" s="8" t="str">
        <f ca="1">IFERROR(__xludf.DUMMYFUNCTION("""COMPUTED_VALUE"""),"Relative")</f>
        <v>Relative</v>
      </c>
      <c r="E143" s="8" t="str">
        <f ca="1">IFERROR(__xludf.DUMMYFUNCTION("""COMPUTED_VALUE"""),"Surrendered")</f>
        <v>Surrendered</v>
      </c>
      <c r="F143" s="8" t="str">
        <f ca="1">IFERROR(__xludf.DUMMYFUNCTION("""COMPUTED_VALUE"""),"No")</f>
        <v>No</v>
      </c>
      <c r="G143" s="8" t="str">
        <f ca="1">IFERROR(__xludf.DUMMYFUNCTION("""COMPUTED_VALUE"""),"Wounded")</f>
        <v>Wounded</v>
      </c>
    </row>
    <row r="144" spans="1:7" ht="12.75">
      <c r="A144" s="8" t="str">
        <f ca="1">IFERROR(__xludf.DUMMYFUNCTION("""COMPUTED_VALUE"""),"20220526SCMEG")</f>
        <v>20220526SCMEG</v>
      </c>
      <c r="B144" s="8"/>
      <c r="C144" s="8"/>
      <c r="D144" s="8"/>
      <c r="E144" s="8" t="str">
        <f ca="1">IFERROR(__xludf.DUMMYFUNCTION("""COMPUTED_VALUE"""),"Fled/Escaped")</f>
        <v>Fled/Escaped</v>
      </c>
      <c r="F144" s="8" t="str">
        <f ca="1">IFERROR(__xludf.DUMMYFUNCTION("""COMPUTED_VALUE"""),"No")</f>
        <v>No</v>
      </c>
      <c r="G144" s="8" t="str">
        <f ca="1">IFERROR(__xludf.DUMMYFUNCTION("""COMPUTED_VALUE"""),"None")</f>
        <v>None</v>
      </c>
    </row>
    <row r="145" spans="1:7" ht="12.75">
      <c r="A145" s="8" t="str">
        <f ca="1">IFERROR(__xludf.DUMMYFUNCTION("""COMPUTED_VALUE"""),"20220525ILSTC")</f>
        <v>20220525ILSTC</v>
      </c>
      <c r="B145" s="8"/>
      <c r="C145" s="8"/>
      <c r="D145" s="8"/>
      <c r="E145" s="8" t="str">
        <f ca="1">IFERROR(__xludf.DUMMYFUNCTION("""COMPUTED_VALUE"""),"Fled/Escaped")</f>
        <v>Fled/Escaped</v>
      </c>
      <c r="F145" s="8" t="str">
        <f ca="1">IFERROR(__xludf.DUMMYFUNCTION("""COMPUTED_VALUE"""),"No")</f>
        <v>No</v>
      </c>
      <c r="G145" s="8" t="str">
        <f ca="1">IFERROR(__xludf.DUMMYFUNCTION("""COMPUTED_VALUE"""),"None")</f>
        <v>None</v>
      </c>
    </row>
    <row r="146" spans="1:7" ht="12.75">
      <c r="A146" s="8" t="str">
        <f ca="1">IFERROR(__xludf.DUMMYFUNCTION("""COMPUTED_VALUE"""),"20220524WIRIM")</f>
        <v>20220524WIRIM</v>
      </c>
      <c r="B146" s="8" t="str">
        <f ca="1">IFERROR(__xludf.DUMMYFUNCTION("""COMPUTED_VALUE"""),"Teen")</f>
        <v>Teen</v>
      </c>
      <c r="C146" s="8" t="str">
        <f ca="1">IFERROR(__xludf.DUMMYFUNCTION("""COMPUTED_VALUE"""),"Male")</f>
        <v>Male</v>
      </c>
      <c r="D146" s="8" t="str">
        <f ca="1">IFERROR(__xludf.DUMMYFUNCTION("""COMPUTED_VALUE"""),"Student")</f>
        <v>Student</v>
      </c>
      <c r="E146" s="8" t="str">
        <f ca="1">IFERROR(__xludf.DUMMYFUNCTION("""COMPUTED_VALUE"""),"Fled/Escaped")</f>
        <v>Fled/Escaped</v>
      </c>
      <c r="F146" s="8" t="str">
        <f ca="1">IFERROR(__xludf.DUMMYFUNCTION("""COMPUTED_VALUE"""),"No")</f>
        <v>No</v>
      </c>
      <c r="G146" s="8" t="str">
        <f ca="1">IFERROR(__xludf.DUMMYFUNCTION("""COMPUTED_VALUE"""),"None")</f>
        <v>None</v>
      </c>
    </row>
    <row r="147" spans="1:7" ht="12.75">
      <c r="A147" s="8" t="str">
        <f ca="1">IFERROR(__xludf.DUMMYFUNCTION("""COMPUTED_VALUE"""),"20220524TXROU")</f>
        <v>20220524TXROU</v>
      </c>
      <c r="B147" s="8">
        <f ca="1">IFERROR(__xludf.DUMMYFUNCTION("""COMPUTED_VALUE"""),18)</f>
        <v>18</v>
      </c>
      <c r="C147" s="8" t="str">
        <f ca="1">IFERROR(__xludf.DUMMYFUNCTION("""COMPUTED_VALUE"""),"Male")</f>
        <v>Male</v>
      </c>
      <c r="D147" s="8"/>
      <c r="E147" s="8" t="str">
        <f ca="1">IFERROR(__xludf.DUMMYFUNCTION("""COMPUTED_VALUE"""),"Apprehended/Killed by LE")</f>
        <v>Apprehended/Killed by LE</v>
      </c>
      <c r="F147" s="8" t="str">
        <f ca="1">IFERROR(__xludf.DUMMYFUNCTION("""COMPUTED_VALUE"""),"Yes")</f>
        <v>Yes</v>
      </c>
      <c r="G147" s="8" t="str">
        <f ca="1">IFERROR(__xludf.DUMMYFUNCTION("""COMPUTED_VALUE"""),"Fatal")</f>
        <v>Fatal</v>
      </c>
    </row>
    <row r="148" spans="1:7" ht="12.75">
      <c r="A148" s="8" t="str">
        <f ca="1">IFERROR(__xludf.DUMMYFUNCTION("""COMPUTED_VALUE"""),"20220524DCPOW")</f>
        <v>20220524DCPOW</v>
      </c>
      <c r="B148" s="8"/>
      <c r="C148" s="8"/>
      <c r="D148" s="8"/>
      <c r="E148" s="8" t="str">
        <f ca="1">IFERROR(__xludf.DUMMYFUNCTION("""COMPUTED_VALUE"""),"Fled/Escaped")</f>
        <v>Fled/Escaped</v>
      </c>
      <c r="F148" s="8" t="str">
        <f ca="1">IFERROR(__xludf.DUMMYFUNCTION("""COMPUTED_VALUE"""),"No")</f>
        <v>No</v>
      </c>
      <c r="G148" s="8" t="str">
        <f ca="1">IFERROR(__xludf.DUMMYFUNCTION("""COMPUTED_VALUE"""),"None")</f>
        <v>None</v>
      </c>
    </row>
    <row r="149" spans="1:7" ht="12.75">
      <c r="A149" s="8" t="str">
        <f ca="1">IFERROR(__xludf.DUMMYFUNCTION("""COMPUTED_VALUE"""),"20220523PASIP")</f>
        <v>20220523PASIP</v>
      </c>
      <c r="B149" s="8"/>
      <c r="C149" s="8"/>
      <c r="D149" s="8"/>
      <c r="E149" s="8" t="str">
        <f ca="1">IFERROR(__xludf.DUMMYFUNCTION("""COMPUTED_VALUE"""),"Fled/Escaped")</f>
        <v>Fled/Escaped</v>
      </c>
      <c r="F149" s="8" t="str">
        <f ca="1">IFERROR(__xludf.DUMMYFUNCTION("""COMPUTED_VALUE"""),"No")</f>
        <v>No</v>
      </c>
      <c r="G149" s="8" t="str">
        <f ca="1">IFERROR(__xludf.DUMMYFUNCTION("""COMPUTED_VALUE"""),"None")</f>
        <v>None</v>
      </c>
    </row>
    <row r="150" spans="1:7" ht="12.75">
      <c r="A150" s="8" t="str">
        <f ca="1">IFERROR(__xludf.DUMMYFUNCTION("""COMPUTED_VALUE"""),"20220520VAPOD")</f>
        <v>20220520VAPOD</v>
      </c>
      <c r="B150" s="8" t="str">
        <f ca="1">IFERROR(__xludf.DUMMYFUNCTION("""COMPUTED_VALUE"""),"Teen")</f>
        <v>Teen</v>
      </c>
      <c r="C150" s="8" t="str">
        <f ca="1">IFERROR(__xludf.DUMMYFUNCTION("""COMPUTED_VALUE"""),"Male")</f>
        <v>Male</v>
      </c>
      <c r="D150" s="8" t="str">
        <f ca="1">IFERROR(__xludf.DUMMYFUNCTION("""COMPUTED_VALUE"""),"Student")</f>
        <v>Student</v>
      </c>
      <c r="E150" s="8" t="str">
        <f ca="1">IFERROR(__xludf.DUMMYFUNCTION("""COMPUTED_VALUE"""),"Apprehended/Killed by SRO")</f>
        <v>Apprehended/Killed by SRO</v>
      </c>
      <c r="F150" s="8" t="str">
        <f ca="1">IFERROR(__xludf.DUMMYFUNCTION("""COMPUTED_VALUE"""),"No")</f>
        <v>No</v>
      </c>
      <c r="G150" s="8" t="str">
        <f ca="1">IFERROR(__xludf.DUMMYFUNCTION("""COMPUTED_VALUE"""),"None")</f>
        <v>None</v>
      </c>
    </row>
    <row r="151" spans="1:7" ht="12.75">
      <c r="A151" s="8" t="str">
        <f ca="1">IFERROR(__xludf.DUMMYFUNCTION("""COMPUTED_VALUE"""),"20220520TNEAC")</f>
        <v>20220520TNEAC</v>
      </c>
      <c r="B151" s="8"/>
      <c r="C151" s="8"/>
      <c r="D151" s="8" t="str">
        <f ca="1">IFERROR(__xludf.DUMMYFUNCTION("""COMPUTED_VALUE"""),"No Relation")</f>
        <v>No Relation</v>
      </c>
      <c r="E151" s="8" t="str">
        <f ca="1">IFERROR(__xludf.DUMMYFUNCTION("""COMPUTED_VALUE"""),"Fled/Escaped")</f>
        <v>Fled/Escaped</v>
      </c>
      <c r="F151" s="8" t="str">
        <f ca="1">IFERROR(__xludf.DUMMYFUNCTION("""COMPUTED_VALUE"""),"No")</f>
        <v>No</v>
      </c>
      <c r="G151" s="8" t="str">
        <f ca="1">IFERROR(__xludf.DUMMYFUNCTION("""COMPUTED_VALUE"""),"None")</f>
        <v>None</v>
      </c>
    </row>
    <row r="152" spans="1:7" ht="12.75">
      <c r="A152" s="8" t="str">
        <f ca="1">IFERROR(__xludf.DUMMYFUNCTION("""COMPUTED_VALUE"""),"20220520OHCAC")</f>
        <v>20220520OHCAC</v>
      </c>
      <c r="B152" s="8" t="str">
        <f ca="1">IFERROR(__xludf.DUMMYFUNCTION("""COMPUTED_VALUE"""),"Teen")</f>
        <v>Teen</v>
      </c>
      <c r="C152" s="8" t="str">
        <f ca="1">IFERROR(__xludf.DUMMYFUNCTION("""COMPUTED_VALUE"""),"Male")</f>
        <v>Male</v>
      </c>
      <c r="D152" s="8" t="str">
        <f ca="1">IFERROR(__xludf.DUMMYFUNCTION("""COMPUTED_VALUE"""),"Student")</f>
        <v>Student</v>
      </c>
      <c r="E152" s="8" t="str">
        <f ca="1">IFERROR(__xludf.DUMMYFUNCTION("""COMPUTED_VALUE"""),"Fled/Apprehended")</f>
        <v>Fled/Apprehended</v>
      </c>
      <c r="F152" s="8" t="str">
        <f ca="1">IFERROR(__xludf.DUMMYFUNCTION("""COMPUTED_VALUE"""),"No")</f>
        <v>No</v>
      </c>
      <c r="G152" s="8" t="str">
        <f ca="1">IFERROR(__xludf.DUMMYFUNCTION("""COMPUTED_VALUE"""),"None")</f>
        <v>None</v>
      </c>
    </row>
    <row r="153" spans="1:7" ht="12.75">
      <c r="A153" s="8" t="str">
        <f ca="1">IFERROR(__xludf.DUMMYFUNCTION("""COMPUTED_VALUE"""),"20220520ILSOP")</f>
        <v>20220520ILSOP</v>
      </c>
      <c r="B153" s="8" t="str">
        <f ca="1">IFERROR(__xludf.DUMMYFUNCTION("""COMPUTED_VALUE"""),"Adult")</f>
        <v>Adult</v>
      </c>
      <c r="C153" s="8" t="str">
        <f ca="1">IFERROR(__xludf.DUMMYFUNCTION("""COMPUTED_VALUE"""),"Female")</f>
        <v>Female</v>
      </c>
      <c r="D153" s="8" t="str">
        <f ca="1">IFERROR(__xludf.DUMMYFUNCTION("""COMPUTED_VALUE"""),"No Relation")</f>
        <v>No Relation</v>
      </c>
      <c r="E153" s="8" t="str">
        <f ca="1">IFERROR(__xludf.DUMMYFUNCTION("""COMPUTED_VALUE"""),"Apprehended/Killed by LE")</f>
        <v>Apprehended/Killed by LE</v>
      </c>
      <c r="F153" s="8" t="str">
        <f ca="1">IFERROR(__xludf.DUMMYFUNCTION("""COMPUTED_VALUE"""),"No")</f>
        <v>No</v>
      </c>
      <c r="G153" s="8" t="str">
        <f ca="1">IFERROR(__xludf.DUMMYFUNCTION("""COMPUTED_VALUE"""),"None")</f>
        <v>None</v>
      </c>
    </row>
    <row r="154" spans="1:7" ht="12.75">
      <c r="A154" s="8" t="str">
        <f ca="1">IFERROR(__xludf.DUMMYFUNCTION("""COMPUTED_VALUE"""),"20220520ALMAT")</f>
        <v>20220520ALMAT</v>
      </c>
      <c r="B154" s="8"/>
      <c r="C154" s="8"/>
      <c r="D154" s="8" t="str">
        <f ca="1">IFERROR(__xludf.DUMMYFUNCTION("""COMPUTED_VALUE"""),"No Relation")</f>
        <v>No Relation</v>
      </c>
      <c r="E154" s="8" t="str">
        <f ca="1">IFERROR(__xludf.DUMMYFUNCTION("""COMPUTED_VALUE"""),"Fled/Escaped")</f>
        <v>Fled/Escaped</v>
      </c>
      <c r="F154" s="8" t="str">
        <f ca="1">IFERROR(__xludf.DUMMYFUNCTION("""COMPUTED_VALUE"""),"No")</f>
        <v>No</v>
      </c>
      <c r="G154" s="8" t="str">
        <f ca="1">IFERROR(__xludf.DUMMYFUNCTION("""COMPUTED_VALUE"""),"None")</f>
        <v>None</v>
      </c>
    </row>
    <row r="155" spans="1:7" ht="12.75">
      <c r="A155" s="8" t="str">
        <f ca="1">IFERROR(__xludf.DUMMYFUNCTION("""COMPUTED_VALUE"""),"20220519VAGER")</f>
        <v>20220519VAGER</v>
      </c>
      <c r="B155" s="8"/>
      <c r="C155" s="8"/>
      <c r="D155" s="8"/>
      <c r="E155" s="8" t="str">
        <f ca="1">IFERROR(__xludf.DUMMYFUNCTION("""COMPUTED_VALUE"""),"Fled/Escaped")</f>
        <v>Fled/Escaped</v>
      </c>
      <c r="F155" s="8" t="str">
        <f ca="1">IFERROR(__xludf.DUMMYFUNCTION("""COMPUTED_VALUE"""),"No")</f>
        <v>No</v>
      </c>
      <c r="G155" s="8" t="str">
        <f ca="1">IFERROR(__xludf.DUMMYFUNCTION("""COMPUTED_VALUE"""),"None")</f>
        <v>None</v>
      </c>
    </row>
    <row r="156" spans="1:7" ht="12.75">
      <c r="A156" s="8" t="str">
        <f ca="1">IFERROR(__xludf.DUMMYFUNCTION("""COMPUTED_VALUE"""),"20220519MIEAK")</f>
        <v>20220519MIEAK</v>
      </c>
      <c r="B156" s="8">
        <f ca="1">IFERROR(__xludf.DUMMYFUNCTION("""COMPUTED_VALUE"""),18)</f>
        <v>18</v>
      </c>
      <c r="C156" s="8" t="str">
        <f ca="1">IFERROR(__xludf.DUMMYFUNCTION("""COMPUTED_VALUE"""),"Male")</f>
        <v>Male</v>
      </c>
      <c r="D156" s="8" t="str">
        <f ca="1">IFERROR(__xludf.DUMMYFUNCTION("""COMPUTED_VALUE"""),"Nonstudent")</f>
        <v>Nonstudent</v>
      </c>
      <c r="E156" s="8" t="str">
        <f ca="1">IFERROR(__xludf.DUMMYFUNCTION("""COMPUTED_VALUE"""),"Fled/Apprehended")</f>
        <v>Fled/Apprehended</v>
      </c>
      <c r="F156" s="8" t="str">
        <f ca="1">IFERROR(__xludf.DUMMYFUNCTION("""COMPUTED_VALUE"""),"No")</f>
        <v>No</v>
      </c>
      <c r="G156" s="8" t="str">
        <f ca="1">IFERROR(__xludf.DUMMYFUNCTION("""COMPUTED_VALUE"""),"None")</f>
        <v>None</v>
      </c>
    </row>
    <row r="157" spans="1:7" ht="12.75">
      <c r="A157" s="8" t="str">
        <f ca="1">IFERROR(__xludf.DUMMYFUNCTION("""COMPUTED_VALUE"""),"20220519MIEAK")</f>
        <v>20220519MIEAK</v>
      </c>
      <c r="B157" s="8">
        <f ca="1">IFERROR(__xludf.DUMMYFUNCTION("""COMPUTED_VALUE"""),18)</f>
        <v>18</v>
      </c>
      <c r="C157" s="8" t="str">
        <f ca="1">IFERROR(__xludf.DUMMYFUNCTION("""COMPUTED_VALUE"""),"Male")</f>
        <v>Male</v>
      </c>
      <c r="D157" s="8" t="str">
        <f ca="1">IFERROR(__xludf.DUMMYFUNCTION("""COMPUTED_VALUE"""),"Nonstudent")</f>
        <v>Nonstudent</v>
      </c>
      <c r="E157" s="8" t="str">
        <f ca="1">IFERROR(__xludf.DUMMYFUNCTION("""COMPUTED_VALUE"""),"Fled/Apprehended")</f>
        <v>Fled/Apprehended</v>
      </c>
      <c r="F157" s="8" t="str">
        <f ca="1">IFERROR(__xludf.DUMMYFUNCTION("""COMPUTED_VALUE"""),"No")</f>
        <v>No</v>
      </c>
      <c r="G157" s="8" t="str">
        <f ca="1">IFERROR(__xludf.DUMMYFUNCTION("""COMPUTED_VALUE"""),"None")</f>
        <v>None</v>
      </c>
    </row>
    <row r="158" spans="1:7" ht="12.75">
      <c r="A158" s="8" t="str">
        <f ca="1">IFERROR(__xludf.DUMMYFUNCTION("""COMPUTED_VALUE"""),"20220519MIEAK")</f>
        <v>20220519MIEAK</v>
      </c>
      <c r="B158" s="8"/>
      <c r="C158" s="8"/>
      <c r="D158" s="8"/>
      <c r="E158" s="8" t="str">
        <f ca="1">IFERROR(__xludf.DUMMYFUNCTION("""COMPUTED_VALUE"""),"Fled/Escaped")</f>
        <v>Fled/Escaped</v>
      </c>
      <c r="F158" s="8" t="str">
        <f ca="1">IFERROR(__xludf.DUMMYFUNCTION("""COMPUTED_VALUE"""),"No")</f>
        <v>No</v>
      </c>
      <c r="G158" s="8" t="str">
        <f ca="1">IFERROR(__xludf.DUMMYFUNCTION("""COMPUTED_VALUE"""),"None")</f>
        <v>None</v>
      </c>
    </row>
    <row r="159" spans="1:7" ht="12.75">
      <c r="A159" s="8" t="str">
        <f ca="1">IFERROR(__xludf.DUMMYFUNCTION("""COMPUTED_VALUE"""),"20220519MIEAK")</f>
        <v>20220519MIEAK</v>
      </c>
      <c r="B159" s="8"/>
      <c r="C159" s="8"/>
      <c r="D159" s="8"/>
      <c r="E159" s="8" t="str">
        <f ca="1">IFERROR(__xludf.DUMMYFUNCTION("""COMPUTED_VALUE"""),"Fled/Escaped")</f>
        <v>Fled/Escaped</v>
      </c>
      <c r="F159" s="8" t="str">
        <f ca="1">IFERROR(__xludf.DUMMYFUNCTION("""COMPUTED_VALUE"""),"No")</f>
        <v>No</v>
      </c>
      <c r="G159" s="8" t="str">
        <f ca="1">IFERROR(__xludf.DUMMYFUNCTION("""COMPUTED_VALUE"""),"None")</f>
        <v>None</v>
      </c>
    </row>
    <row r="160" spans="1:7" ht="12.75">
      <c r="A160" s="8" t="str">
        <f ca="1">IFERROR(__xludf.DUMMYFUNCTION("""COMPUTED_VALUE"""),"20220519MIEAK")</f>
        <v>20220519MIEAK</v>
      </c>
      <c r="B160" s="8"/>
      <c r="C160" s="8"/>
      <c r="D160" s="8"/>
      <c r="E160" s="8" t="str">
        <f ca="1">IFERROR(__xludf.DUMMYFUNCTION("""COMPUTED_VALUE"""),"Fled/Escaped")</f>
        <v>Fled/Escaped</v>
      </c>
      <c r="F160" s="8" t="str">
        <f ca="1">IFERROR(__xludf.DUMMYFUNCTION("""COMPUTED_VALUE"""),"No")</f>
        <v>No</v>
      </c>
      <c r="G160" s="8" t="str">
        <f ca="1">IFERROR(__xludf.DUMMYFUNCTION("""COMPUTED_VALUE"""),"None")</f>
        <v>None</v>
      </c>
    </row>
    <row r="161" spans="1:7" ht="12.75">
      <c r="A161" s="8" t="str">
        <f ca="1">IFERROR(__xludf.DUMMYFUNCTION("""COMPUTED_VALUE"""),"20220518TNRIM")</f>
        <v>20220518TNRIM</v>
      </c>
      <c r="B161" s="8">
        <f ca="1">IFERROR(__xludf.DUMMYFUNCTION("""COMPUTED_VALUE"""),17)</f>
        <v>17</v>
      </c>
      <c r="C161" s="8" t="str">
        <f ca="1">IFERROR(__xludf.DUMMYFUNCTION("""COMPUTED_VALUE"""),"Male")</f>
        <v>Male</v>
      </c>
      <c r="D161" s="8" t="str">
        <f ca="1">IFERROR(__xludf.DUMMYFUNCTION("""COMPUTED_VALUE"""),"Former Student")</f>
        <v>Former Student</v>
      </c>
      <c r="E161" s="8" t="str">
        <f ca="1">IFERROR(__xludf.DUMMYFUNCTION("""COMPUTED_VALUE"""),"Fled/Apprehended")</f>
        <v>Fled/Apprehended</v>
      </c>
      <c r="F161" s="8" t="str">
        <f ca="1">IFERROR(__xludf.DUMMYFUNCTION("""COMPUTED_VALUE"""),"No")</f>
        <v>No</v>
      </c>
      <c r="G161" s="8" t="str">
        <f ca="1">IFERROR(__xludf.DUMMYFUNCTION("""COMPUTED_VALUE"""),"None")</f>
        <v>None</v>
      </c>
    </row>
    <row r="162" spans="1:7" ht="12.75">
      <c r="A162" s="8" t="str">
        <f ca="1">IFERROR(__xludf.DUMMYFUNCTION("""COMPUTED_VALUE"""),"20220518FLPAP")</f>
        <v>20220518FLPAP</v>
      </c>
      <c r="B162" s="8">
        <f ca="1">IFERROR(__xludf.DUMMYFUNCTION("""COMPUTED_VALUE"""),13)</f>
        <v>13</v>
      </c>
      <c r="C162" s="8" t="str">
        <f ca="1">IFERROR(__xludf.DUMMYFUNCTION("""COMPUTED_VALUE"""),"Male")</f>
        <v>Male</v>
      </c>
      <c r="D162" s="8" t="str">
        <f ca="1">IFERROR(__xludf.DUMMYFUNCTION("""COMPUTED_VALUE"""),"Nonstudent Using Athletic Facilities/Attending Game")</f>
        <v>Nonstudent Using Athletic Facilities/Attending Game</v>
      </c>
      <c r="E162" s="8" t="str">
        <f ca="1">IFERROR(__xludf.DUMMYFUNCTION("""COMPUTED_VALUE"""),"Fled/Escaped")</f>
        <v>Fled/Escaped</v>
      </c>
      <c r="F162" s="8" t="str">
        <f ca="1">IFERROR(__xludf.DUMMYFUNCTION("""COMPUTED_VALUE"""),"No")</f>
        <v>No</v>
      </c>
      <c r="G162" s="8" t="str">
        <f ca="1">IFERROR(__xludf.DUMMYFUNCTION("""COMPUTED_VALUE"""),"None")</f>
        <v>None</v>
      </c>
    </row>
    <row r="163" spans="1:7" ht="12.75">
      <c r="A163" s="8" t="str">
        <f ca="1">IFERROR(__xludf.DUMMYFUNCTION("""COMPUTED_VALUE"""),"20220517ILWAC")</f>
        <v>20220517ILWAC</v>
      </c>
      <c r="B163" s="8">
        <f ca="1">IFERROR(__xludf.DUMMYFUNCTION("""COMPUTED_VALUE"""),7)</f>
        <v>7</v>
      </c>
      <c r="C163" s="8"/>
      <c r="D163" s="8" t="str">
        <f ca="1">IFERROR(__xludf.DUMMYFUNCTION("""COMPUTED_VALUE"""),"Student")</f>
        <v>Student</v>
      </c>
      <c r="E163" s="8" t="str">
        <f ca="1">IFERROR(__xludf.DUMMYFUNCTION("""COMPUTED_VALUE"""),"Surrendered")</f>
        <v>Surrendered</v>
      </c>
      <c r="F163" s="8" t="str">
        <f ca="1">IFERROR(__xludf.DUMMYFUNCTION("""COMPUTED_VALUE"""),"No")</f>
        <v>No</v>
      </c>
      <c r="G163" s="8" t="str">
        <f ca="1">IFERROR(__xludf.DUMMYFUNCTION("""COMPUTED_VALUE"""),"None")</f>
        <v>None</v>
      </c>
    </row>
    <row r="164" spans="1:7" ht="12.75">
      <c r="A164" s="8" t="str">
        <f ca="1">IFERROR(__xludf.DUMMYFUNCTION("""COMPUTED_VALUE"""),"20220517CASAS")</f>
        <v>20220517CASAS</v>
      </c>
      <c r="B164" s="8"/>
      <c r="C164" s="8"/>
      <c r="D164" s="8" t="str">
        <f ca="1">IFERROR(__xludf.DUMMYFUNCTION("""COMPUTED_VALUE"""),"No Relation")</f>
        <v>No Relation</v>
      </c>
      <c r="E164" s="8" t="str">
        <f ca="1">IFERROR(__xludf.DUMMYFUNCTION("""COMPUTED_VALUE"""),"Fled/Escaped")</f>
        <v>Fled/Escaped</v>
      </c>
      <c r="F164" s="8" t="str">
        <f ca="1">IFERROR(__xludf.DUMMYFUNCTION("""COMPUTED_VALUE"""),"No")</f>
        <v>No</v>
      </c>
      <c r="G164" s="8" t="str">
        <f ca="1">IFERROR(__xludf.DUMMYFUNCTION("""COMPUTED_VALUE"""),"None")</f>
        <v>None</v>
      </c>
    </row>
    <row r="165" spans="1:7" ht="12.75">
      <c r="A165" s="8" t="str">
        <f ca="1">IFERROR(__xludf.DUMMYFUNCTION("""COMPUTED_VALUE"""),"20220516TXMEM")</f>
        <v>20220516TXMEM</v>
      </c>
      <c r="B165" s="8" t="str">
        <f ca="1">IFERROR(__xludf.DUMMYFUNCTION("""COMPUTED_VALUE"""),"Teen")</f>
        <v>Teen</v>
      </c>
      <c r="C165" s="8"/>
      <c r="D165" s="8" t="str">
        <f ca="1">IFERROR(__xludf.DUMMYFUNCTION("""COMPUTED_VALUE"""),"Student")</f>
        <v>Student</v>
      </c>
      <c r="E165" s="8" t="str">
        <f ca="1">IFERROR(__xludf.DUMMYFUNCTION("""COMPUTED_VALUE"""),"Apprehended/Killed by LE")</f>
        <v>Apprehended/Killed by LE</v>
      </c>
      <c r="F165" s="8" t="str">
        <f ca="1">IFERROR(__xludf.DUMMYFUNCTION("""COMPUTED_VALUE"""),"No")</f>
        <v>No</v>
      </c>
      <c r="G165" s="8" t="str">
        <f ca="1">IFERROR(__xludf.DUMMYFUNCTION("""COMPUTED_VALUE"""),"None")</f>
        <v>None</v>
      </c>
    </row>
    <row r="166" spans="1:7" ht="12.75">
      <c r="A166" s="8" t="str">
        <f ca="1">IFERROR(__xludf.DUMMYFUNCTION("""COMPUTED_VALUE"""),"20220515NHBEB")</f>
        <v>20220515NHBEB</v>
      </c>
      <c r="B166" s="8" t="str">
        <f ca="1">IFERROR(__xludf.DUMMYFUNCTION("""COMPUTED_VALUE"""),"Teen")</f>
        <v>Teen</v>
      </c>
      <c r="C166" s="8" t="str">
        <f ca="1">IFERROR(__xludf.DUMMYFUNCTION("""COMPUTED_VALUE"""),"Male")</f>
        <v>Male</v>
      </c>
      <c r="D166" s="8" t="str">
        <f ca="1">IFERROR(__xludf.DUMMYFUNCTION("""COMPUTED_VALUE"""),"No Relation")</f>
        <v>No Relation</v>
      </c>
      <c r="E166" s="8" t="str">
        <f ca="1">IFERROR(__xludf.DUMMYFUNCTION("""COMPUTED_VALUE"""),"Fled/Escaped")</f>
        <v>Fled/Escaped</v>
      </c>
      <c r="F166" s="8" t="str">
        <f ca="1">IFERROR(__xludf.DUMMYFUNCTION("""COMPUTED_VALUE"""),"No")</f>
        <v>No</v>
      </c>
      <c r="G166" s="8" t="str">
        <f ca="1">IFERROR(__xludf.DUMMYFUNCTION("""COMPUTED_VALUE"""),"None")</f>
        <v>None</v>
      </c>
    </row>
    <row r="167" spans="1:7" ht="12.75">
      <c r="A167" s="8" t="str">
        <f ca="1">IFERROR(__xludf.DUMMYFUNCTION("""COMPUTED_VALUE"""),"20220515NHBEB")</f>
        <v>20220515NHBEB</v>
      </c>
      <c r="B167" s="8" t="str">
        <f ca="1">IFERROR(__xludf.DUMMYFUNCTION("""COMPUTED_VALUE"""),"Teen")</f>
        <v>Teen</v>
      </c>
      <c r="C167" s="8" t="str">
        <f ca="1">IFERROR(__xludf.DUMMYFUNCTION("""COMPUTED_VALUE"""),"Male")</f>
        <v>Male</v>
      </c>
      <c r="D167" s="8" t="str">
        <f ca="1">IFERROR(__xludf.DUMMYFUNCTION("""COMPUTED_VALUE"""),"No Relation")</f>
        <v>No Relation</v>
      </c>
      <c r="E167" s="8" t="str">
        <f ca="1">IFERROR(__xludf.DUMMYFUNCTION("""COMPUTED_VALUE"""),"Fled/Escaped")</f>
        <v>Fled/Escaped</v>
      </c>
      <c r="F167" s="8" t="str">
        <f ca="1">IFERROR(__xludf.DUMMYFUNCTION("""COMPUTED_VALUE"""),"No")</f>
        <v>No</v>
      </c>
      <c r="G167" s="8" t="str">
        <f ca="1">IFERROR(__xludf.DUMMYFUNCTION("""COMPUTED_VALUE"""),"None")</f>
        <v>None</v>
      </c>
    </row>
    <row r="168" spans="1:7" ht="12.75">
      <c r="A168" s="8" t="str">
        <f ca="1">IFERROR(__xludf.DUMMYFUNCTION("""COMPUTED_VALUE"""),"20220515ILMEP")</f>
        <v>20220515ILMEP</v>
      </c>
      <c r="B168" s="8">
        <f ca="1">IFERROR(__xludf.DUMMYFUNCTION("""COMPUTED_VALUE"""),16)</f>
        <v>16</v>
      </c>
      <c r="C168" s="8" t="str">
        <f ca="1">IFERROR(__xludf.DUMMYFUNCTION("""COMPUTED_VALUE"""),"Male")</f>
        <v>Male</v>
      </c>
      <c r="D168" s="8" t="str">
        <f ca="1">IFERROR(__xludf.DUMMYFUNCTION("""COMPUTED_VALUE"""),"No Relation")</f>
        <v>No Relation</v>
      </c>
      <c r="E168" s="8" t="str">
        <f ca="1">IFERROR(__xludf.DUMMYFUNCTION("""COMPUTED_VALUE"""),"Fled/Apprehended")</f>
        <v>Fled/Apprehended</v>
      </c>
      <c r="F168" s="8" t="str">
        <f ca="1">IFERROR(__xludf.DUMMYFUNCTION("""COMPUTED_VALUE"""),"No")</f>
        <v>No</v>
      </c>
      <c r="G168" s="8" t="str">
        <f ca="1">IFERROR(__xludf.DUMMYFUNCTION("""COMPUTED_VALUE"""),"None")</f>
        <v>None</v>
      </c>
    </row>
    <row r="169" spans="1:7" ht="12.75">
      <c r="A169" s="8" t="str">
        <f ca="1">IFERROR(__xludf.DUMMYFUNCTION("""COMPUTED_VALUE"""),"20220513GASOM")</f>
        <v>20220513GASOM</v>
      </c>
      <c r="B169" s="8"/>
      <c r="C169" s="8"/>
      <c r="D169" s="8"/>
      <c r="E169" s="8" t="str">
        <f ca="1">IFERROR(__xludf.DUMMYFUNCTION("""COMPUTED_VALUE"""),"Fled/Escaped")</f>
        <v>Fled/Escaped</v>
      </c>
      <c r="F169" s="8" t="str">
        <f ca="1">IFERROR(__xludf.DUMMYFUNCTION("""COMPUTED_VALUE"""),"No")</f>
        <v>No</v>
      </c>
      <c r="G169" s="8" t="str">
        <f ca="1">IFERROR(__xludf.DUMMYFUNCTION("""COMPUTED_VALUE"""),"None")</f>
        <v>None</v>
      </c>
    </row>
    <row r="170" spans="1:7" ht="12.75">
      <c r="A170" s="8" t="str">
        <f ca="1">IFERROR(__xludf.DUMMYFUNCTION("""COMPUTED_VALUE"""),"20220513FLALW")</f>
        <v>20220513FLALW</v>
      </c>
      <c r="B170" s="8"/>
      <c r="C170" s="8"/>
      <c r="D170" s="8" t="str">
        <f ca="1">IFERROR(__xludf.DUMMYFUNCTION("""COMPUTED_VALUE"""),"Police Officer/SRO")</f>
        <v>Police Officer/SRO</v>
      </c>
      <c r="E170" s="8"/>
      <c r="F170" s="8"/>
      <c r="G170" s="8"/>
    </row>
    <row r="171" spans="1:7" ht="12.75">
      <c r="A171" s="8" t="str">
        <f ca="1">IFERROR(__xludf.DUMMYFUNCTION("""COMPUTED_VALUE"""),"20220512TXHEH")</f>
        <v>20220512TXHEH</v>
      </c>
      <c r="B171" s="8">
        <f ca="1">IFERROR(__xludf.DUMMYFUNCTION("""COMPUTED_VALUE"""),18)</f>
        <v>18</v>
      </c>
      <c r="C171" s="8" t="str">
        <f ca="1">IFERROR(__xludf.DUMMYFUNCTION("""COMPUTED_VALUE"""),"Male")</f>
        <v>Male</v>
      </c>
      <c r="D171" s="8" t="str">
        <f ca="1">IFERROR(__xludf.DUMMYFUNCTION("""COMPUTED_VALUE"""),"Student")</f>
        <v>Student</v>
      </c>
      <c r="E171" s="8" t="str">
        <f ca="1">IFERROR(__xludf.DUMMYFUNCTION("""COMPUTED_VALUE"""),"Fled/Apprehended")</f>
        <v>Fled/Apprehended</v>
      </c>
      <c r="F171" s="8" t="str">
        <f ca="1">IFERROR(__xludf.DUMMYFUNCTION("""COMPUTED_VALUE"""),"No")</f>
        <v>No</v>
      </c>
      <c r="G171" s="8" t="str">
        <f ca="1">IFERROR(__xludf.DUMMYFUNCTION("""COMPUTED_VALUE"""),"None")</f>
        <v>None</v>
      </c>
    </row>
    <row r="172" spans="1:7" ht="12.75">
      <c r="A172" s="8" t="str">
        <f ca="1">IFERROR(__xludf.DUMMYFUNCTION("""COMPUTED_VALUE"""),"20220512ARHOH")</f>
        <v>20220512ARHOH</v>
      </c>
      <c r="B172" s="8">
        <f ca="1">IFERROR(__xludf.DUMMYFUNCTION("""COMPUTED_VALUE"""),25)</f>
        <v>25</v>
      </c>
      <c r="C172" s="8" t="str">
        <f ca="1">IFERROR(__xludf.DUMMYFUNCTION("""COMPUTED_VALUE"""),"Male")</f>
        <v>Male</v>
      </c>
      <c r="D172" s="8"/>
      <c r="E172" s="8" t="str">
        <f ca="1">IFERROR(__xludf.DUMMYFUNCTION("""COMPUTED_VALUE"""),"Fled/Apprehended")</f>
        <v>Fled/Apprehended</v>
      </c>
      <c r="F172" s="8" t="str">
        <f ca="1">IFERROR(__xludf.DUMMYFUNCTION("""COMPUTED_VALUE"""),"No")</f>
        <v>No</v>
      </c>
      <c r="G172" s="8" t="str">
        <f ca="1">IFERROR(__xludf.DUMMYFUNCTION("""COMPUTED_VALUE"""),"Wounded")</f>
        <v>Wounded</v>
      </c>
    </row>
    <row r="173" spans="1:7" ht="12.75">
      <c r="A173" s="8" t="str">
        <f ca="1">IFERROR(__xludf.DUMMYFUNCTION("""COMPUTED_VALUE"""),"20220511FLJAJ")</f>
        <v>20220511FLJAJ</v>
      </c>
      <c r="B173" s="8"/>
      <c r="C173" s="8" t="str">
        <f ca="1">IFERROR(__xludf.DUMMYFUNCTION("""COMPUTED_VALUE"""),"Male")</f>
        <v>Male</v>
      </c>
      <c r="D173" s="8"/>
      <c r="E173" s="8" t="str">
        <f ca="1">IFERROR(__xludf.DUMMYFUNCTION("""COMPUTED_VALUE"""),"Fled/Escaped")</f>
        <v>Fled/Escaped</v>
      </c>
      <c r="F173" s="8" t="str">
        <f ca="1">IFERROR(__xludf.DUMMYFUNCTION("""COMPUTED_VALUE"""),"No")</f>
        <v>No</v>
      </c>
      <c r="G173" s="8" t="str">
        <f ca="1">IFERROR(__xludf.DUMMYFUNCTION("""COMPUTED_VALUE"""),"None")</f>
        <v>None</v>
      </c>
    </row>
    <row r="174" spans="1:7" ht="12.75">
      <c r="A174" s="8" t="str">
        <f ca="1">IFERROR(__xludf.DUMMYFUNCTION("""COMPUTED_VALUE"""),"20220509NYEDS")</f>
        <v>20220509NYEDS</v>
      </c>
      <c r="B174" s="8" t="str">
        <f ca="1">IFERROR(__xludf.DUMMYFUNCTION("""COMPUTED_VALUE"""),"Adult")</f>
        <v>Adult</v>
      </c>
      <c r="C174" s="8" t="str">
        <f ca="1">IFERROR(__xludf.DUMMYFUNCTION("""COMPUTED_VALUE"""),"Male")</f>
        <v>Male</v>
      </c>
      <c r="D174" s="8"/>
      <c r="E174" s="8" t="str">
        <f ca="1">IFERROR(__xludf.DUMMYFUNCTION("""COMPUTED_VALUE"""),"Fled/Escaped")</f>
        <v>Fled/Escaped</v>
      </c>
      <c r="F174" s="8" t="str">
        <f ca="1">IFERROR(__xludf.DUMMYFUNCTION("""COMPUTED_VALUE"""),"No")</f>
        <v>No</v>
      </c>
      <c r="G174" s="8" t="str">
        <f ca="1">IFERROR(__xludf.DUMMYFUNCTION("""COMPUTED_VALUE"""),"None")</f>
        <v>None</v>
      </c>
    </row>
    <row r="175" spans="1:7" ht="12.75">
      <c r="A175" s="8" t="str">
        <f ca="1">IFERROR(__xludf.DUMMYFUNCTION("""COMPUTED_VALUE"""),"20220509GARIS")</f>
        <v>20220509GARIS</v>
      </c>
      <c r="B175" s="8">
        <f ca="1">IFERROR(__xludf.DUMMYFUNCTION("""COMPUTED_VALUE"""),57)</f>
        <v>57</v>
      </c>
      <c r="C175" s="8" t="str">
        <f ca="1">IFERROR(__xludf.DUMMYFUNCTION("""COMPUTED_VALUE"""),"Female")</f>
        <v>Female</v>
      </c>
      <c r="D175" s="8" t="str">
        <f ca="1">IFERROR(__xludf.DUMMYFUNCTION("""COMPUTED_VALUE"""),"No Relation")</f>
        <v>No Relation</v>
      </c>
      <c r="E175" s="8" t="str">
        <f ca="1">IFERROR(__xludf.DUMMYFUNCTION("""COMPUTED_VALUE"""),"Fled/Apprehended")</f>
        <v>Fled/Apprehended</v>
      </c>
      <c r="F175" s="8" t="str">
        <f ca="1">IFERROR(__xludf.DUMMYFUNCTION("""COMPUTED_VALUE"""),"No")</f>
        <v>No</v>
      </c>
      <c r="G175" s="8" t="str">
        <f ca="1">IFERROR(__xludf.DUMMYFUNCTION("""COMPUTED_VALUE"""),"None")</f>
        <v>None</v>
      </c>
    </row>
    <row r="176" spans="1:7" ht="12.75">
      <c r="A176" s="8" t="str">
        <f ca="1">IFERROR(__xludf.DUMMYFUNCTION("""COMPUTED_VALUE"""),"20220505OHLOL")</f>
        <v>20220505OHLOL</v>
      </c>
      <c r="B176" s="8">
        <f ca="1">IFERROR(__xludf.DUMMYFUNCTION("""COMPUTED_VALUE"""),13)</f>
        <v>13</v>
      </c>
      <c r="C176" s="8" t="str">
        <f ca="1">IFERROR(__xludf.DUMMYFUNCTION("""COMPUTED_VALUE"""),"Male")</f>
        <v>Male</v>
      </c>
      <c r="D176" s="8" t="str">
        <f ca="1">IFERROR(__xludf.DUMMYFUNCTION("""COMPUTED_VALUE"""),"Student")</f>
        <v>Student</v>
      </c>
      <c r="E176" s="8" t="str">
        <f ca="1">IFERROR(__xludf.DUMMYFUNCTION("""COMPUTED_VALUE"""),"Suicide")</f>
        <v>Suicide</v>
      </c>
      <c r="F176" s="8" t="str">
        <f ca="1">IFERROR(__xludf.DUMMYFUNCTION("""COMPUTED_VALUE"""),"Yes")</f>
        <v>Yes</v>
      </c>
      <c r="G176" s="8" t="str">
        <f ca="1">IFERROR(__xludf.DUMMYFUNCTION("""COMPUTED_VALUE"""),"Suicide")</f>
        <v>Suicide</v>
      </c>
    </row>
    <row r="177" spans="1:7" ht="12.75">
      <c r="A177" s="8" t="str">
        <f ca="1">IFERROR(__xludf.DUMMYFUNCTION("""COMPUTED_VALUE"""),"20220505OHLOL")</f>
        <v>20220505OHLOL</v>
      </c>
      <c r="B177" s="8" t="str">
        <f ca="1">IFERROR(__xludf.DUMMYFUNCTION("""COMPUTED_VALUE"""),"Adult")</f>
        <v>Adult</v>
      </c>
      <c r="C177" s="8" t="str">
        <f ca="1">IFERROR(__xludf.DUMMYFUNCTION("""COMPUTED_VALUE"""),"Female")</f>
        <v>Female</v>
      </c>
      <c r="D177" s="8" t="str">
        <f ca="1">IFERROR(__xludf.DUMMYFUNCTION("""COMPUTED_VALUE"""),"Parent")</f>
        <v>Parent</v>
      </c>
      <c r="E177" s="8" t="str">
        <f ca="1">IFERROR(__xludf.DUMMYFUNCTION("""COMPUTED_VALUE"""),"Apprehended/Killed by LE")</f>
        <v>Apprehended/Killed by LE</v>
      </c>
      <c r="F177" s="8" t="str">
        <f ca="1">IFERROR(__xludf.DUMMYFUNCTION("""COMPUTED_VALUE"""),"No")</f>
        <v>No</v>
      </c>
      <c r="G177" s="8" t="str">
        <f ca="1">IFERROR(__xludf.DUMMYFUNCTION("""COMPUTED_VALUE"""),"None")</f>
        <v>None</v>
      </c>
    </row>
    <row r="178" spans="1:7" ht="12.75">
      <c r="A178" s="8" t="str">
        <f ca="1">IFERROR(__xludf.DUMMYFUNCTION("""COMPUTED_VALUE"""),"20220505ALDOD")</f>
        <v>20220505ALDOD</v>
      </c>
      <c r="B178" s="8">
        <f ca="1">IFERROR(__xludf.DUMMYFUNCTION("""COMPUTED_VALUE"""),20)</f>
        <v>20</v>
      </c>
      <c r="C178" s="8" t="str">
        <f ca="1">IFERROR(__xludf.DUMMYFUNCTION("""COMPUTED_VALUE"""),"Male")</f>
        <v>Male</v>
      </c>
      <c r="D178" s="8" t="str">
        <f ca="1">IFERROR(__xludf.DUMMYFUNCTION("""COMPUTED_VALUE"""),"No Relation")</f>
        <v>No Relation</v>
      </c>
      <c r="E178" s="8" t="str">
        <f ca="1">IFERROR(__xludf.DUMMYFUNCTION("""COMPUTED_VALUE"""),"Apprehended/Killed by LE")</f>
        <v>Apprehended/Killed by LE</v>
      </c>
      <c r="F178" s="8" t="str">
        <f ca="1">IFERROR(__xludf.DUMMYFUNCTION("""COMPUTED_VALUE"""),"No")</f>
        <v>No</v>
      </c>
      <c r="G178" s="8" t="str">
        <f ca="1">IFERROR(__xludf.DUMMYFUNCTION("""COMPUTED_VALUE"""),"None")</f>
        <v>None</v>
      </c>
    </row>
    <row r="179" spans="1:7" ht="12.75">
      <c r="A179" s="8" t="str">
        <f ca="1">IFERROR(__xludf.DUMMYFUNCTION("""COMPUTED_VALUE"""),"20220503CAARS")</f>
        <v>20220503CAARS</v>
      </c>
      <c r="B179" s="8"/>
      <c r="C179" s="8"/>
      <c r="D179" s="8" t="str">
        <f ca="1">IFERROR(__xludf.DUMMYFUNCTION("""COMPUTED_VALUE"""),"No Relation")</f>
        <v>No Relation</v>
      </c>
      <c r="E179" s="8" t="str">
        <f ca="1">IFERROR(__xludf.DUMMYFUNCTION("""COMPUTED_VALUE"""),"Fled/Escaped")</f>
        <v>Fled/Escaped</v>
      </c>
      <c r="F179" s="8" t="str">
        <f ca="1">IFERROR(__xludf.DUMMYFUNCTION("""COMPUTED_VALUE"""),"No")</f>
        <v>No</v>
      </c>
      <c r="G179" s="8" t="str">
        <f ca="1">IFERROR(__xludf.DUMMYFUNCTION("""COMPUTED_VALUE"""),"None")</f>
        <v>None</v>
      </c>
    </row>
    <row r="180" spans="1:7" ht="12.75">
      <c r="A180" s="8" t="str">
        <f ca="1">IFERROR(__xludf.DUMMYFUNCTION("""COMPUTED_VALUE"""),"20220501VALOM")</f>
        <v>20220501VALOM</v>
      </c>
      <c r="B180" s="8" t="str">
        <f ca="1">IFERROR(__xludf.DUMMYFUNCTION("""COMPUTED_VALUE"""),"Adult")</f>
        <v>Adult</v>
      </c>
      <c r="C180" s="8" t="str">
        <f ca="1">IFERROR(__xludf.DUMMYFUNCTION("""COMPUTED_VALUE"""),"Male")</f>
        <v>Male</v>
      </c>
      <c r="D180" s="8" t="str">
        <f ca="1">IFERROR(__xludf.DUMMYFUNCTION("""COMPUTED_VALUE"""),"Nonstudent Using Athletic Facilities/Attending Game")</f>
        <v>Nonstudent Using Athletic Facilities/Attending Game</v>
      </c>
      <c r="E180" s="8" t="str">
        <f ca="1">IFERROR(__xludf.DUMMYFUNCTION("""COMPUTED_VALUE"""),"Fled/Escaped")</f>
        <v>Fled/Escaped</v>
      </c>
      <c r="F180" s="8" t="str">
        <f ca="1">IFERROR(__xludf.DUMMYFUNCTION("""COMPUTED_VALUE"""),"No")</f>
        <v>No</v>
      </c>
      <c r="G180" s="8" t="str">
        <f ca="1">IFERROR(__xludf.DUMMYFUNCTION("""COMPUTED_VALUE"""),"None")</f>
        <v>None</v>
      </c>
    </row>
    <row r="181" spans="1:7" ht="12.75">
      <c r="A181" s="8" t="str">
        <f ca="1">IFERROR(__xludf.DUMMYFUNCTION("""COMPUTED_VALUE"""),"20220501OHHAC")</f>
        <v>20220501OHHAC</v>
      </c>
      <c r="B181" s="8"/>
      <c r="C181" s="8"/>
      <c r="D181" s="8"/>
      <c r="E181" s="8" t="str">
        <f ca="1">IFERROR(__xludf.DUMMYFUNCTION("""COMPUTED_VALUE"""),"Fled/Escaped")</f>
        <v>Fled/Escaped</v>
      </c>
      <c r="F181" s="8" t="str">
        <f ca="1">IFERROR(__xludf.DUMMYFUNCTION("""COMPUTED_VALUE"""),"No")</f>
        <v>No</v>
      </c>
      <c r="G181" s="8" t="str">
        <f ca="1">IFERROR(__xludf.DUMMYFUNCTION("""COMPUTED_VALUE"""),"None")</f>
        <v>None</v>
      </c>
    </row>
    <row r="182" spans="1:7" ht="12.75">
      <c r="A182" s="8" t="str">
        <f ca="1">IFERROR(__xludf.DUMMYFUNCTION("""COMPUTED_VALUE"""),"20220430PAMCJ")</f>
        <v>20220430PAMCJ</v>
      </c>
      <c r="B182" s="8" t="str">
        <f ca="1">IFERROR(__xludf.DUMMYFUNCTION("""COMPUTED_VALUE"""),"Adult")</f>
        <v>Adult</v>
      </c>
      <c r="C182" s="8" t="str">
        <f ca="1">IFERROR(__xludf.DUMMYFUNCTION("""COMPUTED_VALUE"""),"Male")</f>
        <v>Male</v>
      </c>
      <c r="D182" s="8" t="str">
        <f ca="1">IFERROR(__xludf.DUMMYFUNCTION("""COMPUTED_VALUE"""),"Nonstudent Using Athletic Facilities/Attending Game")</f>
        <v>Nonstudent Using Athletic Facilities/Attending Game</v>
      </c>
      <c r="E182" s="8" t="str">
        <f ca="1">IFERROR(__xludf.DUMMYFUNCTION("""COMPUTED_VALUE"""),"Fled/Escaped")</f>
        <v>Fled/Escaped</v>
      </c>
      <c r="F182" s="8" t="str">
        <f ca="1">IFERROR(__xludf.DUMMYFUNCTION("""COMPUTED_VALUE"""),"No")</f>
        <v>No</v>
      </c>
      <c r="G182" s="8" t="str">
        <f ca="1">IFERROR(__xludf.DUMMYFUNCTION("""COMPUTED_VALUE"""),"None")</f>
        <v>None</v>
      </c>
    </row>
    <row r="183" spans="1:7" ht="12.75">
      <c r="A183" s="8" t="str">
        <f ca="1">IFERROR(__xludf.DUMMYFUNCTION("""COMPUTED_VALUE"""),"20220427TXMOS")</f>
        <v>20220427TXMOS</v>
      </c>
      <c r="B183" s="8"/>
      <c r="C183" s="8"/>
      <c r="D183" s="8" t="str">
        <f ca="1">IFERROR(__xludf.DUMMYFUNCTION("""COMPUTED_VALUE"""),"Police Officer/SRO")</f>
        <v>Police Officer/SRO</v>
      </c>
      <c r="E183" s="8"/>
      <c r="F183" s="8"/>
      <c r="G183" s="8"/>
    </row>
    <row r="184" spans="1:7" ht="12.75">
      <c r="A184" s="8" t="str">
        <f ca="1">IFERROR(__xludf.DUMMYFUNCTION("""COMPUTED_VALUE"""),"20220427INCOS")</f>
        <v>20220427INCOS</v>
      </c>
      <c r="B184" s="8" t="str">
        <f ca="1">IFERROR(__xludf.DUMMYFUNCTION("""COMPUTED_VALUE"""),"Child")</f>
        <v>Child</v>
      </c>
      <c r="C184" s="8"/>
      <c r="D184" s="8" t="str">
        <f ca="1">IFERROR(__xludf.DUMMYFUNCTION("""COMPUTED_VALUE"""),"Student")</f>
        <v>Student</v>
      </c>
      <c r="E184" s="8" t="str">
        <f ca="1">IFERROR(__xludf.DUMMYFUNCTION("""COMPUTED_VALUE"""),"Fled/Apprehended")</f>
        <v>Fled/Apprehended</v>
      </c>
      <c r="F184" s="8" t="str">
        <f ca="1">IFERROR(__xludf.DUMMYFUNCTION("""COMPUTED_VALUE"""),"No")</f>
        <v>No</v>
      </c>
      <c r="G184" s="8" t="str">
        <f ca="1">IFERROR(__xludf.DUMMYFUNCTION("""COMPUTED_VALUE"""),"None")</f>
        <v>None</v>
      </c>
    </row>
    <row r="185" spans="1:7" ht="12.75">
      <c r="A185" s="8" t="str">
        <f ca="1">IFERROR(__xludf.DUMMYFUNCTION("""COMPUTED_VALUE"""),"20220426MIASI")</f>
        <v>20220426MIASI</v>
      </c>
      <c r="B185" s="8" t="str">
        <f ca="1">IFERROR(__xludf.DUMMYFUNCTION("""COMPUTED_VALUE"""),"Child")</f>
        <v>Child</v>
      </c>
      <c r="C185" s="8"/>
      <c r="D185" s="8" t="str">
        <f ca="1">IFERROR(__xludf.DUMMYFUNCTION("""COMPUTED_VALUE"""),"Student")</f>
        <v>Student</v>
      </c>
      <c r="E185" s="8" t="str">
        <f ca="1">IFERROR(__xludf.DUMMYFUNCTION("""COMPUTED_VALUE"""),"Suicide")</f>
        <v>Suicide</v>
      </c>
      <c r="F185" s="8" t="str">
        <f ca="1">IFERROR(__xludf.DUMMYFUNCTION("""COMPUTED_VALUE"""),"Yes")</f>
        <v>Yes</v>
      </c>
      <c r="G185" s="8" t="str">
        <f ca="1">IFERROR(__xludf.DUMMYFUNCTION("""COMPUTED_VALUE"""),"Suicide")</f>
        <v>Suicide</v>
      </c>
    </row>
    <row r="186" spans="1:7" ht="12.75">
      <c r="A186" s="8" t="str">
        <f ca="1">IFERROR(__xludf.DUMMYFUNCTION("""COMPUTED_VALUE"""),"20220426GASOM")</f>
        <v>20220426GASOM</v>
      </c>
      <c r="B186" s="8"/>
      <c r="C186" s="8"/>
      <c r="D186" s="8"/>
      <c r="E186" s="8" t="str">
        <f ca="1">IFERROR(__xludf.DUMMYFUNCTION("""COMPUTED_VALUE"""),"Fled/Escaped")</f>
        <v>Fled/Escaped</v>
      </c>
      <c r="F186" s="8" t="str">
        <f ca="1">IFERROR(__xludf.DUMMYFUNCTION("""COMPUTED_VALUE"""),"No")</f>
        <v>No</v>
      </c>
      <c r="G186" s="8" t="str">
        <f ca="1">IFERROR(__xludf.DUMMYFUNCTION("""COMPUTED_VALUE"""),"None")</f>
        <v>None</v>
      </c>
    </row>
    <row r="187" spans="1:7" ht="12.75">
      <c r="A187" s="8" t="str">
        <f ca="1">IFERROR(__xludf.DUMMYFUNCTION("""COMPUTED_VALUE"""),"20220426GASOM")</f>
        <v>20220426GASOM</v>
      </c>
      <c r="B187" s="8" t="str">
        <f ca="1">IFERROR(__xludf.DUMMYFUNCTION("""COMPUTED_VALUE"""),"Adult")</f>
        <v>Adult</v>
      </c>
      <c r="C187" s="8" t="str">
        <f ca="1">IFERROR(__xludf.DUMMYFUNCTION("""COMPUTED_VALUE"""),"Female")</f>
        <v>Female</v>
      </c>
      <c r="D187" s="8"/>
      <c r="E187" s="8" t="str">
        <f ca="1">IFERROR(__xludf.DUMMYFUNCTION("""COMPUTED_VALUE"""),"Fled/Escaped")</f>
        <v>Fled/Escaped</v>
      </c>
      <c r="F187" s="8" t="str">
        <f ca="1">IFERROR(__xludf.DUMMYFUNCTION("""COMPUTED_VALUE"""),"No")</f>
        <v>No</v>
      </c>
      <c r="G187" s="8" t="str">
        <f ca="1">IFERROR(__xludf.DUMMYFUNCTION("""COMPUTED_VALUE"""),"None")</f>
        <v>None</v>
      </c>
    </row>
    <row r="188" spans="1:7" ht="12.75">
      <c r="A188" s="8" t="str">
        <f ca="1">IFERROR(__xludf.DUMMYFUNCTION("""COMPUTED_VALUE"""),"20220425WIWIM")</f>
        <v>20220425WIWIM</v>
      </c>
      <c r="B188" s="8"/>
      <c r="C188" s="8"/>
      <c r="D188" s="8"/>
      <c r="E188" s="8" t="str">
        <f ca="1">IFERROR(__xludf.DUMMYFUNCTION("""COMPUTED_VALUE"""),"Fled/Escaped")</f>
        <v>Fled/Escaped</v>
      </c>
      <c r="F188" s="8" t="str">
        <f ca="1">IFERROR(__xludf.DUMMYFUNCTION("""COMPUTED_VALUE"""),"No")</f>
        <v>No</v>
      </c>
      <c r="G188" s="8" t="str">
        <f ca="1">IFERROR(__xludf.DUMMYFUNCTION("""COMPUTED_VALUE"""),"None")</f>
        <v>None</v>
      </c>
    </row>
    <row r="189" spans="1:7" ht="12.75">
      <c r="A189" s="8" t="str">
        <f ca="1">IFERROR(__xludf.DUMMYFUNCTION("""COMPUTED_VALUE"""),"20220425WIWIM")</f>
        <v>20220425WIWIM</v>
      </c>
      <c r="B189" s="8"/>
      <c r="C189" s="8"/>
      <c r="D189" s="8"/>
      <c r="E189" s="8" t="str">
        <f ca="1">IFERROR(__xludf.DUMMYFUNCTION("""COMPUTED_VALUE"""),"Fled/Escaped")</f>
        <v>Fled/Escaped</v>
      </c>
      <c r="F189" s="8" t="str">
        <f ca="1">IFERROR(__xludf.DUMMYFUNCTION("""COMPUTED_VALUE"""),"No")</f>
        <v>No</v>
      </c>
      <c r="G189" s="8" t="str">
        <f ca="1">IFERROR(__xludf.DUMMYFUNCTION("""COMPUTED_VALUE"""),"None")</f>
        <v>None</v>
      </c>
    </row>
    <row r="190" spans="1:7" ht="12.75">
      <c r="A190" s="8" t="str">
        <f ca="1">IFERROR(__xludf.DUMMYFUNCTION("""COMPUTED_VALUE"""),"20220424MOHAF")</f>
        <v>20220424MOHAF</v>
      </c>
      <c r="B190" s="8">
        <f ca="1">IFERROR(__xludf.DUMMYFUNCTION("""COMPUTED_VALUE"""),18)</f>
        <v>18</v>
      </c>
      <c r="C190" s="8" t="str">
        <f ca="1">IFERROR(__xludf.DUMMYFUNCTION("""COMPUTED_VALUE"""),"Male")</f>
        <v>Male</v>
      </c>
      <c r="D190" s="8"/>
      <c r="E190" s="8" t="str">
        <f ca="1">IFERROR(__xludf.DUMMYFUNCTION("""COMPUTED_VALUE"""),"Fled/Apprehended")</f>
        <v>Fled/Apprehended</v>
      </c>
      <c r="F190" s="8" t="str">
        <f ca="1">IFERROR(__xludf.DUMMYFUNCTION("""COMPUTED_VALUE"""),"No")</f>
        <v>No</v>
      </c>
      <c r="G190" s="8" t="str">
        <f ca="1">IFERROR(__xludf.DUMMYFUNCTION("""COMPUTED_VALUE"""),"None")</f>
        <v>None</v>
      </c>
    </row>
    <row r="191" spans="1:7" ht="12.75">
      <c r="A191" s="8" t="str">
        <f ca="1">IFERROR(__xludf.DUMMYFUNCTION("""COMPUTED_VALUE"""),"20220424MOHAF")</f>
        <v>20220424MOHAF</v>
      </c>
      <c r="B191" s="8">
        <f ca="1">IFERROR(__xludf.DUMMYFUNCTION("""COMPUTED_VALUE"""),18)</f>
        <v>18</v>
      </c>
      <c r="C191" s="8" t="str">
        <f ca="1">IFERROR(__xludf.DUMMYFUNCTION("""COMPUTED_VALUE"""),"Male")</f>
        <v>Male</v>
      </c>
      <c r="D191" s="8"/>
      <c r="E191" s="8" t="str">
        <f ca="1">IFERROR(__xludf.DUMMYFUNCTION("""COMPUTED_VALUE"""),"Fled/Apprehended")</f>
        <v>Fled/Apprehended</v>
      </c>
      <c r="F191" s="8" t="str">
        <f ca="1">IFERROR(__xludf.DUMMYFUNCTION("""COMPUTED_VALUE"""),"No")</f>
        <v>No</v>
      </c>
      <c r="G191" s="8" t="str">
        <f ca="1">IFERROR(__xludf.DUMMYFUNCTION("""COMPUTED_VALUE"""),"None")</f>
        <v>None</v>
      </c>
    </row>
    <row r="192" spans="1:7" ht="12.75">
      <c r="A192" s="8" t="str">
        <f ca="1">IFERROR(__xludf.DUMMYFUNCTION("""COMPUTED_VALUE"""),"20220422ORHOS")</f>
        <v>20220422ORHOS</v>
      </c>
      <c r="B192" s="8" t="str">
        <f ca="1">IFERROR(__xludf.DUMMYFUNCTION("""COMPUTED_VALUE"""),"Teen")</f>
        <v>Teen</v>
      </c>
      <c r="C192" s="8" t="str">
        <f ca="1">IFERROR(__xludf.DUMMYFUNCTION("""COMPUTED_VALUE"""),"Male")</f>
        <v>Male</v>
      </c>
      <c r="D192" s="8"/>
      <c r="E192" s="8" t="str">
        <f ca="1">IFERROR(__xludf.DUMMYFUNCTION("""COMPUTED_VALUE"""),"Fled/Apprehended")</f>
        <v>Fled/Apprehended</v>
      </c>
      <c r="F192" s="8" t="str">
        <f ca="1">IFERROR(__xludf.DUMMYFUNCTION("""COMPUTED_VALUE"""),"No")</f>
        <v>No</v>
      </c>
      <c r="G192" s="8" t="str">
        <f ca="1">IFERROR(__xludf.DUMMYFUNCTION("""COMPUTED_VALUE"""),"None")</f>
        <v>None</v>
      </c>
    </row>
    <row r="193" spans="1:7" ht="12.75">
      <c r="A193" s="8" t="str">
        <f ca="1">IFERROR(__xludf.DUMMYFUNCTION("""COMPUTED_VALUE"""),"20220422DCEDW")</f>
        <v>20220422DCEDW</v>
      </c>
      <c r="B193" s="8">
        <f ca="1">IFERROR(__xludf.DUMMYFUNCTION("""COMPUTED_VALUE"""),23)</f>
        <v>23</v>
      </c>
      <c r="C193" s="8" t="str">
        <f ca="1">IFERROR(__xludf.DUMMYFUNCTION("""COMPUTED_VALUE"""),"Male")</f>
        <v>Male</v>
      </c>
      <c r="D193" s="8" t="str">
        <f ca="1">IFERROR(__xludf.DUMMYFUNCTION("""COMPUTED_VALUE"""),"No Relation")</f>
        <v>No Relation</v>
      </c>
      <c r="E193" s="8" t="str">
        <f ca="1">IFERROR(__xludf.DUMMYFUNCTION("""COMPUTED_VALUE"""),"Suicide")</f>
        <v>Suicide</v>
      </c>
      <c r="F193" s="8" t="str">
        <f ca="1">IFERROR(__xludf.DUMMYFUNCTION("""COMPUTED_VALUE"""),"Yes")</f>
        <v>Yes</v>
      </c>
      <c r="G193" s="8" t="str">
        <f ca="1">IFERROR(__xludf.DUMMYFUNCTION("""COMPUTED_VALUE"""),"Suicide")</f>
        <v>Suicide</v>
      </c>
    </row>
    <row r="194" spans="1:7" ht="12.75">
      <c r="A194" s="8" t="str">
        <f ca="1">IFERROR(__xludf.DUMMYFUNCTION("""COMPUTED_VALUE"""),"20220422CAMOR")</f>
        <v>20220422CAMOR</v>
      </c>
      <c r="B194" s="8"/>
      <c r="C194" s="8"/>
      <c r="D194" s="8"/>
      <c r="E194" s="8" t="str">
        <f ca="1">IFERROR(__xludf.DUMMYFUNCTION("""COMPUTED_VALUE"""),"Fled/Escaped")</f>
        <v>Fled/Escaped</v>
      </c>
      <c r="F194" s="8" t="str">
        <f ca="1">IFERROR(__xludf.DUMMYFUNCTION("""COMPUTED_VALUE"""),"No")</f>
        <v>No</v>
      </c>
      <c r="G194" s="8" t="str">
        <f ca="1">IFERROR(__xludf.DUMMYFUNCTION("""COMPUTED_VALUE"""),"None")</f>
        <v>None</v>
      </c>
    </row>
    <row r="195" spans="1:7" ht="12.75">
      <c r="A195" s="8" t="str">
        <f ca="1">IFERROR(__xludf.DUMMYFUNCTION("""COMPUTED_VALUE"""),"20220421NDMOM")</f>
        <v>20220421NDMOM</v>
      </c>
      <c r="B195" s="8"/>
      <c r="C195" s="8"/>
      <c r="D195" s="8" t="str">
        <f ca="1">IFERROR(__xludf.DUMMYFUNCTION("""COMPUTED_VALUE"""),"Police Officer/SRO")</f>
        <v>Police Officer/SRO</v>
      </c>
      <c r="E195" s="8" t="str">
        <f ca="1">IFERROR(__xludf.DUMMYFUNCTION("""COMPUTED_VALUE"""),"Law Enforcement")</f>
        <v>Law Enforcement</v>
      </c>
      <c r="F195" s="8" t="str">
        <f ca="1">IFERROR(__xludf.DUMMYFUNCTION("""COMPUTED_VALUE"""),"No")</f>
        <v>No</v>
      </c>
      <c r="G195" s="8" t="str">
        <f ca="1">IFERROR(__xludf.DUMMYFUNCTION("""COMPUTED_VALUE"""),"None")</f>
        <v>None</v>
      </c>
    </row>
    <row r="196" spans="1:7" ht="12.75">
      <c r="A196" s="8" t="str">
        <f ca="1">IFERROR(__xludf.DUMMYFUNCTION("""COMPUTED_VALUE"""),"20220416IAMED")</f>
        <v>20220416IAMED</v>
      </c>
      <c r="B196" s="8" t="str">
        <f ca="1">IFERROR(__xludf.DUMMYFUNCTION("""COMPUTED_VALUE"""),"Adult")</f>
        <v>Adult</v>
      </c>
      <c r="C196" s="8"/>
      <c r="D196" s="8"/>
      <c r="E196" s="8" t="str">
        <f ca="1">IFERROR(__xludf.DUMMYFUNCTION("""COMPUTED_VALUE"""),"Fled/Escaped")</f>
        <v>Fled/Escaped</v>
      </c>
      <c r="F196" s="8" t="str">
        <f ca="1">IFERROR(__xludf.DUMMYFUNCTION("""COMPUTED_VALUE"""),"No")</f>
        <v>No</v>
      </c>
      <c r="G196" s="8" t="str">
        <f ca="1">IFERROR(__xludf.DUMMYFUNCTION("""COMPUTED_VALUE"""),"None")</f>
        <v>None</v>
      </c>
    </row>
    <row r="197" spans="1:7" ht="12.75">
      <c r="A197" s="8" t="str">
        <f ca="1">IFERROR(__xludf.DUMMYFUNCTION("""COMPUTED_VALUE"""),"20220415VAGAW")</f>
        <v>20220415VAGAW</v>
      </c>
      <c r="B197" s="8"/>
      <c r="C197" s="8" t="str">
        <f ca="1">IFERROR(__xludf.DUMMYFUNCTION("""COMPUTED_VALUE"""),"Male")</f>
        <v>Male</v>
      </c>
      <c r="D197" s="8"/>
      <c r="E197" s="8" t="str">
        <f ca="1">IFERROR(__xludf.DUMMYFUNCTION("""COMPUTED_VALUE"""),"Fled/Escaped")</f>
        <v>Fled/Escaped</v>
      </c>
      <c r="F197" s="8" t="str">
        <f ca="1">IFERROR(__xludf.DUMMYFUNCTION("""COMPUTED_VALUE"""),"No")</f>
        <v>No</v>
      </c>
      <c r="G197" s="8" t="str">
        <f ca="1">IFERROR(__xludf.DUMMYFUNCTION("""COMPUTED_VALUE"""),"None")</f>
        <v>None</v>
      </c>
    </row>
    <row r="198" spans="1:7" ht="12.75">
      <c r="A198" s="8" t="str">
        <f ca="1">IFERROR(__xludf.DUMMYFUNCTION("""COMPUTED_VALUE"""),"20220414MSNEP")</f>
        <v>20220414MSNEP</v>
      </c>
      <c r="B198" s="8" t="str">
        <f ca="1">IFERROR(__xludf.DUMMYFUNCTION("""COMPUTED_VALUE"""),"Teen")</f>
        <v>Teen</v>
      </c>
      <c r="C198" s="8" t="str">
        <f ca="1">IFERROR(__xludf.DUMMYFUNCTION("""COMPUTED_VALUE"""),"Male")</f>
        <v>Male</v>
      </c>
      <c r="D198" s="8" t="str">
        <f ca="1">IFERROR(__xludf.DUMMYFUNCTION("""COMPUTED_VALUE"""),"Rival School Student")</f>
        <v>Rival School Student</v>
      </c>
      <c r="E198" s="8" t="str">
        <f ca="1">IFERROR(__xludf.DUMMYFUNCTION("""COMPUTED_VALUE"""),"Fled/Apprehended")</f>
        <v>Fled/Apprehended</v>
      </c>
      <c r="F198" s="8" t="str">
        <f ca="1">IFERROR(__xludf.DUMMYFUNCTION("""COMPUTED_VALUE"""),"No")</f>
        <v>No</v>
      </c>
      <c r="G198" s="8" t="str">
        <f ca="1">IFERROR(__xludf.DUMMYFUNCTION("""COMPUTED_VALUE"""),"None")</f>
        <v>None</v>
      </c>
    </row>
    <row r="199" spans="1:7" ht="12.75">
      <c r="A199" s="8" t="str">
        <f ca="1">IFERROR(__xludf.DUMMYFUNCTION("""COMPUTED_VALUE"""),"20220414MSNEP")</f>
        <v>20220414MSNEP</v>
      </c>
      <c r="B199" s="8" t="str">
        <f ca="1">IFERROR(__xludf.DUMMYFUNCTION("""COMPUTED_VALUE"""),"Teen")</f>
        <v>Teen</v>
      </c>
      <c r="C199" s="8" t="str">
        <f ca="1">IFERROR(__xludf.DUMMYFUNCTION("""COMPUTED_VALUE"""),"Male")</f>
        <v>Male</v>
      </c>
      <c r="D199" s="8" t="str">
        <f ca="1">IFERROR(__xludf.DUMMYFUNCTION("""COMPUTED_VALUE"""),"Rival School Student")</f>
        <v>Rival School Student</v>
      </c>
      <c r="E199" s="8" t="str">
        <f ca="1">IFERROR(__xludf.DUMMYFUNCTION("""COMPUTED_VALUE"""),"Fled/Apprehended")</f>
        <v>Fled/Apprehended</v>
      </c>
      <c r="F199" s="8" t="str">
        <f ca="1">IFERROR(__xludf.DUMMYFUNCTION("""COMPUTED_VALUE"""),"No")</f>
        <v>No</v>
      </c>
      <c r="G199" s="8" t="str">
        <f ca="1">IFERROR(__xludf.DUMMYFUNCTION("""COMPUTED_VALUE"""),"None")</f>
        <v>None</v>
      </c>
    </row>
    <row r="200" spans="1:7" ht="12.75">
      <c r="A200" s="8" t="str">
        <f ca="1">IFERROR(__xludf.DUMMYFUNCTION("""COMPUTED_VALUE"""),"20220414MSNEP")</f>
        <v>20220414MSNEP</v>
      </c>
      <c r="B200" s="8" t="str">
        <f ca="1">IFERROR(__xludf.DUMMYFUNCTION("""COMPUTED_VALUE"""),"Teen")</f>
        <v>Teen</v>
      </c>
      <c r="C200" s="8" t="str">
        <f ca="1">IFERROR(__xludf.DUMMYFUNCTION("""COMPUTED_VALUE"""),"Male")</f>
        <v>Male</v>
      </c>
      <c r="D200" s="8" t="str">
        <f ca="1">IFERROR(__xludf.DUMMYFUNCTION("""COMPUTED_VALUE"""),"Rival School Student")</f>
        <v>Rival School Student</v>
      </c>
      <c r="E200" s="8" t="str">
        <f ca="1">IFERROR(__xludf.DUMMYFUNCTION("""COMPUTED_VALUE"""),"Fled/Apprehended")</f>
        <v>Fled/Apprehended</v>
      </c>
      <c r="F200" s="8" t="str">
        <f ca="1">IFERROR(__xludf.DUMMYFUNCTION("""COMPUTED_VALUE"""),"No")</f>
        <v>No</v>
      </c>
      <c r="G200" s="8" t="str">
        <f ca="1">IFERROR(__xludf.DUMMYFUNCTION("""COMPUTED_VALUE"""),"None")</f>
        <v>None</v>
      </c>
    </row>
    <row r="201" spans="1:7" ht="12.75">
      <c r="A201" s="8" t="str">
        <f ca="1">IFERROR(__xludf.DUMMYFUNCTION("""COMPUTED_VALUE"""),"20220413MISHS")</f>
        <v>20220413MISHS</v>
      </c>
      <c r="B201" s="8">
        <f ca="1">IFERROR(__xludf.DUMMYFUNCTION("""COMPUTED_VALUE"""),11)</f>
        <v>11</v>
      </c>
      <c r="C201" s="8" t="str">
        <f ca="1">IFERROR(__xludf.DUMMYFUNCTION("""COMPUTED_VALUE"""),"Male")</f>
        <v>Male</v>
      </c>
      <c r="D201" s="8" t="str">
        <f ca="1">IFERROR(__xludf.DUMMYFUNCTION("""COMPUTED_VALUE"""),"Student")</f>
        <v>Student</v>
      </c>
      <c r="E201" s="8" t="str">
        <f ca="1">IFERROR(__xludf.DUMMYFUNCTION("""COMPUTED_VALUE"""),"Apprehended/Killed by SRO")</f>
        <v>Apprehended/Killed by SRO</v>
      </c>
      <c r="F201" s="8" t="str">
        <f ca="1">IFERROR(__xludf.DUMMYFUNCTION("""COMPUTED_VALUE"""),"No")</f>
        <v>No</v>
      </c>
      <c r="G201" s="8" t="str">
        <f ca="1">IFERROR(__xludf.DUMMYFUNCTION("""COMPUTED_VALUE"""),"None")</f>
        <v>None</v>
      </c>
    </row>
    <row r="202" spans="1:7" ht="12.75">
      <c r="A202" s="8" t="str">
        <f ca="1">IFERROR(__xludf.DUMMYFUNCTION("""COMPUTED_VALUE"""),"20220411ARPIP")</f>
        <v>20220411ARPIP</v>
      </c>
      <c r="B202" s="8" t="str">
        <f ca="1">IFERROR(__xludf.DUMMYFUNCTION("""COMPUTED_VALUE"""),"Teen")</f>
        <v>Teen</v>
      </c>
      <c r="C202" s="8" t="str">
        <f ca="1">IFERROR(__xludf.DUMMYFUNCTION("""COMPUTED_VALUE"""),"Male")</f>
        <v>Male</v>
      </c>
      <c r="D202" s="8"/>
      <c r="E202" s="8" t="str">
        <f ca="1">IFERROR(__xludf.DUMMYFUNCTION("""COMPUTED_VALUE"""),"Apprehended/Killed by SRO")</f>
        <v>Apprehended/Killed by SRO</v>
      </c>
      <c r="F202" s="8" t="str">
        <f ca="1">IFERROR(__xludf.DUMMYFUNCTION("""COMPUTED_VALUE"""),"No")</f>
        <v>No</v>
      </c>
      <c r="G202" s="8" t="str">
        <f ca="1">IFERROR(__xludf.DUMMYFUNCTION("""COMPUTED_VALUE"""),"None")</f>
        <v>None</v>
      </c>
    </row>
    <row r="203" spans="1:7" ht="12.75">
      <c r="A203" s="8" t="str">
        <f ca="1">IFERROR(__xludf.DUMMYFUNCTION("""COMPUTED_VALUE"""),"20220410MALYL")</f>
        <v>20220410MALYL</v>
      </c>
      <c r="B203" s="8"/>
      <c r="C203" s="8"/>
      <c r="D203" s="8" t="str">
        <f ca="1">IFERROR(__xludf.DUMMYFUNCTION("""COMPUTED_VALUE"""),"No Relation")</f>
        <v>No Relation</v>
      </c>
      <c r="E203" s="8" t="str">
        <f ca="1">IFERROR(__xludf.DUMMYFUNCTION("""COMPUTED_VALUE"""),"Fled/Escaped")</f>
        <v>Fled/Escaped</v>
      </c>
      <c r="F203" s="8" t="str">
        <f ca="1">IFERROR(__xludf.DUMMYFUNCTION("""COMPUTED_VALUE"""),"No")</f>
        <v>No</v>
      </c>
      <c r="G203" s="8" t="str">
        <f ca="1">IFERROR(__xludf.DUMMYFUNCTION("""COMPUTED_VALUE"""),"None")</f>
        <v>None</v>
      </c>
    </row>
    <row r="204" spans="1:7" ht="12.75">
      <c r="A204" s="8" t="str">
        <f ca="1">IFERROR(__xludf.DUMMYFUNCTION("""COMPUTED_VALUE"""),"20220406WVRIR")</f>
        <v>20220406WVRIR</v>
      </c>
      <c r="B204" s="8">
        <f ca="1">IFERROR(__xludf.DUMMYFUNCTION("""COMPUTED_VALUE"""),15)</f>
        <v>15</v>
      </c>
      <c r="C204" s="8" t="str">
        <f ca="1">IFERROR(__xludf.DUMMYFUNCTION("""COMPUTED_VALUE"""),"Male")</f>
        <v>Male</v>
      </c>
      <c r="D204" s="8" t="str">
        <f ca="1">IFERROR(__xludf.DUMMYFUNCTION("""COMPUTED_VALUE"""),"Student")</f>
        <v>Student</v>
      </c>
      <c r="E204" s="8" t="str">
        <f ca="1">IFERROR(__xludf.DUMMYFUNCTION("""COMPUTED_VALUE"""),"Subdued by Students/Staff/Other")</f>
        <v>Subdued by Students/Staff/Other</v>
      </c>
      <c r="F204" s="8" t="str">
        <f ca="1">IFERROR(__xludf.DUMMYFUNCTION("""COMPUTED_VALUE"""),"No")</f>
        <v>No</v>
      </c>
      <c r="G204" s="8" t="str">
        <f ca="1">IFERROR(__xludf.DUMMYFUNCTION("""COMPUTED_VALUE"""),"None")</f>
        <v>None</v>
      </c>
    </row>
    <row r="205" spans="1:7" ht="12.75">
      <c r="A205" s="8" t="str">
        <f ca="1">IFERROR(__xludf.DUMMYFUNCTION("""COMPUTED_VALUE"""),"20220406WASTM")</f>
        <v>20220406WASTM</v>
      </c>
      <c r="B205" s="8"/>
      <c r="C205" s="8"/>
      <c r="D205" s="8" t="str">
        <f ca="1">IFERROR(__xludf.DUMMYFUNCTION("""COMPUTED_VALUE"""),"No Relation")</f>
        <v>No Relation</v>
      </c>
      <c r="E205" s="8" t="str">
        <f ca="1">IFERROR(__xludf.DUMMYFUNCTION("""COMPUTED_VALUE"""),"Fled/Escaped")</f>
        <v>Fled/Escaped</v>
      </c>
      <c r="F205" s="8" t="str">
        <f ca="1">IFERROR(__xludf.DUMMYFUNCTION("""COMPUTED_VALUE"""),"No")</f>
        <v>No</v>
      </c>
      <c r="G205" s="8" t="str">
        <f ca="1">IFERROR(__xludf.DUMMYFUNCTION("""COMPUTED_VALUE"""),"None")</f>
        <v>None</v>
      </c>
    </row>
    <row r="206" spans="1:7" ht="12.75">
      <c r="A206" s="8" t="str">
        <f ca="1">IFERROR(__xludf.DUMMYFUNCTION("""COMPUTED_VALUE"""),"20220406ORROP")</f>
        <v>20220406ORROP</v>
      </c>
      <c r="B206" s="8"/>
      <c r="C206" s="8"/>
      <c r="D206" s="8"/>
      <c r="E206" s="8" t="str">
        <f ca="1">IFERROR(__xludf.DUMMYFUNCTION("""COMPUTED_VALUE"""),"Fled/Escaped")</f>
        <v>Fled/Escaped</v>
      </c>
      <c r="F206" s="8" t="str">
        <f ca="1">IFERROR(__xludf.DUMMYFUNCTION("""COMPUTED_VALUE"""),"No")</f>
        <v>No</v>
      </c>
      <c r="G206" s="8" t="str">
        <f ca="1">IFERROR(__xludf.DUMMYFUNCTION("""COMPUTED_VALUE"""),"None")</f>
        <v>None</v>
      </c>
    </row>
    <row r="207" spans="1:7" ht="12.75">
      <c r="A207" s="8" t="str">
        <f ca="1">IFERROR(__xludf.DUMMYFUNCTION("""COMPUTED_VALUE"""),"20220405PAERE")</f>
        <v>20220405PAERE</v>
      </c>
      <c r="B207" s="8" t="str">
        <f ca="1">IFERROR(__xludf.DUMMYFUNCTION("""COMPUTED_VALUE"""),"Minor")</f>
        <v>Minor</v>
      </c>
      <c r="C207" s="8" t="str">
        <f ca="1">IFERROR(__xludf.DUMMYFUNCTION("""COMPUTED_VALUE"""),"Male")</f>
        <v>Male</v>
      </c>
      <c r="D207" s="8" t="str">
        <f ca="1">IFERROR(__xludf.DUMMYFUNCTION("""COMPUTED_VALUE"""),"Student")</f>
        <v>Student</v>
      </c>
      <c r="E207" s="8" t="str">
        <f ca="1">IFERROR(__xludf.DUMMYFUNCTION("""COMPUTED_VALUE"""),"Fled/Apprehended")</f>
        <v>Fled/Apprehended</v>
      </c>
      <c r="F207" s="8" t="str">
        <f ca="1">IFERROR(__xludf.DUMMYFUNCTION("""COMPUTED_VALUE"""),"No")</f>
        <v>No</v>
      </c>
      <c r="G207" s="8" t="str">
        <f ca="1">IFERROR(__xludf.DUMMYFUNCTION("""COMPUTED_VALUE"""),"None")</f>
        <v>None</v>
      </c>
    </row>
    <row r="208" spans="1:7" ht="12.75">
      <c r="A208" s="8" t="str">
        <f ca="1">IFERROR(__xludf.DUMMYFUNCTION("""COMPUTED_VALUE"""),"20220403INBLB")</f>
        <v>20220403INBLB</v>
      </c>
      <c r="B208" s="8">
        <f ca="1">IFERROR(__xludf.DUMMYFUNCTION("""COMPUTED_VALUE"""),18)</f>
        <v>18</v>
      </c>
      <c r="C208" s="8" t="str">
        <f ca="1">IFERROR(__xludf.DUMMYFUNCTION("""COMPUTED_VALUE"""),"Male")</f>
        <v>Male</v>
      </c>
      <c r="D208" s="8"/>
      <c r="E208" s="8" t="str">
        <f ca="1">IFERROR(__xludf.DUMMYFUNCTION("""COMPUTED_VALUE"""),"Fled/Apprehended")</f>
        <v>Fled/Apprehended</v>
      </c>
      <c r="F208" s="8" t="str">
        <f ca="1">IFERROR(__xludf.DUMMYFUNCTION("""COMPUTED_VALUE"""),"No")</f>
        <v>No</v>
      </c>
      <c r="G208" s="8" t="str">
        <f ca="1">IFERROR(__xludf.DUMMYFUNCTION("""COMPUTED_VALUE"""),"None")</f>
        <v>None</v>
      </c>
    </row>
    <row r="209" spans="1:7" ht="12.75">
      <c r="A209" s="8" t="str">
        <f ca="1">IFERROR(__xludf.DUMMYFUNCTION("""COMPUTED_VALUE"""),"20220403INBLB")</f>
        <v>20220403INBLB</v>
      </c>
      <c r="B209" s="8">
        <f ca="1">IFERROR(__xludf.DUMMYFUNCTION("""COMPUTED_VALUE"""),15)</f>
        <v>15</v>
      </c>
      <c r="C209" s="8"/>
      <c r="D209" s="8"/>
      <c r="E209" s="8" t="str">
        <f ca="1">IFERROR(__xludf.DUMMYFUNCTION("""COMPUTED_VALUE"""),"Fled/Apprehended")</f>
        <v>Fled/Apprehended</v>
      </c>
      <c r="F209" s="8" t="str">
        <f ca="1">IFERROR(__xludf.DUMMYFUNCTION("""COMPUTED_VALUE"""),"No")</f>
        <v>No</v>
      </c>
      <c r="G209" s="8" t="str">
        <f ca="1">IFERROR(__xludf.DUMMYFUNCTION("""COMPUTED_VALUE"""),"None")</f>
        <v>None</v>
      </c>
    </row>
    <row r="210" spans="1:7" ht="12.75">
      <c r="A210" s="8" t="str">
        <f ca="1">IFERROR(__xludf.DUMMYFUNCTION("""COMPUTED_VALUE"""),"20220331SCTAG")</f>
        <v>20220331SCTAG</v>
      </c>
      <c r="B210" s="8">
        <f ca="1">IFERROR(__xludf.DUMMYFUNCTION("""COMPUTED_VALUE"""),12)</f>
        <v>12</v>
      </c>
      <c r="C210" s="8" t="str">
        <f ca="1">IFERROR(__xludf.DUMMYFUNCTION("""COMPUTED_VALUE"""),"Male")</f>
        <v>Male</v>
      </c>
      <c r="D210" s="8" t="str">
        <f ca="1">IFERROR(__xludf.DUMMYFUNCTION("""COMPUTED_VALUE"""),"Student")</f>
        <v>Student</v>
      </c>
      <c r="E210" s="8" t="str">
        <f ca="1">IFERROR(__xludf.DUMMYFUNCTION("""COMPUTED_VALUE"""),"Fled/Apprehended")</f>
        <v>Fled/Apprehended</v>
      </c>
      <c r="F210" s="8" t="str">
        <f ca="1">IFERROR(__xludf.DUMMYFUNCTION("""COMPUTED_VALUE"""),"No")</f>
        <v>No</v>
      </c>
      <c r="G210" s="8" t="str">
        <f ca="1">IFERROR(__xludf.DUMMYFUNCTION("""COMPUTED_VALUE"""),"None")</f>
        <v>None</v>
      </c>
    </row>
    <row r="211" spans="1:7" ht="12.75">
      <c r="A211" s="8" t="str">
        <f ca="1">IFERROR(__xludf.DUMMYFUNCTION("""COMPUTED_VALUE"""),"20220331PAACP")</f>
        <v>20220331PAACP</v>
      </c>
      <c r="B211" s="8">
        <f ca="1">IFERROR(__xludf.DUMMYFUNCTION("""COMPUTED_VALUE"""),8)</f>
        <v>8</v>
      </c>
      <c r="C211" s="8" t="str">
        <f ca="1">IFERROR(__xludf.DUMMYFUNCTION("""COMPUTED_VALUE"""),"Male")</f>
        <v>Male</v>
      </c>
      <c r="D211" s="8" t="str">
        <f ca="1">IFERROR(__xludf.DUMMYFUNCTION("""COMPUTED_VALUE"""),"Student")</f>
        <v>Student</v>
      </c>
      <c r="E211" s="8" t="str">
        <f ca="1">IFERROR(__xludf.DUMMYFUNCTION("""COMPUTED_VALUE"""),"Subdued by Students/Staff/Other")</f>
        <v>Subdued by Students/Staff/Other</v>
      </c>
      <c r="F211" s="8" t="str">
        <f ca="1">IFERROR(__xludf.DUMMYFUNCTION("""COMPUTED_VALUE"""),"No")</f>
        <v>No</v>
      </c>
      <c r="G211" s="8" t="str">
        <f ca="1">IFERROR(__xludf.DUMMYFUNCTION("""COMPUTED_VALUE"""),"None")</f>
        <v>None</v>
      </c>
    </row>
    <row r="212" spans="1:7" ht="12.75">
      <c r="A212" s="8" t="str">
        <f ca="1">IFERROR(__xludf.DUMMYFUNCTION("""COMPUTED_VALUE"""),"20220330GABOA")</f>
        <v>20220330GABOA</v>
      </c>
      <c r="B212" s="8">
        <f ca="1">IFERROR(__xludf.DUMMYFUNCTION("""COMPUTED_VALUE"""),31)</f>
        <v>31</v>
      </c>
      <c r="C212" s="8" t="str">
        <f ca="1">IFERROR(__xludf.DUMMYFUNCTION("""COMPUTED_VALUE"""),"Female")</f>
        <v>Female</v>
      </c>
      <c r="D212" s="8" t="str">
        <f ca="1">IFERROR(__xludf.DUMMYFUNCTION("""COMPUTED_VALUE"""),"Parent")</f>
        <v>Parent</v>
      </c>
      <c r="E212" s="8" t="str">
        <f ca="1">IFERROR(__xludf.DUMMYFUNCTION("""COMPUTED_VALUE"""),"Apprehended/Killed by SRO")</f>
        <v>Apprehended/Killed by SRO</v>
      </c>
      <c r="F212" s="8" t="str">
        <f ca="1">IFERROR(__xludf.DUMMYFUNCTION("""COMPUTED_VALUE"""),"No")</f>
        <v>No</v>
      </c>
      <c r="G212" s="8" t="str">
        <f ca="1">IFERROR(__xludf.DUMMYFUNCTION("""COMPUTED_VALUE"""),"Wounded")</f>
        <v>Wounded</v>
      </c>
    </row>
    <row r="213" spans="1:7" ht="12.75">
      <c r="A213" s="8" t="str">
        <f ca="1">IFERROR(__xludf.DUMMYFUNCTION("""COMPUTED_VALUE"""),"20220330AZKIK")</f>
        <v>20220330AZKIK</v>
      </c>
      <c r="B213" s="8">
        <f ca="1">IFERROR(__xludf.DUMMYFUNCTION("""COMPUTED_VALUE"""),14)</f>
        <v>14</v>
      </c>
      <c r="C213" s="8" t="str">
        <f ca="1">IFERROR(__xludf.DUMMYFUNCTION("""COMPUTED_VALUE"""),"Male")</f>
        <v>Male</v>
      </c>
      <c r="D213" s="8" t="str">
        <f ca="1">IFERROR(__xludf.DUMMYFUNCTION("""COMPUTED_VALUE"""),"Student")</f>
        <v>Student</v>
      </c>
      <c r="E213" s="8" t="str">
        <f ca="1">IFERROR(__xludf.DUMMYFUNCTION("""COMPUTED_VALUE"""),"Fled/Apprehended")</f>
        <v>Fled/Apprehended</v>
      </c>
      <c r="F213" s="8" t="str">
        <f ca="1">IFERROR(__xludf.DUMMYFUNCTION("""COMPUTED_VALUE"""),"No")</f>
        <v>No</v>
      </c>
      <c r="G213" s="8" t="str">
        <f ca="1">IFERROR(__xludf.DUMMYFUNCTION("""COMPUTED_VALUE"""),"None")</f>
        <v>None</v>
      </c>
    </row>
    <row r="214" spans="1:7" ht="12.75">
      <c r="A214" s="8" t="str">
        <f ca="1">IFERROR(__xludf.DUMMYFUNCTION("""COMPUTED_VALUE"""),"20220329VALUR")</f>
        <v>20220329VALUR</v>
      </c>
      <c r="B214" s="8" t="str">
        <f ca="1">IFERROR(__xludf.DUMMYFUNCTION("""COMPUTED_VALUE"""),"Teen")</f>
        <v>Teen</v>
      </c>
      <c r="C214" s="8"/>
      <c r="D214" s="8" t="str">
        <f ca="1">IFERROR(__xludf.DUMMYFUNCTION("""COMPUTED_VALUE"""),"Student")</f>
        <v>Student</v>
      </c>
      <c r="E214" s="8" t="str">
        <f ca="1">IFERROR(__xludf.DUMMYFUNCTION("""COMPUTED_VALUE"""),"Apprehended/Killed by SRO")</f>
        <v>Apprehended/Killed by SRO</v>
      </c>
      <c r="F214" s="8" t="str">
        <f ca="1">IFERROR(__xludf.DUMMYFUNCTION("""COMPUTED_VALUE"""),"No")</f>
        <v>No</v>
      </c>
      <c r="G214" s="8" t="str">
        <f ca="1">IFERROR(__xludf.DUMMYFUNCTION("""COMPUTED_VALUE"""),"None")</f>
        <v>None</v>
      </c>
    </row>
    <row r="215" spans="1:7" ht="12.75">
      <c r="A215" s="8" t="str">
        <f ca="1">IFERROR(__xludf.DUMMYFUNCTION("""COMPUTED_VALUE"""),"20220329NVWEL")</f>
        <v>20220329NVWEL</v>
      </c>
      <c r="B215" s="8" t="str">
        <f ca="1">IFERROR(__xludf.DUMMYFUNCTION("""COMPUTED_VALUE"""),"Adult")</f>
        <v>Adult</v>
      </c>
      <c r="C215" s="8"/>
      <c r="D215" s="8" t="str">
        <f ca="1">IFERROR(__xludf.DUMMYFUNCTION("""COMPUTED_VALUE"""),"Police Officer/SRO")</f>
        <v>Police Officer/SRO</v>
      </c>
      <c r="E215" s="8"/>
      <c r="F215" s="8" t="str">
        <f ca="1">IFERROR(__xludf.DUMMYFUNCTION("""COMPUTED_VALUE"""),"No")</f>
        <v>No</v>
      </c>
      <c r="G215" s="8" t="str">
        <f ca="1">IFERROR(__xludf.DUMMYFUNCTION("""COMPUTED_VALUE"""),"None")</f>
        <v>None</v>
      </c>
    </row>
    <row r="216" spans="1:7" ht="12.75">
      <c r="A216" s="8" t="str">
        <f ca="1">IFERROR(__xludf.DUMMYFUNCTION("""COMPUTED_VALUE"""),"20220328TXNOF")</f>
        <v>20220328TXNOF</v>
      </c>
      <c r="B216" s="8"/>
      <c r="C216" s="8"/>
      <c r="D216" s="8"/>
      <c r="E216" s="8" t="str">
        <f ca="1">IFERROR(__xludf.DUMMYFUNCTION("""COMPUTED_VALUE"""),"Fled/Escaped")</f>
        <v>Fled/Escaped</v>
      </c>
      <c r="F216" s="8" t="str">
        <f ca="1">IFERROR(__xludf.DUMMYFUNCTION("""COMPUTED_VALUE"""),"No")</f>
        <v>No</v>
      </c>
      <c r="G216" s="8" t="str">
        <f ca="1">IFERROR(__xludf.DUMMYFUNCTION("""COMPUTED_VALUE"""),"None")</f>
        <v>None</v>
      </c>
    </row>
    <row r="217" spans="1:7" ht="12.75">
      <c r="A217" s="8" t="str">
        <f ca="1">IFERROR(__xludf.DUMMYFUNCTION("""COMPUTED_VALUE"""),"20220328NCOAC")</f>
        <v>20220328NCOAC</v>
      </c>
      <c r="B217" s="8">
        <f ca="1">IFERROR(__xludf.DUMMYFUNCTION("""COMPUTED_VALUE"""),18)</f>
        <v>18</v>
      </c>
      <c r="C217" s="8" t="str">
        <f ca="1">IFERROR(__xludf.DUMMYFUNCTION("""COMPUTED_VALUE"""),"Male")</f>
        <v>Male</v>
      </c>
      <c r="D217" s="8" t="str">
        <f ca="1">IFERROR(__xludf.DUMMYFUNCTION("""COMPUTED_VALUE"""),"No Relation")</f>
        <v>No Relation</v>
      </c>
      <c r="E217" s="8" t="str">
        <f ca="1">IFERROR(__xludf.DUMMYFUNCTION("""COMPUTED_VALUE"""),"Fled/Apprehended")</f>
        <v>Fled/Apprehended</v>
      </c>
      <c r="F217" s="8" t="str">
        <f ca="1">IFERROR(__xludf.DUMMYFUNCTION("""COMPUTED_VALUE"""),"No")</f>
        <v>No</v>
      </c>
      <c r="G217" s="8" t="str">
        <f ca="1">IFERROR(__xludf.DUMMYFUNCTION("""COMPUTED_VALUE"""),"None")</f>
        <v>None</v>
      </c>
    </row>
    <row r="218" spans="1:7" ht="12.75">
      <c r="A218" s="8" t="str">
        <f ca="1">IFERROR(__xludf.DUMMYFUNCTION("""COMPUTED_VALUE"""),"20220325UTHIS")</f>
        <v>20220325UTHIS</v>
      </c>
      <c r="B218" s="8" t="str">
        <f ca="1">IFERROR(__xludf.DUMMYFUNCTION("""COMPUTED_VALUE"""),"Teen")</f>
        <v>Teen</v>
      </c>
      <c r="C218" s="8" t="str">
        <f ca="1">IFERROR(__xludf.DUMMYFUNCTION("""COMPUTED_VALUE"""),"Male")</f>
        <v>Male</v>
      </c>
      <c r="D218" s="8" t="str">
        <f ca="1">IFERROR(__xludf.DUMMYFUNCTION("""COMPUTED_VALUE"""),"Student")</f>
        <v>Student</v>
      </c>
      <c r="E218" s="8" t="str">
        <f ca="1">IFERROR(__xludf.DUMMYFUNCTION("""COMPUTED_VALUE"""),"Fled/Escaped")</f>
        <v>Fled/Escaped</v>
      </c>
      <c r="F218" s="8" t="str">
        <f ca="1">IFERROR(__xludf.DUMMYFUNCTION("""COMPUTED_VALUE"""),"No")</f>
        <v>No</v>
      </c>
      <c r="G218" s="8" t="str">
        <f ca="1">IFERROR(__xludf.DUMMYFUNCTION("""COMPUTED_VALUE"""),"None")</f>
        <v>None</v>
      </c>
    </row>
    <row r="219" spans="1:7" ht="12.75">
      <c r="A219" s="8" t="str">
        <f ca="1">IFERROR(__xludf.DUMMYFUNCTION("""COMPUTED_VALUE"""),"20220325UTHIS")</f>
        <v>20220325UTHIS</v>
      </c>
      <c r="B219" s="8" t="str">
        <f ca="1">IFERROR(__xludf.DUMMYFUNCTION("""COMPUTED_VALUE"""),"Adult")</f>
        <v>Adult</v>
      </c>
      <c r="C219" s="8" t="str">
        <f ca="1">IFERROR(__xludf.DUMMYFUNCTION("""COMPUTED_VALUE"""),"Male")</f>
        <v>Male</v>
      </c>
      <c r="D219" s="8" t="str">
        <f ca="1">IFERROR(__xludf.DUMMYFUNCTION("""COMPUTED_VALUE"""),"No Relation")</f>
        <v>No Relation</v>
      </c>
      <c r="E219" s="8" t="str">
        <f ca="1">IFERROR(__xludf.DUMMYFUNCTION("""COMPUTED_VALUE"""),"Fled/Escaped")</f>
        <v>Fled/Escaped</v>
      </c>
      <c r="F219" s="8" t="str">
        <f ca="1">IFERROR(__xludf.DUMMYFUNCTION("""COMPUTED_VALUE"""),"No")</f>
        <v>No</v>
      </c>
      <c r="G219" s="8" t="str">
        <f ca="1">IFERROR(__xludf.DUMMYFUNCTION("""COMPUTED_VALUE"""),"None")</f>
        <v>None</v>
      </c>
    </row>
    <row r="220" spans="1:7" ht="12.75">
      <c r="A220" s="8" t="str">
        <f ca="1">IFERROR(__xludf.DUMMYFUNCTION("""COMPUTED_VALUE"""),"20220325TXROR")</f>
        <v>20220325TXROR</v>
      </c>
      <c r="B220" s="8" t="str">
        <f ca="1">IFERROR(__xludf.DUMMYFUNCTION("""COMPUTED_VALUE"""),"Teen")</f>
        <v>Teen</v>
      </c>
      <c r="C220" s="8"/>
      <c r="D220" s="8" t="str">
        <f ca="1">IFERROR(__xludf.DUMMYFUNCTION("""COMPUTED_VALUE"""),"Student")</f>
        <v>Student</v>
      </c>
      <c r="E220" s="8" t="str">
        <f ca="1">IFERROR(__xludf.DUMMYFUNCTION("""COMPUTED_VALUE"""),"Apprehended/Killed by LE")</f>
        <v>Apprehended/Killed by LE</v>
      </c>
      <c r="F220" s="8" t="str">
        <f ca="1">IFERROR(__xludf.DUMMYFUNCTION("""COMPUTED_VALUE"""),"No")</f>
        <v>No</v>
      </c>
      <c r="G220" s="8" t="str">
        <f ca="1">IFERROR(__xludf.DUMMYFUNCTION("""COMPUTED_VALUE"""),"None")</f>
        <v>None</v>
      </c>
    </row>
    <row r="221" spans="1:7" ht="12.75">
      <c r="A221" s="8" t="str">
        <f ca="1">IFERROR(__xludf.DUMMYFUNCTION("""COMPUTED_VALUE"""),"20220325TXROR")</f>
        <v>20220325TXROR</v>
      </c>
      <c r="B221" s="8" t="str">
        <f ca="1">IFERROR(__xludf.DUMMYFUNCTION("""COMPUTED_VALUE"""),"Teen")</f>
        <v>Teen</v>
      </c>
      <c r="C221" s="8"/>
      <c r="D221" s="8" t="str">
        <f ca="1">IFERROR(__xludf.DUMMYFUNCTION("""COMPUTED_VALUE"""),"Student")</f>
        <v>Student</v>
      </c>
      <c r="E221" s="8" t="str">
        <f ca="1">IFERROR(__xludf.DUMMYFUNCTION("""COMPUTED_VALUE"""),"Apprehended/Killed by LE")</f>
        <v>Apprehended/Killed by LE</v>
      </c>
      <c r="F221" s="8" t="str">
        <f ca="1">IFERROR(__xludf.DUMMYFUNCTION("""COMPUTED_VALUE"""),"No")</f>
        <v>No</v>
      </c>
      <c r="G221" s="8" t="str">
        <f ca="1">IFERROR(__xludf.DUMMYFUNCTION("""COMPUTED_VALUE"""),"None")</f>
        <v>None</v>
      </c>
    </row>
    <row r="222" spans="1:7" ht="12.75">
      <c r="A222" s="8" t="str">
        <f ca="1">IFERROR(__xludf.DUMMYFUNCTION("""COMPUTED_VALUE"""),"20220325TXROR")</f>
        <v>20220325TXROR</v>
      </c>
      <c r="B222" s="8" t="str">
        <f ca="1">IFERROR(__xludf.DUMMYFUNCTION("""COMPUTED_VALUE"""),"Teen")</f>
        <v>Teen</v>
      </c>
      <c r="C222" s="8"/>
      <c r="D222" s="8" t="str">
        <f ca="1">IFERROR(__xludf.DUMMYFUNCTION("""COMPUTED_VALUE"""),"Student")</f>
        <v>Student</v>
      </c>
      <c r="E222" s="8" t="str">
        <f ca="1">IFERROR(__xludf.DUMMYFUNCTION("""COMPUTED_VALUE"""),"Apprehended/Killed by LE")</f>
        <v>Apprehended/Killed by LE</v>
      </c>
      <c r="F222" s="8" t="str">
        <f ca="1">IFERROR(__xludf.DUMMYFUNCTION("""COMPUTED_VALUE"""),"No")</f>
        <v>No</v>
      </c>
      <c r="G222" s="8" t="str">
        <f ca="1">IFERROR(__xludf.DUMMYFUNCTION("""COMPUTED_VALUE"""),"None")</f>
        <v>None</v>
      </c>
    </row>
    <row r="223" spans="1:7" ht="12.75">
      <c r="A223" s="8" t="str">
        <f ca="1">IFERROR(__xludf.DUMMYFUNCTION("""COMPUTED_VALUE"""),"20220325TXROR")</f>
        <v>20220325TXROR</v>
      </c>
      <c r="B223" s="8" t="str">
        <f ca="1">IFERROR(__xludf.DUMMYFUNCTION("""COMPUTED_VALUE"""),"Teen")</f>
        <v>Teen</v>
      </c>
      <c r="C223" s="8"/>
      <c r="D223" s="8" t="str">
        <f ca="1">IFERROR(__xludf.DUMMYFUNCTION("""COMPUTED_VALUE"""),"Student")</f>
        <v>Student</v>
      </c>
      <c r="E223" s="8" t="str">
        <f ca="1">IFERROR(__xludf.DUMMYFUNCTION("""COMPUTED_VALUE"""),"Apprehended/Killed by LE")</f>
        <v>Apprehended/Killed by LE</v>
      </c>
      <c r="F223" s="8" t="str">
        <f ca="1">IFERROR(__xludf.DUMMYFUNCTION("""COMPUTED_VALUE"""),"No")</f>
        <v>No</v>
      </c>
      <c r="G223" s="8" t="str">
        <f ca="1">IFERROR(__xludf.DUMMYFUNCTION("""COMPUTED_VALUE"""),"None")</f>
        <v>None</v>
      </c>
    </row>
    <row r="224" spans="1:7" ht="12.75">
      <c r="A224" s="8" t="str">
        <f ca="1">IFERROR(__xludf.DUMMYFUNCTION("""COMPUTED_VALUE"""),"20220325TXROR")</f>
        <v>20220325TXROR</v>
      </c>
      <c r="B224" s="8" t="str">
        <f ca="1">IFERROR(__xludf.DUMMYFUNCTION("""COMPUTED_VALUE"""),"Teen")</f>
        <v>Teen</v>
      </c>
      <c r="C224" s="8"/>
      <c r="D224" s="8" t="str">
        <f ca="1">IFERROR(__xludf.DUMMYFUNCTION("""COMPUTED_VALUE"""),"Student")</f>
        <v>Student</v>
      </c>
      <c r="E224" s="8" t="str">
        <f ca="1">IFERROR(__xludf.DUMMYFUNCTION("""COMPUTED_VALUE"""),"Apprehended/Killed by LE")</f>
        <v>Apprehended/Killed by LE</v>
      </c>
      <c r="F224" s="8" t="str">
        <f ca="1">IFERROR(__xludf.DUMMYFUNCTION("""COMPUTED_VALUE"""),"No")</f>
        <v>No</v>
      </c>
      <c r="G224" s="8" t="str">
        <f ca="1">IFERROR(__xludf.DUMMYFUNCTION("""COMPUTED_VALUE"""),"None")</f>
        <v>None</v>
      </c>
    </row>
    <row r="225" spans="1:7" ht="12.75">
      <c r="A225" s="8" t="str">
        <f ca="1">IFERROR(__xludf.DUMMYFUNCTION("""COMPUTED_VALUE"""),"20220325TNBRM")</f>
        <v>20220325TNBRM</v>
      </c>
      <c r="B225" s="8" t="str">
        <f ca="1">IFERROR(__xludf.DUMMYFUNCTION("""COMPUTED_VALUE"""),"Adult")</f>
        <v>Adult</v>
      </c>
      <c r="C225" s="8" t="str">
        <f ca="1">IFERROR(__xludf.DUMMYFUNCTION("""COMPUTED_VALUE"""),"Male")</f>
        <v>Male</v>
      </c>
      <c r="D225" s="8" t="str">
        <f ca="1">IFERROR(__xludf.DUMMYFUNCTION("""COMPUTED_VALUE"""),"No Relation")</f>
        <v>No Relation</v>
      </c>
      <c r="E225" s="8" t="str">
        <f ca="1">IFERROR(__xludf.DUMMYFUNCTION("""COMPUTED_VALUE"""),"Fled/Apprehended")</f>
        <v>Fled/Apprehended</v>
      </c>
      <c r="F225" s="8" t="str">
        <f ca="1">IFERROR(__xludf.DUMMYFUNCTION("""COMPUTED_VALUE"""),"No")</f>
        <v>No</v>
      </c>
      <c r="G225" s="8" t="str">
        <f ca="1">IFERROR(__xludf.DUMMYFUNCTION("""COMPUTED_VALUE"""),"None")</f>
        <v>None</v>
      </c>
    </row>
    <row r="226" spans="1:7" ht="12.75">
      <c r="A226" s="8" t="str">
        <f ca="1">IFERROR(__xludf.DUMMYFUNCTION("""COMPUTED_VALUE"""),"20220324VARIW")</f>
        <v>20220324VARIW</v>
      </c>
      <c r="B226" s="8">
        <f ca="1">IFERROR(__xludf.DUMMYFUNCTION("""COMPUTED_VALUE"""),20)</f>
        <v>20</v>
      </c>
      <c r="C226" s="8" t="str">
        <f ca="1">IFERROR(__xludf.DUMMYFUNCTION("""COMPUTED_VALUE"""),"Male")</f>
        <v>Male</v>
      </c>
      <c r="D226" s="8" t="str">
        <f ca="1">IFERROR(__xludf.DUMMYFUNCTION("""COMPUTED_VALUE"""),"No Relation")</f>
        <v>No Relation</v>
      </c>
      <c r="E226" s="8" t="str">
        <f ca="1">IFERROR(__xludf.DUMMYFUNCTION("""COMPUTED_VALUE"""),"Apprehended/Killed by SRO")</f>
        <v>Apprehended/Killed by SRO</v>
      </c>
      <c r="F226" s="8" t="str">
        <f ca="1">IFERROR(__xludf.DUMMYFUNCTION("""COMPUTED_VALUE"""),"No")</f>
        <v>No</v>
      </c>
      <c r="G226" s="8" t="str">
        <f ca="1">IFERROR(__xludf.DUMMYFUNCTION("""COMPUTED_VALUE"""),"None")</f>
        <v>None</v>
      </c>
    </row>
    <row r="227" spans="1:7" ht="12.75">
      <c r="A227" s="8" t="str">
        <f ca="1">IFERROR(__xludf.DUMMYFUNCTION("""COMPUTED_VALUE"""),"20220322VAJAR")</f>
        <v>20220322VAJAR</v>
      </c>
      <c r="B227" s="8" t="str">
        <f ca="1">IFERROR(__xludf.DUMMYFUNCTION("""COMPUTED_VALUE"""),"Adult")</f>
        <v>Adult</v>
      </c>
      <c r="C227" s="8"/>
      <c r="D227" s="8" t="str">
        <f ca="1">IFERROR(__xludf.DUMMYFUNCTION("""COMPUTED_VALUE"""),"No Relation")</f>
        <v>No Relation</v>
      </c>
      <c r="E227" s="8" t="str">
        <f ca="1">IFERROR(__xludf.DUMMYFUNCTION("""COMPUTED_VALUE"""),"Fled/Escaped")</f>
        <v>Fled/Escaped</v>
      </c>
      <c r="F227" s="8" t="str">
        <f ca="1">IFERROR(__xludf.DUMMYFUNCTION("""COMPUTED_VALUE"""),"No")</f>
        <v>No</v>
      </c>
      <c r="G227" s="8" t="str">
        <f ca="1">IFERROR(__xludf.DUMMYFUNCTION("""COMPUTED_VALUE"""),"None")</f>
        <v>None</v>
      </c>
    </row>
    <row r="228" spans="1:7" ht="12.75">
      <c r="A228" s="8" t="str">
        <f ca="1">IFERROR(__xludf.DUMMYFUNCTION("""COMPUTED_VALUE"""),"20220322TXWOD")</f>
        <v>20220322TXWOD</v>
      </c>
      <c r="B228" s="8" t="str">
        <f ca="1">IFERROR(__xludf.DUMMYFUNCTION("""COMPUTED_VALUE"""),"Teen")</f>
        <v>Teen</v>
      </c>
      <c r="C228" s="8"/>
      <c r="D228" s="8" t="str">
        <f ca="1">IFERROR(__xludf.DUMMYFUNCTION("""COMPUTED_VALUE"""),"Student")</f>
        <v>Student</v>
      </c>
      <c r="E228" s="8" t="str">
        <f ca="1">IFERROR(__xludf.DUMMYFUNCTION("""COMPUTED_VALUE"""),"Fled/Escaped")</f>
        <v>Fled/Escaped</v>
      </c>
      <c r="F228" s="8" t="str">
        <f ca="1">IFERROR(__xludf.DUMMYFUNCTION("""COMPUTED_VALUE"""),"No")</f>
        <v>No</v>
      </c>
      <c r="G228" s="8" t="str">
        <f ca="1">IFERROR(__xludf.DUMMYFUNCTION("""COMPUTED_VALUE"""),"None")</f>
        <v>None</v>
      </c>
    </row>
    <row r="229" spans="1:7" ht="12.75">
      <c r="A229" s="8" t="str">
        <f ca="1">IFERROR(__xludf.DUMMYFUNCTION("""COMPUTED_VALUE"""),"20220322FLNEN")</f>
        <v>20220322FLNEN</v>
      </c>
      <c r="B229" s="8">
        <f ca="1">IFERROR(__xludf.DUMMYFUNCTION("""COMPUTED_VALUE"""),17)</f>
        <v>17</v>
      </c>
      <c r="C229" s="8" t="str">
        <f ca="1">IFERROR(__xludf.DUMMYFUNCTION("""COMPUTED_VALUE"""),"Male")</f>
        <v>Male</v>
      </c>
      <c r="D229" s="8" t="str">
        <f ca="1">IFERROR(__xludf.DUMMYFUNCTION("""COMPUTED_VALUE"""),"Student")</f>
        <v>Student</v>
      </c>
      <c r="E229" s="8" t="str">
        <f ca="1">IFERROR(__xludf.DUMMYFUNCTION("""COMPUTED_VALUE"""),"Fled/Apprehended")</f>
        <v>Fled/Apprehended</v>
      </c>
      <c r="F229" s="8" t="str">
        <f ca="1">IFERROR(__xludf.DUMMYFUNCTION("""COMPUTED_VALUE"""),"No")</f>
        <v>No</v>
      </c>
      <c r="G229" s="8" t="str">
        <f ca="1">IFERROR(__xludf.DUMMYFUNCTION("""COMPUTED_VALUE"""),"None")</f>
        <v>None</v>
      </c>
    </row>
    <row r="230" spans="1:7" ht="12.75">
      <c r="A230" s="8" t="str">
        <f ca="1">IFERROR(__xludf.DUMMYFUNCTION("""COMPUTED_VALUE"""),"20220321MSLEP")</f>
        <v>20220321MSLEP</v>
      </c>
      <c r="B230" s="8" t="str">
        <f ca="1">IFERROR(__xludf.DUMMYFUNCTION("""COMPUTED_VALUE"""),"Adult")</f>
        <v>Adult</v>
      </c>
      <c r="C230" s="8" t="str">
        <f ca="1">IFERROR(__xludf.DUMMYFUNCTION("""COMPUTED_VALUE"""),"Male")</f>
        <v>Male</v>
      </c>
      <c r="D230" s="8" t="str">
        <f ca="1">IFERROR(__xludf.DUMMYFUNCTION("""COMPUTED_VALUE"""),"No Relation")</f>
        <v>No Relation</v>
      </c>
      <c r="E230" s="8" t="str">
        <f ca="1">IFERROR(__xludf.DUMMYFUNCTION("""COMPUTED_VALUE"""),"Apprehended/Killed by LE")</f>
        <v>Apprehended/Killed by LE</v>
      </c>
      <c r="F230" s="8" t="str">
        <f ca="1">IFERROR(__xludf.DUMMYFUNCTION("""COMPUTED_VALUE"""),"No")</f>
        <v>No</v>
      </c>
      <c r="G230" s="8" t="str">
        <f ca="1">IFERROR(__xludf.DUMMYFUNCTION("""COMPUTED_VALUE"""),"None")</f>
        <v>None</v>
      </c>
    </row>
    <row r="231" spans="1:7" ht="12.75">
      <c r="A231" s="8" t="str">
        <f ca="1">IFERROR(__xludf.DUMMYFUNCTION("""COMPUTED_VALUE"""),"20220321MIMAK")</f>
        <v>20220321MIMAK</v>
      </c>
      <c r="B231" s="8">
        <f ca="1">IFERROR(__xludf.DUMMYFUNCTION("""COMPUTED_VALUE"""),36)</f>
        <v>36</v>
      </c>
      <c r="C231" s="8" t="str">
        <f ca="1">IFERROR(__xludf.DUMMYFUNCTION("""COMPUTED_VALUE"""),"Female")</f>
        <v>Female</v>
      </c>
      <c r="D231" s="8" t="str">
        <f ca="1">IFERROR(__xludf.DUMMYFUNCTION("""COMPUTED_VALUE"""),"Parent")</f>
        <v>Parent</v>
      </c>
      <c r="E231" s="8" t="str">
        <f ca="1">IFERROR(__xludf.DUMMYFUNCTION("""COMPUTED_VALUE"""),"Fled/Apprehended")</f>
        <v>Fled/Apprehended</v>
      </c>
      <c r="F231" s="8" t="str">
        <f ca="1">IFERROR(__xludf.DUMMYFUNCTION("""COMPUTED_VALUE"""),"No")</f>
        <v>No</v>
      </c>
      <c r="G231" s="8" t="str">
        <f ca="1">IFERROR(__xludf.DUMMYFUNCTION("""COMPUTED_VALUE"""),"None")</f>
        <v>None</v>
      </c>
    </row>
    <row r="232" spans="1:7" ht="12.75">
      <c r="A232" s="8" t="str">
        <f ca="1">IFERROR(__xludf.DUMMYFUNCTION("""COMPUTED_VALUE"""),"20220321AZDES")</f>
        <v>20220321AZDES</v>
      </c>
      <c r="B232" s="8">
        <f ca="1">IFERROR(__xludf.DUMMYFUNCTION("""COMPUTED_VALUE"""),31)</f>
        <v>31</v>
      </c>
      <c r="C232" s="8" t="str">
        <f ca="1">IFERROR(__xludf.DUMMYFUNCTION("""COMPUTED_VALUE"""),"Male")</f>
        <v>Male</v>
      </c>
      <c r="D232" s="8" t="str">
        <f ca="1">IFERROR(__xludf.DUMMYFUNCTION("""COMPUTED_VALUE"""),"No Relation")</f>
        <v>No Relation</v>
      </c>
      <c r="E232" s="8" t="str">
        <f ca="1">IFERROR(__xludf.DUMMYFUNCTION("""COMPUTED_VALUE"""),"Apprehended/Killed by LE")</f>
        <v>Apprehended/Killed by LE</v>
      </c>
      <c r="F232" s="8" t="str">
        <f ca="1">IFERROR(__xludf.DUMMYFUNCTION("""COMPUTED_VALUE"""),"No")</f>
        <v>No</v>
      </c>
      <c r="G232" s="8" t="str">
        <f ca="1">IFERROR(__xludf.DUMMYFUNCTION("""COMPUTED_VALUE"""),"None")</f>
        <v>None</v>
      </c>
    </row>
    <row r="233" spans="1:7" ht="12.75">
      <c r="A233" s="8" t="str">
        <f ca="1">IFERROR(__xludf.DUMMYFUNCTION("""COMPUTED_VALUE"""),"20220319ALCEL")</f>
        <v>20220319ALCEL</v>
      </c>
      <c r="B233" s="8" t="str">
        <f ca="1">IFERROR(__xludf.DUMMYFUNCTION("""COMPUTED_VALUE"""),"Adult")</f>
        <v>Adult</v>
      </c>
      <c r="C233" s="8" t="str">
        <f ca="1">IFERROR(__xludf.DUMMYFUNCTION("""COMPUTED_VALUE"""),"Male")</f>
        <v>Male</v>
      </c>
      <c r="D233" s="8" t="str">
        <f ca="1">IFERROR(__xludf.DUMMYFUNCTION("""COMPUTED_VALUE"""),"No Relation")</f>
        <v>No Relation</v>
      </c>
      <c r="E233" s="8" t="str">
        <f ca="1">IFERROR(__xludf.DUMMYFUNCTION("""COMPUTED_VALUE"""),"Fled/Apprehended")</f>
        <v>Fled/Apprehended</v>
      </c>
      <c r="F233" s="8" t="str">
        <f ca="1">IFERROR(__xludf.DUMMYFUNCTION("""COMPUTED_VALUE"""),"No")</f>
        <v>No</v>
      </c>
      <c r="G233" s="8" t="str">
        <f ca="1">IFERROR(__xludf.DUMMYFUNCTION("""COMPUTED_VALUE"""),"None")</f>
        <v>None</v>
      </c>
    </row>
    <row r="234" spans="1:7" ht="12.75">
      <c r="A234" s="8" t="str">
        <f ca="1">IFERROR(__xludf.DUMMYFUNCTION("""COMPUTED_VALUE"""),"20220318RICEP")</f>
        <v>20220318RICEP</v>
      </c>
      <c r="B234" s="8">
        <f ca="1">IFERROR(__xludf.DUMMYFUNCTION("""COMPUTED_VALUE"""),17)</f>
        <v>17</v>
      </c>
      <c r="C234" s="8" t="str">
        <f ca="1">IFERROR(__xludf.DUMMYFUNCTION("""COMPUTED_VALUE"""),"Male")</f>
        <v>Male</v>
      </c>
      <c r="D234" s="8" t="str">
        <f ca="1">IFERROR(__xludf.DUMMYFUNCTION("""COMPUTED_VALUE"""),"Student")</f>
        <v>Student</v>
      </c>
      <c r="E234" s="8" t="str">
        <f ca="1">IFERROR(__xludf.DUMMYFUNCTION("""COMPUTED_VALUE"""),"Fled/Apprehended")</f>
        <v>Fled/Apprehended</v>
      </c>
      <c r="F234" s="8" t="str">
        <f ca="1">IFERROR(__xludf.DUMMYFUNCTION("""COMPUTED_VALUE"""),"No")</f>
        <v>No</v>
      </c>
      <c r="G234" s="8" t="str">
        <f ca="1">IFERROR(__xludf.DUMMYFUNCTION("""COMPUTED_VALUE"""),"None")</f>
        <v>None</v>
      </c>
    </row>
    <row r="235" spans="1:7" ht="12.75">
      <c r="A235" s="8" t="str">
        <f ca="1">IFERROR(__xludf.DUMMYFUNCTION("""COMPUTED_VALUE"""),"20220318RICEP")</f>
        <v>20220318RICEP</v>
      </c>
      <c r="B235" s="8">
        <f ca="1">IFERROR(__xludf.DUMMYFUNCTION("""COMPUTED_VALUE"""),18)</f>
        <v>18</v>
      </c>
      <c r="C235" s="8" t="str">
        <f ca="1">IFERROR(__xludf.DUMMYFUNCTION("""COMPUTED_VALUE"""),"Male")</f>
        <v>Male</v>
      </c>
      <c r="D235" s="8" t="str">
        <f ca="1">IFERROR(__xludf.DUMMYFUNCTION("""COMPUTED_VALUE"""),"Student")</f>
        <v>Student</v>
      </c>
      <c r="E235" s="8" t="str">
        <f ca="1">IFERROR(__xludf.DUMMYFUNCTION("""COMPUTED_VALUE"""),"Fled/Apprehended")</f>
        <v>Fled/Apprehended</v>
      </c>
      <c r="F235" s="8" t="str">
        <f ca="1">IFERROR(__xludf.DUMMYFUNCTION("""COMPUTED_VALUE"""),"No")</f>
        <v>No</v>
      </c>
      <c r="G235" s="8" t="str">
        <f ca="1">IFERROR(__xludf.DUMMYFUNCTION("""COMPUTED_VALUE"""),"None")</f>
        <v>None</v>
      </c>
    </row>
    <row r="236" spans="1:7" ht="12.75">
      <c r="A236" s="8" t="str">
        <f ca="1">IFERROR(__xludf.DUMMYFUNCTION("""COMPUTED_VALUE"""),"20220318ILBAB")</f>
        <v>20220318ILBAB</v>
      </c>
      <c r="B236" s="8" t="str">
        <f ca="1">IFERROR(__xludf.DUMMYFUNCTION("""COMPUTED_VALUE"""),"Teen")</f>
        <v>Teen</v>
      </c>
      <c r="C236" s="8" t="str">
        <f ca="1">IFERROR(__xludf.DUMMYFUNCTION("""COMPUTED_VALUE"""),"Male")</f>
        <v>Male</v>
      </c>
      <c r="D236" s="8" t="str">
        <f ca="1">IFERROR(__xludf.DUMMYFUNCTION("""COMPUTED_VALUE"""),"Student")</f>
        <v>Student</v>
      </c>
      <c r="E236" s="8" t="str">
        <f ca="1">IFERROR(__xludf.DUMMYFUNCTION("""COMPUTED_VALUE"""),"Fled/Apprehended")</f>
        <v>Fled/Apprehended</v>
      </c>
      <c r="F236" s="8" t="str">
        <f ca="1">IFERROR(__xludf.DUMMYFUNCTION("""COMPUTED_VALUE"""),"No")</f>
        <v>No</v>
      </c>
      <c r="G236" s="8" t="str">
        <f ca="1">IFERROR(__xludf.DUMMYFUNCTION("""COMPUTED_VALUE"""),"None")</f>
        <v>None</v>
      </c>
    </row>
    <row r="237" spans="1:7" ht="12.75">
      <c r="A237" s="8" t="str">
        <f ca="1">IFERROR(__xludf.DUMMYFUNCTION("""COMPUTED_VALUE"""),"20220317AKREW")</f>
        <v>20220317AKREW</v>
      </c>
      <c r="B237" s="8" t="str">
        <f ca="1">IFERROR(__xludf.DUMMYFUNCTION("""COMPUTED_VALUE"""),"Teen")</f>
        <v>Teen</v>
      </c>
      <c r="C237" s="8" t="str">
        <f ca="1">IFERROR(__xludf.DUMMYFUNCTION("""COMPUTED_VALUE"""),"Male")</f>
        <v>Male</v>
      </c>
      <c r="D237" s="8" t="str">
        <f ca="1">IFERROR(__xludf.DUMMYFUNCTION("""COMPUTED_VALUE"""),"Student")</f>
        <v>Student</v>
      </c>
      <c r="E237" s="8" t="str">
        <f ca="1">IFERROR(__xludf.DUMMYFUNCTION("""COMPUTED_VALUE"""),"Fled/Escaped")</f>
        <v>Fled/Escaped</v>
      </c>
      <c r="F237" s="8" t="str">
        <f ca="1">IFERROR(__xludf.DUMMYFUNCTION("""COMPUTED_VALUE"""),"No")</f>
        <v>No</v>
      </c>
      <c r="G237" s="8" t="str">
        <f ca="1">IFERROR(__xludf.DUMMYFUNCTION("""COMPUTED_VALUE"""),"None")</f>
        <v>None</v>
      </c>
    </row>
    <row r="238" spans="1:7" ht="12.75">
      <c r="A238" s="8" t="str">
        <f ca="1">IFERROR(__xludf.DUMMYFUNCTION("""COMPUTED_VALUE"""),"20220316CALOR")</f>
        <v>20220316CALOR</v>
      </c>
      <c r="B238" s="8">
        <f ca="1">IFERROR(__xludf.DUMMYFUNCTION("""COMPUTED_VALUE"""),12)</f>
        <v>12</v>
      </c>
      <c r="C238" s="8" t="str">
        <f ca="1">IFERROR(__xludf.DUMMYFUNCTION("""COMPUTED_VALUE"""),"Male")</f>
        <v>Male</v>
      </c>
      <c r="D238" s="8" t="str">
        <f ca="1">IFERROR(__xludf.DUMMYFUNCTION("""COMPUTED_VALUE"""),"Student")</f>
        <v>Student</v>
      </c>
      <c r="E238" s="8" t="str">
        <f ca="1">IFERROR(__xludf.DUMMYFUNCTION("""COMPUTED_VALUE"""),"Fled/Apprehended")</f>
        <v>Fled/Apprehended</v>
      </c>
      <c r="F238" s="8" t="str">
        <f ca="1">IFERROR(__xludf.DUMMYFUNCTION("""COMPUTED_VALUE"""),"No")</f>
        <v>No</v>
      </c>
      <c r="G238" s="8" t="str">
        <f ca="1">IFERROR(__xludf.DUMMYFUNCTION("""COMPUTED_VALUE"""),"None")</f>
        <v>None</v>
      </c>
    </row>
    <row r="239" spans="1:7" ht="12.75">
      <c r="A239" s="8" t="str">
        <f ca="1">IFERROR(__xludf.DUMMYFUNCTION("""COMPUTED_VALUE"""),"20220315WAEIY")</f>
        <v>20220315WAEIY</v>
      </c>
      <c r="B239" s="8">
        <f ca="1">IFERROR(__xludf.DUMMYFUNCTION("""COMPUTED_VALUE"""),15)</f>
        <v>15</v>
      </c>
      <c r="C239" s="8" t="str">
        <f ca="1">IFERROR(__xludf.DUMMYFUNCTION("""COMPUTED_VALUE"""),"Male")</f>
        <v>Male</v>
      </c>
      <c r="D239" s="8" t="str">
        <f ca="1">IFERROR(__xludf.DUMMYFUNCTION("""COMPUTED_VALUE"""),"Student")</f>
        <v>Student</v>
      </c>
      <c r="E239" s="8" t="str">
        <f ca="1">IFERROR(__xludf.DUMMYFUNCTION("""COMPUTED_VALUE"""),"Fled/Apprehended")</f>
        <v>Fled/Apprehended</v>
      </c>
      <c r="F239" s="8" t="str">
        <f ca="1">IFERROR(__xludf.DUMMYFUNCTION("""COMPUTED_VALUE"""),"No")</f>
        <v>No</v>
      </c>
      <c r="G239" s="8" t="str">
        <f ca="1">IFERROR(__xludf.DUMMYFUNCTION("""COMPUTED_VALUE"""),"None")</f>
        <v>None</v>
      </c>
    </row>
    <row r="240" spans="1:7" ht="12.75">
      <c r="A240" s="8" t="str">
        <f ca="1">IFERROR(__xludf.DUMMYFUNCTION("""COMPUTED_VALUE"""),"20220315MDPAB")</f>
        <v>20220315MDPAB</v>
      </c>
      <c r="B240" s="8"/>
      <c r="C240" s="8"/>
      <c r="D240" s="8"/>
      <c r="E240" s="8" t="str">
        <f ca="1">IFERROR(__xludf.DUMMYFUNCTION("""COMPUTED_VALUE"""),"Fled/Escaped")</f>
        <v>Fled/Escaped</v>
      </c>
      <c r="F240" s="8" t="str">
        <f ca="1">IFERROR(__xludf.DUMMYFUNCTION("""COMPUTED_VALUE"""),"No")</f>
        <v>No</v>
      </c>
      <c r="G240" s="8" t="str">
        <f ca="1">IFERROR(__xludf.DUMMYFUNCTION("""COMPUTED_VALUE"""),"None")</f>
        <v>None</v>
      </c>
    </row>
    <row r="241" spans="1:7" ht="12.75">
      <c r="A241" s="8" t="str">
        <f ca="1">IFERROR(__xludf.DUMMYFUNCTION("""COMPUTED_VALUE"""),"20220315MATEB")</f>
        <v>20220315MATEB</v>
      </c>
      <c r="B241" s="8">
        <f ca="1">IFERROR(__xludf.DUMMYFUNCTION("""COMPUTED_VALUE"""),16)</f>
        <v>16</v>
      </c>
      <c r="C241" s="8" t="str">
        <f ca="1">IFERROR(__xludf.DUMMYFUNCTION("""COMPUTED_VALUE"""),"Male")</f>
        <v>Male</v>
      </c>
      <c r="D241" s="8"/>
      <c r="E241" s="8" t="str">
        <f ca="1">IFERROR(__xludf.DUMMYFUNCTION("""COMPUTED_VALUE"""),"Fled/Apprehended")</f>
        <v>Fled/Apprehended</v>
      </c>
      <c r="F241" s="8" t="str">
        <f ca="1">IFERROR(__xludf.DUMMYFUNCTION("""COMPUTED_VALUE"""),"No")</f>
        <v>No</v>
      </c>
      <c r="G241" s="8" t="str">
        <f ca="1">IFERROR(__xludf.DUMMYFUNCTION("""COMPUTED_VALUE"""),"None")</f>
        <v>None</v>
      </c>
    </row>
    <row r="242" spans="1:7" ht="12.75">
      <c r="A242" s="8" t="str">
        <f ca="1">IFERROR(__xludf.DUMMYFUNCTION("""COMPUTED_VALUE"""),"20220315MATEB")</f>
        <v>20220315MATEB</v>
      </c>
      <c r="B242" s="8">
        <f ca="1">IFERROR(__xludf.DUMMYFUNCTION("""COMPUTED_VALUE"""),17)</f>
        <v>17</v>
      </c>
      <c r="C242" s="8" t="str">
        <f ca="1">IFERROR(__xludf.DUMMYFUNCTION("""COMPUTED_VALUE"""),"Male")</f>
        <v>Male</v>
      </c>
      <c r="D242" s="8"/>
      <c r="E242" s="8" t="str">
        <f ca="1">IFERROR(__xludf.DUMMYFUNCTION("""COMPUTED_VALUE"""),"Fled/Apprehended")</f>
        <v>Fled/Apprehended</v>
      </c>
      <c r="F242" s="8" t="str">
        <f ca="1">IFERROR(__xludf.DUMMYFUNCTION("""COMPUTED_VALUE"""),"No")</f>
        <v>No</v>
      </c>
      <c r="G242" s="8" t="str">
        <f ca="1">IFERROR(__xludf.DUMMYFUNCTION("""COMPUTED_VALUE"""),"None")</f>
        <v>None</v>
      </c>
    </row>
    <row r="243" spans="1:7" ht="12.75">
      <c r="A243" s="8" t="str">
        <f ca="1">IFERROR(__xludf.DUMMYFUNCTION("""COMPUTED_VALUE"""),"20220315GAFOF")</f>
        <v>20220315GAFOF</v>
      </c>
      <c r="B243" s="8" t="str">
        <f ca="1">IFERROR(__xludf.DUMMYFUNCTION("""COMPUTED_VALUE"""),"Adult")</f>
        <v>Adult</v>
      </c>
      <c r="C243" s="8"/>
      <c r="D243" s="8" t="str">
        <f ca="1">IFERROR(__xludf.DUMMYFUNCTION("""COMPUTED_VALUE"""),"No Relation")</f>
        <v>No Relation</v>
      </c>
      <c r="E243" s="8" t="str">
        <f ca="1">IFERROR(__xludf.DUMMYFUNCTION("""COMPUTED_VALUE"""),"Apprehended/Killed by SRO")</f>
        <v>Apprehended/Killed by SRO</v>
      </c>
      <c r="F243" s="8" t="str">
        <f ca="1">IFERROR(__xludf.DUMMYFUNCTION("""COMPUTED_VALUE"""),"No")</f>
        <v>No</v>
      </c>
      <c r="G243" s="8" t="str">
        <f ca="1">IFERROR(__xludf.DUMMYFUNCTION("""COMPUTED_VALUE"""),"None")</f>
        <v>None</v>
      </c>
    </row>
    <row r="244" spans="1:7" ht="12.75">
      <c r="A244" s="8" t="str">
        <f ca="1">IFERROR(__xludf.DUMMYFUNCTION("""COMPUTED_VALUE"""),"20220314CAKRP")</f>
        <v>20220314CAKRP</v>
      </c>
      <c r="B244" s="8" t="str">
        <f ca="1">IFERROR(__xludf.DUMMYFUNCTION("""COMPUTED_VALUE"""),"Adult")</f>
        <v>Adult</v>
      </c>
      <c r="C244" s="8" t="str">
        <f ca="1">IFERROR(__xludf.DUMMYFUNCTION("""COMPUTED_VALUE"""),"Male")</f>
        <v>Male</v>
      </c>
      <c r="D244" s="8" t="str">
        <f ca="1">IFERROR(__xludf.DUMMYFUNCTION("""COMPUTED_VALUE"""),"Principal/Vice-Principal")</f>
        <v>Principal/Vice-Principal</v>
      </c>
      <c r="E244" s="8" t="str">
        <f ca="1">IFERROR(__xludf.DUMMYFUNCTION("""COMPUTED_VALUE"""),"Suicide")</f>
        <v>Suicide</v>
      </c>
      <c r="F244" s="8" t="str">
        <f ca="1">IFERROR(__xludf.DUMMYFUNCTION("""COMPUTED_VALUE"""),"Yes")</f>
        <v>Yes</v>
      </c>
      <c r="G244" s="8" t="str">
        <f ca="1">IFERROR(__xludf.DUMMYFUNCTION("""COMPUTED_VALUE"""),"Fatal")</f>
        <v>Fatal</v>
      </c>
    </row>
    <row r="245" spans="1:7" ht="12.75">
      <c r="A245" s="8" t="str">
        <f ca="1">IFERROR(__xludf.DUMMYFUNCTION("""COMPUTED_VALUE"""),"20220313PANEP")</f>
        <v>20220313PANEP</v>
      </c>
      <c r="B245" s="8"/>
      <c r="C245" s="8"/>
      <c r="D245" s="8"/>
      <c r="E245" s="8" t="str">
        <f ca="1">IFERROR(__xludf.DUMMYFUNCTION("""COMPUTED_VALUE"""),"Fled/Escaped")</f>
        <v>Fled/Escaped</v>
      </c>
      <c r="F245" s="8" t="str">
        <f ca="1">IFERROR(__xludf.DUMMYFUNCTION("""COMPUTED_VALUE"""),"No")</f>
        <v>No</v>
      </c>
      <c r="G245" s="8" t="str">
        <f ca="1">IFERROR(__xludf.DUMMYFUNCTION("""COMPUTED_VALUE"""),"None")</f>
        <v>None</v>
      </c>
    </row>
    <row r="246" spans="1:7" ht="12.75">
      <c r="A246" s="8" t="str">
        <f ca="1">IFERROR(__xludf.DUMMYFUNCTION("""COMPUTED_VALUE"""),"20220311WIJER")</f>
        <v>20220311WIJER</v>
      </c>
      <c r="B246" s="8" t="str">
        <f ca="1">IFERROR(__xludf.DUMMYFUNCTION("""COMPUTED_VALUE"""),"Child")</f>
        <v>Child</v>
      </c>
      <c r="C246" s="8"/>
      <c r="D246" s="8" t="str">
        <f ca="1">IFERROR(__xludf.DUMMYFUNCTION("""COMPUTED_VALUE"""),"Student")</f>
        <v>Student</v>
      </c>
      <c r="E246" s="8" t="str">
        <f ca="1">IFERROR(__xludf.DUMMYFUNCTION("""COMPUTED_VALUE"""),"Apprehended/Killed by LE")</f>
        <v>Apprehended/Killed by LE</v>
      </c>
      <c r="F246" s="8" t="str">
        <f ca="1">IFERROR(__xludf.DUMMYFUNCTION("""COMPUTED_VALUE"""),"No")</f>
        <v>No</v>
      </c>
      <c r="G246" s="8" t="str">
        <f ca="1">IFERROR(__xludf.DUMMYFUNCTION("""COMPUTED_VALUE"""),"None")</f>
        <v>None</v>
      </c>
    </row>
    <row r="247" spans="1:7" ht="12.75">
      <c r="A247" s="8" t="str">
        <f ca="1">IFERROR(__xludf.DUMMYFUNCTION("""COMPUTED_VALUE"""),"20220311OHMAM")</f>
        <v>20220311OHMAM</v>
      </c>
      <c r="B247" s="8"/>
      <c r="C247" s="8"/>
      <c r="D247" s="8"/>
      <c r="E247" s="8" t="str">
        <f ca="1">IFERROR(__xludf.DUMMYFUNCTION("""COMPUTED_VALUE"""),"Fled/Escaped")</f>
        <v>Fled/Escaped</v>
      </c>
      <c r="F247" s="8" t="str">
        <f ca="1">IFERROR(__xludf.DUMMYFUNCTION("""COMPUTED_VALUE"""),"No")</f>
        <v>No</v>
      </c>
      <c r="G247" s="8" t="str">
        <f ca="1">IFERROR(__xludf.DUMMYFUNCTION("""COMPUTED_VALUE"""),"None")</f>
        <v>None</v>
      </c>
    </row>
    <row r="248" spans="1:7" ht="12.75">
      <c r="A248" s="8" t="str">
        <f ca="1">IFERROR(__xludf.DUMMYFUNCTION("""COMPUTED_VALUE"""),"20220311OHFAP")</f>
        <v>20220311OHFAP</v>
      </c>
      <c r="B248" s="8">
        <f ca="1">IFERROR(__xludf.DUMMYFUNCTION("""COMPUTED_VALUE"""),43)</f>
        <v>43</v>
      </c>
      <c r="C248" s="8" t="str">
        <f ca="1">IFERROR(__xludf.DUMMYFUNCTION("""COMPUTED_VALUE"""),"Male")</f>
        <v>Male</v>
      </c>
      <c r="D248" s="8" t="str">
        <f ca="1">IFERROR(__xludf.DUMMYFUNCTION("""COMPUTED_VALUE"""),"No Relation")</f>
        <v>No Relation</v>
      </c>
      <c r="E248" s="8" t="str">
        <f ca="1">IFERROR(__xludf.DUMMYFUNCTION("""COMPUTED_VALUE"""),"Surrendered")</f>
        <v>Surrendered</v>
      </c>
      <c r="F248" s="8" t="str">
        <f ca="1">IFERROR(__xludf.DUMMYFUNCTION("""COMPUTED_VALUE"""),"No")</f>
        <v>No</v>
      </c>
      <c r="G248" s="8" t="str">
        <f ca="1">IFERROR(__xludf.DUMMYFUNCTION("""COMPUTED_VALUE"""),"None")</f>
        <v>None</v>
      </c>
    </row>
    <row r="249" spans="1:7" ht="12.75">
      <c r="A249" s="8" t="str">
        <f ca="1">IFERROR(__xludf.DUMMYFUNCTION("""COMPUTED_VALUE"""),"20220311CADER")</f>
        <v>20220311CADER</v>
      </c>
      <c r="B249" s="8" t="str">
        <f ca="1">IFERROR(__xludf.DUMMYFUNCTION("""COMPUTED_VALUE"""),"Teen")</f>
        <v>Teen</v>
      </c>
      <c r="C249" s="8" t="str">
        <f ca="1">IFERROR(__xludf.DUMMYFUNCTION("""COMPUTED_VALUE"""),"Male")</f>
        <v>Male</v>
      </c>
      <c r="D249" s="8" t="str">
        <f ca="1">IFERROR(__xludf.DUMMYFUNCTION("""COMPUTED_VALUE"""),"Student")</f>
        <v>Student</v>
      </c>
      <c r="E249" s="8" t="str">
        <f ca="1">IFERROR(__xludf.DUMMYFUNCTION("""COMPUTED_VALUE"""),"Fled/Escaped")</f>
        <v>Fled/Escaped</v>
      </c>
      <c r="F249" s="8" t="str">
        <f ca="1">IFERROR(__xludf.DUMMYFUNCTION("""COMPUTED_VALUE"""),"No")</f>
        <v>No</v>
      </c>
      <c r="G249" s="8" t="str">
        <f ca="1">IFERROR(__xludf.DUMMYFUNCTION("""COMPUTED_VALUE"""),"None")</f>
        <v>None</v>
      </c>
    </row>
    <row r="250" spans="1:7" ht="12.75">
      <c r="A250" s="8" t="str">
        <f ca="1">IFERROR(__xludf.DUMMYFUNCTION("""COMPUTED_VALUE"""),"20220310TNHAM")</f>
        <v>20220310TNHAM</v>
      </c>
      <c r="B250" s="8" t="str">
        <f ca="1">IFERROR(__xludf.DUMMYFUNCTION("""COMPUTED_VALUE"""),"Adult")</f>
        <v>Adult</v>
      </c>
      <c r="C250" s="8" t="str">
        <f ca="1">IFERROR(__xludf.DUMMYFUNCTION("""COMPUTED_VALUE"""),"Female")</f>
        <v>Female</v>
      </c>
      <c r="D250" s="8" t="str">
        <f ca="1">IFERROR(__xludf.DUMMYFUNCTION("""COMPUTED_VALUE"""),"Parent")</f>
        <v>Parent</v>
      </c>
      <c r="E250" s="8" t="str">
        <f ca="1">IFERROR(__xludf.DUMMYFUNCTION("""COMPUTED_VALUE"""),"Fled/Apprehended")</f>
        <v>Fled/Apprehended</v>
      </c>
      <c r="F250" s="8" t="str">
        <f ca="1">IFERROR(__xludf.DUMMYFUNCTION("""COMPUTED_VALUE"""),"No")</f>
        <v>No</v>
      </c>
      <c r="G250" s="8" t="str">
        <f ca="1">IFERROR(__xludf.DUMMYFUNCTION("""COMPUTED_VALUE"""),"None")</f>
        <v>None</v>
      </c>
    </row>
    <row r="251" spans="1:7" ht="12.75">
      <c r="A251" s="8" t="str">
        <f ca="1">IFERROR(__xludf.DUMMYFUNCTION("""COMPUTED_VALUE"""),"20220310MDCOL")</f>
        <v>20220310MDCOL</v>
      </c>
      <c r="B251" s="8" t="str">
        <f ca="1">IFERROR(__xludf.DUMMYFUNCTION("""COMPUTED_VALUE"""),"Adult")</f>
        <v>Adult</v>
      </c>
      <c r="C251" s="8" t="str">
        <f ca="1">IFERROR(__xludf.DUMMYFUNCTION("""COMPUTED_VALUE"""),"Male")</f>
        <v>Male</v>
      </c>
      <c r="D251" s="8"/>
      <c r="E251" s="8" t="str">
        <f ca="1">IFERROR(__xludf.DUMMYFUNCTION("""COMPUTED_VALUE"""),"Fled/Escaped")</f>
        <v>Fled/Escaped</v>
      </c>
      <c r="F251" s="8" t="str">
        <f ca="1">IFERROR(__xludf.DUMMYFUNCTION("""COMPUTED_VALUE"""),"No")</f>
        <v>No</v>
      </c>
      <c r="G251" s="8" t="str">
        <f ca="1">IFERROR(__xludf.DUMMYFUNCTION("""COMPUTED_VALUE"""),"None")</f>
        <v>None</v>
      </c>
    </row>
    <row r="252" spans="1:7" ht="12.75">
      <c r="A252" s="8" t="str">
        <f ca="1">IFERROR(__xludf.DUMMYFUNCTION("""COMPUTED_VALUE"""),"20220310COROH")</f>
        <v>20220310COROH</v>
      </c>
      <c r="B252" s="8">
        <f ca="1">IFERROR(__xludf.DUMMYFUNCTION("""COMPUTED_VALUE"""),17)</f>
        <v>17</v>
      </c>
      <c r="C252" s="8" t="str">
        <f ca="1">IFERROR(__xludf.DUMMYFUNCTION("""COMPUTED_VALUE"""),"Male")</f>
        <v>Male</v>
      </c>
      <c r="D252" s="8" t="str">
        <f ca="1">IFERROR(__xludf.DUMMYFUNCTION("""COMPUTED_VALUE"""),"Student")</f>
        <v>Student</v>
      </c>
      <c r="E252" s="8" t="str">
        <f ca="1">IFERROR(__xludf.DUMMYFUNCTION("""COMPUTED_VALUE"""),"Surrendered")</f>
        <v>Surrendered</v>
      </c>
      <c r="F252" s="8" t="str">
        <f ca="1">IFERROR(__xludf.DUMMYFUNCTION("""COMPUTED_VALUE"""),"No")</f>
        <v>No</v>
      </c>
      <c r="G252" s="8" t="str">
        <f ca="1">IFERROR(__xludf.DUMMYFUNCTION("""COMPUTED_VALUE"""),"None")</f>
        <v>None</v>
      </c>
    </row>
    <row r="253" spans="1:7" ht="12.75">
      <c r="A253" s="8" t="str">
        <f ca="1">IFERROR(__xludf.DUMMYFUNCTION("""COMPUTED_VALUE"""),"20220309TXNOH")</f>
        <v>20220309TXNOH</v>
      </c>
      <c r="B253" s="8">
        <f ca="1">IFERROR(__xludf.DUMMYFUNCTION("""COMPUTED_VALUE"""),18)</f>
        <v>18</v>
      </c>
      <c r="C253" s="8" t="str">
        <f ca="1">IFERROR(__xludf.DUMMYFUNCTION("""COMPUTED_VALUE"""),"Male")</f>
        <v>Male</v>
      </c>
      <c r="D253" s="8" t="str">
        <f ca="1">IFERROR(__xludf.DUMMYFUNCTION("""COMPUTED_VALUE"""),"Student")</f>
        <v>Student</v>
      </c>
      <c r="E253" s="8" t="str">
        <f ca="1">IFERROR(__xludf.DUMMYFUNCTION("""COMPUTED_VALUE"""),"Surrendered")</f>
        <v>Surrendered</v>
      </c>
      <c r="F253" s="8" t="str">
        <f ca="1">IFERROR(__xludf.DUMMYFUNCTION("""COMPUTED_VALUE"""),"No")</f>
        <v>No</v>
      </c>
      <c r="G253" s="8" t="str">
        <f ca="1">IFERROR(__xludf.DUMMYFUNCTION("""COMPUTED_VALUE"""),"None")</f>
        <v>None</v>
      </c>
    </row>
    <row r="254" spans="1:7" ht="12.75">
      <c r="A254" s="8" t="str">
        <f ca="1">IFERROR(__xludf.DUMMYFUNCTION("""COMPUTED_VALUE"""),"20220309NMESE")</f>
        <v>20220309NMESE</v>
      </c>
      <c r="B254" s="8"/>
      <c r="C254" s="8"/>
      <c r="D254" s="8"/>
      <c r="E254" s="8" t="str">
        <f ca="1">IFERROR(__xludf.DUMMYFUNCTION("""COMPUTED_VALUE"""),"Fled/Escaped")</f>
        <v>Fled/Escaped</v>
      </c>
      <c r="F254" s="8" t="str">
        <f ca="1">IFERROR(__xludf.DUMMYFUNCTION("""COMPUTED_VALUE"""),"No")</f>
        <v>No</v>
      </c>
      <c r="G254" s="8" t="str">
        <f ca="1">IFERROR(__xludf.DUMMYFUNCTION("""COMPUTED_VALUE"""),"None")</f>
        <v>None</v>
      </c>
    </row>
    <row r="255" spans="1:7" ht="12.75">
      <c r="A255" s="8" t="str">
        <f ca="1">IFERROR(__xludf.DUMMYFUNCTION("""COMPUTED_VALUE"""),"20220309FLNOM")</f>
        <v>20220309FLNOM</v>
      </c>
      <c r="B255" s="8">
        <f ca="1">IFERROR(__xludf.DUMMYFUNCTION("""COMPUTED_VALUE"""),18)</f>
        <v>18</v>
      </c>
      <c r="C255" s="8" t="str">
        <f ca="1">IFERROR(__xludf.DUMMYFUNCTION("""COMPUTED_VALUE"""),"Male")</f>
        <v>Male</v>
      </c>
      <c r="D255" s="8"/>
      <c r="E255" s="8" t="str">
        <f ca="1">IFERROR(__xludf.DUMMYFUNCTION("""COMPUTED_VALUE"""),"Fled/Apprehended")</f>
        <v>Fled/Apprehended</v>
      </c>
      <c r="F255" s="8" t="str">
        <f ca="1">IFERROR(__xludf.DUMMYFUNCTION("""COMPUTED_VALUE"""),"No")</f>
        <v>No</v>
      </c>
      <c r="G255" s="8" t="str">
        <f ca="1">IFERROR(__xludf.DUMMYFUNCTION("""COMPUTED_VALUE"""),"None")</f>
        <v>None</v>
      </c>
    </row>
    <row r="256" spans="1:7" ht="12.75">
      <c r="A256" s="8" t="str">
        <f ca="1">IFERROR(__xludf.DUMMYFUNCTION("""COMPUTED_VALUE"""),"20220309FLNOM")</f>
        <v>20220309FLNOM</v>
      </c>
      <c r="B256" s="8">
        <f ca="1">IFERROR(__xludf.DUMMYFUNCTION("""COMPUTED_VALUE"""),17)</f>
        <v>17</v>
      </c>
      <c r="C256" s="8" t="str">
        <f ca="1">IFERROR(__xludf.DUMMYFUNCTION("""COMPUTED_VALUE"""),"Male")</f>
        <v>Male</v>
      </c>
      <c r="D256" s="8"/>
      <c r="E256" s="8" t="str">
        <f ca="1">IFERROR(__xludf.DUMMYFUNCTION("""COMPUTED_VALUE"""),"Fled/Apprehended")</f>
        <v>Fled/Apprehended</v>
      </c>
      <c r="F256" s="8" t="str">
        <f ca="1">IFERROR(__xludf.DUMMYFUNCTION("""COMPUTED_VALUE"""),"No")</f>
        <v>No</v>
      </c>
      <c r="G256" s="8" t="str">
        <f ca="1">IFERROR(__xludf.DUMMYFUNCTION("""COMPUTED_VALUE"""),"None")</f>
        <v>None</v>
      </c>
    </row>
    <row r="257" spans="1:7" ht="12.75">
      <c r="A257" s="8" t="str">
        <f ca="1">IFERROR(__xludf.DUMMYFUNCTION("""COMPUTED_VALUE"""),"20220307IAEAD")</f>
        <v>20220307IAEAD</v>
      </c>
      <c r="B257" s="8">
        <f ca="1">IFERROR(__xludf.DUMMYFUNCTION("""COMPUTED_VALUE"""),17)</f>
        <v>17</v>
      </c>
      <c r="C257" s="8" t="str">
        <f ca="1">IFERROR(__xludf.DUMMYFUNCTION("""COMPUTED_VALUE"""),"Male")</f>
        <v>Male</v>
      </c>
      <c r="D257" s="8"/>
      <c r="E257" s="8" t="str">
        <f ca="1">IFERROR(__xludf.DUMMYFUNCTION("""COMPUTED_VALUE"""),"Fled/Apprehended")</f>
        <v>Fled/Apprehended</v>
      </c>
      <c r="F257" s="8" t="str">
        <f ca="1">IFERROR(__xludf.DUMMYFUNCTION("""COMPUTED_VALUE"""),"No")</f>
        <v>No</v>
      </c>
      <c r="G257" s="8" t="str">
        <f ca="1">IFERROR(__xludf.DUMMYFUNCTION("""COMPUTED_VALUE"""),"None")</f>
        <v>None</v>
      </c>
    </row>
    <row r="258" spans="1:7" ht="12.75">
      <c r="A258" s="8" t="str">
        <f ca="1">IFERROR(__xludf.DUMMYFUNCTION("""COMPUTED_VALUE"""),"20220307IAEAD")</f>
        <v>20220307IAEAD</v>
      </c>
      <c r="B258" s="8">
        <f ca="1">IFERROR(__xludf.DUMMYFUNCTION("""COMPUTED_VALUE"""),14)</f>
        <v>14</v>
      </c>
      <c r="C258" s="8" t="str">
        <f ca="1">IFERROR(__xludf.DUMMYFUNCTION("""COMPUTED_VALUE"""),"Male")</f>
        <v>Male</v>
      </c>
      <c r="D258" s="8"/>
      <c r="E258" s="8" t="str">
        <f ca="1">IFERROR(__xludf.DUMMYFUNCTION("""COMPUTED_VALUE"""),"Fled/Apprehended")</f>
        <v>Fled/Apprehended</v>
      </c>
      <c r="F258" s="8" t="str">
        <f ca="1">IFERROR(__xludf.DUMMYFUNCTION("""COMPUTED_VALUE"""),"No")</f>
        <v>No</v>
      </c>
      <c r="G258" s="8" t="str">
        <f ca="1">IFERROR(__xludf.DUMMYFUNCTION("""COMPUTED_VALUE"""),"None")</f>
        <v>None</v>
      </c>
    </row>
    <row r="259" spans="1:7" ht="12.75">
      <c r="A259" s="8" t="str">
        <f ca="1">IFERROR(__xludf.DUMMYFUNCTION("""COMPUTED_VALUE"""),"20220307IAEAD")</f>
        <v>20220307IAEAD</v>
      </c>
      <c r="B259" s="8" t="str">
        <f ca="1">IFERROR(__xludf.DUMMYFUNCTION("""COMPUTED_VALUE"""),"Teen")</f>
        <v>Teen</v>
      </c>
      <c r="C259" s="8" t="str">
        <f ca="1">IFERROR(__xludf.DUMMYFUNCTION("""COMPUTED_VALUE"""),"Male")</f>
        <v>Male</v>
      </c>
      <c r="D259" s="8"/>
      <c r="E259" s="8" t="str">
        <f ca="1">IFERROR(__xludf.DUMMYFUNCTION("""COMPUTED_VALUE"""),"Fled/Apprehended")</f>
        <v>Fled/Apprehended</v>
      </c>
      <c r="F259" s="8" t="str">
        <f ca="1">IFERROR(__xludf.DUMMYFUNCTION("""COMPUTED_VALUE"""),"No")</f>
        <v>No</v>
      </c>
      <c r="G259" s="8" t="str">
        <f ca="1">IFERROR(__xludf.DUMMYFUNCTION("""COMPUTED_VALUE"""),"None")</f>
        <v>None</v>
      </c>
    </row>
    <row r="260" spans="1:7" ht="12.75">
      <c r="A260" s="8" t="str">
        <f ca="1">IFERROR(__xludf.DUMMYFUNCTION("""COMPUTED_VALUE"""),"20220307IAEAD")</f>
        <v>20220307IAEAD</v>
      </c>
      <c r="B260" s="8" t="str">
        <f ca="1">IFERROR(__xludf.DUMMYFUNCTION("""COMPUTED_VALUE"""),"Teen")</f>
        <v>Teen</v>
      </c>
      <c r="C260" s="8" t="str">
        <f ca="1">IFERROR(__xludf.DUMMYFUNCTION("""COMPUTED_VALUE"""),"Male")</f>
        <v>Male</v>
      </c>
      <c r="D260" s="8"/>
      <c r="E260" s="8" t="str">
        <f ca="1">IFERROR(__xludf.DUMMYFUNCTION("""COMPUTED_VALUE"""),"Fled/Apprehended")</f>
        <v>Fled/Apprehended</v>
      </c>
      <c r="F260" s="8" t="str">
        <f ca="1">IFERROR(__xludf.DUMMYFUNCTION("""COMPUTED_VALUE"""),"No")</f>
        <v>No</v>
      </c>
      <c r="G260" s="8" t="str">
        <f ca="1">IFERROR(__xludf.DUMMYFUNCTION("""COMPUTED_VALUE"""),"None")</f>
        <v>None</v>
      </c>
    </row>
    <row r="261" spans="1:7" ht="12.75">
      <c r="A261" s="8" t="str">
        <f ca="1">IFERROR(__xludf.DUMMYFUNCTION("""COMPUTED_VALUE"""),"20220307IAEAD")</f>
        <v>20220307IAEAD</v>
      </c>
      <c r="B261" s="8" t="str">
        <f ca="1">IFERROR(__xludf.DUMMYFUNCTION("""COMPUTED_VALUE"""),"Teen")</f>
        <v>Teen</v>
      </c>
      <c r="C261" s="8" t="str">
        <f ca="1">IFERROR(__xludf.DUMMYFUNCTION("""COMPUTED_VALUE"""),"Male")</f>
        <v>Male</v>
      </c>
      <c r="D261" s="8"/>
      <c r="E261" s="8" t="str">
        <f ca="1">IFERROR(__xludf.DUMMYFUNCTION("""COMPUTED_VALUE"""),"Fled/Apprehended")</f>
        <v>Fled/Apprehended</v>
      </c>
      <c r="F261" s="8" t="str">
        <f ca="1">IFERROR(__xludf.DUMMYFUNCTION("""COMPUTED_VALUE"""),"No")</f>
        <v>No</v>
      </c>
      <c r="G261" s="8" t="str">
        <f ca="1">IFERROR(__xludf.DUMMYFUNCTION("""COMPUTED_VALUE"""),"None")</f>
        <v>None</v>
      </c>
    </row>
    <row r="262" spans="1:7" ht="12.75">
      <c r="A262" s="8" t="str">
        <f ca="1">IFERROR(__xludf.DUMMYFUNCTION("""COMPUTED_VALUE"""),"20220307IAEAD")</f>
        <v>20220307IAEAD</v>
      </c>
      <c r="B262" s="8" t="str">
        <f ca="1">IFERROR(__xludf.DUMMYFUNCTION("""COMPUTED_VALUE"""),"Teen")</f>
        <v>Teen</v>
      </c>
      <c r="C262" s="8" t="str">
        <f ca="1">IFERROR(__xludf.DUMMYFUNCTION("""COMPUTED_VALUE"""),"Male")</f>
        <v>Male</v>
      </c>
      <c r="D262" s="8"/>
      <c r="E262" s="8" t="str">
        <f ca="1">IFERROR(__xludf.DUMMYFUNCTION("""COMPUTED_VALUE"""),"Fled/Apprehended")</f>
        <v>Fled/Apprehended</v>
      </c>
      <c r="F262" s="8" t="str">
        <f ca="1">IFERROR(__xludf.DUMMYFUNCTION("""COMPUTED_VALUE"""),"No")</f>
        <v>No</v>
      </c>
      <c r="G262" s="8" t="str">
        <f ca="1">IFERROR(__xludf.DUMMYFUNCTION("""COMPUTED_VALUE"""),"None")</f>
        <v>None</v>
      </c>
    </row>
    <row r="263" spans="1:7" ht="12.75">
      <c r="A263" s="8" t="str">
        <f ca="1">IFERROR(__xludf.DUMMYFUNCTION("""COMPUTED_VALUE"""),"20220304KSOLO")</f>
        <v>20220304KSOLO</v>
      </c>
      <c r="B263" s="8">
        <f ca="1">IFERROR(__xludf.DUMMYFUNCTION("""COMPUTED_VALUE"""),18)</f>
        <v>18</v>
      </c>
      <c r="C263" s="8" t="str">
        <f ca="1">IFERROR(__xludf.DUMMYFUNCTION("""COMPUTED_VALUE"""),"Male")</f>
        <v>Male</v>
      </c>
      <c r="D263" s="8" t="str">
        <f ca="1">IFERROR(__xludf.DUMMYFUNCTION("""COMPUTED_VALUE"""),"Student")</f>
        <v>Student</v>
      </c>
      <c r="E263" s="8" t="str">
        <f ca="1">IFERROR(__xludf.DUMMYFUNCTION("""COMPUTED_VALUE"""),"Apprehended/Killed by SRO")</f>
        <v>Apprehended/Killed by SRO</v>
      </c>
      <c r="F263" s="8" t="str">
        <f ca="1">IFERROR(__xludf.DUMMYFUNCTION("""COMPUTED_VALUE"""),"No")</f>
        <v>No</v>
      </c>
      <c r="G263" s="8" t="str">
        <f ca="1">IFERROR(__xludf.DUMMYFUNCTION("""COMPUTED_VALUE"""),"Wounded")</f>
        <v>Wounded</v>
      </c>
    </row>
    <row r="264" spans="1:7" ht="12.75">
      <c r="A264" s="8" t="str">
        <f ca="1">IFERROR(__xludf.DUMMYFUNCTION("""COMPUTED_VALUE"""),"20220303MIJWL")</f>
        <v>20220303MIJWL</v>
      </c>
      <c r="B264" s="8"/>
      <c r="C264" s="8" t="str">
        <f ca="1">IFERROR(__xludf.DUMMYFUNCTION("""COMPUTED_VALUE"""),"Male")</f>
        <v>Male</v>
      </c>
      <c r="D264" s="8"/>
      <c r="E264" s="8" t="str">
        <f ca="1">IFERROR(__xludf.DUMMYFUNCTION("""COMPUTED_VALUE"""),"Fled/Escaped")</f>
        <v>Fled/Escaped</v>
      </c>
      <c r="F264" s="8" t="str">
        <f ca="1">IFERROR(__xludf.DUMMYFUNCTION("""COMPUTED_VALUE"""),"No")</f>
        <v>No</v>
      </c>
      <c r="G264" s="8" t="str">
        <f ca="1">IFERROR(__xludf.DUMMYFUNCTION("""COMPUTED_VALUE"""),"None")</f>
        <v>None</v>
      </c>
    </row>
    <row r="265" spans="1:7" ht="12.75">
      <c r="A265" s="8" t="str">
        <f ca="1">IFERROR(__xludf.DUMMYFUNCTION("""COMPUTED_VALUE"""),"20220228NYBOB")</f>
        <v>20220228NYBOB</v>
      </c>
      <c r="B265" s="8" t="str">
        <f ca="1">IFERROR(__xludf.DUMMYFUNCTION("""COMPUTED_VALUE"""),"Teen")</f>
        <v>Teen</v>
      </c>
      <c r="C265" s="8" t="str">
        <f ca="1">IFERROR(__xludf.DUMMYFUNCTION("""COMPUTED_VALUE"""),"Male")</f>
        <v>Male</v>
      </c>
      <c r="D265" s="8" t="str">
        <f ca="1">IFERROR(__xludf.DUMMYFUNCTION("""COMPUTED_VALUE"""),"Student")</f>
        <v>Student</v>
      </c>
      <c r="E265" s="8" t="str">
        <f ca="1">IFERROR(__xludf.DUMMYFUNCTION("""COMPUTED_VALUE"""),"Fled/Escaped")</f>
        <v>Fled/Escaped</v>
      </c>
      <c r="F265" s="8" t="str">
        <f ca="1">IFERROR(__xludf.DUMMYFUNCTION("""COMPUTED_VALUE"""),"No")</f>
        <v>No</v>
      </c>
      <c r="G265" s="8" t="str">
        <f ca="1">IFERROR(__xludf.DUMMYFUNCTION("""COMPUTED_VALUE"""),"None")</f>
        <v>None</v>
      </c>
    </row>
    <row r="266" spans="1:7" ht="12.75">
      <c r="A266" s="8" t="str">
        <f ca="1">IFERROR(__xludf.DUMMYFUNCTION("""COMPUTED_VALUE"""),"20220227DCDUW")</f>
        <v>20220227DCDUW</v>
      </c>
      <c r="B266" s="8"/>
      <c r="C266" s="8"/>
      <c r="D266" s="8"/>
      <c r="E266" s="8" t="str">
        <f ca="1">IFERROR(__xludf.DUMMYFUNCTION("""COMPUTED_VALUE"""),"Fled/Escaped")</f>
        <v>Fled/Escaped</v>
      </c>
      <c r="F266" s="8" t="str">
        <f ca="1">IFERROR(__xludf.DUMMYFUNCTION("""COMPUTED_VALUE"""),"No")</f>
        <v>No</v>
      </c>
      <c r="G266" s="8" t="str">
        <f ca="1">IFERROR(__xludf.DUMMYFUNCTION("""COMPUTED_VALUE"""),"None")</f>
        <v>None</v>
      </c>
    </row>
    <row r="267" spans="1:7" ht="12.75">
      <c r="A267" s="8" t="str">
        <f ca="1">IFERROR(__xludf.DUMMYFUNCTION("""COMPUTED_VALUE"""),"20220225NMWEA")</f>
        <v>20220225NMWEA</v>
      </c>
      <c r="B267" s="8">
        <f ca="1">IFERROR(__xludf.DUMMYFUNCTION("""COMPUTED_VALUE"""),14)</f>
        <v>14</v>
      </c>
      <c r="C267" s="8" t="str">
        <f ca="1">IFERROR(__xludf.DUMMYFUNCTION("""COMPUTED_VALUE"""),"Male")</f>
        <v>Male</v>
      </c>
      <c r="D267" s="8" t="str">
        <f ca="1">IFERROR(__xludf.DUMMYFUNCTION("""COMPUTED_VALUE"""),"Student")</f>
        <v>Student</v>
      </c>
      <c r="E267" s="8" t="str">
        <f ca="1">IFERROR(__xludf.DUMMYFUNCTION("""COMPUTED_VALUE"""),"Fled/Apprehended")</f>
        <v>Fled/Apprehended</v>
      </c>
      <c r="F267" s="8" t="str">
        <f ca="1">IFERROR(__xludf.DUMMYFUNCTION("""COMPUTED_VALUE"""),"No")</f>
        <v>No</v>
      </c>
      <c r="G267" s="8" t="str">
        <f ca="1">IFERROR(__xludf.DUMMYFUNCTION("""COMPUTED_VALUE"""),"None")</f>
        <v>None</v>
      </c>
    </row>
    <row r="268" spans="1:7" ht="12.75">
      <c r="A268" s="8" t="str">
        <f ca="1">IFERROR(__xludf.DUMMYFUNCTION("""COMPUTED_VALUE"""),"20220225ALSOH")</f>
        <v>20220225ALSOH</v>
      </c>
      <c r="B268" s="8">
        <f ca="1">IFERROR(__xludf.DUMMYFUNCTION("""COMPUTED_VALUE"""),10)</f>
        <v>10</v>
      </c>
      <c r="C268" s="8"/>
      <c r="D268" s="8" t="str">
        <f ca="1">IFERROR(__xludf.DUMMYFUNCTION("""COMPUTED_VALUE"""),"Student")</f>
        <v>Student</v>
      </c>
      <c r="E268" s="8" t="str">
        <f ca="1">IFERROR(__xludf.DUMMYFUNCTION("""COMPUTED_VALUE"""),"Surrendered")</f>
        <v>Surrendered</v>
      </c>
      <c r="F268" s="8" t="str">
        <f ca="1">IFERROR(__xludf.DUMMYFUNCTION("""COMPUTED_VALUE"""),"No")</f>
        <v>No</v>
      </c>
      <c r="G268" s="8" t="str">
        <f ca="1">IFERROR(__xludf.DUMMYFUNCTION("""COMPUTED_VALUE"""),"Wounded")</f>
        <v>Wounded</v>
      </c>
    </row>
    <row r="269" spans="1:7" ht="12.75">
      <c r="A269" s="8" t="str">
        <f ca="1">IFERROR(__xludf.DUMMYFUNCTION("""COMPUTED_VALUE"""),"20220223VAWOW")</f>
        <v>20220223VAWOW</v>
      </c>
      <c r="B269" s="8"/>
      <c r="C269" s="8"/>
      <c r="D269" s="8"/>
      <c r="E269" s="8" t="str">
        <f ca="1">IFERROR(__xludf.DUMMYFUNCTION("""COMPUTED_VALUE"""),"Fled/Escaped")</f>
        <v>Fled/Escaped</v>
      </c>
      <c r="F269" s="8" t="str">
        <f ca="1">IFERROR(__xludf.DUMMYFUNCTION("""COMPUTED_VALUE"""),"No")</f>
        <v>No</v>
      </c>
      <c r="G269" s="8" t="str">
        <f ca="1">IFERROR(__xludf.DUMMYFUNCTION("""COMPUTED_VALUE"""),"None")</f>
        <v>None</v>
      </c>
    </row>
    <row r="270" spans="1:7" ht="12.75">
      <c r="A270" s="8" t="str">
        <f ca="1">IFERROR(__xludf.DUMMYFUNCTION("""COMPUTED_VALUE"""),"20220222TXALH")</f>
        <v>20220222TXALH</v>
      </c>
      <c r="B270" s="8" t="str">
        <f ca="1">IFERROR(__xludf.DUMMYFUNCTION("""COMPUTED_VALUE"""),"Adult")</f>
        <v>Adult</v>
      </c>
      <c r="C270" s="8" t="str">
        <f ca="1">IFERROR(__xludf.DUMMYFUNCTION("""COMPUTED_VALUE"""),"Male")</f>
        <v>Male</v>
      </c>
      <c r="D270" s="8" t="str">
        <f ca="1">IFERROR(__xludf.DUMMYFUNCTION("""COMPUTED_VALUE"""),"No Relation")</f>
        <v>No Relation</v>
      </c>
      <c r="E270" s="8" t="str">
        <f ca="1">IFERROR(__xludf.DUMMYFUNCTION("""COMPUTED_VALUE"""),"Fled/Escaped")</f>
        <v>Fled/Escaped</v>
      </c>
      <c r="F270" s="8" t="str">
        <f ca="1">IFERROR(__xludf.DUMMYFUNCTION("""COMPUTED_VALUE"""),"No")</f>
        <v>No</v>
      </c>
      <c r="G270" s="8" t="str">
        <f ca="1">IFERROR(__xludf.DUMMYFUNCTION("""COMPUTED_VALUE"""),"None")</f>
        <v>None</v>
      </c>
    </row>
    <row r="271" spans="1:7" ht="12.75">
      <c r="A271" s="8" t="str">
        <f ca="1">IFERROR(__xludf.DUMMYFUNCTION("""COMPUTED_VALUE"""),"20220222COLIP")</f>
        <v>20220222COLIP</v>
      </c>
      <c r="B271" s="8"/>
      <c r="C271" s="8"/>
      <c r="D271" s="8" t="str">
        <f ca="1">IFERROR(__xludf.DUMMYFUNCTION("""COMPUTED_VALUE"""),"Police Officer/SRO")</f>
        <v>Police Officer/SRO</v>
      </c>
      <c r="E271" s="8" t="str">
        <f ca="1">IFERROR(__xludf.DUMMYFUNCTION("""COMPUTED_VALUE"""),"Law Enforcement")</f>
        <v>Law Enforcement</v>
      </c>
      <c r="F271" s="8"/>
      <c r="G271" s="8"/>
    </row>
    <row r="272" spans="1:7" ht="12.75">
      <c r="A272" s="8" t="str">
        <f ca="1">IFERROR(__xludf.DUMMYFUNCTION("""COMPUTED_VALUE"""),"20220221MDJOH")</f>
        <v>20220221MDJOH</v>
      </c>
      <c r="B272" s="8" t="str">
        <f ca="1">IFERROR(__xludf.DUMMYFUNCTION("""COMPUTED_VALUE"""),"Adult")</f>
        <v>Adult</v>
      </c>
      <c r="C272" s="8" t="str">
        <f ca="1">IFERROR(__xludf.DUMMYFUNCTION("""COMPUTED_VALUE"""),"Male")</f>
        <v>Male</v>
      </c>
      <c r="D272" s="8" t="str">
        <f ca="1">IFERROR(__xludf.DUMMYFUNCTION("""COMPUTED_VALUE"""),"No Relation")</f>
        <v>No Relation</v>
      </c>
      <c r="E272" s="8" t="str">
        <f ca="1">IFERROR(__xludf.DUMMYFUNCTION("""COMPUTED_VALUE"""),"Fled/Escaped")</f>
        <v>Fled/Escaped</v>
      </c>
      <c r="F272" s="8" t="str">
        <f ca="1">IFERROR(__xludf.DUMMYFUNCTION("""COMPUTED_VALUE"""),"No")</f>
        <v>No</v>
      </c>
      <c r="G272" s="8" t="str">
        <f ca="1">IFERROR(__xludf.DUMMYFUNCTION("""COMPUTED_VALUE"""),"None")</f>
        <v>None</v>
      </c>
    </row>
    <row r="273" spans="1:7" ht="12.75">
      <c r="A273" s="8" t="str">
        <f ca="1">IFERROR(__xludf.DUMMYFUNCTION("""COMPUTED_VALUE"""),"20220220OKWIW")</f>
        <v>20220220OKWIW</v>
      </c>
      <c r="B273" s="8" t="str">
        <f ca="1">IFERROR(__xludf.DUMMYFUNCTION("""COMPUTED_VALUE"""),"Adult")</f>
        <v>Adult</v>
      </c>
      <c r="C273" s="8" t="str">
        <f ca="1">IFERROR(__xludf.DUMMYFUNCTION("""COMPUTED_VALUE"""),"Male")</f>
        <v>Male</v>
      </c>
      <c r="D273" s="8"/>
      <c r="E273" s="8" t="str">
        <f ca="1">IFERROR(__xludf.DUMMYFUNCTION("""COMPUTED_VALUE"""),"Fled/Escaped")</f>
        <v>Fled/Escaped</v>
      </c>
      <c r="F273" s="8" t="str">
        <f ca="1">IFERROR(__xludf.DUMMYFUNCTION("""COMPUTED_VALUE"""),"No")</f>
        <v>No</v>
      </c>
      <c r="G273" s="8" t="str">
        <f ca="1">IFERROR(__xludf.DUMMYFUNCTION("""COMPUTED_VALUE"""),"None")</f>
        <v>None</v>
      </c>
    </row>
    <row r="274" spans="1:7" ht="12.75">
      <c r="A274" s="8" t="str">
        <f ca="1">IFERROR(__xludf.DUMMYFUNCTION("""COMPUTED_VALUE"""),"20220220MSMCM")</f>
        <v>20220220MSMCM</v>
      </c>
      <c r="B274" s="8" t="str">
        <f ca="1">IFERROR(__xludf.DUMMYFUNCTION("""COMPUTED_VALUE"""),"Teen")</f>
        <v>Teen</v>
      </c>
      <c r="C274" s="8" t="str">
        <f ca="1">IFERROR(__xludf.DUMMYFUNCTION("""COMPUTED_VALUE"""),"Male")</f>
        <v>Male</v>
      </c>
      <c r="D274" s="8"/>
      <c r="E274" s="8" t="str">
        <f ca="1">IFERROR(__xludf.DUMMYFUNCTION("""COMPUTED_VALUE"""),"Fled/Apprehended")</f>
        <v>Fled/Apprehended</v>
      </c>
      <c r="F274" s="8" t="str">
        <f ca="1">IFERROR(__xludf.DUMMYFUNCTION("""COMPUTED_VALUE"""),"No")</f>
        <v>No</v>
      </c>
      <c r="G274" s="8" t="str">
        <f ca="1">IFERROR(__xludf.DUMMYFUNCTION("""COMPUTED_VALUE"""),"None")</f>
        <v>None</v>
      </c>
    </row>
    <row r="275" spans="1:7" ht="12.75">
      <c r="A275" s="8" t="str">
        <f ca="1">IFERROR(__xludf.DUMMYFUNCTION("""COMPUTED_VALUE"""),"20220219VACAC")</f>
        <v>20220219VACAC</v>
      </c>
      <c r="B275" s="8"/>
      <c r="C275" s="8"/>
      <c r="D275" s="8"/>
      <c r="E275" s="8" t="str">
        <f ca="1">IFERROR(__xludf.DUMMYFUNCTION("""COMPUTED_VALUE"""),"Fled/Escaped")</f>
        <v>Fled/Escaped</v>
      </c>
      <c r="F275" s="8" t="str">
        <f ca="1">IFERROR(__xludf.DUMMYFUNCTION("""COMPUTED_VALUE"""),"No")</f>
        <v>No</v>
      </c>
      <c r="G275" s="8" t="str">
        <f ca="1">IFERROR(__xludf.DUMMYFUNCTION("""COMPUTED_VALUE"""),"None")</f>
        <v>None</v>
      </c>
    </row>
    <row r="276" spans="1:7" ht="12.75">
      <c r="A276" s="8" t="str">
        <f ca="1">IFERROR(__xludf.DUMMYFUNCTION("""COMPUTED_VALUE"""),"20220218MATET")</f>
        <v>20220218MATET</v>
      </c>
      <c r="B276" s="8">
        <f ca="1">IFERROR(__xludf.DUMMYFUNCTION("""COMPUTED_VALUE"""),18)</f>
        <v>18</v>
      </c>
      <c r="C276" s="8" t="str">
        <f ca="1">IFERROR(__xludf.DUMMYFUNCTION("""COMPUTED_VALUE"""),"Male")</f>
        <v>Male</v>
      </c>
      <c r="D276" s="8" t="str">
        <f ca="1">IFERROR(__xludf.DUMMYFUNCTION("""COMPUTED_VALUE"""),"Rival School Student")</f>
        <v>Rival School Student</v>
      </c>
      <c r="E276" s="8" t="str">
        <f ca="1">IFERROR(__xludf.DUMMYFUNCTION("""COMPUTED_VALUE"""),"Fled/Apprehended")</f>
        <v>Fled/Apprehended</v>
      </c>
      <c r="F276" s="8" t="str">
        <f ca="1">IFERROR(__xludf.DUMMYFUNCTION("""COMPUTED_VALUE"""),"No")</f>
        <v>No</v>
      </c>
      <c r="G276" s="8" t="str">
        <f ca="1">IFERROR(__xludf.DUMMYFUNCTION("""COMPUTED_VALUE"""),"None")</f>
        <v>None</v>
      </c>
    </row>
    <row r="277" spans="1:7" ht="12.75">
      <c r="A277" s="8" t="str">
        <f ca="1">IFERROR(__xludf.DUMMYFUNCTION("""COMPUTED_VALUE"""),"20220218MATET")</f>
        <v>20220218MATET</v>
      </c>
      <c r="B277" s="8">
        <f ca="1">IFERROR(__xludf.DUMMYFUNCTION("""COMPUTED_VALUE"""),17)</f>
        <v>17</v>
      </c>
      <c r="C277" s="8" t="str">
        <f ca="1">IFERROR(__xludf.DUMMYFUNCTION("""COMPUTED_VALUE"""),"Male")</f>
        <v>Male</v>
      </c>
      <c r="D277" s="8" t="str">
        <f ca="1">IFERROR(__xludf.DUMMYFUNCTION("""COMPUTED_VALUE"""),"Rival School Student")</f>
        <v>Rival School Student</v>
      </c>
      <c r="E277" s="8" t="str">
        <f ca="1">IFERROR(__xludf.DUMMYFUNCTION("""COMPUTED_VALUE"""),"Fled/Apprehended")</f>
        <v>Fled/Apprehended</v>
      </c>
      <c r="F277" s="8" t="str">
        <f ca="1">IFERROR(__xludf.DUMMYFUNCTION("""COMPUTED_VALUE"""),"No")</f>
        <v>No</v>
      </c>
      <c r="G277" s="8" t="str">
        <f ca="1">IFERROR(__xludf.DUMMYFUNCTION("""COMPUTED_VALUE"""),"None")</f>
        <v>None</v>
      </c>
    </row>
    <row r="278" spans="1:7" ht="12.75">
      <c r="A278" s="8" t="str">
        <f ca="1">IFERROR(__xludf.DUMMYFUNCTION("""COMPUTED_VALUE"""),"20220218MATET")</f>
        <v>20220218MATET</v>
      </c>
      <c r="B278" s="8">
        <f ca="1">IFERROR(__xludf.DUMMYFUNCTION("""COMPUTED_VALUE"""),17)</f>
        <v>17</v>
      </c>
      <c r="C278" s="8" t="str">
        <f ca="1">IFERROR(__xludf.DUMMYFUNCTION("""COMPUTED_VALUE"""),"Male")</f>
        <v>Male</v>
      </c>
      <c r="D278" s="8" t="str">
        <f ca="1">IFERROR(__xludf.DUMMYFUNCTION("""COMPUTED_VALUE"""),"Rival School Student")</f>
        <v>Rival School Student</v>
      </c>
      <c r="E278" s="8" t="str">
        <f ca="1">IFERROR(__xludf.DUMMYFUNCTION("""COMPUTED_VALUE"""),"Fled/Apprehended")</f>
        <v>Fled/Apprehended</v>
      </c>
      <c r="F278" s="8" t="str">
        <f ca="1">IFERROR(__xludf.DUMMYFUNCTION("""COMPUTED_VALUE"""),"No")</f>
        <v>No</v>
      </c>
      <c r="G278" s="8" t="str">
        <f ca="1">IFERROR(__xludf.DUMMYFUNCTION("""COMPUTED_VALUE"""),"None")</f>
        <v>None</v>
      </c>
    </row>
    <row r="279" spans="1:7" ht="12.75">
      <c r="A279" s="8" t="str">
        <f ca="1">IFERROR(__xludf.DUMMYFUNCTION("""COMPUTED_VALUE"""),"20220218MATET")</f>
        <v>20220218MATET</v>
      </c>
      <c r="B279" s="8">
        <f ca="1">IFERROR(__xludf.DUMMYFUNCTION("""COMPUTED_VALUE"""),16)</f>
        <v>16</v>
      </c>
      <c r="C279" s="8" t="str">
        <f ca="1">IFERROR(__xludf.DUMMYFUNCTION("""COMPUTED_VALUE"""),"Male")</f>
        <v>Male</v>
      </c>
      <c r="D279" s="8" t="str">
        <f ca="1">IFERROR(__xludf.DUMMYFUNCTION("""COMPUTED_VALUE"""),"Rival School Student")</f>
        <v>Rival School Student</v>
      </c>
      <c r="E279" s="8" t="str">
        <f ca="1">IFERROR(__xludf.DUMMYFUNCTION("""COMPUTED_VALUE"""),"Fled/Apprehended")</f>
        <v>Fled/Apprehended</v>
      </c>
      <c r="F279" s="8" t="str">
        <f ca="1">IFERROR(__xludf.DUMMYFUNCTION("""COMPUTED_VALUE"""),"No")</f>
        <v>No</v>
      </c>
      <c r="G279" s="8" t="str">
        <f ca="1">IFERROR(__xludf.DUMMYFUNCTION("""COMPUTED_VALUE"""),"None")</f>
        <v>None</v>
      </c>
    </row>
    <row r="280" spans="1:7" ht="12.75">
      <c r="A280" s="8" t="str">
        <f ca="1">IFERROR(__xludf.DUMMYFUNCTION("""COMPUTED_VALUE"""),"20220217WAMCG")</f>
        <v>20220217WAMCG</v>
      </c>
      <c r="B280" s="8" t="str">
        <f ca="1">IFERROR(__xludf.DUMMYFUNCTION("""COMPUTED_VALUE"""),"Adult")</f>
        <v>Adult</v>
      </c>
      <c r="C280" s="8" t="str">
        <f ca="1">IFERROR(__xludf.DUMMYFUNCTION("""COMPUTED_VALUE"""),"Male")</f>
        <v>Male</v>
      </c>
      <c r="D280" s="8" t="str">
        <f ca="1">IFERROR(__xludf.DUMMYFUNCTION("""COMPUTED_VALUE"""),"Gang Member")</f>
        <v>Gang Member</v>
      </c>
      <c r="E280" s="8" t="str">
        <f ca="1">IFERROR(__xludf.DUMMYFUNCTION("""COMPUTED_VALUE"""),"Fled/Escaped")</f>
        <v>Fled/Escaped</v>
      </c>
      <c r="F280" s="8" t="str">
        <f ca="1">IFERROR(__xludf.DUMMYFUNCTION("""COMPUTED_VALUE"""),"No")</f>
        <v>No</v>
      </c>
      <c r="G280" s="8" t="str">
        <f ca="1">IFERROR(__xludf.DUMMYFUNCTION("""COMPUTED_VALUE"""),"None")</f>
        <v>None</v>
      </c>
    </row>
    <row r="281" spans="1:7" ht="12.75">
      <c r="A281" s="8" t="str">
        <f ca="1">IFERROR(__xludf.DUMMYFUNCTION("""COMPUTED_VALUE"""),"20220214FLLAL")</f>
        <v>20220214FLLAL</v>
      </c>
      <c r="B281" s="8">
        <f ca="1">IFERROR(__xludf.DUMMYFUNCTION("""COMPUTED_VALUE"""),39)</f>
        <v>39</v>
      </c>
      <c r="C281" s="8" t="str">
        <f ca="1">IFERROR(__xludf.DUMMYFUNCTION("""COMPUTED_VALUE"""),"Male")</f>
        <v>Male</v>
      </c>
      <c r="D281" s="8"/>
      <c r="E281" s="8" t="str">
        <f ca="1">IFERROR(__xludf.DUMMYFUNCTION("""COMPUTED_VALUE"""),"Fled/Apprehended")</f>
        <v>Fled/Apprehended</v>
      </c>
      <c r="F281" s="8" t="str">
        <f ca="1">IFERROR(__xludf.DUMMYFUNCTION("""COMPUTED_VALUE"""),"No")</f>
        <v>No</v>
      </c>
      <c r="G281" s="8" t="str">
        <f ca="1">IFERROR(__xludf.DUMMYFUNCTION("""COMPUTED_VALUE"""),"None")</f>
        <v>None</v>
      </c>
    </row>
    <row r="282" spans="1:7" ht="12.75">
      <c r="A282" s="8" t="str">
        <f ca="1">IFERROR(__xludf.DUMMYFUNCTION("""COMPUTED_VALUE"""),"20220211DCEAW")</f>
        <v>20220211DCEAW</v>
      </c>
      <c r="B282" s="8"/>
      <c r="C282" s="8"/>
      <c r="D282" s="8"/>
      <c r="E282" s="8" t="str">
        <f ca="1">IFERROR(__xludf.DUMMYFUNCTION("""COMPUTED_VALUE"""),"Fled/Escaped")</f>
        <v>Fled/Escaped</v>
      </c>
      <c r="F282" s="8" t="str">
        <f ca="1">IFERROR(__xludf.DUMMYFUNCTION("""COMPUTED_VALUE"""),"No")</f>
        <v>No</v>
      </c>
      <c r="G282" s="8" t="str">
        <f ca="1">IFERROR(__xludf.DUMMYFUNCTION("""COMPUTED_VALUE"""),"None")</f>
        <v>None</v>
      </c>
    </row>
    <row r="283" spans="1:7" ht="12.75">
      <c r="A283" s="8" t="str">
        <f ca="1">IFERROR(__xludf.DUMMYFUNCTION("""COMPUTED_VALUE"""),"20220209NYMCB")</f>
        <v>20220209NYMCB</v>
      </c>
      <c r="B283" s="8">
        <f ca="1">IFERROR(__xludf.DUMMYFUNCTION("""COMPUTED_VALUE"""),17)</f>
        <v>17</v>
      </c>
      <c r="C283" s="8" t="str">
        <f ca="1">IFERROR(__xludf.DUMMYFUNCTION("""COMPUTED_VALUE"""),"Male")</f>
        <v>Male</v>
      </c>
      <c r="D283" s="8" t="str">
        <f ca="1">IFERROR(__xludf.DUMMYFUNCTION("""COMPUTED_VALUE"""),"Student")</f>
        <v>Student</v>
      </c>
      <c r="E283" s="8" t="str">
        <f ca="1">IFERROR(__xludf.DUMMYFUNCTION("""COMPUTED_VALUE"""),"Fled/Apprehended")</f>
        <v>Fled/Apprehended</v>
      </c>
      <c r="F283" s="8" t="str">
        <f ca="1">IFERROR(__xludf.DUMMYFUNCTION("""COMPUTED_VALUE"""),"No")</f>
        <v>No</v>
      </c>
      <c r="G283" s="8" t="str">
        <f ca="1">IFERROR(__xludf.DUMMYFUNCTION("""COMPUTED_VALUE"""),"None")</f>
        <v>None</v>
      </c>
    </row>
    <row r="284" spans="1:7" ht="12.75">
      <c r="A284" s="8" t="str">
        <f ca="1">IFERROR(__xludf.DUMMYFUNCTION("""COMPUTED_VALUE"""),"20220209MNMIM")</f>
        <v>20220209MNMIM</v>
      </c>
      <c r="B284" s="8" t="str">
        <f ca="1">IFERROR(__xludf.DUMMYFUNCTION("""COMPUTED_VALUE"""),"Adult")</f>
        <v>Adult</v>
      </c>
      <c r="C284" s="8" t="str">
        <f ca="1">IFERROR(__xludf.DUMMYFUNCTION("""COMPUTED_VALUE"""),"Male")</f>
        <v>Male</v>
      </c>
      <c r="D284" s="8" t="str">
        <f ca="1">IFERROR(__xludf.DUMMYFUNCTION("""COMPUTED_VALUE"""),"No Relation")</f>
        <v>No Relation</v>
      </c>
      <c r="E284" s="8" t="str">
        <f ca="1">IFERROR(__xludf.DUMMYFUNCTION("""COMPUTED_VALUE"""),"Fled/Escaped")</f>
        <v>Fled/Escaped</v>
      </c>
      <c r="F284" s="8" t="str">
        <f ca="1">IFERROR(__xludf.DUMMYFUNCTION("""COMPUTED_VALUE"""),"No")</f>
        <v>No</v>
      </c>
      <c r="G284" s="8" t="str">
        <f ca="1">IFERROR(__xludf.DUMMYFUNCTION("""COMPUTED_VALUE"""),"None")</f>
        <v>None</v>
      </c>
    </row>
    <row r="285" spans="1:7" ht="12.75">
      <c r="A285" s="8" t="str">
        <f ca="1">IFERROR(__xludf.DUMMYFUNCTION("""COMPUTED_VALUE"""),"20220208NYMOM")</f>
        <v>20220208NYMOM</v>
      </c>
      <c r="B285" s="8"/>
      <c r="C285" s="8"/>
      <c r="D285" s="8"/>
      <c r="E285" s="8" t="str">
        <f ca="1">IFERROR(__xludf.DUMMYFUNCTION("""COMPUTED_VALUE"""),"Fled/Escaped")</f>
        <v>Fled/Escaped</v>
      </c>
      <c r="F285" s="8" t="str">
        <f ca="1">IFERROR(__xludf.DUMMYFUNCTION("""COMPUTED_VALUE"""),"No")</f>
        <v>No</v>
      </c>
      <c r="G285" s="8" t="str">
        <f ca="1">IFERROR(__xludf.DUMMYFUNCTION("""COMPUTED_VALUE"""),"None")</f>
        <v>None</v>
      </c>
    </row>
    <row r="286" spans="1:7" ht="12.75">
      <c r="A286" s="8" t="str">
        <f ca="1">IFERROR(__xludf.DUMMYFUNCTION("""COMPUTED_VALUE"""),"20220208MDCAC")</f>
        <v>20220208MDCAC</v>
      </c>
      <c r="B286" s="8">
        <f ca="1">IFERROR(__xludf.DUMMYFUNCTION("""COMPUTED_VALUE"""),16)</f>
        <v>16</v>
      </c>
      <c r="C286" s="8" t="str">
        <f ca="1">IFERROR(__xludf.DUMMYFUNCTION("""COMPUTED_VALUE"""),"Male")</f>
        <v>Male</v>
      </c>
      <c r="D286" s="8" t="str">
        <f ca="1">IFERROR(__xludf.DUMMYFUNCTION("""COMPUTED_VALUE"""),"Student")</f>
        <v>Student</v>
      </c>
      <c r="E286" s="8" t="str">
        <f ca="1">IFERROR(__xludf.DUMMYFUNCTION("""COMPUTED_VALUE"""),"Fled/Apprehended")</f>
        <v>Fled/Apprehended</v>
      </c>
      <c r="F286" s="8" t="str">
        <f ca="1">IFERROR(__xludf.DUMMYFUNCTION("""COMPUTED_VALUE"""),"No")</f>
        <v>No</v>
      </c>
      <c r="G286" s="8" t="str">
        <f ca="1">IFERROR(__xludf.DUMMYFUNCTION("""COMPUTED_VALUE"""),"None")</f>
        <v>None</v>
      </c>
    </row>
    <row r="287" spans="1:7" ht="12.75">
      <c r="A287" s="8" t="str">
        <f ca="1">IFERROR(__xludf.DUMMYFUNCTION("""COMPUTED_VALUE"""),"20220204GASOD")</f>
        <v>20220204GASOD</v>
      </c>
      <c r="B287" s="8" t="str">
        <f ca="1">IFERROR(__xludf.DUMMYFUNCTION("""COMPUTED_VALUE"""),"Teen")</f>
        <v>Teen</v>
      </c>
      <c r="C287" s="8" t="str">
        <f ca="1">IFERROR(__xludf.DUMMYFUNCTION("""COMPUTED_VALUE"""),"Male")</f>
        <v>Male</v>
      </c>
      <c r="D287" s="8" t="str">
        <f ca="1">IFERROR(__xludf.DUMMYFUNCTION("""COMPUTED_VALUE"""),"Student")</f>
        <v>Student</v>
      </c>
      <c r="E287" s="8"/>
      <c r="F287" s="8" t="str">
        <f ca="1">IFERROR(__xludf.DUMMYFUNCTION("""COMPUTED_VALUE"""),"No")</f>
        <v>No</v>
      </c>
      <c r="G287" s="8" t="str">
        <f ca="1">IFERROR(__xludf.DUMMYFUNCTION("""COMPUTED_VALUE"""),"Wounded")</f>
        <v>Wounded</v>
      </c>
    </row>
    <row r="288" spans="1:7" ht="12.75">
      <c r="A288" s="8" t="str">
        <f ca="1">IFERROR(__xludf.DUMMYFUNCTION("""COMPUTED_VALUE"""),"20220204ALWEB")</f>
        <v>20220204ALWEB</v>
      </c>
      <c r="B288" s="8"/>
      <c r="C288" s="8"/>
      <c r="D288" s="8"/>
      <c r="E288" s="8" t="str">
        <f ca="1">IFERROR(__xludf.DUMMYFUNCTION("""COMPUTED_VALUE"""),"Fled/Escaped")</f>
        <v>Fled/Escaped</v>
      </c>
      <c r="F288" s="8" t="str">
        <f ca="1">IFERROR(__xludf.DUMMYFUNCTION("""COMPUTED_VALUE"""),"No")</f>
        <v>No</v>
      </c>
      <c r="G288" s="8" t="str">
        <f ca="1">IFERROR(__xludf.DUMMYFUNCTION("""COMPUTED_VALUE"""),"None")</f>
        <v>None</v>
      </c>
    </row>
    <row r="289" spans="1:7" ht="12.75">
      <c r="A289" s="8" t="str">
        <f ca="1">IFERROR(__xludf.DUMMYFUNCTION("""COMPUTED_VALUE"""),"20220203NCSPS")</f>
        <v>20220203NCSPS</v>
      </c>
      <c r="B289" s="8"/>
      <c r="C289" s="8"/>
      <c r="D289" s="8"/>
      <c r="E289" s="8" t="str">
        <f ca="1">IFERROR(__xludf.DUMMYFUNCTION("""COMPUTED_VALUE"""),"Fled/Escaped")</f>
        <v>Fled/Escaped</v>
      </c>
      <c r="F289" s="8" t="str">
        <f ca="1">IFERROR(__xludf.DUMMYFUNCTION("""COMPUTED_VALUE"""),"No")</f>
        <v>No</v>
      </c>
      <c r="G289" s="8" t="str">
        <f ca="1">IFERROR(__xludf.DUMMYFUNCTION("""COMPUTED_VALUE"""),"None")</f>
        <v>None</v>
      </c>
    </row>
    <row r="290" spans="1:7" ht="12.75">
      <c r="A290" s="8" t="str">
        <f ca="1">IFERROR(__xludf.DUMMYFUNCTION("""COMPUTED_VALUE"""),"20220202KYLOR")</f>
        <v>20220202KYLOR</v>
      </c>
      <c r="B290" s="8"/>
      <c r="C290" s="8"/>
      <c r="D290" s="8"/>
      <c r="E290" s="8" t="str">
        <f ca="1">IFERROR(__xludf.DUMMYFUNCTION("""COMPUTED_VALUE"""),"Fled/Escaped")</f>
        <v>Fled/Escaped</v>
      </c>
      <c r="F290" s="8" t="str">
        <f ca="1">IFERROR(__xludf.DUMMYFUNCTION("""COMPUTED_VALUE"""),"No")</f>
        <v>No</v>
      </c>
      <c r="G290" s="8" t="str">
        <f ca="1">IFERROR(__xludf.DUMMYFUNCTION("""COMPUTED_VALUE"""),"None")</f>
        <v>None</v>
      </c>
    </row>
    <row r="291" spans="1:7" ht="12.75">
      <c r="A291" s="8" t="str">
        <f ca="1">IFERROR(__xludf.DUMMYFUNCTION("""COMPUTED_VALUE"""),"20220201WIRUM")</f>
        <v>20220201WIRUM</v>
      </c>
      <c r="B291" s="8">
        <f ca="1">IFERROR(__xludf.DUMMYFUNCTION("""COMPUTED_VALUE"""),34)</f>
        <v>34</v>
      </c>
      <c r="C291" s="8" t="str">
        <f ca="1">IFERROR(__xludf.DUMMYFUNCTION("""COMPUTED_VALUE"""),"Male")</f>
        <v>Male</v>
      </c>
      <c r="D291" s="8" t="str">
        <f ca="1">IFERROR(__xludf.DUMMYFUNCTION("""COMPUTED_VALUE"""),"Nonstudent Using Athletic Facilities/Attending Game")</f>
        <v>Nonstudent Using Athletic Facilities/Attending Game</v>
      </c>
      <c r="E291" s="8" t="str">
        <f ca="1">IFERROR(__xludf.DUMMYFUNCTION("""COMPUTED_VALUE"""),"Fled/Escaped")</f>
        <v>Fled/Escaped</v>
      </c>
      <c r="F291" s="8" t="str">
        <f ca="1">IFERROR(__xludf.DUMMYFUNCTION("""COMPUTED_VALUE"""),"No")</f>
        <v>No</v>
      </c>
      <c r="G291" s="8" t="str">
        <f ca="1">IFERROR(__xludf.DUMMYFUNCTION("""COMPUTED_VALUE"""),"None")</f>
        <v>None</v>
      </c>
    </row>
    <row r="292" spans="1:7" ht="12.75">
      <c r="A292" s="8" t="str">
        <f ca="1">IFERROR(__xludf.DUMMYFUNCTION("""COMPUTED_VALUE"""),"20220201MNSOR")</f>
        <v>20220201MNSOR</v>
      </c>
      <c r="B292" s="8">
        <f ca="1">IFERROR(__xludf.DUMMYFUNCTION("""COMPUTED_VALUE"""),18)</f>
        <v>18</v>
      </c>
      <c r="C292" s="8" t="str">
        <f ca="1">IFERROR(__xludf.DUMMYFUNCTION("""COMPUTED_VALUE"""),"Male")</f>
        <v>Male</v>
      </c>
      <c r="D292" s="8" t="str">
        <f ca="1">IFERROR(__xludf.DUMMYFUNCTION("""COMPUTED_VALUE"""),"Student")</f>
        <v>Student</v>
      </c>
      <c r="E292" s="8" t="str">
        <f ca="1">IFERROR(__xludf.DUMMYFUNCTION("""COMPUTED_VALUE"""),"Fled/Apprehended")</f>
        <v>Fled/Apprehended</v>
      </c>
      <c r="F292" s="8" t="str">
        <f ca="1">IFERROR(__xludf.DUMMYFUNCTION("""COMPUTED_VALUE"""),"No")</f>
        <v>No</v>
      </c>
      <c r="G292" s="8" t="str">
        <f ca="1">IFERROR(__xludf.DUMMYFUNCTION("""COMPUTED_VALUE"""),"None")</f>
        <v>None</v>
      </c>
    </row>
    <row r="293" spans="1:7" ht="12.75">
      <c r="A293" s="8" t="str">
        <f ca="1">IFERROR(__xludf.DUMMYFUNCTION("""COMPUTED_VALUE"""),"20220201MNSOR")</f>
        <v>20220201MNSOR</v>
      </c>
      <c r="B293" s="8">
        <f ca="1">IFERROR(__xludf.DUMMYFUNCTION("""COMPUTED_VALUE"""),19)</f>
        <v>19</v>
      </c>
      <c r="C293" s="8" t="str">
        <f ca="1">IFERROR(__xludf.DUMMYFUNCTION("""COMPUTED_VALUE"""),"Male")</f>
        <v>Male</v>
      </c>
      <c r="D293" s="8" t="str">
        <f ca="1">IFERROR(__xludf.DUMMYFUNCTION("""COMPUTED_VALUE"""),"Student")</f>
        <v>Student</v>
      </c>
      <c r="E293" s="8" t="str">
        <f ca="1">IFERROR(__xludf.DUMMYFUNCTION("""COMPUTED_VALUE"""),"Fled/Apprehended")</f>
        <v>Fled/Apprehended</v>
      </c>
      <c r="F293" s="8" t="str">
        <f ca="1">IFERROR(__xludf.DUMMYFUNCTION("""COMPUTED_VALUE"""),"No")</f>
        <v>No</v>
      </c>
      <c r="G293" s="8" t="str">
        <f ca="1">IFERROR(__xludf.DUMMYFUNCTION("""COMPUTED_VALUE"""),"None")</f>
        <v>None</v>
      </c>
    </row>
    <row r="294" spans="1:7" ht="12.75">
      <c r="A294" s="8" t="str">
        <f ca="1">IFERROR(__xludf.DUMMYFUNCTION("""COMPUTED_VALUE"""),"20220201ILALC")</f>
        <v>20220201ILALC</v>
      </c>
      <c r="B294" s="8" t="str">
        <f ca="1">IFERROR(__xludf.DUMMYFUNCTION("""COMPUTED_VALUE"""),"Adult")</f>
        <v>Adult</v>
      </c>
      <c r="C294" s="8" t="str">
        <f ca="1">IFERROR(__xludf.DUMMYFUNCTION("""COMPUTED_VALUE"""),"Male")</f>
        <v>Male</v>
      </c>
      <c r="D294" s="8" t="str">
        <f ca="1">IFERROR(__xludf.DUMMYFUNCTION("""COMPUTED_VALUE"""),"No Relation")</f>
        <v>No Relation</v>
      </c>
      <c r="E294" s="8" t="str">
        <f ca="1">IFERROR(__xludf.DUMMYFUNCTION("""COMPUTED_VALUE"""),"Fled/Escaped")</f>
        <v>Fled/Escaped</v>
      </c>
      <c r="F294" s="8" t="str">
        <f ca="1">IFERROR(__xludf.DUMMYFUNCTION("""COMPUTED_VALUE"""),"No")</f>
        <v>No</v>
      </c>
      <c r="G294" s="8" t="str">
        <f ca="1">IFERROR(__xludf.DUMMYFUNCTION("""COMPUTED_VALUE"""),"None")</f>
        <v>None</v>
      </c>
    </row>
    <row r="295" spans="1:7" ht="12.75">
      <c r="A295" s="8" t="str">
        <f ca="1">IFERROR(__xludf.DUMMYFUNCTION("""COMPUTED_VALUE"""),"20220129WIBEB")</f>
        <v>20220129WIBEB</v>
      </c>
      <c r="B295" s="8" t="str">
        <f ca="1">IFERROR(__xludf.DUMMYFUNCTION("""COMPUTED_VALUE"""),"Adult")</f>
        <v>Adult</v>
      </c>
      <c r="C295" s="8" t="str">
        <f ca="1">IFERROR(__xludf.DUMMYFUNCTION("""COMPUTED_VALUE"""),"Male")</f>
        <v>Male</v>
      </c>
      <c r="D295" s="8"/>
      <c r="E295" s="8" t="str">
        <f ca="1">IFERROR(__xludf.DUMMYFUNCTION("""COMPUTED_VALUE"""),"Fled/Escaped")</f>
        <v>Fled/Escaped</v>
      </c>
      <c r="F295" s="8" t="str">
        <f ca="1">IFERROR(__xludf.DUMMYFUNCTION("""COMPUTED_VALUE"""),"No")</f>
        <v>No</v>
      </c>
      <c r="G295" s="8" t="str">
        <f ca="1">IFERROR(__xludf.DUMMYFUNCTION("""COMPUTED_VALUE"""),"None")</f>
        <v>None</v>
      </c>
    </row>
    <row r="296" spans="1:7" ht="12.75">
      <c r="A296" s="8" t="str">
        <f ca="1">IFERROR(__xludf.DUMMYFUNCTION("""COMPUTED_VALUE"""),"20220128LACAM")</f>
        <v>20220128LACAM</v>
      </c>
      <c r="B296" s="8" t="str">
        <f ca="1">IFERROR(__xludf.DUMMYFUNCTION("""COMPUTED_VALUE"""),"Adult")</f>
        <v>Adult</v>
      </c>
      <c r="C296" s="8" t="str">
        <f ca="1">IFERROR(__xludf.DUMMYFUNCTION("""COMPUTED_VALUE"""),"Male")</f>
        <v>Male</v>
      </c>
      <c r="D296" s="8" t="str">
        <f ca="1">IFERROR(__xludf.DUMMYFUNCTION("""COMPUTED_VALUE"""),"No Relation")</f>
        <v>No Relation</v>
      </c>
      <c r="E296" s="8" t="str">
        <f ca="1">IFERROR(__xludf.DUMMYFUNCTION("""COMPUTED_VALUE"""),"Fled/Escaped")</f>
        <v>Fled/Escaped</v>
      </c>
      <c r="F296" s="8" t="str">
        <f ca="1">IFERROR(__xludf.DUMMYFUNCTION("""COMPUTED_VALUE"""),"No")</f>
        <v>No</v>
      </c>
      <c r="G296" s="8" t="str">
        <f ca="1">IFERROR(__xludf.DUMMYFUNCTION("""COMPUTED_VALUE"""),"None")</f>
        <v>None</v>
      </c>
    </row>
    <row r="297" spans="1:7" ht="12.75">
      <c r="A297" s="8" t="str">
        <f ca="1">IFERROR(__xludf.DUMMYFUNCTION("""COMPUTED_VALUE"""),"20220127TXMOH")</f>
        <v>20220127TXMOH</v>
      </c>
      <c r="B297" s="8" t="str">
        <f ca="1">IFERROR(__xludf.DUMMYFUNCTION("""COMPUTED_VALUE"""),"Adult")</f>
        <v>Adult</v>
      </c>
      <c r="C297" s="8" t="str">
        <f ca="1">IFERROR(__xludf.DUMMYFUNCTION("""COMPUTED_VALUE"""),"Male")</f>
        <v>Male</v>
      </c>
      <c r="D297" s="8" t="str">
        <f ca="1">IFERROR(__xludf.DUMMYFUNCTION("""COMPUTED_VALUE"""),"No Relation")</f>
        <v>No Relation</v>
      </c>
      <c r="E297" s="8" t="str">
        <f ca="1">IFERROR(__xludf.DUMMYFUNCTION("""COMPUTED_VALUE"""),"Fled/Escaped")</f>
        <v>Fled/Escaped</v>
      </c>
      <c r="F297" s="8" t="str">
        <f ca="1">IFERROR(__xludf.DUMMYFUNCTION("""COMPUTED_VALUE"""),"No")</f>
        <v>No</v>
      </c>
      <c r="G297" s="8" t="str">
        <f ca="1">IFERROR(__xludf.DUMMYFUNCTION("""COMPUTED_VALUE"""),"None")</f>
        <v>None</v>
      </c>
    </row>
    <row r="298" spans="1:7" ht="12.75">
      <c r="A298" s="8" t="str">
        <f ca="1">IFERROR(__xludf.DUMMYFUNCTION("""COMPUTED_VALUE"""),"20220126PABAP")</f>
        <v>20220126PABAP</v>
      </c>
      <c r="B298" s="8"/>
      <c r="C298" s="8"/>
      <c r="D298" s="8"/>
      <c r="E298" s="8" t="str">
        <f ca="1">IFERROR(__xludf.DUMMYFUNCTION("""COMPUTED_VALUE"""),"Fled/Escaped")</f>
        <v>Fled/Escaped</v>
      </c>
      <c r="F298" s="8" t="str">
        <f ca="1">IFERROR(__xludf.DUMMYFUNCTION("""COMPUTED_VALUE"""),"No")</f>
        <v>No</v>
      </c>
      <c r="G298" s="8" t="str">
        <f ca="1">IFERROR(__xludf.DUMMYFUNCTION("""COMPUTED_VALUE"""),"None")</f>
        <v>None</v>
      </c>
    </row>
    <row r="299" spans="1:7" ht="12.75">
      <c r="A299" s="8" t="str">
        <f ca="1">IFERROR(__xludf.DUMMYFUNCTION("""COMPUTED_VALUE"""),"20220124NVSUL")</f>
        <v>20220124NVSUL</v>
      </c>
      <c r="B299" s="8"/>
      <c r="C299" s="8"/>
      <c r="D299" s="8"/>
      <c r="E299" s="8" t="str">
        <f ca="1">IFERROR(__xludf.DUMMYFUNCTION("""COMPUTED_VALUE"""),"Fled/Escaped")</f>
        <v>Fled/Escaped</v>
      </c>
      <c r="F299" s="8" t="str">
        <f ca="1">IFERROR(__xludf.DUMMYFUNCTION("""COMPUTED_VALUE"""),"No")</f>
        <v>No</v>
      </c>
      <c r="G299" s="8" t="str">
        <f ca="1">IFERROR(__xludf.DUMMYFUNCTION("""COMPUTED_VALUE"""),"None")</f>
        <v>None</v>
      </c>
    </row>
    <row r="300" spans="1:7" ht="12.75">
      <c r="A300" s="8" t="str">
        <f ca="1">IFERROR(__xludf.DUMMYFUNCTION("""COMPUTED_VALUE"""),"20220121MDMAR")</f>
        <v>20220121MDMAR</v>
      </c>
      <c r="B300" s="8">
        <f ca="1">IFERROR(__xludf.DUMMYFUNCTION("""COMPUTED_VALUE"""),17)</f>
        <v>17</v>
      </c>
      <c r="C300" s="8" t="str">
        <f ca="1">IFERROR(__xludf.DUMMYFUNCTION("""COMPUTED_VALUE"""),"Male")</f>
        <v>Male</v>
      </c>
      <c r="D300" s="8" t="str">
        <f ca="1">IFERROR(__xludf.DUMMYFUNCTION("""COMPUTED_VALUE"""),"Student")</f>
        <v>Student</v>
      </c>
      <c r="E300" s="8" t="str">
        <f ca="1">IFERROR(__xludf.DUMMYFUNCTION("""COMPUTED_VALUE"""),"Fled/Apprehended")</f>
        <v>Fled/Apprehended</v>
      </c>
      <c r="F300" s="8" t="str">
        <f ca="1">IFERROR(__xludf.DUMMYFUNCTION("""COMPUTED_VALUE"""),"No")</f>
        <v>No</v>
      </c>
      <c r="G300" s="8" t="str">
        <f ca="1">IFERROR(__xludf.DUMMYFUNCTION("""COMPUTED_VALUE"""),"None")</f>
        <v>None</v>
      </c>
    </row>
    <row r="301" spans="1:7" ht="12.75">
      <c r="A301" s="8" t="str">
        <f ca="1">IFERROR(__xludf.DUMMYFUNCTION("""COMPUTED_VALUE"""),"20220121GAMCA")</f>
        <v>20220121GAMCA</v>
      </c>
      <c r="B301" s="8">
        <f ca="1">IFERROR(__xludf.DUMMYFUNCTION("""COMPUTED_VALUE"""),19)</f>
        <v>19</v>
      </c>
      <c r="C301" s="8" t="str">
        <f ca="1">IFERROR(__xludf.DUMMYFUNCTION("""COMPUTED_VALUE"""),"Male")</f>
        <v>Male</v>
      </c>
      <c r="D301" s="8" t="str">
        <f ca="1">IFERROR(__xludf.DUMMYFUNCTION("""COMPUTED_VALUE"""),"Student")</f>
        <v>Student</v>
      </c>
      <c r="E301" s="8" t="str">
        <f ca="1">IFERROR(__xludf.DUMMYFUNCTION("""COMPUTED_VALUE"""),"Fled/Apprehended")</f>
        <v>Fled/Apprehended</v>
      </c>
      <c r="F301" s="8" t="str">
        <f ca="1">IFERROR(__xludf.DUMMYFUNCTION("""COMPUTED_VALUE"""),"No")</f>
        <v>No</v>
      </c>
      <c r="G301" s="8" t="str">
        <f ca="1">IFERROR(__xludf.DUMMYFUNCTION("""COMPUTED_VALUE"""),"None")</f>
        <v>None</v>
      </c>
    </row>
    <row r="302" spans="1:7" ht="12.75">
      <c r="A302" s="8" t="str">
        <f ca="1">IFERROR(__xludf.DUMMYFUNCTION("""COMPUTED_VALUE"""),"20220119VAMAP")</f>
        <v>20220119VAMAP</v>
      </c>
      <c r="B302" s="8">
        <f ca="1">IFERROR(__xludf.DUMMYFUNCTION("""COMPUTED_VALUE"""),19)</f>
        <v>19</v>
      </c>
      <c r="C302" s="8" t="str">
        <f ca="1">IFERROR(__xludf.DUMMYFUNCTION("""COMPUTED_VALUE"""),"Male")</f>
        <v>Male</v>
      </c>
      <c r="D302" s="8"/>
      <c r="E302" s="8" t="str">
        <f ca="1">IFERROR(__xludf.DUMMYFUNCTION("""COMPUTED_VALUE"""),"Fled/Apprehended")</f>
        <v>Fled/Apprehended</v>
      </c>
      <c r="F302" s="8" t="str">
        <f ca="1">IFERROR(__xludf.DUMMYFUNCTION("""COMPUTED_VALUE"""),"No")</f>
        <v>No</v>
      </c>
      <c r="G302" s="8" t="str">
        <f ca="1">IFERROR(__xludf.DUMMYFUNCTION("""COMPUTED_VALUE"""),"None")</f>
        <v>None</v>
      </c>
    </row>
    <row r="303" spans="1:7" ht="12.75">
      <c r="A303" s="8" t="str">
        <f ca="1">IFERROR(__xludf.DUMMYFUNCTION("""COMPUTED_VALUE"""),"20220119VAMAP")</f>
        <v>20220119VAMAP</v>
      </c>
      <c r="B303" s="8">
        <f ca="1">IFERROR(__xludf.DUMMYFUNCTION("""COMPUTED_VALUE"""),18)</f>
        <v>18</v>
      </c>
      <c r="C303" s="8" t="str">
        <f ca="1">IFERROR(__xludf.DUMMYFUNCTION("""COMPUTED_VALUE"""),"Male")</f>
        <v>Male</v>
      </c>
      <c r="D303" s="8"/>
      <c r="E303" s="8" t="str">
        <f ca="1">IFERROR(__xludf.DUMMYFUNCTION("""COMPUTED_VALUE"""),"Fled/Apprehended")</f>
        <v>Fled/Apprehended</v>
      </c>
      <c r="F303" s="8" t="str">
        <f ca="1">IFERROR(__xludf.DUMMYFUNCTION("""COMPUTED_VALUE"""),"No")</f>
        <v>No</v>
      </c>
      <c r="G303" s="8" t="str">
        <f ca="1">IFERROR(__xludf.DUMMYFUNCTION("""COMPUTED_VALUE"""),"None")</f>
        <v>None</v>
      </c>
    </row>
    <row r="304" spans="1:7" ht="12.75">
      <c r="A304" s="8" t="str">
        <f ca="1">IFERROR(__xludf.DUMMYFUNCTION("""COMPUTED_VALUE"""),"20220119VAMAP")</f>
        <v>20220119VAMAP</v>
      </c>
      <c r="B304" s="8" t="str">
        <f ca="1">IFERROR(__xludf.DUMMYFUNCTION("""COMPUTED_VALUE"""),"Teen")</f>
        <v>Teen</v>
      </c>
      <c r="C304" s="8" t="str">
        <f ca="1">IFERROR(__xludf.DUMMYFUNCTION("""COMPUTED_VALUE"""),"Male")</f>
        <v>Male</v>
      </c>
      <c r="D304" s="8"/>
      <c r="E304" s="8" t="str">
        <f ca="1">IFERROR(__xludf.DUMMYFUNCTION("""COMPUTED_VALUE"""),"Fled/Apprehended")</f>
        <v>Fled/Apprehended</v>
      </c>
      <c r="F304" s="8" t="str">
        <f ca="1">IFERROR(__xludf.DUMMYFUNCTION("""COMPUTED_VALUE"""),"No")</f>
        <v>No</v>
      </c>
      <c r="G304" s="8" t="str">
        <f ca="1">IFERROR(__xludf.DUMMYFUNCTION("""COMPUTED_VALUE"""),"None")</f>
        <v>None</v>
      </c>
    </row>
    <row r="305" spans="1:7" ht="12.75">
      <c r="A305" s="8" t="str">
        <f ca="1">IFERROR(__xludf.DUMMYFUNCTION("""COMPUTED_VALUE"""),"20220119PAPIP")</f>
        <v>20220119PAPIP</v>
      </c>
      <c r="B305" s="8"/>
      <c r="C305" s="8" t="str">
        <f ca="1">IFERROR(__xludf.DUMMYFUNCTION("""COMPUTED_VALUE"""),"Male")</f>
        <v>Male</v>
      </c>
      <c r="D305" s="8"/>
      <c r="E305" s="8" t="str">
        <f ca="1">IFERROR(__xludf.DUMMYFUNCTION("""COMPUTED_VALUE"""),"Fled/Escaped")</f>
        <v>Fled/Escaped</v>
      </c>
      <c r="F305" s="8" t="str">
        <f ca="1">IFERROR(__xludf.DUMMYFUNCTION("""COMPUTED_VALUE"""),"No")</f>
        <v>No</v>
      </c>
      <c r="G305" s="8" t="str">
        <f ca="1">IFERROR(__xludf.DUMMYFUNCTION("""COMPUTED_VALUE"""),"None")</f>
        <v>None</v>
      </c>
    </row>
    <row r="306" spans="1:7" ht="12.75">
      <c r="A306" s="8" t="str">
        <f ca="1">IFERROR(__xludf.DUMMYFUNCTION("""COMPUTED_VALUE"""),"20220119PAPIP")</f>
        <v>20220119PAPIP</v>
      </c>
      <c r="B306" s="8"/>
      <c r="C306" s="8" t="str">
        <f ca="1">IFERROR(__xludf.DUMMYFUNCTION("""COMPUTED_VALUE"""),"Male")</f>
        <v>Male</v>
      </c>
      <c r="D306" s="8"/>
      <c r="E306" s="8" t="str">
        <f ca="1">IFERROR(__xludf.DUMMYFUNCTION("""COMPUTED_VALUE"""),"Fled/Escaped")</f>
        <v>Fled/Escaped</v>
      </c>
      <c r="F306" s="8" t="str">
        <f ca="1">IFERROR(__xludf.DUMMYFUNCTION("""COMPUTED_VALUE"""),"No")</f>
        <v>No</v>
      </c>
      <c r="G306" s="8" t="str">
        <f ca="1">IFERROR(__xludf.DUMMYFUNCTION("""COMPUTED_VALUE"""),"None")</f>
        <v>None</v>
      </c>
    </row>
    <row r="307" spans="1:7" ht="12.75">
      <c r="A307" s="8" t="str">
        <f ca="1">IFERROR(__xludf.DUMMYFUNCTION("""COMPUTED_VALUE"""),"20220119FLSES")</f>
        <v>20220119FLSES</v>
      </c>
      <c r="B307" s="8">
        <f ca="1">IFERROR(__xludf.DUMMYFUNCTION("""COMPUTED_VALUE"""),16)</f>
        <v>16</v>
      </c>
      <c r="C307" s="8" t="str">
        <f ca="1">IFERROR(__xludf.DUMMYFUNCTION("""COMPUTED_VALUE"""),"Male")</f>
        <v>Male</v>
      </c>
      <c r="D307" s="8" t="str">
        <f ca="1">IFERROR(__xludf.DUMMYFUNCTION("""COMPUTED_VALUE"""),"Student")</f>
        <v>Student</v>
      </c>
      <c r="E307" s="8" t="str">
        <f ca="1">IFERROR(__xludf.DUMMYFUNCTION("""COMPUTED_VALUE"""),"Fled/Apprehended")</f>
        <v>Fled/Apprehended</v>
      </c>
      <c r="F307" s="8" t="str">
        <f ca="1">IFERROR(__xludf.DUMMYFUNCTION("""COMPUTED_VALUE"""),"No")</f>
        <v>No</v>
      </c>
      <c r="G307" s="8" t="str">
        <f ca="1">IFERROR(__xludf.DUMMYFUNCTION("""COMPUTED_VALUE"""),"None")</f>
        <v>None</v>
      </c>
    </row>
    <row r="308" spans="1:7" ht="12.75">
      <c r="A308" s="8" t="str">
        <f ca="1">IFERROR(__xludf.DUMMYFUNCTION("""COMPUTED_VALUE"""),"20220119DCANW")</f>
        <v>20220119DCANW</v>
      </c>
      <c r="B308" s="8" t="str">
        <f ca="1">IFERROR(__xludf.DUMMYFUNCTION("""COMPUTED_VALUE"""),"Adult")</f>
        <v>Adult</v>
      </c>
      <c r="C308" s="8" t="str">
        <f ca="1">IFERROR(__xludf.DUMMYFUNCTION("""COMPUTED_VALUE"""),"Male")</f>
        <v>Male</v>
      </c>
      <c r="D308" s="8" t="str">
        <f ca="1">IFERROR(__xludf.DUMMYFUNCTION("""COMPUTED_VALUE"""),"No Relation")</f>
        <v>No Relation</v>
      </c>
      <c r="E308" s="8" t="str">
        <f ca="1">IFERROR(__xludf.DUMMYFUNCTION("""COMPUTED_VALUE"""),"Fled/Escaped")</f>
        <v>Fled/Escaped</v>
      </c>
      <c r="F308" s="8" t="str">
        <f ca="1">IFERROR(__xludf.DUMMYFUNCTION("""COMPUTED_VALUE"""),"No")</f>
        <v>No</v>
      </c>
      <c r="G308" s="8" t="str">
        <f ca="1">IFERROR(__xludf.DUMMYFUNCTION("""COMPUTED_VALUE"""),"None")</f>
        <v>None</v>
      </c>
    </row>
    <row r="309" spans="1:7" ht="12.75">
      <c r="A309" s="8" t="str">
        <f ca="1">IFERROR(__xludf.DUMMYFUNCTION("""COMPUTED_VALUE"""),"20220117TXPYH")</f>
        <v>20220117TXPYH</v>
      </c>
      <c r="B309" s="8" t="str">
        <f ca="1">IFERROR(__xludf.DUMMYFUNCTION("""COMPUTED_VALUE"""),"Adult")</f>
        <v>Adult</v>
      </c>
      <c r="C309" s="8" t="str">
        <f ca="1">IFERROR(__xludf.DUMMYFUNCTION("""COMPUTED_VALUE"""),"Male")</f>
        <v>Male</v>
      </c>
      <c r="D309" s="8" t="str">
        <f ca="1">IFERROR(__xludf.DUMMYFUNCTION("""COMPUTED_VALUE"""),"No Relation")</f>
        <v>No Relation</v>
      </c>
      <c r="E309" s="8" t="str">
        <f ca="1">IFERROR(__xludf.DUMMYFUNCTION("""COMPUTED_VALUE"""),"Fled/Escaped")</f>
        <v>Fled/Escaped</v>
      </c>
      <c r="F309" s="8" t="str">
        <f ca="1">IFERROR(__xludf.DUMMYFUNCTION("""COMPUTED_VALUE"""),"No")</f>
        <v>No</v>
      </c>
      <c r="G309" s="8" t="str">
        <f ca="1">IFERROR(__xludf.DUMMYFUNCTION("""COMPUTED_VALUE"""),"None")</f>
        <v>None</v>
      </c>
    </row>
    <row r="310" spans="1:7" ht="12.75">
      <c r="A310" s="8" t="str">
        <f ca="1">IFERROR(__xludf.DUMMYFUNCTION("""COMPUTED_VALUE"""),"20220117TXPYH")</f>
        <v>20220117TXPYH</v>
      </c>
      <c r="B310" s="8" t="str">
        <f ca="1">IFERROR(__xludf.DUMMYFUNCTION("""COMPUTED_VALUE"""),"Adult")</f>
        <v>Adult</v>
      </c>
      <c r="C310" s="8" t="str">
        <f ca="1">IFERROR(__xludf.DUMMYFUNCTION("""COMPUTED_VALUE"""),"Male")</f>
        <v>Male</v>
      </c>
      <c r="D310" s="8" t="str">
        <f ca="1">IFERROR(__xludf.DUMMYFUNCTION("""COMPUTED_VALUE"""),"No Relation")</f>
        <v>No Relation</v>
      </c>
      <c r="E310" s="8" t="str">
        <f ca="1">IFERROR(__xludf.DUMMYFUNCTION("""COMPUTED_VALUE"""),"Fled/Escaped")</f>
        <v>Fled/Escaped</v>
      </c>
      <c r="F310" s="8" t="str">
        <f ca="1">IFERROR(__xludf.DUMMYFUNCTION("""COMPUTED_VALUE"""),"No")</f>
        <v>No</v>
      </c>
      <c r="G310" s="8" t="str">
        <f ca="1">IFERROR(__xludf.DUMMYFUNCTION("""COMPUTED_VALUE"""),"None")</f>
        <v>None</v>
      </c>
    </row>
    <row r="311" spans="1:7" ht="12.75">
      <c r="A311" s="8" t="str">
        <f ca="1">IFERROR(__xludf.DUMMYFUNCTION("""COMPUTED_VALUE"""),"20220117TXPYH")</f>
        <v>20220117TXPYH</v>
      </c>
      <c r="B311" s="8" t="str">
        <f ca="1">IFERROR(__xludf.DUMMYFUNCTION("""COMPUTED_VALUE"""),"Adult")</f>
        <v>Adult</v>
      </c>
      <c r="C311" s="8" t="str">
        <f ca="1">IFERROR(__xludf.DUMMYFUNCTION("""COMPUTED_VALUE"""),"Male")</f>
        <v>Male</v>
      </c>
      <c r="D311" s="8" t="str">
        <f ca="1">IFERROR(__xludf.DUMMYFUNCTION("""COMPUTED_VALUE"""),"No Relation")</f>
        <v>No Relation</v>
      </c>
      <c r="E311" s="8" t="str">
        <f ca="1">IFERROR(__xludf.DUMMYFUNCTION("""COMPUTED_VALUE"""),"Fled/Escaped")</f>
        <v>Fled/Escaped</v>
      </c>
      <c r="F311" s="8" t="str">
        <f ca="1">IFERROR(__xludf.DUMMYFUNCTION("""COMPUTED_VALUE"""),"No")</f>
        <v>No</v>
      </c>
      <c r="G311" s="8" t="str">
        <f ca="1">IFERROR(__xludf.DUMMYFUNCTION("""COMPUTED_VALUE"""),"None")</f>
        <v>None</v>
      </c>
    </row>
    <row r="312" spans="1:7" ht="12.75">
      <c r="A312" s="8" t="str">
        <f ca="1">IFERROR(__xludf.DUMMYFUNCTION("""COMPUTED_VALUE"""),"20220114MDGAG")</f>
        <v>20220114MDGAG</v>
      </c>
      <c r="B312" s="8">
        <f ca="1">IFERROR(__xludf.DUMMYFUNCTION("""COMPUTED_VALUE"""),27)</f>
        <v>27</v>
      </c>
      <c r="C312" s="8" t="str">
        <f ca="1">IFERROR(__xludf.DUMMYFUNCTION("""COMPUTED_VALUE"""),"Male")</f>
        <v>Male</v>
      </c>
      <c r="D312" s="8" t="str">
        <f ca="1">IFERROR(__xludf.DUMMYFUNCTION("""COMPUTED_VALUE"""),"No Relation")</f>
        <v>No Relation</v>
      </c>
      <c r="E312" s="8" t="str">
        <f ca="1">IFERROR(__xludf.DUMMYFUNCTION("""COMPUTED_VALUE"""),"Apprehended/Killed by LE")</f>
        <v>Apprehended/Killed by LE</v>
      </c>
      <c r="F312" s="8" t="str">
        <f ca="1">IFERROR(__xludf.DUMMYFUNCTION("""COMPUTED_VALUE"""),"No")</f>
        <v>No</v>
      </c>
      <c r="G312" s="8" t="str">
        <f ca="1">IFERROR(__xludf.DUMMYFUNCTION("""COMPUTED_VALUE"""),"None")</f>
        <v>None</v>
      </c>
    </row>
    <row r="313" spans="1:7" ht="12.75">
      <c r="A313" s="8" t="str">
        <f ca="1">IFERROR(__xludf.DUMMYFUNCTION("""COMPUTED_VALUE"""),"20220111NMVAA")</f>
        <v>20220111NMVAA</v>
      </c>
      <c r="B313" s="8"/>
      <c r="C313" s="8"/>
      <c r="D313" s="8"/>
      <c r="E313" s="8" t="str">
        <f ca="1">IFERROR(__xludf.DUMMYFUNCTION("""COMPUTED_VALUE"""),"Fled/Escaped")</f>
        <v>Fled/Escaped</v>
      </c>
      <c r="F313" s="8" t="str">
        <f ca="1">IFERROR(__xludf.DUMMYFUNCTION("""COMPUTED_VALUE"""),"No")</f>
        <v>No</v>
      </c>
      <c r="G313" s="8" t="str">
        <f ca="1">IFERROR(__xludf.DUMMYFUNCTION("""COMPUTED_VALUE"""),"None")</f>
        <v>None</v>
      </c>
    </row>
    <row r="314" spans="1:7" ht="12.75">
      <c r="A314" s="8" t="str">
        <f ca="1">IFERROR(__xludf.DUMMYFUNCTION("""COMPUTED_VALUE"""),"20220106CAFLS")</f>
        <v>20220106CAFLS</v>
      </c>
      <c r="B314" s="8" t="str">
        <f ca="1">IFERROR(__xludf.DUMMYFUNCTION("""COMPUTED_VALUE"""),"Teen")</f>
        <v>Teen</v>
      </c>
      <c r="C314" s="8" t="str">
        <f ca="1">IFERROR(__xludf.DUMMYFUNCTION("""COMPUTED_VALUE"""),"Male")</f>
        <v>Male</v>
      </c>
      <c r="D314" s="8" t="str">
        <f ca="1">IFERROR(__xludf.DUMMYFUNCTION("""COMPUTED_VALUE"""),"Student")</f>
        <v>Student</v>
      </c>
      <c r="E314" s="8" t="str">
        <f ca="1">IFERROR(__xludf.DUMMYFUNCTION("""COMPUTED_VALUE"""),"Fled/Escaped")</f>
        <v>Fled/Escaped</v>
      </c>
      <c r="F314" s="8" t="str">
        <f ca="1">IFERROR(__xludf.DUMMYFUNCTION("""COMPUTED_VALUE"""),"No")</f>
        <v>No</v>
      </c>
      <c r="G314" s="8" t="str">
        <f ca="1">IFERROR(__xludf.DUMMYFUNCTION("""COMPUTED_VALUE"""),"None")</f>
        <v>None</v>
      </c>
    </row>
    <row r="315" spans="1:7" ht="12.75">
      <c r="A315" s="8" t="str">
        <f ca="1">IFERROR(__xludf.DUMMYFUNCTION("""COMPUTED_VALUE"""),"20220104ILAUR")</f>
        <v>20220104ILAUR</v>
      </c>
      <c r="B315" s="8">
        <f ca="1">IFERROR(__xludf.DUMMYFUNCTION("""COMPUTED_VALUE"""),16)</f>
        <v>16</v>
      </c>
      <c r="C315" s="8" t="str">
        <f ca="1">IFERROR(__xludf.DUMMYFUNCTION("""COMPUTED_VALUE"""),"Male")</f>
        <v>Male</v>
      </c>
      <c r="D315" s="8" t="str">
        <f ca="1">IFERROR(__xludf.DUMMYFUNCTION("""COMPUTED_VALUE"""),"Student")</f>
        <v>Student</v>
      </c>
      <c r="E315" s="8" t="str">
        <f ca="1">IFERROR(__xludf.DUMMYFUNCTION("""COMPUTED_VALUE"""),"Fled/Apprehended")</f>
        <v>Fled/Apprehended</v>
      </c>
      <c r="F315" s="8" t="str">
        <f ca="1">IFERROR(__xludf.DUMMYFUNCTION("""COMPUTED_VALUE"""),"No")</f>
        <v>No</v>
      </c>
      <c r="G315" s="8" t="str">
        <f ca="1">IFERROR(__xludf.DUMMYFUNCTION("""COMPUTED_VALUE"""),"None")</f>
        <v>None</v>
      </c>
    </row>
    <row r="316" spans="1:7" ht="12.75">
      <c r="A316" s="8" t="str">
        <f ca="1">IFERROR(__xludf.DUMMYFUNCTION("""COMPUTED_VALUE"""),"20220104ILAUR")</f>
        <v>20220104ILAUR</v>
      </c>
      <c r="B316" s="8">
        <f ca="1">IFERROR(__xludf.DUMMYFUNCTION("""COMPUTED_VALUE"""),17)</f>
        <v>17</v>
      </c>
      <c r="C316" s="8" t="str">
        <f ca="1">IFERROR(__xludf.DUMMYFUNCTION("""COMPUTED_VALUE"""),"Male")</f>
        <v>Male</v>
      </c>
      <c r="D316" s="8" t="str">
        <f ca="1">IFERROR(__xludf.DUMMYFUNCTION("""COMPUTED_VALUE"""),"Student")</f>
        <v>Student</v>
      </c>
      <c r="E316" s="8" t="str">
        <f ca="1">IFERROR(__xludf.DUMMYFUNCTION("""COMPUTED_VALUE"""),"Fled/Apprehended")</f>
        <v>Fled/Apprehended</v>
      </c>
      <c r="F316" s="8" t="str">
        <f ca="1">IFERROR(__xludf.DUMMYFUNCTION("""COMPUTED_VALUE"""),"No")</f>
        <v>No</v>
      </c>
      <c r="G316" s="8" t="str">
        <f ca="1">IFERROR(__xludf.DUMMYFUNCTION("""COMPUTED_VALUE"""),"None")</f>
        <v>None</v>
      </c>
    </row>
    <row r="317" spans="1:7" ht="12.75">
      <c r="A317" s="8" t="str">
        <f ca="1">IFERROR(__xludf.DUMMYFUNCTION("""COMPUTED_VALUE"""),"20220103WACHP")</f>
        <v>20220103WACHP</v>
      </c>
      <c r="B317" s="8" t="str">
        <f ca="1">IFERROR(__xludf.DUMMYFUNCTION("""COMPUTED_VALUE"""),"Adult")</f>
        <v>Adult</v>
      </c>
      <c r="C317" s="8" t="str">
        <f ca="1">IFERROR(__xludf.DUMMYFUNCTION("""COMPUTED_VALUE"""),"Female")</f>
        <v>Female</v>
      </c>
      <c r="D317" s="8" t="str">
        <f ca="1">IFERROR(__xludf.DUMMYFUNCTION("""COMPUTED_VALUE"""),"No Relation")</f>
        <v>No Relation</v>
      </c>
      <c r="E317" s="8" t="str">
        <f ca="1">IFERROR(__xludf.DUMMYFUNCTION("""COMPUTED_VALUE"""),"Fled/Apprehended")</f>
        <v>Fled/Apprehended</v>
      </c>
      <c r="F317" s="8" t="str">
        <f ca="1">IFERROR(__xludf.DUMMYFUNCTION("""COMPUTED_VALUE"""),"No")</f>
        <v>No</v>
      </c>
      <c r="G317" s="8" t="str">
        <f ca="1">IFERROR(__xludf.DUMMYFUNCTION("""COMPUTED_VALUE"""),"None")</f>
        <v>None</v>
      </c>
    </row>
    <row r="318" spans="1:7" ht="12.75">
      <c r="A318" s="8" t="str">
        <f ca="1">IFERROR(__xludf.DUMMYFUNCTION("""COMPUTED_VALUE"""),"20220103OHCOC")</f>
        <v>20220103OHCOC</v>
      </c>
      <c r="B318" s="8"/>
      <c r="C318" s="8"/>
      <c r="D318" s="8" t="str">
        <f ca="1">IFERROR(__xludf.DUMMYFUNCTION("""COMPUTED_VALUE"""),"No Relation")</f>
        <v>No Relation</v>
      </c>
      <c r="E318" s="8" t="str">
        <f ca="1">IFERROR(__xludf.DUMMYFUNCTION("""COMPUTED_VALUE"""),"Fled/Escaped")</f>
        <v>Fled/Escaped</v>
      </c>
      <c r="F318" s="8" t="str">
        <f ca="1">IFERROR(__xludf.DUMMYFUNCTION("""COMPUTED_VALUE"""),"No")</f>
        <v>No</v>
      </c>
      <c r="G318" s="8" t="str">
        <f ca="1">IFERROR(__xludf.DUMMYFUNCTION("""COMPUTED_VALUE"""),"None")</f>
        <v>None</v>
      </c>
    </row>
    <row r="319" spans="1:7" ht="12.75">
      <c r="A319" s="8" t="str">
        <f ca="1">IFERROR(__xludf.DUMMYFUNCTION("""COMPUTED_VALUE"""),"20211229NCCAS")</f>
        <v>20211229NCCAS</v>
      </c>
      <c r="B319" s="8" t="str">
        <f ca="1">IFERROR(__xludf.DUMMYFUNCTION("""COMPUTED_VALUE"""),"Teen")</f>
        <v>Teen</v>
      </c>
      <c r="C319" s="8" t="str">
        <f ca="1">IFERROR(__xludf.DUMMYFUNCTION("""COMPUTED_VALUE"""),"Male")</f>
        <v>Male</v>
      </c>
      <c r="D319" s="8" t="str">
        <f ca="1">IFERROR(__xludf.DUMMYFUNCTION("""COMPUTED_VALUE"""),"Student")</f>
        <v>Student</v>
      </c>
      <c r="E319" s="8" t="str">
        <f ca="1">IFERROR(__xludf.DUMMYFUNCTION("""COMPUTED_VALUE"""),"Fled/Apprehended")</f>
        <v>Fled/Apprehended</v>
      </c>
      <c r="F319" s="8" t="str">
        <f ca="1">IFERROR(__xludf.DUMMYFUNCTION("""COMPUTED_VALUE"""),"No")</f>
        <v>No</v>
      </c>
      <c r="G319" s="8" t="str">
        <f ca="1">IFERROR(__xludf.DUMMYFUNCTION("""COMPUTED_VALUE"""),"None")</f>
        <v>None</v>
      </c>
    </row>
    <row r="320" spans="1:7" ht="12.75">
      <c r="A320" s="8" t="str">
        <f ca="1">IFERROR(__xludf.DUMMYFUNCTION("""COMPUTED_VALUE"""),"20211229NCCAS")</f>
        <v>20211229NCCAS</v>
      </c>
      <c r="B320" s="8" t="str">
        <f ca="1">IFERROR(__xludf.DUMMYFUNCTION("""COMPUTED_VALUE"""),"Teen")</f>
        <v>Teen</v>
      </c>
      <c r="C320" s="8" t="str">
        <f ca="1">IFERROR(__xludf.DUMMYFUNCTION("""COMPUTED_VALUE"""),"Male")</f>
        <v>Male</v>
      </c>
      <c r="D320" s="8" t="str">
        <f ca="1">IFERROR(__xludf.DUMMYFUNCTION("""COMPUTED_VALUE"""),"Student")</f>
        <v>Student</v>
      </c>
      <c r="E320" s="8" t="str">
        <f ca="1">IFERROR(__xludf.DUMMYFUNCTION("""COMPUTED_VALUE"""),"Fled/Apprehended")</f>
        <v>Fled/Apprehended</v>
      </c>
      <c r="F320" s="8" t="str">
        <f ca="1">IFERROR(__xludf.DUMMYFUNCTION("""COMPUTED_VALUE"""),"No")</f>
        <v>No</v>
      </c>
      <c r="G320" s="8" t="str">
        <f ca="1">IFERROR(__xludf.DUMMYFUNCTION("""COMPUTED_VALUE"""),"None")</f>
        <v>None</v>
      </c>
    </row>
    <row r="321" spans="1:7" ht="12.75">
      <c r="A321" s="8" t="str">
        <f ca="1">IFERROR(__xludf.DUMMYFUNCTION("""COMPUTED_VALUE"""),"20211217TXWOD")</f>
        <v>20211217TXWOD</v>
      </c>
      <c r="B321" s="8" t="str">
        <f ca="1">IFERROR(__xludf.DUMMYFUNCTION("""COMPUTED_VALUE"""),"Teen")</f>
        <v>Teen</v>
      </c>
      <c r="C321" s="8" t="str">
        <f ca="1">IFERROR(__xludf.DUMMYFUNCTION("""COMPUTED_VALUE"""),"Male")</f>
        <v>Male</v>
      </c>
      <c r="D321" s="8" t="str">
        <f ca="1">IFERROR(__xludf.DUMMYFUNCTION("""COMPUTED_VALUE"""),"Student")</f>
        <v>Student</v>
      </c>
      <c r="E321" s="8" t="str">
        <f ca="1">IFERROR(__xludf.DUMMYFUNCTION("""COMPUTED_VALUE"""),"Fled/Apprehended")</f>
        <v>Fled/Apprehended</v>
      </c>
      <c r="F321" s="8" t="str">
        <f ca="1">IFERROR(__xludf.DUMMYFUNCTION("""COMPUTED_VALUE"""),"No")</f>
        <v>No</v>
      </c>
      <c r="G321" s="8" t="str">
        <f ca="1">IFERROR(__xludf.DUMMYFUNCTION("""COMPUTED_VALUE"""),"None")</f>
        <v>None</v>
      </c>
    </row>
    <row r="322" spans="1:7" ht="12.75">
      <c r="A322" s="8" t="str">
        <f ca="1">IFERROR(__xludf.DUMMYFUNCTION("""COMPUTED_VALUE"""),"20211216SCEAC")</f>
        <v>20211216SCEAC</v>
      </c>
      <c r="B322" s="8">
        <f ca="1">IFERROR(__xludf.DUMMYFUNCTION("""COMPUTED_VALUE"""),15)</f>
        <v>15</v>
      </c>
      <c r="C322" s="8" t="str">
        <f ca="1">IFERROR(__xludf.DUMMYFUNCTION("""COMPUTED_VALUE"""),"Male")</f>
        <v>Male</v>
      </c>
      <c r="D322" s="8" t="str">
        <f ca="1">IFERROR(__xludf.DUMMYFUNCTION("""COMPUTED_VALUE"""),"Student")</f>
        <v>Student</v>
      </c>
      <c r="E322" s="8" t="str">
        <f ca="1">IFERROR(__xludf.DUMMYFUNCTION("""COMPUTED_VALUE"""),"Fled/Apprehended")</f>
        <v>Fled/Apprehended</v>
      </c>
      <c r="F322" s="8" t="str">
        <f ca="1">IFERROR(__xludf.DUMMYFUNCTION("""COMPUTED_VALUE"""),"No")</f>
        <v>No</v>
      </c>
      <c r="G322" s="8" t="str">
        <f ca="1">IFERROR(__xludf.DUMMYFUNCTION("""COMPUTED_VALUE"""),"None")</f>
        <v>None</v>
      </c>
    </row>
    <row r="323" spans="1:7" ht="12.75">
      <c r="A323" s="8" t="str">
        <f ca="1">IFERROR(__xludf.DUMMYFUNCTION("""COMPUTED_VALUE"""),"20211216NYPSB")</f>
        <v>20211216NYPSB</v>
      </c>
      <c r="B323" s="8" t="str">
        <f ca="1">IFERROR(__xludf.DUMMYFUNCTION("""COMPUTED_VALUE"""),"Adult")</f>
        <v>Adult</v>
      </c>
      <c r="C323" s="8" t="str">
        <f ca="1">IFERROR(__xludf.DUMMYFUNCTION("""COMPUTED_VALUE"""),"Male")</f>
        <v>Male</v>
      </c>
      <c r="D323" s="8" t="str">
        <f ca="1">IFERROR(__xludf.DUMMYFUNCTION("""COMPUTED_VALUE"""),"No Relation")</f>
        <v>No Relation</v>
      </c>
      <c r="E323" s="8" t="str">
        <f ca="1">IFERROR(__xludf.DUMMYFUNCTION("""COMPUTED_VALUE"""),"Fled/Escaped")</f>
        <v>Fled/Escaped</v>
      </c>
      <c r="F323" s="8" t="str">
        <f ca="1">IFERROR(__xludf.DUMMYFUNCTION("""COMPUTED_VALUE"""),"No")</f>
        <v>No</v>
      </c>
      <c r="G323" s="8" t="str">
        <f ca="1">IFERROR(__xludf.DUMMYFUNCTION("""COMPUTED_VALUE"""),"None")</f>
        <v>None</v>
      </c>
    </row>
    <row r="324" spans="1:7" ht="12.75">
      <c r="A324" s="8" t="str">
        <f ca="1">IFERROR(__xludf.DUMMYFUNCTION("""COMPUTED_VALUE"""),"20211214WISOM")</f>
        <v>20211214WISOM</v>
      </c>
      <c r="B324" s="8">
        <f ca="1">IFERROR(__xludf.DUMMYFUNCTION("""COMPUTED_VALUE"""),18)</f>
        <v>18</v>
      </c>
      <c r="C324" s="8" t="str">
        <f ca="1">IFERROR(__xludf.DUMMYFUNCTION("""COMPUTED_VALUE"""),"Male")</f>
        <v>Male</v>
      </c>
      <c r="D324" s="8" t="str">
        <f ca="1">IFERROR(__xludf.DUMMYFUNCTION("""COMPUTED_VALUE"""),"Student")</f>
        <v>Student</v>
      </c>
      <c r="E324" s="8" t="str">
        <f ca="1">IFERROR(__xludf.DUMMYFUNCTION("""COMPUTED_VALUE"""),"Fled/Escaped")</f>
        <v>Fled/Escaped</v>
      </c>
      <c r="F324" s="8" t="str">
        <f ca="1">IFERROR(__xludf.DUMMYFUNCTION("""COMPUTED_VALUE"""),"No")</f>
        <v>No</v>
      </c>
      <c r="G324" s="8" t="str">
        <f ca="1">IFERROR(__xludf.DUMMYFUNCTION("""COMPUTED_VALUE"""),"None")</f>
        <v>None</v>
      </c>
    </row>
    <row r="325" spans="1:7" ht="12.75">
      <c r="A325" s="8" t="str">
        <f ca="1">IFERROR(__xludf.DUMMYFUNCTION("""COMPUTED_VALUE"""),"20211214VAMEN")</f>
        <v>20211214VAMEN</v>
      </c>
      <c r="B325" s="8">
        <f ca="1">IFERROR(__xludf.DUMMYFUNCTION("""COMPUTED_VALUE"""),18)</f>
        <v>18</v>
      </c>
      <c r="C325" s="8" t="str">
        <f ca="1">IFERROR(__xludf.DUMMYFUNCTION("""COMPUTED_VALUE"""),"Male")</f>
        <v>Male</v>
      </c>
      <c r="D325" s="8" t="str">
        <f ca="1">IFERROR(__xludf.DUMMYFUNCTION("""COMPUTED_VALUE"""),"Rival School Student")</f>
        <v>Rival School Student</v>
      </c>
      <c r="E325" s="8" t="str">
        <f ca="1">IFERROR(__xludf.DUMMYFUNCTION("""COMPUTED_VALUE"""),"Fled/Apprehended")</f>
        <v>Fled/Apprehended</v>
      </c>
      <c r="F325" s="8" t="str">
        <f ca="1">IFERROR(__xludf.DUMMYFUNCTION("""COMPUTED_VALUE"""),"No")</f>
        <v>No</v>
      </c>
      <c r="G325" s="8" t="str">
        <f ca="1">IFERROR(__xludf.DUMMYFUNCTION("""COMPUTED_VALUE"""),"None")</f>
        <v>None</v>
      </c>
    </row>
    <row r="326" spans="1:7" ht="12.75">
      <c r="A326" s="8" t="str">
        <f ca="1">IFERROR(__xludf.DUMMYFUNCTION("""COMPUTED_VALUE"""),"20211213NCWEC")</f>
        <v>20211213NCWEC</v>
      </c>
      <c r="B326" s="8" t="str">
        <f ca="1">IFERROR(__xludf.DUMMYFUNCTION("""COMPUTED_VALUE"""),"Teen")</f>
        <v>Teen</v>
      </c>
      <c r="C326" s="8" t="str">
        <f ca="1">IFERROR(__xludf.DUMMYFUNCTION("""COMPUTED_VALUE"""),"Male")</f>
        <v>Male</v>
      </c>
      <c r="D326" s="8" t="str">
        <f ca="1">IFERROR(__xludf.DUMMYFUNCTION("""COMPUTED_VALUE"""),"Student")</f>
        <v>Student</v>
      </c>
      <c r="E326" s="8" t="str">
        <f ca="1">IFERROR(__xludf.DUMMYFUNCTION("""COMPUTED_VALUE"""),"Fled/Apprehended")</f>
        <v>Fled/Apprehended</v>
      </c>
      <c r="F326" s="8" t="str">
        <f ca="1">IFERROR(__xludf.DUMMYFUNCTION("""COMPUTED_VALUE"""),"No")</f>
        <v>No</v>
      </c>
      <c r="G326" s="8" t="str">
        <f ca="1">IFERROR(__xludf.DUMMYFUNCTION("""COMPUTED_VALUE"""),"None")</f>
        <v>None</v>
      </c>
    </row>
    <row r="327" spans="1:7" ht="12.75">
      <c r="A327" s="8" t="str">
        <f ca="1">IFERROR(__xludf.DUMMYFUNCTION("""COMPUTED_VALUE"""),"20211213FLEAO")</f>
        <v>20211213FLEAO</v>
      </c>
      <c r="B327" s="8" t="str">
        <f ca="1">IFERROR(__xludf.DUMMYFUNCTION("""COMPUTED_VALUE"""),"Teen")</f>
        <v>Teen</v>
      </c>
      <c r="C327" s="8"/>
      <c r="D327" s="8" t="str">
        <f ca="1">IFERROR(__xludf.DUMMYFUNCTION("""COMPUTED_VALUE"""),"Student")</f>
        <v>Student</v>
      </c>
      <c r="E327" s="8" t="str">
        <f ca="1">IFERROR(__xludf.DUMMYFUNCTION("""COMPUTED_VALUE"""),"Fled/Escaped")</f>
        <v>Fled/Escaped</v>
      </c>
      <c r="F327" s="8" t="str">
        <f ca="1">IFERROR(__xludf.DUMMYFUNCTION("""COMPUTED_VALUE"""),"No")</f>
        <v>No</v>
      </c>
      <c r="G327" s="8" t="str">
        <f ca="1">IFERROR(__xludf.DUMMYFUNCTION("""COMPUTED_VALUE"""),"None")</f>
        <v>None</v>
      </c>
    </row>
    <row r="328" spans="1:7" ht="12.75">
      <c r="A328" s="8" t="str">
        <f ca="1">IFERROR(__xludf.DUMMYFUNCTION("""COMPUTED_VALUE"""),"20211212NYSCR")</f>
        <v>20211212NYSCR</v>
      </c>
      <c r="B328" s="8">
        <f ca="1">IFERROR(__xludf.DUMMYFUNCTION("""COMPUTED_VALUE"""),21)</f>
        <v>21</v>
      </c>
      <c r="C328" s="8" t="str">
        <f ca="1">IFERROR(__xludf.DUMMYFUNCTION("""COMPUTED_VALUE"""),"Male")</f>
        <v>Male</v>
      </c>
      <c r="D328" s="8" t="str">
        <f ca="1">IFERROR(__xludf.DUMMYFUNCTION("""COMPUTED_VALUE"""),"No Relation")</f>
        <v>No Relation</v>
      </c>
      <c r="E328" s="8" t="str">
        <f ca="1">IFERROR(__xludf.DUMMYFUNCTION("""COMPUTED_VALUE"""),"Fled/Escaped")</f>
        <v>Fled/Escaped</v>
      </c>
      <c r="F328" s="8" t="str">
        <f ca="1">IFERROR(__xludf.DUMMYFUNCTION("""COMPUTED_VALUE"""),"No")</f>
        <v>No</v>
      </c>
      <c r="G328" s="8" t="str">
        <f ca="1">IFERROR(__xludf.DUMMYFUNCTION("""COMPUTED_VALUE"""),"None")</f>
        <v>None</v>
      </c>
    </row>
    <row r="329" spans="1:7" ht="12.75">
      <c r="A329" s="8" t="str">
        <f ca="1">IFERROR(__xludf.DUMMYFUNCTION("""COMPUTED_VALUE"""),"20211211GAJOG")</f>
        <v>20211211GAJOG</v>
      </c>
      <c r="B329" s="8">
        <f ca="1">IFERROR(__xludf.DUMMYFUNCTION("""COMPUTED_VALUE"""),17)</f>
        <v>17</v>
      </c>
      <c r="C329" s="8" t="str">
        <f ca="1">IFERROR(__xludf.DUMMYFUNCTION("""COMPUTED_VALUE"""),"Male")</f>
        <v>Male</v>
      </c>
      <c r="D329" s="8" t="str">
        <f ca="1">IFERROR(__xludf.DUMMYFUNCTION("""COMPUTED_VALUE"""),"Student")</f>
        <v>Student</v>
      </c>
      <c r="E329" s="8" t="str">
        <f ca="1">IFERROR(__xludf.DUMMYFUNCTION("""COMPUTED_VALUE"""),"Fled/Apprehended")</f>
        <v>Fled/Apprehended</v>
      </c>
      <c r="F329" s="8" t="str">
        <f ca="1">IFERROR(__xludf.DUMMYFUNCTION("""COMPUTED_VALUE"""),"No")</f>
        <v>No</v>
      </c>
      <c r="G329" s="8" t="str">
        <f ca="1">IFERROR(__xludf.DUMMYFUNCTION("""COMPUTED_VALUE"""),"None")</f>
        <v>None</v>
      </c>
    </row>
    <row r="330" spans="1:7" ht="12.75">
      <c r="A330" s="8" t="str">
        <f ca="1">IFERROR(__xludf.DUMMYFUNCTION("""COMPUTED_VALUE"""),"20211211FLEDL")</f>
        <v>20211211FLEDL</v>
      </c>
      <c r="B330" s="8" t="str">
        <f ca="1">IFERROR(__xludf.DUMMYFUNCTION("""COMPUTED_VALUE"""),"Adult")</f>
        <v>Adult</v>
      </c>
      <c r="C330" s="8" t="str">
        <f ca="1">IFERROR(__xludf.DUMMYFUNCTION("""COMPUTED_VALUE"""),"Male")</f>
        <v>Male</v>
      </c>
      <c r="D330" s="8" t="str">
        <f ca="1">IFERROR(__xludf.DUMMYFUNCTION("""COMPUTED_VALUE"""),"Nonstudent Using Athletic Facilities/Attending Game")</f>
        <v>Nonstudent Using Athletic Facilities/Attending Game</v>
      </c>
      <c r="E330" s="8" t="str">
        <f ca="1">IFERROR(__xludf.DUMMYFUNCTION("""COMPUTED_VALUE"""),"Fled/Escaped")</f>
        <v>Fled/Escaped</v>
      </c>
      <c r="F330" s="8" t="str">
        <f ca="1">IFERROR(__xludf.DUMMYFUNCTION("""COMPUTED_VALUE"""),"No")</f>
        <v>No</v>
      </c>
      <c r="G330" s="8" t="str">
        <f ca="1">IFERROR(__xludf.DUMMYFUNCTION("""COMPUTED_VALUE"""),"None")</f>
        <v>None</v>
      </c>
    </row>
    <row r="331" spans="1:7" ht="12.75">
      <c r="A331" s="8" t="str">
        <f ca="1">IFERROR(__xludf.DUMMYFUNCTION("""COMPUTED_VALUE"""),"20211210OHCAC")</f>
        <v>20211210OHCAC</v>
      </c>
      <c r="B331" s="8" t="str">
        <f ca="1">IFERROR(__xludf.DUMMYFUNCTION("""COMPUTED_VALUE"""),"Adult")</f>
        <v>Adult</v>
      </c>
      <c r="C331" s="8" t="str">
        <f ca="1">IFERROR(__xludf.DUMMYFUNCTION("""COMPUTED_VALUE"""),"Male")</f>
        <v>Male</v>
      </c>
      <c r="D331" s="8" t="str">
        <f ca="1">IFERROR(__xludf.DUMMYFUNCTION("""COMPUTED_VALUE"""),"No Relation")</f>
        <v>No Relation</v>
      </c>
      <c r="E331" s="8" t="str">
        <f ca="1">IFERROR(__xludf.DUMMYFUNCTION("""COMPUTED_VALUE"""),"Apprehended/Killed by LE")</f>
        <v>Apprehended/Killed by LE</v>
      </c>
      <c r="F331" s="8" t="str">
        <f ca="1">IFERROR(__xludf.DUMMYFUNCTION("""COMPUTED_VALUE"""),"No")</f>
        <v>No</v>
      </c>
      <c r="G331" s="8" t="str">
        <f ca="1">IFERROR(__xludf.DUMMYFUNCTION("""COMPUTED_VALUE"""),"None")</f>
        <v>None</v>
      </c>
    </row>
    <row r="332" spans="1:7" ht="12.75">
      <c r="A332" s="8" t="str">
        <f ca="1">IFERROR(__xludf.DUMMYFUNCTION("""COMPUTED_VALUE"""),"20211210NCJEC")</f>
        <v>20211210NCJEC</v>
      </c>
      <c r="B332" s="8"/>
      <c r="C332" s="8"/>
      <c r="D332" s="8" t="str">
        <f ca="1">IFERROR(__xludf.DUMMYFUNCTION("""COMPUTED_VALUE"""),"No Relation")</f>
        <v>No Relation</v>
      </c>
      <c r="E332" s="8" t="str">
        <f ca="1">IFERROR(__xludf.DUMMYFUNCTION("""COMPUTED_VALUE"""),"Fled/Apprehended")</f>
        <v>Fled/Apprehended</v>
      </c>
      <c r="F332" s="8" t="str">
        <f ca="1">IFERROR(__xludf.DUMMYFUNCTION("""COMPUTED_VALUE"""),"No")</f>
        <v>No</v>
      </c>
      <c r="G332" s="8" t="str">
        <f ca="1">IFERROR(__xludf.DUMMYFUNCTION("""COMPUTED_VALUE"""),"None")</f>
        <v>None</v>
      </c>
    </row>
    <row r="333" spans="1:7" ht="12.75">
      <c r="A333" s="8" t="str">
        <f ca="1">IFERROR(__xludf.DUMMYFUNCTION("""COMPUTED_VALUE"""),"20211210NCJEC")</f>
        <v>20211210NCJEC</v>
      </c>
      <c r="B333" s="8"/>
      <c r="C333" s="8"/>
      <c r="D333" s="8" t="str">
        <f ca="1">IFERROR(__xludf.DUMMYFUNCTION("""COMPUTED_VALUE"""),"No Relation")</f>
        <v>No Relation</v>
      </c>
      <c r="E333" s="8" t="str">
        <f ca="1">IFERROR(__xludf.DUMMYFUNCTION("""COMPUTED_VALUE"""),"Fled/Escaped")</f>
        <v>Fled/Escaped</v>
      </c>
      <c r="F333" s="8" t="str">
        <f ca="1">IFERROR(__xludf.DUMMYFUNCTION("""COMPUTED_VALUE"""),"No")</f>
        <v>No</v>
      </c>
      <c r="G333" s="8" t="str">
        <f ca="1">IFERROR(__xludf.DUMMYFUNCTION("""COMPUTED_VALUE"""),"None")</f>
        <v>None</v>
      </c>
    </row>
    <row r="334" spans="1:7" ht="12.75">
      <c r="A334" s="8" t="str">
        <f ca="1">IFERROR(__xludf.DUMMYFUNCTION("""COMPUTED_VALUE"""),"20211209NYGRN")</f>
        <v>20211209NYGRN</v>
      </c>
      <c r="B334" s="8" t="str">
        <f ca="1">IFERROR(__xludf.DUMMYFUNCTION("""COMPUTED_VALUE"""),"Adult")</f>
        <v>Adult</v>
      </c>
      <c r="C334" s="8" t="str">
        <f ca="1">IFERROR(__xludf.DUMMYFUNCTION("""COMPUTED_VALUE"""),"Male")</f>
        <v>Male</v>
      </c>
      <c r="D334" s="8" t="str">
        <f ca="1">IFERROR(__xludf.DUMMYFUNCTION("""COMPUTED_VALUE"""),"No Relation")</f>
        <v>No Relation</v>
      </c>
      <c r="E334" s="8" t="str">
        <f ca="1">IFERROR(__xludf.DUMMYFUNCTION("""COMPUTED_VALUE"""),"Fled/Escaped")</f>
        <v>Fled/Escaped</v>
      </c>
      <c r="F334" s="8" t="str">
        <f ca="1">IFERROR(__xludf.DUMMYFUNCTION("""COMPUTED_VALUE"""),"No")</f>
        <v>No</v>
      </c>
      <c r="G334" s="8" t="str">
        <f ca="1">IFERROR(__xludf.DUMMYFUNCTION("""COMPUTED_VALUE"""),"None")</f>
        <v>None</v>
      </c>
    </row>
    <row r="335" spans="1:7" ht="12.75">
      <c r="A335" s="8" t="str">
        <f ca="1">IFERROR(__xludf.DUMMYFUNCTION("""COMPUTED_VALUE"""),"20211208MOEWK")</f>
        <v>20211208MOEWK</v>
      </c>
      <c r="B335" s="8"/>
      <c r="C335" s="8" t="str">
        <f ca="1">IFERROR(__xludf.DUMMYFUNCTION("""COMPUTED_VALUE"""),"Male")</f>
        <v>Male</v>
      </c>
      <c r="D335" s="8"/>
      <c r="E335" s="8" t="str">
        <f ca="1">IFERROR(__xludf.DUMMYFUNCTION("""COMPUTED_VALUE"""),"Fled/Escaped")</f>
        <v>Fled/Escaped</v>
      </c>
      <c r="F335" s="8" t="str">
        <f ca="1">IFERROR(__xludf.DUMMYFUNCTION("""COMPUTED_VALUE"""),"No")</f>
        <v>No</v>
      </c>
      <c r="G335" s="8" t="str">
        <f ca="1">IFERROR(__xludf.DUMMYFUNCTION("""COMPUTED_VALUE"""),"None")</f>
        <v>None</v>
      </c>
    </row>
    <row r="336" spans="1:7" ht="12.75">
      <c r="A336" s="8" t="str">
        <f ca="1">IFERROR(__xludf.DUMMYFUNCTION("""COMPUTED_VALUE"""),"20211208KYSTL")</f>
        <v>20211208KYSTL</v>
      </c>
      <c r="B336" s="8"/>
      <c r="C336" s="8"/>
      <c r="D336" s="8" t="str">
        <f ca="1">IFERROR(__xludf.DUMMYFUNCTION("""COMPUTED_VALUE"""),"No Relation")</f>
        <v>No Relation</v>
      </c>
      <c r="E336" s="8" t="str">
        <f ca="1">IFERROR(__xludf.DUMMYFUNCTION("""COMPUTED_VALUE"""),"Fled/Escaped")</f>
        <v>Fled/Escaped</v>
      </c>
      <c r="F336" s="8" t="str">
        <f ca="1">IFERROR(__xludf.DUMMYFUNCTION("""COMPUTED_VALUE"""),"No")</f>
        <v>No</v>
      </c>
      <c r="G336" s="8" t="str">
        <f ca="1">IFERROR(__xludf.DUMMYFUNCTION("""COMPUTED_VALUE"""),"None")</f>
        <v>None</v>
      </c>
    </row>
    <row r="337" spans="1:7" ht="12.75">
      <c r="A337" s="8" t="str">
        <f ca="1">IFERROR(__xludf.DUMMYFUNCTION("""COMPUTED_VALUE"""),"20211207ILHAC")</f>
        <v>20211207ILHAC</v>
      </c>
      <c r="B337" s="8">
        <f ca="1">IFERROR(__xludf.DUMMYFUNCTION("""COMPUTED_VALUE"""),23)</f>
        <v>23</v>
      </c>
      <c r="C337" s="8" t="str">
        <f ca="1">IFERROR(__xludf.DUMMYFUNCTION("""COMPUTED_VALUE"""),"Male")</f>
        <v>Male</v>
      </c>
      <c r="D337" s="8" t="str">
        <f ca="1">IFERROR(__xludf.DUMMYFUNCTION("""COMPUTED_VALUE"""),"No Relation")</f>
        <v>No Relation</v>
      </c>
      <c r="E337" s="8" t="str">
        <f ca="1">IFERROR(__xludf.DUMMYFUNCTION("""COMPUTED_VALUE"""),"Fled/Apprehended")</f>
        <v>Fled/Apprehended</v>
      </c>
      <c r="F337" s="8" t="str">
        <f ca="1">IFERROR(__xludf.DUMMYFUNCTION("""COMPUTED_VALUE"""),"No")</f>
        <v>No</v>
      </c>
      <c r="G337" s="8" t="str">
        <f ca="1">IFERROR(__xludf.DUMMYFUNCTION("""COMPUTED_VALUE"""),"None")</f>
        <v>None</v>
      </c>
    </row>
    <row r="338" spans="1:7" ht="12.75">
      <c r="A338" s="8" t="str">
        <f ca="1">IFERROR(__xludf.DUMMYFUNCTION("""COMPUTED_VALUE"""),"20211206NYSUS")</f>
        <v>20211206NYSUS</v>
      </c>
      <c r="B338" s="8">
        <f ca="1">IFERROR(__xludf.DUMMYFUNCTION("""COMPUTED_VALUE"""),16)</f>
        <v>16</v>
      </c>
      <c r="C338" s="8" t="str">
        <f ca="1">IFERROR(__xludf.DUMMYFUNCTION("""COMPUTED_VALUE"""),"Male")</f>
        <v>Male</v>
      </c>
      <c r="D338" s="8" t="str">
        <f ca="1">IFERROR(__xludf.DUMMYFUNCTION("""COMPUTED_VALUE"""),"Student")</f>
        <v>Student</v>
      </c>
      <c r="E338" s="8" t="str">
        <f ca="1">IFERROR(__xludf.DUMMYFUNCTION("""COMPUTED_VALUE"""),"Fled/Apprehended")</f>
        <v>Fled/Apprehended</v>
      </c>
      <c r="F338" s="8" t="str">
        <f ca="1">IFERROR(__xludf.DUMMYFUNCTION("""COMPUTED_VALUE"""),"No")</f>
        <v>No</v>
      </c>
      <c r="G338" s="8" t="str">
        <f ca="1">IFERROR(__xludf.DUMMYFUNCTION("""COMPUTED_VALUE"""),"None")</f>
        <v>None</v>
      </c>
    </row>
    <row r="339" spans="1:7" ht="12.75">
      <c r="A339" s="8" t="str">
        <f ca="1">IFERROR(__xludf.DUMMYFUNCTION("""COMPUTED_VALUE"""),"20211206CAWIW")</f>
        <v>20211206CAWIW</v>
      </c>
      <c r="B339" s="8" t="str">
        <f ca="1">IFERROR(__xludf.DUMMYFUNCTION("""COMPUTED_VALUE"""),"Adult")</f>
        <v>Adult</v>
      </c>
      <c r="C339" s="8" t="str">
        <f ca="1">IFERROR(__xludf.DUMMYFUNCTION("""COMPUTED_VALUE"""),"Male")</f>
        <v>Male</v>
      </c>
      <c r="D339" s="8" t="str">
        <f ca="1">IFERROR(__xludf.DUMMYFUNCTION("""COMPUTED_VALUE"""),"No Relation")</f>
        <v>No Relation</v>
      </c>
      <c r="E339" s="8" t="str">
        <f ca="1">IFERROR(__xludf.DUMMYFUNCTION("""COMPUTED_VALUE"""),"Fled/Escaped")</f>
        <v>Fled/Escaped</v>
      </c>
      <c r="F339" s="8" t="str">
        <f ca="1">IFERROR(__xludf.DUMMYFUNCTION("""COMPUTED_VALUE"""),"No")</f>
        <v>No</v>
      </c>
      <c r="G339" s="8" t="str">
        <f ca="1">IFERROR(__xludf.DUMMYFUNCTION("""COMPUTED_VALUE"""),"None")</f>
        <v>None</v>
      </c>
    </row>
    <row r="340" spans="1:7" ht="12.75">
      <c r="A340" s="8" t="str">
        <f ca="1">IFERROR(__xludf.DUMMYFUNCTION("""COMPUTED_VALUE"""),"20211206CAWIW")</f>
        <v>20211206CAWIW</v>
      </c>
      <c r="B340" s="8" t="str">
        <f ca="1">IFERROR(__xludf.DUMMYFUNCTION("""COMPUTED_VALUE"""),"Adult")</f>
        <v>Adult</v>
      </c>
      <c r="C340" s="8" t="str">
        <f ca="1">IFERROR(__xludf.DUMMYFUNCTION("""COMPUTED_VALUE"""),"Male")</f>
        <v>Male</v>
      </c>
      <c r="D340" s="8" t="str">
        <f ca="1">IFERROR(__xludf.DUMMYFUNCTION("""COMPUTED_VALUE"""),"No Relation")</f>
        <v>No Relation</v>
      </c>
      <c r="E340" s="8" t="str">
        <f ca="1">IFERROR(__xludf.DUMMYFUNCTION("""COMPUTED_VALUE"""),"Fled/Escaped")</f>
        <v>Fled/Escaped</v>
      </c>
      <c r="F340" s="8" t="str">
        <f ca="1">IFERROR(__xludf.DUMMYFUNCTION("""COMPUTED_VALUE"""),"No")</f>
        <v>No</v>
      </c>
      <c r="G340" s="8" t="str">
        <f ca="1">IFERROR(__xludf.DUMMYFUNCTION("""COMPUTED_VALUE"""),"None")</f>
        <v>None</v>
      </c>
    </row>
    <row r="341" spans="1:7" ht="12.75">
      <c r="A341" s="8" t="str">
        <f ca="1">IFERROR(__xludf.DUMMYFUNCTION("""COMPUTED_VALUE"""),"20211203ARBLB")</f>
        <v>20211203ARBLB</v>
      </c>
      <c r="B341" s="8">
        <f ca="1">IFERROR(__xludf.DUMMYFUNCTION("""COMPUTED_VALUE"""),19)</f>
        <v>19</v>
      </c>
      <c r="C341" s="8" t="str">
        <f ca="1">IFERROR(__xludf.DUMMYFUNCTION("""COMPUTED_VALUE"""),"Male")</f>
        <v>Male</v>
      </c>
      <c r="D341" s="8" t="str">
        <f ca="1">IFERROR(__xludf.DUMMYFUNCTION("""COMPUTED_VALUE"""),"No Relation")</f>
        <v>No Relation</v>
      </c>
      <c r="E341" s="8" t="str">
        <f ca="1">IFERROR(__xludf.DUMMYFUNCTION("""COMPUTED_VALUE"""),"Fled/Apprehended")</f>
        <v>Fled/Apprehended</v>
      </c>
      <c r="F341" s="8" t="str">
        <f ca="1">IFERROR(__xludf.DUMMYFUNCTION("""COMPUTED_VALUE"""),"No")</f>
        <v>No</v>
      </c>
      <c r="G341" s="8" t="str">
        <f ca="1">IFERROR(__xludf.DUMMYFUNCTION("""COMPUTED_VALUE"""),"None")</f>
        <v>None</v>
      </c>
    </row>
    <row r="342" spans="1:7" ht="12.75">
      <c r="A342" s="8" t="str">
        <f ca="1">IFERROR(__xludf.DUMMYFUNCTION("""COMPUTED_VALUE"""),"20211202WAGAS")</f>
        <v>20211202WAGAS</v>
      </c>
      <c r="B342" s="8" t="str">
        <f ca="1">IFERROR(__xludf.DUMMYFUNCTION("""COMPUTED_VALUE"""),"Teen")</f>
        <v>Teen</v>
      </c>
      <c r="C342" s="8" t="str">
        <f ca="1">IFERROR(__xludf.DUMMYFUNCTION("""COMPUTED_VALUE"""),"Male")</f>
        <v>Male</v>
      </c>
      <c r="D342" s="8"/>
      <c r="E342" s="8" t="str">
        <f ca="1">IFERROR(__xludf.DUMMYFUNCTION("""COMPUTED_VALUE"""),"Fled/Escaped")</f>
        <v>Fled/Escaped</v>
      </c>
      <c r="F342" s="8" t="str">
        <f ca="1">IFERROR(__xludf.DUMMYFUNCTION("""COMPUTED_VALUE"""),"No")</f>
        <v>No</v>
      </c>
      <c r="G342" s="8" t="str">
        <f ca="1">IFERROR(__xludf.DUMMYFUNCTION("""COMPUTED_VALUE"""),"None")</f>
        <v>None</v>
      </c>
    </row>
    <row r="343" spans="1:7" ht="12.75">
      <c r="A343" s="8" t="str">
        <f ca="1">IFERROR(__xludf.DUMMYFUNCTION("""COMPUTED_VALUE"""),"20211201TXSAP")</f>
        <v>20211201TXSAP</v>
      </c>
      <c r="B343" s="8">
        <f ca="1">IFERROR(__xludf.DUMMYFUNCTION("""COMPUTED_VALUE"""),21)</f>
        <v>21</v>
      </c>
      <c r="C343" s="8" t="str">
        <f ca="1">IFERROR(__xludf.DUMMYFUNCTION("""COMPUTED_VALUE"""),"Male")</f>
        <v>Male</v>
      </c>
      <c r="D343" s="8" t="str">
        <f ca="1">IFERROR(__xludf.DUMMYFUNCTION("""COMPUTED_VALUE"""),"No Relation")</f>
        <v>No Relation</v>
      </c>
      <c r="E343" s="8" t="str">
        <f ca="1">IFERROR(__xludf.DUMMYFUNCTION("""COMPUTED_VALUE"""),"Apprehended/Killed by SRO")</f>
        <v>Apprehended/Killed by SRO</v>
      </c>
      <c r="F343" s="8" t="str">
        <f ca="1">IFERROR(__xludf.DUMMYFUNCTION("""COMPUTED_VALUE"""),"No")</f>
        <v>No</v>
      </c>
      <c r="G343" s="8" t="str">
        <f ca="1">IFERROR(__xludf.DUMMYFUNCTION("""COMPUTED_VALUE"""),"None")</f>
        <v>None</v>
      </c>
    </row>
    <row r="344" spans="1:7" ht="12.75">
      <c r="A344" s="8" t="str">
        <f ca="1">IFERROR(__xludf.DUMMYFUNCTION("""COMPUTED_VALUE"""),"20211130TNHUH")</f>
        <v>20211130TNHUH</v>
      </c>
      <c r="B344" s="8">
        <f ca="1">IFERROR(__xludf.DUMMYFUNCTION("""COMPUTED_VALUE"""),21)</f>
        <v>21</v>
      </c>
      <c r="C344" s="8" t="str">
        <f ca="1">IFERROR(__xludf.DUMMYFUNCTION("""COMPUTED_VALUE"""),"Male")</f>
        <v>Male</v>
      </c>
      <c r="D344" s="8" t="str">
        <f ca="1">IFERROR(__xludf.DUMMYFUNCTION("""COMPUTED_VALUE"""),"Nonstudent Using Athletic Facilities/Attending Game")</f>
        <v>Nonstudent Using Athletic Facilities/Attending Game</v>
      </c>
      <c r="E344" s="8" t="str">
        <f ca="1">IFERROR(__xludf.DUMMYFUNCTION("""COMPUTED_VALUE"""),"Fled/Apprehended")</f>
        <v>Fled/Apprehended</v>
      </c>
      <c r="F344" s="8" t="str">
        <f ca="1">IFERROR(__xludf.DUMMYFUNCTION("""COMPUTED_VALUE"""),"No")</f>
        <v>No</v>
      </c>
      <c r="G344" s="8" t="str">
        <f ca="1">IFERROR(__xludf.DUMMYFUNCTION("""COMPUTED_VALUE"""),"None")</f>
        <v>None</v>
      </c>
    </row>
    <row r="345" spans="1:7" ht="12.75">
      <c r="A345" s="8" t="str">
        <f ca="1">IFERROR(__xludf.DUMMYFUNCTION("""COMPUTED_VALUE"""),"20211130OHWHW")</f>
        <v>20211130OHWHW</v>
      </c>
      <c r="B345" s="8">
        <f ca="1">IFERROR(__xludf.DUMMYFUNCTION("""COMPUTED_VALUE"""),18)</f>
        <v>18</v>
      </c>
      <c r="C345" s="8" t="str">
        <f ca="1">IFERROR(__xludf.DUMMYFUNCTION("""COMPUTED_VALUE"""),"Male")</f>
        <v>Male</v>
      </c>
      <c r="D345" s="8"/>
      <c r="E345" s="8" t="str">
        <f ca="1">IFERROR(__xludf.DUMMYFUNCTION("""COMPUTED_VALUE"""),"Surrendered")</f>
        <v>Surrendered</v>
      </c>
      <c r="F345" s="8" t="str">
        <f ca="1">IFERROR(__xludf.DUMMYFUNCTION("""COMPUTED_VALUE"""),"No")</f>
        <v>No</v>
      </c>
      <c r="G345" s="8" t="str">
        <f ca="1">IFERROR(__xludf.DUMMYFUNCTION("""COMPUTED_VALUE"""),"Wounded")</f>
        <v>Wounded</v>
      </c>
    </row>
    <row r="346" spans="1:7" ht="12.75">
      <c r="A346" s="8" t="str">
        <f ca="1">IFERROR(__xludf.DUMMYFUNCTION("""COMPUTED_VALUE"""),"20211130MIOXO")</f>
        <v>20211130MIOXO</v>
      </c>
      <c r="B346" s="8">
        <f ca="1">IFERROR(__xludf.DUMMYFUNCTION("""COMPUTED_VALUE"""),15)</f>
        <v>15</v>
      </c>
      <c r="C346" s="8" t="str">
        <f ca="1">IFERROR(__xludf.DUMMYFUNCTION("""COMPUTED_VALUE"""),"Male")</f>
        <v>Male</v>
      </c>
      <c r="D346" s="8" t="str">
        <f ca="1">IFERROR(__xludf.DUMMYFUNCTION("""COMPUTED_VALUE"""),"Student")</f>
        <v>Student</v>
      </c>
      <c r="E346" s="8" t="str">
        <f ca="1">IFERROR(__xludf.DUMMYFUNCTION("""COMPUTED_VALUE"""),"Surrendered")</f>
        <v>Surrendered</v>
      </c>
      <c r="F346" s="8" t="str">
        <f ca="1">IFERROR(__xludf.DUMMYFUNCTION("""COMPUTED_VALUE"""),"No")</f>
        <v>No</v>
      </c>
      <c r="G346" s="8" t="str">
        <f ca="1">IFERROR(__xludf.DUMMYFUNCTION("""COMPUTED_VALUE"""),"None")</f>
        <v>None</v>
      </c>
    </row>
    <row r="347" spans="1:7" ht="12.75">
      <c r="A347" s="8" t="str">
        <f ca="1">IFERROR(__xludf.DUMMYFUNCTION("""COMPUTED_VALUE"""),"20211130CALOL")</f>
        <v>20211130CALOL</v>
      </c>
      <c r="B347" s="8"/>
      <c r="C347" s="8"/>
      <c r="D347" s="8" t="str">
        <f ca="1">IFERROR(__xludf.DUMMYFUNCTION("""COMPUTED_VALUE"""),"No Relation")</f>
        <v>No Relation</v>
      </c>
      <c r="E347" s="8" t="str">
        <f ca="1">IFERROR(__xludf.DUMMYFUNCTION("""COMPUTED_VALUE"""),"Fled/Escaped")</f>
        <v>Fled/Escaped</v>
      </c>
      <c r="F347" s="8" t="str">
        <f ca="1">IFERROR(__xludf.DUMMYFUNCTION("""COMPUTED_VALUE"""),"No")</f>
        <v>No</v>
      </c>
      <c r="G347" s="8" t="str">
        <f ca="1">IFERROR(__xludf.DUMMYFUNCTION("""COMPUTED_VALUE"""),"None")</f>
        <v>None</v>
      </c>
    </row>
    <row r="348" spans="1:7" ht="12.75">
      <c r="A348" s="8" t="str">
        <f ca="1">IFERROR(__xludf.DUMMYFUNCTION("""COMPUTED_VALUE"""),"20211129ILWER")</f>
        <v>20211129ILWER</v>
      </c>
      <c r="B348" s="8" t="str">
        <f ca="1">IFERROR(__xludf.DUMMYFUNCTION("""COMPUTED_VALUE"""),"Teen")</f>
        <v>Teen</v>
      </c>
      <c r="C348" s="8" t="str">
        <f ca="1">IFERROR(__xludf.DUMMYFUNCTION("""COMPUTED_VALUE"""),"Male")</f>
        <v>Male</v>
      </c>
      <c r="D348" s="8" t="str">
        <f ca="1">IFERROR(__xludf.DUMMYFUNCTION("""COMPUTED_VALUE"""),"Student")</f>
        <v>Student</v>
      </c>
      <c r="E348" s="8" t="str">
        <f ca="1">IFERROR(__xludf.DUMMYFUNCTION("""COMPUTED_VALUE"""),"Fled/Escaped")</f>
        <v>Fled/Escaped</v>
      </c>
      <c r="F348" s="8" t="str">
        <f ca="1">IFERROR(__xludf.DUMMYFUNCTION("""COMPUTED_VALUE"""),"No")</f>
        <v>No</v>
      </c>
      <c r="G348" s="8" t="str">
        <f ca="1">IFERROR(__xludf.DUMMYFUNCTION("""COMPUTED_VALUE"""),"None")</f>
        <v>None</v>
      </c>
    </row>
    <row r="349" spans="1:7" ht="12.75">
      <c r="A349" s="8" t="str">
        <f ca="1">IFERROR(__xludf.DUMMYFUNCTION("""COMPUTED_VALUE"""),"20211129AZCHP")</f>
        <v>20211129AZCHP</v>
      </c>
      <c r="B349" s="8" t="str">
        <f ca="1">IFERROR(__xludf.DUMMYFUNCTION("""COMPUTED_VALUE"""),"Teen")</f>
        <v>Teen</v>
      </c>
      <c r="C349" s="8" t="str">
        <f ca="1">IFERROR(__xludf.DUMMYFUNCTION("""COMPUTED_VALUE"""),"Male")</f>
        <v>Male</v>
      </c>
      <c r="D349" s="8" t="str">
        <f ca="1">IFERROR(__xludf.DUMMYFUNCTION("""COMPUTED_VALUE"""),"Student")</f>
        <v>Student</v>
      </c>
      <c r="E349" s="8" t="str">
        <f ca="1">IFERROR(__xludf.DUMMYFUNCTION("""COMPUTED_VALUE"""),"Fled/Escaped")</f>
        <v>Fled/Escaped</v>
      </c>
      <c r="F349" s="8" t="str">
        <f ca="1">IFERROR(__xludf.DUMMYFUNCTION("""COMPUTED_VALUE"""),"No")</f>
        <v>No</v>
      </c>
      <c r="G349" s="8" t="str">
        <f ca="1">IFERROR(__xludf.DUMMYFUNCTION("""COMPUTED_VALUE"""),"None")</f>
        <v>None</v>
      </c>
    </row>
    <row r="350" spans="1:7" ht="12.75">
      <c r="A350" s="8" t="str">
        <f ca="1">IFERROR(__xludf.DUMMYFUNCTION("""COMPUTED_VALUE"""),"20211126CAWES")</f>
        <v>20211126CAWES</v>
      </c>
      <c r="B350" s="8" t="str">
        <f ca="1">IFERROR(__xludf.DUMMYFUNCTION("""COMPUTED_VALUE"""),"Adult")</f>
        <v>Adult</v>
      </c>
      <c r="C350" s="8" t="str">
        <f ca="1">IFERROR(__xludf.DUMMYFUNCTION("""COMPUTED_VALUE"""),"Male")</f>
        <v>Male</v>
      </c>
      <c r="D350" s="8" t="str">
        <f ca="1">IFERROR(__xludf.DUMMYFUNCTION("""COMPUTED_VALUE"""),"Nonstudent Using Athletic Facilities/Attending Game")</f>
        <v>Nonstudent Using Athletic Facilities/Attending Game</v>
      </c>
      <c r="E350" s="8" t="str">
        <f ca="1">IFERROR(__xludf.DUMMYFUNCTION("""COMPUTED_VALUE"""),"Fled/Escaped")</f>
        <v>Fled/Escaped</v>
      </c>
      <c r="F350" s="8" t="str">
        <f ca="1">IFERROR(__xludf.DUMMYFUNCTION("""COMPUTED_VALUE"""),"No")</f>
        <v>No</v>
      </c>
      <c r="G350" s="8" t="str">
        <f ca="1">IFERROR(__xludf.DUMMYFUNCTION("""COMPUTED_VALUE"""),"None")</f>
        <v>None</v>
      </c>
    </row>
    <row r="351" spans="1:7" ht="12.75">
      <c r="A351" s="8" t="str">
        <f ca="1">IFERROR(__xludf.DUMMYFUNCTION("""COMPUTED_VALUE"""),"20211125SCCEP")</f>
        <v>20211125SCCEP</v>
      </c>
      <c r="B351" s="8"/>
      <c r="C351" s="8"/>
      <c r="D351" s="8"/>
      <c r="E351" s="8" t="str">
        <f ca="1">IFERROR(__xludf.DUMMYFUNCTION("""COMPUTED_VALUE"""),"Fled/Escaped")</f>
        <v>Fled/Escaped</v>
      </c>
      <c r="F351" s="8" t="str">
        <f ca="1">IFERROR(__xludf.DUMMYFUNCTION("""COMPUTED_VALUE"""),"No")</f>
        <v>No</v>
      </c>
      <c r="G351" s="8" t="str">
        <f ca="1">IFERROR(__xludf.DUMMYFUNCTION("""COMPUTED_VALUE"""),"None")</f>
        <v>None</v>
      </c>
    </row>
    <row r="352" spans="1:7" ht="12.75">
      <c r="A352" s="8" t="str">
        <f ca="1">IFERROR(__xludf.DUMMYFUNCTION("""COMPUTED_VALUE"""),"20211124ILTHH")</f>
        <v>20211124ILTHH</v>
      </c>
      <c r="B352" s="8"/>
      <c r="C352" s="8"/>
      <c r="D352" s="8"/>
      <c r="E352" s="8" t="str">
        <f ca="1">IFERROR(__xludf.DUMMYFUNCTION("""COMPUTED_VALUE"""),"Fled/Escaped")</f>
        <v>Fled/Escaped</v>
      </c>
      <c r="F352" s="8" t="str">
        <f ca="1">IFERROR(__xludf.DUMMYFUNCTION("""COMPUTED_VALUE"""),"No")</f>
        <v>No</v>
      </c>
      <c r="G352" s="8" t="str">
        <f ca="1">IFERROR(__xludf.DUMMYFUNCTION("""COMPUTED_VALUE"""),"None")</f>
        <v>None</v>
      </c>
    </row>
    <row r="353" spans="1:7" ht="12.75">
      <c r="A353" s="8" t="str">
        <f ca="1">IFERROR(__xludf.DUMMYFUNCTION("""COMPUTED_VALUE"""),"20211123OHCLC")</f>
        <v>20211123OHCLC</v>
      </c>
      <c r="B353" s="8" t="str">
        <f ca="1">IFERROR(__xludf.DUMMYFUNCTION("""COMPUTED_VALUE"""),"Adult")</f>
        <v>Adult</v>
      </c>
      <c r="C353" s="8" t="str">
        <f ca="1">IFERROR(__xludf.DUMMYFUNCTION("""COMPUTED_VALUE"""),"Male")</f>
        <v>Male</v>
      </c>
      <c r="D353" s="8" t="str">
        <f ca="1">IFERROR(__xludf.DUMMYFUNCTION("""COMPUTED_VALUE"""),"No Relation")</f>
        <v>No Relation</v>
      </c>
      <c r="E353" s="8" t="str">
        <f ca="1">IFERROR(__xludf.DUMMYFUNCTION("""COMPUTED_VALUE"""),"Fled/Escaped")</f>
        <v>Fled/Escaped</v>
      </c>
      <c r="F353" s="8" t="str">
        <f ca="1">IFERROR(__xludf.DUMMYFUNCTION("""COMPUTED_VALUE"""),"No")</f>
        <v>No</v>
      </c>
      <c r="G353" s="8" t="str">
        <f ca="1">IFERROR(__xludf.DUMMYFUNCTION("""COMPUTED_VALUE"""),"None")</f>
        <v>None</v>
      </c>
    </row>
    <row r="354" spans="1:7" ht="12.75">
      <c r="A354" s="8" t="str">
        <f ca="1">IFERROR(__xludf.DUMMYFUNCTION("""COMPUTED_VALUE"""),"20211119MDGIB")</f>
        <v>20211119MDGIB</v>
      </c>
      <c r="B354" s="8"/>
      <c r="C354" s="8"/>
      <c r="D354" s="8" t="str">
        <f ca="1">IFERROR(__xludf.DUMMYFUNCTION("""COMPUTED_VALUE"""),"No Relation")</f>
        <v>No Relation</v>
      </c>
      <c r="E354" s="8" t="str">
        <f ca="1">IFERROR(__xludf.DUMMYFUNCTION("""COMPUTED_VALUE"""),"Fled/Escaped")</f>
        <v>Fled/Escaped</v>
      </c>
      <c r="F354" s="8" t="str">
        <f ca="1">IFERROR(__xludf.DUMMYFUNCTION("""COMPUTED_VALUE"""),"No")</f>
        <v>No</v>
      </c>
      <c r="G354" s="8" t="str">
        <f ca="1">IFERROR(__xludf.DUMMYFUNCTION("""COMPUTED_VALUE"""),"None")</f>
        <v>None</v>
      </c>
    </row>
    <row r="355" spans="1:7" ht="12.75">
      <c r="A355" s="8" t="str">
        <f ca="1">IFERROR(__xludf.DUMMYFUNCTION("""COMPUTED_VALUE"""),"20211119COHIA")</f>
        <v>20211119COHIA</v>
      </c>
      <c r="B355" s="8">
        <f ca="1">IFERROR(__xludf.DUMMYFUNCTION("""COMPUTED_VALUE"""),16)</f>
        <v>16</v>
      </c>
      <c r="C355" s="8" t="str">
        <f ca="1">IFERROR(__xludf.DUMMYFUNCTION("""COMPUTED_VALUE"""),"Male")</f>
        <v>Male</v>
      </c>
      <c r="D355" s="8" t="str">
        <f ca="1">IFERROR(__xludf.DUMMYFUNCTION("""COMPUTED_VALUE"""),"Student")</f>
        <v>Student</v>
      </c>
      <c r="E355" s="8" t="str">
        <f ca="1">IFERROR(__xludf.DUMMYFUNCTION("""COMPUTED_VALUE"""),"Fled/Apprehended")</f>
        <v>Fled/Apprehended</v>
      </c>
      <c r="F355" s="8" t="str">
        <f ca="1">IFERROR(__xludf.DUMMYFUNCTION("""COMPUTED_VALUE"""),"No")</f>
        <v>No</v>
      </c>
      <c r="G355" s="8" t="str">
        <f ca="1">IFERROR(__xludf.DUMMYFUNCTION("""COMPUTED_VALUE"""),"None")</f>
        <v>None</v>
      </c>
    </row>
    <row r="356" spans="1:7" ht="12.75">
      <c r="A356" s="8" t="str">
        <f ca="1">IFERROR(__xludf.DUMMYFUNCTION("""COMPUTED_VALUE"""),"20211119COHIA")</f>
        <v>20211119COHIA</v>
      </c>
      <c r="B356" s="8">
        <f ca="1">IFERROR(__xludf.DUMMYFUNCTION("""COMPUTED_VALUE"""),16)</f>
        <v>16</v>
      </c>
      <c r="C356" s="8" t="str">
        <f ca="1">IFERROR(__xludf.DUMMYFUNCTION("""COMPUTED_VALUE"""),"Male")</f>
        <v>Male</v>
      </c>
      <c r="D356" s="8" t="str">
        <f ca="1">IFERROR(__xludf.DUMMYFUNCTION("""COMPUTED_VALUE"""),"Student")</f>
        <v>Student</v>
      </c>
      <c r="E356" s="8" t="str">
        <f ca="1">IFERROR(__xludf.DUMMYFUNCTION("""COMPUTED_VALUE"""),"Fled/Apprehended")</f>
        <v>Fled/Apprehended</v>
      </c>
      <c r="F356" s="8" t="str">
        <f ca="1">IFERROR(__xludf.DUMMYFUNCTION("""COMPUTED_VALUE"""),"No")</f>
        <v>No</v>
      </c>
      <c r="G356" s="8" t="str">
        <f ca="1">IFERROR(__xludf.DUMMYFUNCTION("""COMPUTED_VALUE"""),"None")</f>
        <v>None</v>
      </c>
    </row>
    <row r="357" spans="1:7" ht="12.75">
      <c r="A357" s="8" t="str">
        <f ca="1">IFERROR(__xludf.DUMMYFUNCTION("""COMPUTED_VALUE"""),"20211119COHIA")</f>
        <v>20211119COHIA</v>
      </c>
      <c r="B357" s="8">
        <f ca="1">IFERROR(__xludf.DUMMYFUNCTION("""COMPUTED_VALUE"""),16)</f>
        <v>16</v>
      </c>
      <c r="C357" s="8" t="str">
        <f ca="1">IFERROR(__xludf.DUMMYFUNCTION("""COMPUTED_VALUE"""),"Male")</f>
        <v>Male</v>
      </c>
      <c r="D357" s="8" t="str">
        <f ca="1">IFERROR(__xludf.DUMMYFUNCTION("""COMPUTED_VALUE"""),"Student")</f>
        <v>Student</v>
      </c>
      <c r="E357" s="8" t="str">
        <f ca="1">IFERROR(__xludf.DUMMYFUNCTION("""COMPUTED_VALUE"""),"Fled/Apprehended")</f>
        <v>Fled/Apprehended</v>
      </c>
      <c r="F357" s="8" t="str">
        <f ca="1">IFERROR(__xludf.DUMMYFUNCTION("""COMPUTED_VALUE"""),"No")</f>
        <v>No</v>
      </c>
      <c r="G357" s="8" t="str">
        <f ca="1">IFERROR(__xludf.DUMMYFUNCTION("""COMPUTED_VALUE"""),"None")</f>
        <v>None</v>
      </c>
    </row>
    <row r="358" spans="1:7" ht="12.75">
      <c r="A358" s="8" t="str">
        <f ca="1">IFERROR(__xludf.DUMMYFUNCTION("""COMPUTED_VALUE"""),"20211119COHIA")</f>
        <v>20211119COHIA</v>
      </c>
      <c r="B358" s="8">
        <f ca="1">IFERROR(__xludf.DUMMYFUNCTION("""COMPUTED_VALUE"""),17)</f>
        <v>17</v>
      </c>
      <c r="C358" s="8" t="str">
        <f ca="1">IFERROR(__xludf.DUMMYFUNCTION("""COMPUTED_VALUE"""),"Male")</f>
        <v>Male</v>
      </c>
      <c r="D358" s="8" t="str">
        <f ca="1">IFERROR(__xludf.DUMMYFUNCTION("""COMPUTED_VALUE"""),"Student")</f>
        <v>Student</v>
      </c>
      <c r="E358" s="8" t="str">
        <f ca="1">IFERROR(__xludf.DUMMYFUNCTION("""COMPUTED_VALUE"""),"Fled/Apprehended")</f>
        <v>Fled/Apprehended</v>
      </c>
      <c r="F358" s="8" t="str">
        <f ca="1">IFERROR(__xludf.DUMMYFUNCTION("""COMPUTED_VALUE"""),"No")</f>
        <v>No</v>
      </c>
      <c r="G358" s="8" t="str">
        <f ca="1">IFERROR(__xludf.DUMMYFUNCTION("""COMPUTED_VALUE"""),"None")</f>
        <v>None</v>
      </c>
    </row>
    <row r="359" spans="1:7" ht="12.75">
      <c r="A359" s="8" t="str">
        <f ca="1">IFERROR(__xludf.DUMMYFUNCTION("""COMPUTED_VALUE"""),"20211116NYPSB")</f>
        <v>20211116NYPSB</v>
      </c>
      <c r="B359" s="8">
        <f ca="1">IFERROR(__xludf.DUMMYFUNCTION("""COMPUTED_VALUE"""),45)</f>
        <v>45</v>
      </c>
      <c r="C359" s="8" t="str">
        <f ca="1">IFERROR(__xludf.DUMMYFUNCTION("""COMPUTED_VALUE"""),"Male")</f>
        <v>Male</v>
      </c>
      <c r="D359" s="8" t="str">
        <f ca="1">IFERROR(__xludf.DUMMYFUNCTION("""COMPUTED_VALUE"""),"No Relation")</f>
        <v>No Relation</v>
      </c>
      <c r="E359" s="8" t="str">
        <f ca="1">IFERROR(__xludf.DUMMYFUNCTION("""COMPUTED_VALUE"""),"Apprehended/Killed by SRO")</f>
        <v>Apprehended/Killed by SRO</v>
      </c>
      <c r="F359" s="8" t="str">
        <f ca="1">IFERROR(__xludf.DUMMYFUNCTION("""COMPUTED_VALUE"""),"No")</f>
        <v>No</v>
      </c>
      <c r="G359" s="8" t="str">
        <f ca="1">IFERROR(__xludf.DUMMYFUNCTION("""COMPUTED_VALUE"""),"None")</f>
        <v>None</v>
      </c>
    </row>
    <row r="360" spans="1:7" ht="12.75">
      <c r="A360" s="8" t="str">
        <f ca="1">IFERROR(__xludf.DUMMYFUNCTION("""COMPUTED_VALUE"""),"20211116FLJAJ")</f>
        <v>20211116FLJAJ</v>
      </c>
      <c r="B360" s="8" t="str">
        <f ca="1">IFERROR(__xludf.DUMMYFUNCTION("""COMPUTED_VALUE"""),"Adult")</f>
        <v>Adult</v>
      </c>
      <c r="C360" s="8"/>
      <c r="D360" s="8" t="str">
        <f ca="1">IFERROR(__xludf.DUMMYFUNCTION("""COMPUTED_VALUE"""),"No Relation")</f>
        <v>No Relation</v>
      </c>
      <c r="E360" s="8" t="str">
        <f ca="1">IFERROR(__xludf.DUMMYFUNCTION("""COMPUTED_VALUE"""),"Fled/Escaped")</f>
        <v>Fled/Escaped</v>
      </c>
      <c r="F360" s="8" t="str">
        <f ca="1">IFERROR(__xludf.DUMMYFUNCTION("""COMPUTED_VALUE"""),"No")</f>
        <v>No</v>
      </c>
      <c r="G360" s="8" t="str">
        <f ca="1">IFERROR(__xludf.DUMMYFUNCTION("""COMPUTED_VALUE"""),"None")</f>
        <v>None</v>
      </c>
    </row>
    <row r="361" spans="1:7" ht="12.75">
      <c r="A361" s="8" t="str">
        <f ca="1">IFERROR(__xludf.DUMMYFUNCTION("""COMPUTED_VALUE"""),"20211115NYPOP")</f>
        <v>20211115NYPOP</v>
      </c>
      <c r="B361" s="8">
        <f ca="1">IFERROR(__xludf.DUMMYFUNCTION("""COMPUTED_VALUE"""),13)</f>
        <v>13</v>
      </c>
      <c r="C361" s="8" t="str">
        <f ca="1">IFERROR(__xludf.DUMMYFUNCTION("""COMPUTED_VALUE"""),"Male")</f>
        <v>Male</v>
      </c>
      <c r="D361" s="8" t="str">
        <f ca="1">IFERROR(__xludf.DUMMYFUNCTION("""COMPUTED_VALUE"""),"Student")</f>
        <v>Student</v>
      </c>
      <c r="E361" s="8" t="str">
        <f ca="1">IFERROR(__xludf.DUMMYFUNCTION("""COMPUTED_VALUE"""),"Fled/Apprehended")</f>
        <v>Fled/Apprehended</v>
      </c>
      <c r="F361" s="8" t="str">
        <f ca="1">IFERROR(__xludf.DUMMYFUNCTION("""COMPUTED_VALUE"""),"No")</f>
        <v>No</v>
      </c>
      <c r="G361" s="8" t="str">
        <f ca="1">IFERROR(__xludf.DUMMYFUNCTION("""COMPUTED_VALUE"""),"None")</f>
        <v>None</v>
      </c>
    </row>
    <row r="362" spans="1:7" ht="12.75">
      <c r="A362" s="8" t="str">
        <f ca="1">IFERROR(__xludf.DUMMYFUNCTION("""COMPUTED_VALUE"""),"20211110NYITI")</f>
        <v>20211110NYITI</v>
      </c>
      <c r="B362" s="8"/>
      <c r="C362" s="8"/>
      <c r="D362" s="8" t="str">
        <f ca="1">IFERROR(__xludf.DUMMYFUNCTION("""COMPUTED_VALUE"""),"No Relation")</f>
        <v>No Relation</v>
      </c>
      <c r="E362" s="8" t="str">
        <f ca="1">IFERROR(__xludf.DUMMYFUNCTION("""COMPUTED_VALUE"""),"Fled/Escaped")</f>
        <v>Fled/Escaped</v>
      </c>
      <c r="F362" s="8" t="str">
        <f ca="1">IFERROR(__xludf.DUMMYFUNCTION("""COMPUTED_VALUE"""),"No")</f>
        <v>No</v>
      </c>
      <c r="G362" s="8" t="str">
        <f ca="1">IFERROR(__xludf.DUMMYFUNCTION("""COMPUTED_VALUE"""),"None")</f>
        <v>None</v>
      </c>
    </row>
    <row r="363" spans="1:7" ht="12.75">
      <c r="A363" s="8" t="str">
        <f ca="1">IFERROR(__xludf.DUMMYFUNCTION("""COMPUTED_VALUE"""),"20211109NMMEL")</f>
        <v>20211109NMMEL</v>
      </c>
      <c r="B363" s="8" t="str">
        <f ca="1">IFERROR(__xludf.DUMMYFUNCTION("""COMPUTED_VALUE"""),"Adult")</f>
        <v>Adult</v>
      </c>
      <c r="C363" s="8" t="str">
        <f ca="1">IFERROR(__xludf.DUMMYFUNCTION("""COMPUTED_VALUE"""),"Male")</f>
        <v>Male</v>
      </c>
      <c r="D363" s="8" t="str">
        <f ca="1">IFERROR(__xludf.DUMMYFUNCTION("""COMPUTED_VALUE"""),"No Relation")</f>
        <v>No Relation</v>
      </c>
      <c r="E363" s="8" t="str">
        <f ca="1">IFERROR(__xludf.DUMMYFUNCTION("""COMPUTED_VALUE"""),"Suicide")</f>
        <v>Suicide</v>
      </c>
      <c r="F363" s="8" t="str">
        <f ca="1">IFERROR(__xludf.DUMMYFUNCTION("""COMPUTED_VALUE"""),"Yes")</f>
        <v>Yes</v>
      </c>
      <c r="G363" s="8" t="str">
        <f ca="1">IFERROR(__xludf.DUMMYFUNCTION("""COMPUTED_VALUE"""),"Suicide")</f>
        <v>Suicide</v>
      </c>
    </row>
    <row r="364" spans="1:7" ht="12.75">
      <c r="A364" s="8" t="str">
        <f ca="1">IFERROR(__xludf.DUMMYFUNCTION("""COMPUTED_VALUE"""),"20211108NYTHB")</f>
        <v>20211108NYTHB</v>
      </c>
      <c r="B364" s="8" t="str">
        <f ca="1">IFERROR(__xludf.DUMMYFUNCTION("""COMPUTED_VALUE"""),"Teen")</f>
        <v>Teen</v>
      </c>
      <c r="C364" s="8" t="str">
        <f ca="1">IFERROR(__xludf.DUMMYFUNCTION("""COMPUTED_VALUE"""),"Male")</f>
        <v>Male</v>
      </c>
      <c r="D364" s="8" t="str">
        <f ca="1">IFERROR(__xludf.DUMMYFUNCTION("""COMPUTED_VALUE"""),"Student")</f>
        <v>Student</v>
      </c>
      <c r="E364" s="8" t="str">
        <f ca="1">IFERROR(__xludf.DUMMYFUNCTION("""COMPUTED_VALUE"""),"Fled/Escaped")</f>
        <v>Fled/Escaped</v>
      </c>
      <c r="F364" s="8" t="str">
        <f ca="1">IFERROR(__xludf.DUMMYFUNCTION("""COMPUTED_VALUE"""),"No")</f>
        <v>No</v>
      </c>
      <c r="G364" s="8" t="str">
        <f ca="1">IFERROR(__xludf.DUMMYFUNCTION("""COMPUTED_VALUE"""),"None")</f>
        <v>None</v>
      </c>
    </row>
    <row r="365" spans="1:7" ht="12.75">
      <c r="A365" s="8" t="str">
        <f ca="1">IFERROR(__xludf.DUMMYFUNCTION("""COMPUTED_VALUE"""),"20211106FLOVO")</f>
        <v>20211106FLOVO</v>
      </c>
      <c r="B365" s="8" t="str">
        <f ca="1">IFERROR(__xludf.DUMMYFUNCTION("""COMPUTED_VALUE"""),"Teen")</f>
        <v>Teen</v>
      </c>
      <c r="C365" s="8" t="str">
        <f ca="1">IFERROR(__xludf.DUMMYFUNCTION("""COMPUTED_VALUE"""),"Male")</f>
        <v>Male</v>
      </c>
      <c r="D365" s="8" t="str">
        <f ca="1">IFERROR(__xludf.DUMMYFUNCTION("""COMPUTED_VALUE"""),"Student")</f>
        <v>Student</v>
      </c>
      <c r="E365" s="8" t="str">
        <f ca="1">IFERROR(__xludf.DUMMYFUNCTION("""COMPUTED_VALUE"""),"Fled/Apprehended")</f>
        <v>Fled/Apprehended</v>
      </c>
      <c r="F365" s="8" t="str">
        <f ca="1">IFERROR(__xludf.DUMMYFUNCTION("""COMPUTED_VALUE"""),"No")</f>
        <v>No</v>
      </c>
      <c r="G365" s="8" t="str">
        <f ca="1">IFERROR(__xludf.DUMMYFUNCTION("""COMPUTED_VALUE"""),"None")</f>
        <v>None</v>
      </c>
    </row>
    <row r="366" spans="1:7" ht="12.75">
      <c r="A366" s="8" t="str">
        <f ca="1">IFERROR(__xludf.DUMMYFUNCTION("""COMPUTED_VALUE"""),"20211102NMHIH")</f>
        <v>20211102NMHIH</v>
      </c>
      <c r="B366" s="8">
        <f ca="1">IFERROR(__xludf.DUMMYFUNCTION("""COMPUTED_VALUE"""),12)</f>
        <v>12</v>
      </c>
      <c r="C366" s="8" t="str">
        <f ca="1">IFERROR(__xludf.DUMMYFUNCTION("""COMPUTED_VALUE"""),"Male")</f>
        <v>Male</v>
      </c>
      <c r="D366" s="8" t="str">
        <f ca="1">IFERROR(__xludf.DUMMYFUNCTION("""COMPUTED_VALUE"""),"Student")</f>
        <v>Student</v>
      </c>
      <c r="E366" s="8" t="str">
        <f ca="1">IFERROR(__xludf.DUMMYFUNCTION("""COMPUTED_VALUE"""),"Fled/Apprehended")</f>
        <v>Fled/Apprehended</v>
      </c>
      <c r="F366" s="8" t="str">
        <f ca="1">IFERROR(__xludf.DUMMYFUNCTION("""COMPUTED_VALUE"""),"No")</f>
        <v>No</v>
      </c>
      <c r="G366" s="8" t="str">
        <f ca="1">IFERROR(__xludf.DUMMYFUNCTION("""COMPUTED_VALUE"""),"None")</f>
        <v>None</v>
      </c>
    </row>
    <row r="367" spans="1:7" ht="12.75">
      <c r="A367" s="8" t="str">
        <f ca="1">IFERROR(__xludf.DUMMYFUNCTION("""COMPUTED_VALUE"""),"20211102NMHIH")</f>
        <v>20211102NMHIH</v>
      </c>
      <c r="B367" s="8">
        <f ca="1">IFERROR(__xludf.DUMMYFUNCTION("""COMPUTED_VALUE"""),12)</f>
        <v>12</v>
      </c>
      <c r="C367" s="8" t="str">
        <f ca="1">IFERROR(__xludf.DUMMYFUNCTION("""COMPUTED_VALUE"""),"Male")</f>
        <v>Male</v>
      </c>
      <c r="D367" s="8" t="str">
        <f ca="1">IFERROR(__xludf.DUMMYFUNCTION("""COMPUTED_VALUE"""),"Student")</f>
        <v>Student</v>
      </c>
      <c r="E367" s="8" t="str">
        <f ca="1">IFERROR(__xludf.DUMMYFUNCTION("""COMPUTED_VALUE"""),"Fled/Apprehended")</f>
        <v>Fled/Apprehended</v>
      </c>
      <c r="F367" s="8" t="str">
        <f ca="1">IFERROR(__xludf.DUMMYFUNCTION("""COMPUTED_VALUE"""),"No")</f>
        <v>No</v>
      </c>
      <c r="G367" s="8" t="str">
        <f ca="1">IFERROR(__xludf.DUMMYFUNCTION("""COMPUTED_VALUE"""),"None")</f>
        <v>None</v>
      </c>
    </row>
    <row r="368" spans="1:7" ht="12.75">
      <c r="A368" s="8" t="str">
        <f ca="1">IFERROR(__xludf.DUMMYFUNCTION("""COMPUTED_VALUE"""),"20211030PASTM")</f>
        <v>20211030PASTM</v>
      </c>
      <c r="B368" s="8" t="str">
        <f ca="1">IFERROR(__xludf.DUMMYFUNCTION("""COMPUTED_VALUE"""),"Adult")</f>
        <v>Adult</v>
      </c>
      <c r="C368" s="8" t="str">
        <f ca="1">IFERROR(__xludf.DUMMYFUNCTION("""COMPUTED_VALUE"""),"Male")</f>
        <v>Male</v>
      </c>
      <c r="D368" s="8" t="str">
        <f ca="1">IFERROR(__xludf.DUMMYFUNCTION("""COMPUTED_VALUE"""),"Nonstudent Using Athletic Facilities/Attending Game")</f>
        <v>Nonstudent Using Athletic Facilities/Attending Game</v>
      </c>
      <c r="E368" s="8" t="str">
        <f ca="1">IFERROR(__xludf.DUMMYFUNCTION("""COMPUTED_VALUE"""),"Fled/Escaped")</f>
        <v>Fled/Escaped</v>
      </c>
      <c r="F368" s="8" t="str">
        <f ca="1">IFERROR(__xludf.DUMMYFUNCTION("""COMPUTED_VALUE"""),"No")</f>
        <v>No</v>
      </c>
      <c r="G368" s="8" t="str">
        <f ca="1">IFERROR(__xludf.DUMMYFUNCTION("""COMPUTED_VALUE"""),"None")</f>
        <v>None</v>
      </c>
    </row>
    <row r="369" spans="1:7" ht="12.75">
      <c r="A369" s="8" t="str">
        <f ca="1">IFERROR(__xludf.DUMMYFUNCTION("""COMPUTED_VALUE"""),"20211027SCCAS")</f>
        <v>20211027SCCAS</v>
      </c>
      <c r="B369" s="8">
        <f ca="1">IFERROR(__xludf.DUMMYFUNCTION("""COMPUTED_VALUE"""),17)</f>
        <v>17</v>
      </c>
      <c r="C369" s="8" t="str">
        <f ca="1">IFERROR(__xludf.DUMMYFUNCTION("""COMPUTED_VALUE"""),"Male")</f>
        <v>Male</v>
      </c>
      <c r="D369" s="8" t="str">
        <f ca="1">IFERROR(__xludf.DUMMYFUNCTION("""COMPUTED_VALUE"""),"Student")</f>
        <v>Student</v>
      </c>
      <c r="E369" s="8" t="str">
        <f ca="1">IFERROR(__xludf.DUMMYFUNCTION("""COMPUTED_VALUE"""),"Fled/Apprehended")</f>
        <v>Fled/Apprehended</v>
      </c>
      <c r="F369" s="8" t="str">
        <f ca="1">IFERROR(__xludf.DUMMYFUNCTION("""COMPUTED_VALUE"""),"No")</f>
        <v>No</v>
      </c>
      <c r="G369" s="8" t="str">
        <f ca="1">IFERROR(__xludf.DUMMYFUNCTION("""COMPUTED_VALUE"""),"None")</f>
        <v>None</v>
      </c>
    </row>
    <row r="370" spans="1:7" ht="12.75">
      <c r="A370" s="8" t="str">
        <f ca="1">IFERROR(__xludf.DUMMYFUNCTION("""COMPUTED_VALUE"""),"20211026MSCAN")</f>
        <v>20211026MSCAN</v>
      </c>
      <c r="B370" s="8"/>
      <c r="C370" s="8"/>
      <c r="D370" s="8"/>
      <c r="E370" s="8" t="str">
        <f ca="1">IFERROR(__xludf.DUMMYFUNCTION("""COMPUTED_VALUE"""),"Fled/Escaped")</f>
        <v>Fled/Escaped</v>
      </c>
      <c r="F370" s="8" t="str">
        <f ca="1">IFERROR(__xludf.DUMMYFUNCTION("""COMPUTED_VALUE"""),"No")</f>
        <v>No</v>
      </c>
      <c r="G370" s="8" t="str">
        <f ca="1">IFERROR(__xludf.DUMMYFUNCTION("""COMPUTED_VALUE"""),"None")</f>
        <v>None</v>
      </c>
    </row>
    <row r="371" spans="1:7" ht="12.75">
      <c r="A371" s="8" t="str">
        <f ca="1">IFERROR(__xludf.DUMMYFUNCTION("""COMPUTED_VALUE"""),"20211026ILWIC")</f>
        <v>20211026ILWIC</v>
      </c>
      <c r="B371" s="8" t="str">
        <f ca="1">IFERROR(__xludf.DUMMYFUNCTION("""COMPUTED_VALUE"""),"Adult")</f>
        <v>Adult</v>
      </c>
      <c r="C371" s="8" t="str">
        <f ca="1">IFERROR(__xludf.DUMMYFUNCTION("""COMPUTED_VALUE"""),"Male")</f>
        <v>Male</v>
      </c>
      <c r="D371" s="8" t="str">
        <f ca="1">IFERROR(__xludf.DUMMYFUNCTION("""COMPUTED_VALUE"""),"No Relation")</f>
        <v>No Relation</v>
      </c>
      <c r="E371" s="8" t="str">
        <f ca="1">IFERROR(__xludf.DUMMYFUNCTION("""COMPUTED_VALUE"""),"Fled/Escaped")</f>
        <v>Fled/Escaped</v>
      </c>
      <c r="F371" s="8" t="str">
        <f ca="1">IFERROR(__xludf.DUMMYFUNCTION("""COMPUTED_VALUE"""),"No")</f>
        <v>No</v>
      </c>
      <c r="G371" s="8" t="str">
        <f ca="1">IFERROR(__xludf.DUMMYFUNCTION("""COMPUTED_VALUE"""),"None")</f>
        <v>None</v>
      </c>
    </row>
    <row r="372" spans="1:7" ht="12.75">
      <c r="A372" s="8" t="str">
        <f ca="1">IFERROR(__xludf.DUMMYFUNCTION("""COMPUTED_VALUE"""),"20211022PAPHP")</f>
        <v>20211022PAPHP</v>
      </c>
      <c r="B372" s="8">
        <f ca="1">IFERROR(__xludf.DUMMYFUNCTION("""COMPUTED_VALUE"""),18)</f>
        <v>18</v>
      </c>
      <c r="C372" s="8" t="str">
        <f ca="1">IFERROR(__xludf.DUMMYFUNCTION("""COMPUTED_VALUE"""),"Male")</f>
        <v>Male</v>
      </c>
      <c r="D372" s="8" t="str">
        <f ca="1">IFERROR(__xludf.DUMMYFUNCTION("""COMPUTED_VALUE"""),"Student")</f>
        <v>Student</v>
      </c>
      <c r="E372" s="8" t="str">
        <f ca="1">IFERROR(__xludf.DUMMYFUNCTION("""COMPUTED_VALUE"""),"Apprehended/Killed by LE")</f>
        <v>Apprehended/Killed by LE</v>
      </c>
      <c r="F372" s="8" t="str">
        <f ca="1">IFERROR(__xludf.DUMMYFUNCTION("""COMPUTED_VALUE"""),"No")</f>
        <v>No</v>
      </c>
      <c r="G372" s="8" t="str">
        <f ca="1">IFERROR(__xludf.DUMMYFUNCTION("""COMPUTED_VALUE"""),"Wounded")</f>
        <v>Wounded</v>
      </c>
    </row>
    <row r="373" spans="1:7" ht="12.75">
      <c r="A373" s="8" t="str">
        <f ca="1">IFERROR(__xludf.DUMMYFUNCTION("""COMPUTED_VALUE"""),"20211021NYPSB")</f>
        <v>20211021NYPSB</v>
      </c>
      <c r="B373" s="8" t="str">
        <f ca="1">IFERROR(__xludf.DUMMYFUNCTION("""COMPUTED_VALUE"""),"Adult")</f>
        <v>Adult</v>
      </c>
      <c r="C373" s="8" t="str">
        <f ca="1">IFERROR(__xludf.DUMMYFUNCTION("""COMPUTED_VALUE"""),"Male")</f>
        <v>Male</v>
      </c>
      <c r="D373" s="8" t="str">
        <f ca="1">IFERROR(__xludf.DUMMYFUNCTION("""COMPUTED_VALUE"""),"No Relation")</f>
        <v>No Relation</v>
      </c>
      <c r="E373" s="8" t="str">
        <f ca="1">IFERROR(__xludf.DUMMYFUNCTION("""COMPUTED_VALUE"""),"Fled/Apprehended")</f>
        <v>Fled/Apprehended</v>
      </c>
      <c r="F373" s="8" t="str">
        <f ca="1">IFERROR(__xludf.DUMMYFUNCTION("""COMPUTED_VALUE"""),"No")</f>
        <v>No</v>
      </c>
      <c r="G373" s="8" t="str">
        <f ca="1">IFERROR(__xludf.DUMMYFUNCTION("""COMPUTED_VALUE"""),"None")</f>
        <v>None</v>
      </c>
    </row>
    <row r="374" spans="1:7" ht="12.75">
      <c r="A374" s="8" t="str">
        <f ca="1">IFERROR(__xludf.DUMMYFUNCTION("""COMPUTED_VALUE"""),"20211021GABES")</f>
        <v>20211021GABES</v>
      </c>
      <c r="B374" s="8">
        <f ca="1">IFERROR(__xludf.DUMMYFUNCTION("""COMPUTED_VALUE"""),33)</f>
        <v>33</v>
      </c>
      <c r="C374" s="8" t="str">
        <f ca="1">IFERROR(__xludf.DUMMYFUNCTION("""COMPUTED_VALUE"""),"Male")</f>
        <v>Male</v>
      </c>
      <c r="D374" s="8" t="str">
        <f ca="1">IFERROR(__xludf.DUMMYFUNCTION("""COMPUTED_VALUE"""),"No Relation")</f>
        <v>No Relation</v>
      </c>
      <c r="E374" s="8" t="str">
        <f ca="1">IFERROR(__xludf.DUMMYFUNCTION("""COMPUTED_VALUE"""),"Apprehended/Killed by LE")</f>
        <v>Apprehended/Killed by LE</v>
      </c>
      <c r="F374" s="8" t="str">
        <f ca="1">IFERROR(__xludf.DUMMYFUNCTION("""COMPUTED_VALUE"""),"No")</f>
        <v>No</v>
      </c>
      <c r="G374" s="8" t="str">
        <f ca="1">IFERROR(__xludf.DUMMYFUNCTION("""COMPUTED_VALUE"""),"None")</f>
        <v>None</v>
      </c>
    </row>
    <row r="375" spans="1:7" ht="12.75">
      <c r="A375" s="8" t="str">
        <f ca="1">IFERROR(__xludf.DUMMYFUNCTION("""COMPUTED_VALUE"""),"20211018PALIP")</f>
        <v>20211018PALIP</v>
      </c>
      <c r="B375" s="8">
        <f ca="1">IFERROR(__xludf.DUMMYFUNCTION("""COMPUTED_VALUE"""),21)</f>
        <v>21</v>
      </c>
      <c r="C375" s="8" t="str">
        <f ca="1">IFERROR(__xludf.DUMMYFUNCTION("""COMPUTED_VALUE"""),"Male")</f>
        <v>Male</v>
      </c>
      <c r="D375" s="8" t="str">
        <f ca="1">IFERROR(__xludf.DUMMYFUNCTION("""COMPUTED_VALUE"""),"Relative")</f>
        <v>Relative</v>
      </c>
      <c r="E375" s="8" t="str">
        <f ca="1">IFERROR(__xludf.DUMMYFUNCTION("""COMPUTED_VALUE"""),"Apprehended/Killed by LE")</f>
        <v>Apprehended/Killed by LE</v>
      </c>
      <c r="F375" s="8" t="str">
        <f ca="1">IFERROR(__xludf.DUMMYFUNCTION("""COMPUTED_VALUE"""),"No")</f>
        <v>No</v>
      </c>
      <c r="G375" s="8" t="str">
        <f ca="1">IFERROR(__xludf.DUMMYFUNCTION("""COMPUTED_VALUE"""),"None")</f>
        <v>None</v>
      </c>
    </row>
    <row r="376" spans="1:7" ht="12.75">
      <c r="A376" s="8" t="str">
        <f ca="1">IFERROR(__xludf.DUMMYFUNCTION("""COMPUTED_VALUE"""),"20211017ARROR")</f>
        <v>20211017ARROR</v>
      </c>
      <c r="B376" s="8">
        <f ca="1">IFERROR(__xludf.DUMMYFUNCTION("""COMPUTED_VALUE"""),28)</f>
        <v>28</v>
      </c>
      <c r="C376" s="8" t="str">
        <f ca="1">IFERROR(__xludf.DUMMYFUNCTION("""COMPUTED_VALUE"""),"Male")</f>
        <v>Male</v>
      </c>
      <c r="D376" s="8" t="str">
        <f ca="1">IFERROR(__xludf.DUMMYFUNCTION("""COMPUTED_VALUE"""),"No Relation")</f>
        <v>No Relation</v>
      </c>
      <c r="E376" s="8" t="str">
        <f ca="1">IFERROR(__xludf.DUMMYFUNCTION("""COMPUTED_VALUE"""),"Fled/Apprehended")</f>
        <v>Fled/Apprehended</v>
      </c>
      <c r="F376" s="8" t="str">
        <f ca="1">IFERROR(__xludf.DUMMYFUNCTION("""COMPUTED_VALUE"""),"No")</f>
        <v>No</v>
      </c>
      <c r="G376" s="8" t="str">
        <f ca="1">IFERROR(__xludf.DUMMYFUNCTION("""COMPUTED_VALUE"""),"None")</f>
        <v>None</v>
      </c>
    </row>
    <row r="377" spans="1:7" ht="12.75">
      <c r="A377" s="8" t="str">
        <f ca="1">IFERROR(__xludf.DUMMYFUNCTION("""COMPUTED_VALUE"""),"20211015CAKEF")</f>
        <v>20211015CAKEF</v>
      </c>
      <c r="B377" s="8">
        <f ca="1">IFERROR(__xludf.DUMMYFUNCTION("""COMPUTED_VALUE"""),33)</f>
        <v>33</v>
      </c>
      <c r="C377" s="8" t="str">
        <f ca="1">IFERROR(__xludf.DUMMYFUNCTION("""COMPUTED_VALUE"""),"Male")</f>
        <v>Male</v>
      </c>
      <c r="D377" s="8" t="str">
        <f ca="1">IFERROR(__xludf.DUMMYFUNCTION("""COMPUTED_VALUE"""),"No Relation")</f>
        <v>No Relation</v>
      </c>
      <c r="E377" s="8" t="str">
        <f ca="1">IFERROR(__xludf.DUMMYFUNCTION("""COMPUTED_VALUE"""),"Surrendered")</f>
        <v>Surrendered</v>
      </c>
      <c r="F377" s="8" t="str">
        <f ca="1">IFERROR(__xludf.DUMMYFUNCTION("""COMPUTED_VALUE"""),"No")</f>
        <v>No</v>
      </c>
      <c r="G377" s="8" t="str">
        <f ca="1">IFERROR(__xludf.DUMMYFUNCTION("""COMPUTED_VALUE"""),"None")</f>
        <v>None</v>
      </c>
    </row>
    <row r="378" spans="1:7" ht="12.75">
      <c r="A378" s="8" t="str">
        <f ca="1">IFERROR(__xludf.DUMMYFUNCTION("""COMPUTED_VALUE"""),"20211015ALWIM")</f>
        <v>20211015ALWIM</v>
      </c>
      <c r="B378" s="8">
        <f ca="1">IFERROR(__xludf.DUMMYFUNCTION("""COMPUTED_VALUE"""),19)</f>
        <v>19</v>
      </c>
      <c r="C378" s="8" t="str">
        <f ca="1">IFERROR(__xludf.DUMMYFUNCTION("""COMPUTED_VALUE"""),"Male")</f>
        <v>Male</v>
      </c>
      <c r="D378" s="8" t="str">
        <f ca="1">IFERROR(__xludf.DUMMYFUNCTION("""COMPUTED_VALUE"""),"Nonstudent Using Athletic Facilities/Attending Game")</f>
        <v>Nonstudent Using Athletic Facilities/Attending Game</v>
      </c>
      <c r="E378" s="8" t="str">
        <f ca="1">IFERROR(__xludf.DUMMYFUNCTION("""COMPUTED_VALUE"""),"Fled/Escaped")</f>
        <v>Fled/Escaped</v>
      </c>
      <c r="F378" s="8" t="str">
        <f ca="1">IFERROR(__xludf.DUMMYFUNCTION("""COMPUTED_VALUE"""),"No")</f>
        <v>No</v>
      </c>
      <c r="G378" s="8" t="str">
        <f ca="1">IFERROR(__xludf.DUMMYFUNCTION("""COMPUTED_VALUE"""),"None")</f>
        <v>None</v>
      </c>
    </row>
    <row r="379" spans="1:7" ht="12.75">
      <c r="A379" s="8" t="str">
        <f ca="1">IFERROR(__xludf.DUMMYFUNCTION("""COMPUTED_VALUE"""),"20211014MEREP")</f>
        <v>20211014MEREP</v>
      </c>
      <c r="B379" s="8"/>
      <c r="C379" s="8"/>
      <c r="D379" s="8" t="str">
        <f ca="1">IFERROR(__xludf.DUMMYFUNCTION("""COMPUTED_VALUE"""),"No Relation")</f>
        <v>No Relation</v>
      </c>
      <c r="E379" s="8" t="str">
        <f ca="1">IFERROR(__xludf.DUMMYFUNCTION("""COMPUTED_VALUE"""),"Fled/Escaped")</f>
        <v>Fled/Escaped</v>
      </c>
      <c r="F379" s="8" t="str">
        <f ca="1">IFERROR(__xludf.DUMMYFUNCTION("""COMPUTED_VALUE"""),"No")</f>
        <v>No</v>
      </c>
      <c r="G379" s="8" t="str">
        <f ca="1">IFERROR(__xludf.DUMMYFUNCTION("""COMPUTED_VALUE"""),"None")</f>
        <v>None</v>
      </c>
    </row>
    <row r="380" spans="1:7" ht="12.75">
      <c r="A380" s="8" t="str">
        <f ca="1">IFERROR(__xludf.DUMMYFUNCTION("""COMPUTED_VALUE"""),"20211013PACHD")</f>
        <v>20211013PACHD</v>
      </c>
      <c r="B380" s="8">
        <f ca="1">IFERROR(__xludf.DUMMYFUNCTION("""COMPUTED_VALUE"""),10)</f>
        <v>10</v>
      </c>
      <c r="C380" s="8" t="str">
        <f ca="1">IFERROR(__xludf.DUMMYFUNCTION("""COMPUTED_VALUE"""),"Male")</f>
        <v>Male</v>
      </c>
      <c r="D380" s="8" t="str">
        <f ca="1">IFERROR(__xludf.DUMMYFUNCTION("""COMPUTED_VALUE"""),"Student")</f>
        <v>Student</v>
      </c>
      <c r="E380" s="8" t="str">
        <f ca="1">IFERROR(__xludf.DUMMYFUNCTION("""COMPUTED_VALUE"""),"Subdued by Students/Staff/Other")</f>
        <v>Subdued by Students/Staff/Other</v>
      </c>
      <c r="F380" s="8" t="str">
        <f ca="1">IFERROR(__xludf.DUMMYFUNCTION("""COMPUTED_VALUE"""),"No")</f>
        <v>No</v>
      </c>
      <c r="G380" s="8" t="str">
        <f ca="1">IFERROR(__xludf.DUMMYFUNCTION("""COMPUTED_VALUE"""),"None")</f>
        <v>None</v>
      </c>
    </row>
    <row r="381" spans="1:7" ht="12.75">
      <c r="A381" s="8" t="str">
        <f ca="1">IFERROR(__xludf.DUMMYFUNCTION("""COMPUTED_VALUE"""),"20211013PACHD")</f>
        <v>20211013PACHD</v>
      </c>
      <c r="B381" s="8">
        <f ca="1">IFERROR(__xludf.DUMMYFUNCTION("""COMPUTED_VALUE"""),10)</f>
        <v>10</v>
      </c>
      <c r="C381" s="8" t="str">
        <f ca="1">IFERROR(__xludf.DUMMYFUNCTION("""COMPUTED_VALUE"""),"Male")</f>
        <v>Male</v>
      </c>
      <c r="D381" s="8" t="str">
        <f ca="1">IFERROR(__xludf.DUMMYFUNCTION("""COMPUTED_VALUE"""),"Student")</f>
        <v>Student</v>
      </c>
      <c r="E381" s="8" t="str">
        <f ca="1">IFERROR(__xludf.DUMMYFUNCTION("""COMPUTED_VALUE"""),"Subdued by Students/Staff/Other")</f>
        <v>Subdued by Students/Staff/Other</v>
      </c>
      <c r="F381" s="8" t="str">
        <f ca="1">IFERROR(__xludf.DUMMYFUNCTION("""COMPUTED_VALUE"""),"No")</f>
        <v>No</v>
      </c>
      <c r="G381" s="8" t="str">
        <f ca="1">IFERROR(__xludf.DUMMYFUNCTION("""COMPUTED_VALUE"""),"None")</f>
        <v>None</v>
      </c>
    </row>
    <row r="382" spans="1:7" ht="12.75">
      <c r="A382" s="8" t="str">
        <f ca="1">IFERROR(__xludf.DUMMYFUNCTION("""COMPUTED_VALUE"""),"20211013ILMCC")</f>
        <v>20211013ILMCC</v>
      </c>
      <c r="B382" s="8"/>
      <c r="C382" s="8"/>
      <c r="D382" s="8" t="str">
        <f ca="1">IFERROR(__xludf.DUMMYFUNCTION("""COMPUTED_VALUE"""),"No Relation")</f>
        <v>No Relation</v>
      </c>
      <c r="E382" s="8" t="str">
        <f ca="1">IFERROR(__xludf.DUMMYFUNCTION("""COMPUTED_VALUE"""),"Fled/Escaped")</f>
        <v>Fled/Escaped</v>
      </c>
      <c r="F382" s="8" t="str">
        <f ca="1">IFERROR(__xludf.DUMMYFUNCTION("""COMPUTED_VALUE"""),"No")</f>
        <v>No</v>
      </c>
      <c r="G382" s="8" t="str">
        <f ca="1">IFERROR(__xludf.DUMMYFUNCTION("""COMPUTED_VALUE"""),"None")</f>
        <v>None</v>
      </c>
    </row>
    <row r="383" spans="1:7" ht="12.75">
      <c r="A383" s="8" t="str">
        <f ca="1">IFERROR(__xludf.DUMMYFUNCTION("""COMPUTED_VALUE"""),"20211012OKUNT")</f>
        <v>20211012OKUNT</v>
      </c>
      <c r="B383" s="8" t="str">
        <f ca="1">IFERROR(__xludf.DUMMYFUNCTION("""COMPUTED_VALUE"""),"Teen")</f>
        <v>Teen</v>
      </c>
      <c r="C383" s="8" t="str">
        <f ca="1">IFERROR(__xludf.DUMMYFUNCTION("""COMPUTED_VALUE"""),"Male")</f>
        <v>Male</v>
      </c>
      <c r="D383" s="8" t="str">
        <f ca="1">IFERROR(__xludf.DUMMYFUNCTION("""COMPUTED_VALUE"""),"Student")</f>
        <v>Student</v>
      </c>
      <c r="E383" s="8" t="str">
        <f ca="1">IFERROR(__xludf.DUMMYFUNCTION("""COMPUTED_VALUE"""),"Fled/Apprehended")</f>
        <v>Fled/Apprehended</v>
      </c>
      <c r="F383" s="8" t="str">
        <f ca="1">IFERROR(__xludf.DUMMYFUNCTION("""COMPUTED_VALUE"""),"No")</f>
        <v>No</v>
      </c>
      <c r="G383" s="8" t="str">
        <f ca="1">IFERROR(__xludf.DUMMYFUNCTION("""COMPUTED_VALUE"""),"None")</f>
        <v>None</v>
      </c>
    </row>
    <row r="384" spans="1:7" ht="12.75">
      <c r="A384" s="8" t="str">
        <f ca="1">IFERROR(__xludf.DUMMYFUNCTION("""COMPUTED_VALUE"""),"20211012MIELK")</f>
        <v>20211012MIELK</v>
      </c>
      <c r="B384" s="8"/>
      <c r="C384" s="8" t="str">
        <f ca="1">IFERROR(__xludf.DUMMYFUNCTION("""COMPUTED_VALUE"""),"Male")</f>
        <v>Male</v>
      </c>
      <c r="D384" s="8" t="str">
        <f ca="1">IFERROR(__xludf.DUMMYFUNCTION("""COMPUTED_VALUE"""),"No Relation")</f>
        <v>No Relation</v>
      </c>
      <c r="E384" s="8" t="str">
        <f ca="1">IFERROR(__xludf.DUMMYFUNCTION("""COMPUTED_VALUE"""),"Fled/Escaped")</f>
        <v>Fled/Escaped</v>
      </c>
      <c r="F384" s="8" t="str">
        <f ca="1">IFERROR(__xludf.DUMMYFUNCTION("""COMPUTED_VALUE"""),"No")</f>
        <v>No</v>
      </c>
      <c r="G384" s="8" t="str">
        <f ca="1">IFERROR(__xludf.DUMMYFUNCTION("""COMPUTED_VALUE"""),"None")</f>
        <v>None</v>
      </c>
    </row>
    <row r="385" spans="1:7" ht="12.75">
      <c r="A385" s="8" t="str">
        <f ca="1">IFERROR(__xludf.DUMMYFUNCTION("""COMPUTED_VALUE"""),"20211012ILWEC")</f>
        <v>20211012ILWEC</v>
      </c>
      <c r="B385" s="8"/>
      <c r="C385" s="8"/>
      <c r="D385" s="8"/>
      <c r="E385" s="8" t="str">
        <f ca="1">IFERROR(__xludf.DUMMYFUNCTION("""COMPUTED_VALUE"""),"Fled/Escaped")</f>
        <v>Fled/Escaped</v>
      </c>
      <c r="F385" s="8" t="str">
        <f ca="1">IFERROR(__xludf.DUMMYFUNCTION("""COMPUTED_VALUE"""),"No")</f>
        <v>No</v>
      </c>
      <c r="G385" s="8" t="str">
        <f ca="1">IFERROR(__xludf.DUMMYFUNCTION("""COMPUTED_VALUE"""),"None")</f>
        <v>None</v>
      </c>
    </row>
    <row r="386" spans="1:7" ht="12.75">
      <c r="A386" s="8" t="str">
        <f ca="1">IFERROR(__xludf.DUMMYFUNCTION("""COMPUTED_VALUE"""),"20211012ARLIL")</f>
        <v>20211012ARLIL</v>
      </c>
      <c r="B386" s="8"/>
      <c r="C386" s="8"/>
      <c r="D386" s="8" t="str">
        <f ca="1">IFERROR(__xludf.DUMMYFUNCTION("""COMPUTED_VALUE"""),"No Relation")</f>
        <v>No Relation</v>
      </c>
      <c r="E386" s="8" t="str">
        <f ca="1">IFERROR(__xludf.DUMMYFUNCTION("""COMPUTED_VALUE"""),"Fled/Escaped")</f>
        <v>Fled/Escaped</v>
      </c>
      <c r="F386" s="8" t="str">
        <f ca="1">IFERROR(__xludf.DUMMYFUNCTION("""COMPUTED_VALUE"""),"No")</f>
        <v>No</v>
      </c>
      <c r="G386" s="8" t="str">
        <f ca="1">IFERROR(__xludf.DUMMYFUNCTION("""COMPUTED_VALUE"""),"None")</f>
        <v>None</v>
      </c>
    </row>
    <row r="387" spans="1:7" ht="12.75">
      <c r="A387" s="8" t="str">
        <f ca="1">IFERROR(__xludf.DUMMYFUNCTION("""COMPUTED_VALUE"""),"20211011ORROP")</f>
        <v>20211011ORROP</v>
      </c>
      <c r="B387" s="8"/>
      <c r="C387" s="8"/>
      <c r="D387" s="8"/>
      <c r="E387" s="8" t="str">
        <f ca="1">IFERROR(__xludf.DUMMYFUNCTION("""COMPUTED_VALUE"""),"Fled/Escaped")</f>
        <v>Fled/Escaped</v>
      </c>
      <c r="F387" s="8" t="str">
        <f ca="1">IFERROR(__xludf.DUMMYFUNCTION("""COMPUTED_VALUE"""),"No")</f>
        <v>No</v>
      </c>
      <c r="G387" s="8" t="str">
        <f ca="1">IFERROR(__xludf.DUMMYFUNCTION("""COMPUTED_VALUE"""),"None")</f>
        <v>None</v>
      </c>
    </row>
    <row r="388" spans="1:7" ht="12.75">
      <c r="A388" s="8" t="str">
        <f ca="1">IFERROR(__xludf.DUMMYFUNCTION("""COMPUTED_VALUE"""),"20211008OKCOC")</f>
        <v>20211008OKCOC</v>
      </c>
      <c r="B388" s="8" t="str">
        <f ca="1">IFERROR(__xludf.DUMMYFUNCTION("""COMPUTED_VALUE"""),"Teen")</f>
        <v>Teen</v>
      </c>
      <c r="C388" s="8"/>
      <c r="D388" s="8" t="str">
        <f ca="1">IFERROR(__xludf.DUMMYFUNCTION("""COMPUTED_VALUE"""),"Student")</f>
        <v>Student</v>
      </c>
      <c r="E388" s="8" t="str">
        <f ca="1">IFERROR(__xludf.DUMMYFUNCTION("""COMPUTED_VALUE"""),"Apprehended/Killed by LE")</f>
        <v>Apprehended/Killed by LE</v>
      </c>
      <c r="F388" s="8" t="str">
        <f ca="1">IFERROR(__xludf.DUMMYFUNCTION("""COMPUTED_VALUE"""),"No")</f>
        <v>No</v>
      </c>
      <c r="G388" s="8" t="str">
        <f ca="1">IFERROR(__xludf.DUMMYFUNCTION("""COMPUTED_VALUE"""),"None")</f>
        <v>None</v>
      </c>
    </row>
    <row r="389" spans="1:7" ht="12.75">
      <c r="A389" s="8" t="str">
        <f ca="1">IFERROR(__xludf.DUMMYFUNCTION("""COMPUTED_VALUE"""),"20211007TXEAW")</f>
        <v>20211007TXEAW</v>
      </c>
      <c r="B389" s="8"/>
      <c r="C389" s="8"/>
      <c r="D389" s="8" t="str">
        <f ca="1">IFERROR(__xludf.DUMMYFUNCTION("""COMPUTED_VALUE"""),"No Relation")</f>
        <v>No Relation</v>
      </c>
      <c r="E389" s="8" t="str">
        <f ca="1">IFERROR(__xludf.DUMMYFUNCTION("""COMPUTED_VALUE"""),"Fled/Escaped")</f>
        <v>Fled/Escaped</v>
      </c>
      <c r="F389" s="8" t="str">
        <f ca="1">IFERROR(__xludf.DUMMYFUNCTION("""COMPUTED_VALUE"""),"No")</f>
        <v>No</v>
      </c>
      <c r="G389" s="8" t="str">
        <f ca="1">IFERROR(__xludf.DUMMYFUNCTION("""COMPUTED_VALUE"""),"None")</f>
        <v>None</v>
      </c>
    </row>
    <row r="390" spans="1:7" ht="12.75">
      <c r="A390" s="8" t="str">
        <f ca="1">IFERROR(__xludf.DUMMYFUNCTION("""COMPUTED_VALUE"""),"20211007PAANP")</f>
        <v>20211007PAANP</v>
      </c>
      <c r="B390" s="8"/>
      <c r="C390" s="8"/>
      <c r="D390" s="8"/>
      <c r="E390" s="8" t="str">
        <f ca="1">IFERROR(__xludf.DUMMYFUNCTION("""COMPUTED_VALUE"""),"Fled/Escaped")</f>
        <v>Fled/Escaped</v>
      </c>
      <c r="F390" s="8" t="str">
        <f ca="1">IFERROR(__xludf.DUMMYFUNCTION("""COMPUTED_VALUE"""),"No")</f>
        <v>No</v>
      </c>
      <c r="G390" s="8" t="str">
        <f ca="1">IFERROR(__xludf.DUMMYFUNCTION("""COMPUTED_VALUE"""),"None")</f>
        <v>None</v>
      </c>
    </row>
    <row r="391" spans="1:7" ht="12.75">
      <c r="A391" s="8" t="str">
        <f ca="1">IFERROR(__xludf.DUMMYFUNCTION("""COMPUTED_VALUE"""),"20211007NCEAD")</f>
        <v>20211007NCEAD</v>
      </c>
      <c r="B391" s="8">
        <f ca="1">IFERROR(__xludf.DUMMYFUNCTION("""COMPUTED_VALUE"""),39)</f>
        <v>39</v>
      </c>
      <c r="C391" s="8" t="str">
        <f ca="1">IFERROR(__xludf.DUMMYFUNCTION("""COMPUTED_VALUE"""),"Male")</f>
        <v>Male</v>
      </c>
      <c r="D391" s="8" t="str">
        <f ca="1">IFERROR(__xludf.DUMMYFUNCTION("""COMPUTED_VALUE"""),"No Relation")</f>
        <v>No Relation</v>
      </c>
      <c r="E391" s="8" t="str">
        <f ca="1">IFERROR(__xludf.DUMMYFUNCTION("""COMPUTED_VALUE"""),"Suicide")</f>
        <v>Suicide</v>
      </c>
      <c r="F391" s="8" t="str">
        <f ca="1">IFERROR(__xludf.DUMMYFUNCTION("""COMPUTED_VALUE"""),"Yes")</f>
        <v>Yes</v>
      </c>
      <c r="G391" s="8" t="str">
        <f ca="1">IFERROR(__xludf.DUMMYFUNCTION("""COMPUTED_VALUE"""),"Suicide")</f>
        <v>Suicide</v>
      </c>
    </row>
    <row r="392" spans="1:7" ht="12.75">
      <c r="A392" s="8" t="str">
        <f ca="1">IFERROR(__xludf.DUMMYFUNCTION("""COMPUTED_VALUE"""),"20211007DCWAW")</f>
        <v>20211007DCWAW</v>
      </c>
      <c r="B392" s="8">
        <f ca="1">IFERROR(__xludf.DUMMYFUNCTION("""COMPUTED_VALUE"""),18)</f>
        <v>18</v>
      </c>
      <c r="C392" s="8" t="str">
        <f ca="1">IFERROR(__xludf.DUMMYFUNCTION("""COMPUTED_VALUE"""),"Male")</f>
        <v>Male</v>
      </c>
      <c r="D392" s="8" t="str">
        <f ca="1">IFERROR(__xludf.DUMMYFUNCTION("""COMPUTED_VALUE"""),"Nonstudent Using Athletic Facilities/Attending Game")</f>
        <v>Nonstudent Using Athletic Facilities/Attending Game</v>
      </c>
      <c r="E392" s="8" t="str">
        <f ca="1">IFERROR(__xludf.DUMMYFUNCTION("""COMPUTED_VALUE"""),"Fled/Apprehended")</f>
        <v>Fled/Apprehended</v>
      </c>
      <c r="F392" s="8" t="str">
        <f ca="1">IFERROR(__xludf.DUMMYFUNCTION("""COMPUTED_VALUE"""),"No")</f>
        <v>No</v>
      </c>
      <c r="G392" s="8" t="str">
        <f ca="1">IFERROR(__xludf.DUMMYFUNCTION("""COMPUTED_VALUE"""),"None")</f>
        <v>None</v>
      </c>
    </row>
    <row r="393" spans="1:7" ht="12.75">
      <c r="A393" s="8" t="str">
        <f ca="1">IFERROR(__xludf.DUMMYFUNCTION("""COMPUTED_VALUE"""),"20211006TXTIA")</f>
        <v>20211006TXTIA</v>
      </c>
      <c r="B393" s="8">
        <f ca="1">IFERROR(__xludf.DUMMYFUNCTION("""COMPUTED_VALUE"""),18)</f>
        <v>18</v>
      </c>
      <c r="C393" s="8" t="str">
        <f ca="1">IFERROR(__xludf.DUMMYFUNCTION("""COMPUTED_VALUE"""),"Male")</f>
        <v>Male</v>
      </c>
      <c r="D393" s="8" t="str">
        <f ca="1">IFERROR(__xludf.DUMMYFUNCTION("""COMPUTED_VALUE"""),"Student")</f>
        <v>Student</v>
      </c>
      <c r="E393" s="8" t="str">
        <f ca="1">IFERROR(__xludf.DUMMYFUNCTION("""COMPUTED_VALUE"""),"Fled/Apprehended")</f>
        <v>Fled/Apprehended</v>
      </c>
      <c r="F393" s="8" t="str">
        <f ca="1">IFERROR(__xludf.DUMMYFUNCTION("""COMPUTED_VALUE"""),"No")</f>
        <v>No</v>
      </c>
      <c r="G393" s="8" t="str">
        <f ca="1">IFERROR(__xludf.DUMMYFUNCTION("""COMPUTED_VALUE"""),"None")</f>
        <v>None</v>
      </c>
    </row>
    <row r="394" spans="1:7" ht="12.75">
      <c r="A394" s="8" t="str">
        <f ca="1">IFERROR(__xludf.DUMMYFUNCTION("""COMPUTED_VALUE"""),"20211005NDHEH")</f>
        <v>20211005NDHEH</v>
      </c>
      <c r="B394" s="8" t="str">
        <f ca="1">IFERROR(__xludf.DUMMYFUNCTION("""COMPUTED_VALUE"""),"Teen")</f>
        <v>Teen</v>
      </c>
      <c r="C394" s="8"/>
      <c r="D394" s="8" t="str">
        <f ca="1">IFERROR(__xludf.DUMMYFUNCTION("""COMPUTED_VALUE"""),"Student")</f>
        <v>Student</v>
      </c>
      <c r="E394" s="8" t="str">
        <f ca="1">IFERROR(__xludf.DUMMYFUNCTION("""COMPUTED_VALUE"""),"Suicide")</f>
        <v>Suicide</v>
      </c>
      <c r="F394" s="8"/>
      <c r="G394" s="8" t="str">
        <f ca="1">IFERROR(__xludf.DUMMYFUNCTION("""COMPUTED_VALUE"""),"Suicide")</f>
        <v>Suicide</v>
      </c>
    </row>
    <row r="395" spans="1:7" ht="12.75">
      <c r="A395" s="8" t="str">
        <f ca="1">IFERROR(__xludf.DUMMYFUNCTION("""COMPUTED_VALUE"""),"20211005NCGAC")</f>
        <v>20211005NCGAC</v>
      </c>
      <c r="B395" s="8" t="str">
        <f ca="1">IFERROR(__xludf.DUMMYFUNCTION("""COMPUTED_VALUE"""),"Teen")</f>
        <v>Teen</v>
      </c>
      <c r="C395" s="8" t="str">
        <f ca="1">IFERROR(__xludf.DUMMYFUNCTION("""COMPUTED_VALUE"""),"Male")</f>
        <v>Male</v>
      </c>
      <c r="D395" s="8" t="str">
        <f ca="1">IFERROR(__xludf.DUMMYFUNCTION("""COMPUTED_VALUE"""),"Student")</f>
        <v>Student</v>
      </c>
      <c r="E395" s="8" t="str">
        <f ca="1">IFERROR(__xludf.DUMMYFUNCTION("""COMPUTED_VALUE"""),"Apprehended/Killed by LE")</f>
        <v>Apprehended/Killed by LE</v>
      </c>
      <c r="F395" s="8" t="str">
        <f ca="1">IFERROR(__xludf.DUMMYFUNCTION("""COMPUTED_VALUE"""),"No")</f>
        <v>No</v>
      </c>
      <c r="G395" s="8" t="str">
        <f ca="1">IFERROR(__xludf.DUMMYFUNCTION("""COMPUTED_VALUE"""),"None")</f>
        <v>None</v>
      </c>
    </row>
    <row r="396" spans="1:7" ht="12.75">
      <c r="A396" s="8" t="str">
        <f ca="1">IFERROR(__xludf.DUMMYFUNCTION("""COMPUTED_VALUE"""),"20211004PASCP")</f>
        <v>20211004PASCP</v>
      </c>
      <c r="B396" s="8" t="str">
        <f ca="1">IFERROR(__xludf.DUMMYFUNCTION("""COMPUTED_VALUE"""),"Adult")</f>
        <v>Adult</v>
      </c>
      <c r="C396" s="8" t="str">
        <f ca="1">IFERROR(__xludf.DUMMYFUNCTION("""COMPUTED_VALUE"""),"Male")</f>
        <v>Male</v>
      </c>
      <c r="D396" s="8" t="str">
        <f ca="1">IFERROR(__xludf.DUMMYFUNCTION("""COMPUTED_VALUE"""),"No Relation")</f>
        <v>No Relation</v>
      </c>
      <c r="E396" s="8" t="str">
        <f ca="1">IFERROR(__xludf.DUMMYFUNCTION("""COMPUTED_VALUE"""),"Apprehended/Killed by LE")</f>
        <v>Apprehended/Killed by LE</v>
      </c>
      <c r="F396" s="8" t="str">
        <f ca="1">IFERROR(__xludf.DUMMYFUNCTION("""COMPUTED_VALUE"""),"No")</f>
        <v>No</v>
      </c>
      <c r="G396" s="8" t="str">
        <f ca="1">IFERROR(__xludf.DUMMYFUNCTION("""COMPUTED_VALUE"""),"Wounded")</f>
        <v>Wounded</v>
      </c>
    </row>
    <row r="397" spans="1:7" ht="12.75">
      <c r="A397" s="8" t="str">
        <f ca="1">IFERROR(__xludf.DUMMYFUNCTION("""COMPUTED_VALUE"""),"20211004OHWOT")</f>
        <v>20211004OHWOT</v>
      </c>
      <c r="B397" s="8"/>
      <c r="C397" s="8" t="str">
        <f ca="1">IFERROR(__xludf.DUMMYFUNCTION("""COMPUTED_VALUE"""),"Male")</f>
        <v>Male</v>
      </c>
      <c r="D397" s="8"/>
      <c r="E397" s="8" t="str">
        <f ca="1">IFERROR(__xludf.DUMMYFUNCTION("""COMPUTED_VALUE"""),"Fled/Escaped")</f>
        <v>Fled/Escaped</v>
      </c>
      <c r="F397" s="8" t="str">
        <f ca="1">IFERROR(__xludf.DUMMYFUNCTION("""COMPUTED_VALUE"""),"No")</f>
        <v>No</v>
      </c>
      <c r="G397" s="8" t="str">
        <f ca="1">IFERROR(__xludf.DUMMYFUNCTION("""COMPUTED_VALUE"""),"None")</f>
        <v>None</v>
      </c>
    </row>
    <row r="398" spans="1:7" ht="12.75">
      <c r="A398" s="8" t="str">
        <f ca="1">IFERROR(__xludf.DUMMYFUNCTION("""COMPUTED_VALUE"""),"20211004ILLAC")</f>
        <v>20211004ILLAC</v>
      </c>
      <c r="B398" s="8"/>
      <c r="C398" s="8"/>
      <c r="D398" s="8"/>
      <c r="E398" s="8" t="str">
        <f ca="1">IFERROR(__xludf.DUMMYFUNCTION("""COMPUTED_VALUE"""),"Fled/Escaped")</f>
        <v>Fled/Escaped</v>
      </c>
      <c r="F398" s="8" t="str">
        <f ca="1">IFERROR(__xludf.DUMMYFUNCTION("""COMPUTED_VALUE"""),"No")</f>
        <v>No</v>
      </c>
      <c r="G398" s="8" t="str">
        <f ca="1">IFERROR(__xludf.DUMMYFUNCTION("""COMPUTED_VALUE"""),"None")</f>
        <v>None</v>
      </c>
    </row>
    <row r="399" spans="1:7" ht="12.75">
      <c r="A399" s="8" t="str">
        <f ca="1">IFERROR(__xludf.DUMMYFUNCTION("""COMPUTED_VALUE"""),"20211001TXYEH")</f>
        <v>20211001TXYEH</v>
      </c>
      <c r="B399" s="8">
        <f ca="1">IFERROR(__xludf.DUMMYFUNCTION("""COMPUTED_VALUE"""),25)</f>
        <v>25</v>
      </c>
      <c r="C399" s="8" t="str">
        <f ca="1">IFERROR(__xludf.DUMMYFUNCTION("""COMPUTED_VALUE"""),"Male")</f>
        <v>Male</v>
      </c>
      <c r="D399" s="8" t="str">
        <f ca="1">IFERROR(__xludf.DUMMYFUNCTION("""COMPUTED_VALUE"""),"Former Student")</f>
        <v>Former Student</v>
      </c>
      <c r="E399" s="8" t="str">
        <f ca="1">IFERROR(__xludf.DUMMYFUNCTION("""COMPUTED_VALUE"""),"Surrendered")</f>
        <v>Surrendered</v>
      </c>
      <c r="F399" s="8" t="str">
        <f ca="1">IFERROR(__xludf.DUMMYFUNCTION("""COMPUTED_VALUE"""),"No")</f>
        <v>No</v>
      </c>
      <c r="G399" s="8" t="str">
        <f ca="1">IFERROR(__xludf.DUMMYFUNCTION("""COMPUTED_VALUE"""),"None")</f>
        <v>None</v>
      </c>
    </row>
    <row r="400" spans="1:7" ht="12.75">
      <c r="A400" s="8" t="str">
        <f ca="1">IFERROR(__xludf.DUMMYFUNCTION("""COMPUTED_VALUE"""),"20211001NCSEF")</f>
        <v>20211001NCSEF</v>
      </c>
      <c r="B400" s="8"/>
      <c r="C400" s="8"/>
      <c r="D400" s="8"/>
      <c r="E400" s="8" t="str">
        <f ca="1">IFERROR(__xludf.DUMMYFUNCTION("""COMPUTED_VALUE"""),"Fled/Escaped")</f>
        <v>Fled/Escaped</v>
      </c>
      <c r="F400" s="8" t="str">
        <f ca="1">IFERROR(__xludf.DUMMYFUNCTION("""COMPUTED_VALUE"""),"No")</f>
        <v>No</v>
      </c>
      <c r="G400" s="8" t="str">
        <f ca="1">IFERROR(__xludf.DUMMYFUNCTION("""COMPUTED_VALUE"""),"None")</f>
        <v>None</v>
      </c>
    </row>
    <row r="401" spans="1:7" ht="12.75">
      <c r="A401" s="8" t="str">
        <f ca="1">IFERROR(__xludf.DUMMYFUNCTION("""COMPUTED_VALUE"""),"20211001NCNOD")</f>
        <v>20211001NCNOD</v>
      </c>
      <c r="B401" s="8"/>
      <c r="C401" s="8"/>
      <c r="D401" s="8"/>
      <c r="E401" s="8" t="str">
        <f ca="1">IFERROR(__xludf.DUMMYFUNCTION("""COMPUTED_VALUE"""),"Fled/Escaped")</f>
        <v>Fled/Escaped</v>
      </c>
      <c r="F401" s="8" t="str">
        <f ca="1">IFERROR(__xludf.DUMMYFUNCTION("""COMPUTED_VALUE"""),"No")</f>
        <v>No</v>
      </c>
      <c r="G401" s="8" t="str">
        <f ca="1">IFERROR(__xludf.DUMMYFUNCTION("""COMPUTED_VALUE"""),"None")</f>
        <v>None</v>
      </c>
    </row>
    <row r="402" spans="1:7" ht="12.75">
      <c r="A402" s="8" t="str">
        <f ca="1">IFERROR(__xludf.DUMMYFUNCTION("""COMPUTED_VALUE"""),"20211001INBEI")</f>
        <v>20211001INBEI</v>
      </c>
      <c r="B402" s="8">
        <f ca="1">IFERROR(__xludf.DUMMYFUNCTION("""COMPUTED_VALUE"""),16)</f>
        <v>16</v>
      </c>
      <c r="C402" s="8" t="str">
        <f ca="1">IFERROR(__xludf.DUMMYFUNCTION("""COMPUTED_VALUE"""),"Male")</f>
        <v>Male</v>
      </c>
      <c r="D402" s="8" t="str">
        <f ca="1">IFERROR(__xludf.DUMMYFUNCTION("""COMPUTED_VALUE"""),"Nonstudent Using Athletic Facilities/Attending Game")</f>
        <v>Nonstudent Using Athletic Facilities/Attending Game</v>
      </c>
      <c r="E402" s="8" t="str">
        <f ca="1">IFERROR(__xludf.DUMMYFUNCTION("""COMPUTED_VALUE"""),"Fled/Apprehended")</f>
        <v>Fled/Apprehended</v>
      </c>
      <c r="F402" s="8" t="str">
        <f ca="1">IFERROR(__xludf.DUMMYFUNCTION("""COMPUTED_VALUE"""),"No")</f>
        <v>No</v>
      </c>
      <c r="G402" s="8" t="str">
        <f ca="1">IFERROR(__xludf.DUMMYFUNCTION("""COMPUTED_VALUE"""),"None")</f>
        <v>None</v>
      </c>
    </row>
    <row r="403" spans="1:7" ht="12.75">
      <c r="A403" s="8" t="str">
        <f ca="1">IFERROR(__xludf.DUMMYFUNCTION("""COMPUTED_VALUE"""),"20211001INBEI")</f>
        <v>20211001INBEI</v>
      </c>
      <c r="B403" s="8">
        <f ca="1">IFERROR(__xludf.DUMMYFUNCTION("""COMPUTED_VALUE"""),14)</f>
        <v>14</v>
      </c>
      <c r="C403" s="8" t="str">
        <f ca="1">IFERROR(__xludf.DUMMYFUNCTION("""COMPUTED_VALUE"""),"Male")</f>
        <v>Male</v>
      </c>
      <c r="D403" s="8" t="str">
        <f ca="1">IFERROR(__xludf.DUMMYFUNCTION("""COMPUTED_VALUE"""),"Nonstudent Using Athletic Facilities/Attending Game")</f>
        <v>Nonstudent Using Athletic Facilities/Attending Game</v>
      </c>
      <c r="E403" s="8" t="str">
        <f ca="1">IFERROR(__xludf.DUMMYFUNCTION("""COMPUTED_VALUE"""),"Apprehended/Killed by LE")</f>
        <v>Apprehended/Killed by LE</v>
      </c>
      <c r="F403" s="8" t="str">
        <f ca="1">IFERROR(__xludf.DUMMYFUNCTION("""COMPUTED_VALUE"""),"No")</f>
        <v>No</v>
      </c>
      <c r="G403" s="8" t="str">
        <f ca="1">IFERROR(__xludf.DUMMYFUNCTION("""COMPUTED_VALUE"""),"None")</f>
        <v>None</v>
      </c>
    </row>
    <row r="404" spans="1:7" ht="12.75">
      <c r="A404" s="8" t="str">
        <f ca="1">IFERROR(__xludf.DUMMYFUNCTION("""COMPUTED_VALUE"""),"20210930TNCUM")</f>
        <v>20210930TNCUM</v>
      </c>
      <c r="B404" s="8">
        <f ca="1">IFERROR(__xludf.DUMMYFUNCTION("""COMPUTED_VALUE"""),13)</f>
        <v>13</v>
      </c>
      <c r="C404" s="8" t="str">
        <f ca="1">IFERROR(__xludf.DUMMYFUNCTION("""COMPUTED_VALUE"""),"Male")</f>
        <v>Male</v>
      </c>
      <c r="D404" s="8" t="str">
        <f ca="1">IFERROR(__xludf.DUMMYFUNCTION("""COMPUTED_VALUE"""),"Student")</f>
        <v>Student</v>
      </c>
      <c r="E404" s="8" t="str">
        <f ca="1">IFERROR(__xludf.DUMMYFUNCTION("""COMPUTED_VALUE"""),"Fled/Apprehended")</f>
        <v>Fled/Apprehended</v>
      </c>
      <c r="F404" s="8" t="str">
        <f ca="1">IFERROR(__xludf.DUMMYFUNCTION("""COMPUTED_VALUE"""),"No")</f>
        <v>No</v>
      </c>
      <c r="G404" s="8" t="str">
        <f ca="1">IFERROR(__xludf.DUMMYFUNCTION("""COMPUTED_VALUE"""),"None")</f>
        <v>None</v>
      </c>
    </row>
    <row r="405" spans="1:7" ht="12.75">
      <c r="A405" s="8" t="str">
        <f ca="1">IFERROR(__xludf.DUMMYFUNCTION("""COMPUTED_VALUE"""),"20210930MSNEN")</f>
        <v>20210930MSNEN</v>
      </c>
      <c r="B405" s="8">
        <f ca="1">IFERROR(__xludf.DUMMYFUNCTION("""COMPUTED_VALUE"""),6)</f>
        <v>6</v>
      </c>
      <c r="C405" s="8" t="str">
        <f ca="1">IFERROR(__xludf.DUMMYFUNCTION("""COMPUTED_VALUE"""),"Male")</f>
        <v>Male</v>
      </c>
      <c r="D405" s="8" t="str">
        <f ca="1">IFERROR(__xludf.DUMMYFUNCTION("""COMPUTED_VALUE"""),"Student")</f>
        <v>Student</v>
      </c>
      <c r="E405" s="8" t="str">
        <f ca="1">IFERROR(__xludf.DUMMYFUNCTION("""COMPUTED_VALUE"""),"Apprehended/Killed by LE")</f>
        <v>Apprehended/Killed by LE</v>
      </c>
      <c r="F405" s="8" t="str">
        <f ca="1">IFERROR(__xludf.DUMMYFUNCTION("""COMPUTED_VALUE"""),"No")</f>
        <v>No</v>
      </c>
      <c r="G405" s="8" t="str">
        <f ca="1">IFERROR(__xludf.DUMMYFUNCTION("""COMPUTED_VALUE"""),"None")</f>
        <v>None</v>
      </c>
    </row>
    <row r="406" spans="1:7" ht="12.75">
      <c r="A406" s="8" t="str">
        <f ca="1">IFERROR(__xludf.DUMMYFUNCTION("""COMPUTED_VALUE"""),"20210929OHSHS")</f>
        <v>20210929OHSHS</v>
      </c>
      <c r="B406" s="8" t="str">
        <f ca="1">IFERROR(__xludf.DUMMYFUNCTION("""COMPUTED_VALUE"""),"Adult")</f>
        <v>Adult</v>
      </c>
      <c r="C406" s="8" t="str">
        <f ca="1">IFERROR(__xludf.DUMMYFUNCTION("""COMPUTED_VALUE"""),"Female")</f>
        <v>Female</v>
      </c>
      <c r="D406" s="8" t="str">
        <f ca="1">IFERROR(__xludf.DUMMYFUNCTION("""COMPUTED_VALUE"""),"Parent")</f>
        <v>Parent</v>
      </c>
      <c r="E406" s="8" t="str">
        <f ca="1">IFERROR(__xludf.DUMMYFUNCTION("""COMPUTED_VALUE"""),"Fled/Apprehended")</f>
        <v>Fled/Apprehended</v>
      </c>
      <c r="F406" s="8" t="str">
        <f ca="1">IFERROR(__xludf.DUMMYFUNCTION("""COMPUTED_VALUE"""),"No")</f>
        <v>No</v>
      </c>
      <c r="G406" s="8" t="str">
        <f ca="1">IFERROR(__xludf.DUMMYFUNCTION("""COMPUTED_VALUE"""),"None")</f>
        <v>None</v>
      </c>
    </row>
    <row r="407" spans="1:7" ht="12.75">
      <c r="A407" s="8" t="str">
        <f ca="1">IFERROR(__xludf.DUMMYFUNCTION("""COMPUTED_VALUE"""),"20210928MESOS")</f>
        <v>20210928MESOS</v>
      </c>
      <c r="B407" s="8"/>
      <c r="C407" s="8"/>
      <c r="D407" s="8"/>
      <c r="E407" s="8" t="str">
        <f ca="1">IFERROR(__xludf.DUMMYFUNCTION("""COMPUTED_VALUE"""),"Fled/Escaped")</f>
        <v>Fled/Escaped</v>
      </c>
      <c r="F407" s="8" t="str">
        <f ca="1">IFERROR(__xludf.DUMMYFUNCTION("""COMPUTED_VALUE"""),"No")</f>
        <v>No</v>
      </c>
      <c r="G407" s="8" t="str">
        <f ca="1">IFERROR(__xludf.DUMMYFUNCTION("""COMPUTED_VALUE"""),"None")</f>
        <v>None</v>
      </c>
    </row>
    <row r="408" spans="1:7" ht="12.75">
      <c r="A408" s="8" t="str">
        <f ca="1">IFERROR(__xludf.DUMMYFUNCTION("""COMPUTED_VALUE"""),"20210927ILCAC")</f>
        <v>20210927ILCAC</v>
      </c>
      <c r="B408" s="8" t="str">
        <f ca="1">IFERROR(__xludf.DUMMYFUNCTION("""COMPUTED_VALUE"""),"Child")</f>
        <v>Child</v>
      </c>
      <c r="C408" s="8"/>
      <c r="D408" s="8" t="str">
        <f ca="1">IFERROR(__xludf.DUMMYFUNCTION("""COMPUTED_VALUE"""),"Student")</f>
        <v>Student</v>
      </c>
      <c r="E408" s="8" t="str">
        <f ca="1">IFERROR(__xludf.DUMMYFUNCTION("""COMPUTED_VALUE"""),"Apprehended/Killed by LE")</f>
        <v>Apprehended/Killed by LE</v>
      </c>
      <c r="F408" s="8" t="str">
        <f ca="1">IFERROR(__xludf.DUMMYFUNCTION("""COMPUTED_VALUE"""),"No")</f>
        <v>No</v>
      </c>
      <c r="G408" s="8" t="str">
        <f ca="1">IFERROR(__xludf.DUMMYFUNCTION("""COMPUTED_VALUE"""),"None")</f>
        <v>None</v>
      </c>
    </row>
    <row r="409" spans="1:7" ht="12.75">
      <c r="A409" s="8" t="str">
        <f ca="1">IFERROR(__xludf.DUMMYFUNCTION("""COMPUTED_VALUE"""),"20210924VAESE")</f>
        <v>20210924VAESE</v>
      </c>
      <c r="B409" s="8"/>
      <c r="C409" s="8"/>
      <c r="D409" s="8"/>
      <c r="E409" s="8" t="str">
        <f ca="1">IFERROR(__xludf.DUMMYFUNCTION("""COMPUTED_VALUE"""),"Fled/Escaped")</f>
        <v>Fled/Escaped</v>
      </c>
      <c r="F409" s="8" t="str">
        <f ca="1">IFERROR(__xludf.DUMMYFUNCTION("""COMPUTED_VALUE"""),"No")</f>
        <v>No</v>
      </c>
      <c r="G409" s="8" t="str">
        <f ca="1">IFERROR(__xludf.DUMMYFUNCTION("""COMPUTED_VALUE"""),"None")</f>
        <v>None</v>
      </c>
    </row>
    <row r="410" spans="1:7" ht="12.75">
      <c r="A410" s="8" t="str">
        <f ca="1">IFERROR(__xludf.DUMMYFUNCTION("""COMPUTED_VALUE"""),"20210924TNSTS")</f>
        <v>20210924TNSTS</v>
      </c>
      <c r="B410" s="8">
        <f ca="1">IFERROR(__xludf.DUMMYFUNCTION("""COMPUTED_VALUE"""),18)</f>
        <v>18</v>
      </c>
      <c r="C410" s="8" t="str">
        <f ca="1">IFERROR(__xludf.DUMMYFUNCTION("""COMPUTED_VALUE"""),"Male")</f>
        <v>Male</v>
      </c>
      <c r="D410" s="8" t="str">
        <f ca="1">IFERROR(__xludf.DUMMYFUNCTION("""COMPUTED_VALUE"""),"Student")</f>
        <v>Student</v>
      </c>
      <c r="E410" s="8" t="str">
        <f ca="1">IFERROR(__xludf.DUMMYFUNCTION("""COMPUTED_VALUE"""),"Fled/Apprehended")</f>
        <v>Fled/Apprehended</v>
      </c>
      <c r="F410" s="8" t="str">
        <f ca="1">IFERROR(__xludf.DUMMYFUNCTION("""COMPUTED_VALUE"""),"No")</f>
        <v>No</v>
      </c>
      <c r="G410" s="8" t="str">
        <f ca="1">IFERROR(__xludf.DUMMYFUNCTION("""COMPUTED_VALUE"""),"None")</f>
        <v>None</v>
      </c>
    </row>
    <row r="411" spans="1:7" ht="12.75">
      <c r="A411" s="8" t="str">
        <f ca="1">IFERROR(__xludf.DUMMYFUNCTION("""COMPUTED_VALUE"""),"20210924TNSTS")</f>
        <v>20210924TNSTS</v>
      </c>
      <c r="B411" s="8">
        <f ca="1">IFERROR(__xludf.DUMMYFUNCTION("""COMPUTED_VALUE"""),17)</f>
        <v>17</v>
      </c>
      <c r="C411" s="8" t="str">
        <f ca="1">IFERROR(__xludf.DUMMYFUNCTION("""COMPUTED_VALUE"""),"Male")</f>
        <v>Male</v>
      </c>
      <c r="D411" s="8" t="str">
        <f ca="1">IFERROR(__xludf.DUMMYFUNCTION("""COMPUTED_VALUE"""),"Student")</f>
        <v>Student</v>
      </c>
      <c r="E411" s="8" t="str">
        <f ca="1">IFERROR(__xludf.DUMMYFUNCTION("""COMPUTED_VALUE"""),"Fled/Apprehended")</f>
        <v>Fled/Apprehended</v>
      </c>
      <c r="F411" s="8" t="str">
        <f ca="1">IFERROR(__xludf.DUMMYFUNCTION("""COMPUTED_VALUE"""),"No")</f>
        <v>No</v>
      </c>
      <c r="G411" s="8" t="str">
        <f ca="1">IFERROR(__xludf.DUMMYFUNCTION("""COMPUTED_VALUE"""),"None")</f>
        <v>None</v>
      </c>
    </row>
    <row r="412" spans="1:7" ht="12.75">
      <c r="A412" s="8" t="str">
        <f ca="1">IFERROR(__xludf.DUMMYFUNCTION("""COMPUTED_VALUE"""),"20210924MDWIB")</f>
        <v>20210924MDWIB</v>
      </c>
      <c r="B412" s="8"/>
      <c r="C412" s="8"/>
      <c r="D412" s="8" t="str">
        <f ca="1">IFERROR(__xludf.DUMMYFUNCTION("""COMPUTED_VALUE"""),"No Relation")</f>
        <v>No Relation</v>
      </c>
      <c r="E412" s="8" t="str">
        <f ca="1">IFERROR(__xludf.DUMMYFUNCTION("""COMPUTED_VALUE"""),"Fled/Escaped")</f>
        <v>Fled/Escaped</v>
      </c>
      <c r="F412" s="8" t="str">
        <f ca="1">IFERROR(__xludf.DUMMYFUNCTION("""COMPUTED_VALUE"""),"No")</f>
        <v>No</v>
      </c>
      <c r="G412" s="8" t="str">
        <f ca="1">IFERROR(__xludf.DUMMYFUNCTION("""COMPUTED_VALUE"""),"None")</f>
        <v>None</v>
      </c>
    </row>
    <row r="413" spans="1:7" ht="12.75">
      <c r="A413" s="8" t="str">
        <f ca="1">IFERROR(__xludf.DUMMYFUNCTION("""COMPUTED_VALUE"""),"20210924ALFAF")</f>
        <v>20210924ALFAF</v>
      </c>
      <c r="B413" s="8"/>
      <c r="C413" s="8"/>
      <c r="D413" s="8"/>
      <c r="E413" s="8" t="str">
        <f ca="1">IFERROR(__xludf.DUMMYFUNCTION("""COMPUTED_VALUE"""),"Fled/Escaped")</f>
        <v>Fled/Escaped</v>
      </c>
      <c r="F413" s="8" t="str">
        <f ca="1">IFERROR(__xludf.DUMMYFUNCTION("""COMPUTED_VALUE"""),"No")</f>
        <v>No</v>
      </c>
      <c r="G413" s="8" t="str">
        <f ca="1">IFERROR(__xludf.DUMMYFUNCTION("""COMPUTED_VALUE"""),"None")</f>
        <v>None</v>
      </c>
    </row>
    <row r="414" spans="1:7" ht="12.75">
      <c r="A414" s="8" t="str">
        <f ca="1">IFERROR(__xludf.DUMMYFUNCTION("""COMPUTED_VALUE"""),"20210923IDRIR")</f>
        <v>20210923IDRIR</v>
      </c>
      <c r="B414" s="8">
        <f ca="1">IFERROR(__xludf.DUMMYFUNCTION("""COMPUTED_VALUE"""),13)</f>
        <v>13</v>
      </c>
      <c r="C414" s="8" t="str">
        <f ca="1">IFERROR(__xludf.DUMMYFUNCTION("""COMPUTED_VALUE"""),"Female")</f>
        <v>Female</v>
      </c>
      <c r="D414" s="8" t="str">
        <f ca="1">IFERROR(__xludf.DUMMYFUNCTION("""COMPUTED_VALUE"""),"Student")</f>
        <v>Student</v>
      </c>
      <c r="E414" s="8" t="str">
        <f ca="1">IFERROR(__xludf.DUMMYFUNCTION("""COMPUTED_VALUE"""),"Apprehended/Killed by SRO")</f>
        <v>Apprehended/Killed by SRO</v>
      </c>
      <c r="F414" s="8" t="str">
        <f ca="1">IFERROR(__xludf.DUMMYFUNCTION("""COMPUTED_VALUE"""),"No")</f>
        <v>No</v>
      </c>
      <c r="G414" s="8" t="str">
        <f ca="1">IFERROR(__xludf.DUMMYFUNCTION("""COMPUTED_VALUE"""),"None")</f>
        <v>None</v>
      </c>
    </row>
    <row r="415" spans="1:7" ht="12.75">
      <c r="A415" s="8" t="str">
        <f ca="1">IFERROR(__xludf.DUMMYFUNCTION("""COMPUTED_VALUE"""),"20210922NYSOB")</f>
        <v>20210922NYSOB</v>
      </c>
      <c r="B415" s="8"/>
      <c r="C415" s="8"/>
      <c r="D415" s="8"/>
      <c r="E415" s="8" t="str">
        <f ca="1">IFERROR(__xludf.DUMMYFUNCTION("""COMPUTED_VALUE"""),"Fled/Escaped")</f>
        <v>Fled/Escaped</v>
      </c>
      <c r="F415" s="8" t="str">
        <f ca="1">IFERROR(__xludf.DUMMYFUNCTION("""COMPUTED_VALUE"""),"No")</f>
        <v>No</v>
      </c>
      <c r="G415" s="8" t="str">
        <f ca="1">IFERROR(__xludf.DUMMYFUNCTION("""COMPUTED_VALUE"""),"None")</f>
        <v>None</v>
      </c>
    </row>
    <row r="416" spans="1:7" ht="12.75">
      <c r="A416" s="8" t="str">
        <f ca="1">IFERROR(__xludf.DUMMYFUNCTION("""COMPUTED_VALUE"""),"20210922CTLIN")</f>
        <v>20210922CTLIN</v>
      </c>
      <c r="B416" s="8"/>
      <c r="C416" s="8"/>
      <c r="D416" s="8" t="str">
        <f ca="1">IFERROR(__xludf.DUMMYFUNCTION("""COMPUTED_VALUE"""),"No Relation")</f>
        <v>No Relation</v>
      </c>
      <c r="E416" s="8" t="str">
        <f ca="1">IFERROR(__xludf.DUMMYFUNCTION("""COMPUTED_VALUE"""),"Fled/Escaped")</f>
        <v>Fled/Escaped</v>
      </c>
      <c r="F416" s="8" t="str">
        <f ca="1">IFERROR(__xludf.DUMMYFUNCTION("""COMPUTED_VALUE"""),"No")</f>
        <v>No</v>
      </c>
      <c r="G416" s="8" t="str">
        <f ca="1">IFERROR(__xludf.DUMMYFUNCTION("""COMPUTED_VALUE"""),"None")</f>
        <v>None</v>
      </c>
    </row>
    <row r="417" spans="1:7" ht="12.75">
      <c r="A417" s="8" t="str">
        <f ca="1">IFERROR(__xludf.DUMMYFUNCTION("""COMPUTED_VALUE"""),"20210921PAVAP")</f>
        <v>20210921PAVAP</v>
      </c>
      <c r="B417" s="8"/>
      <c r="C417" s="8"/>
      <c r="D417" s="8"/>
      <c r="E417" s="8" t="str">
        <f ca="1">IFERROR(__xludf.DUMMYFUNCTION("""COMPUTED_VALUE"""),"Fled/Escaped")</f>
        <v>Fled/Escaped</v>
      </c>
      <c r="F417" s="8" t="str">
        <f ca="1">IFERROR(__xludf.DUMMYFUNCTION("""COMPUTED_VALUE"""),"No")</f>
        <v>No</v>
      </c>
      <c r="G417" s="8" t="str">
        <f ca="1">IFERROR(__xludf.DUMMYFUNCTION("""COMPUTED_VALUE"""),"None")</f>
        <v>None</v>
      </c>
    </row>
    <row r="418" spans="1:7" ht="12.75">
      <c r="A418" s="8" t="str">
        <f ca="1">IFERROR(__xludf.DUMMYFUNCTION("""COMPUTED_VALUE"""),"20210921OHMIM")</f>
        <v>20210921OHMIM</v>
      </c>
      <c r="B418" s="8"/>
      <c r="C418" s="8"/>
      <c r="D418" s="8"/>
      <c r="E418" s="8" t="str">
        <f ca="1">IFERROR(__xludf.DUMMYFUNCTION("""COMPUTED_VALUE"""),"Fled/Escaped")</f>
        <v>Fled/Escaped</v>
      </c>
      <c r="F418" s="8" t="str">
        <f ca="1">IFERROR(__xludf.DUMMYFUNCTION("""COMPUTED_VALUE"""),"No")</f>
        <v>No</v>
      </c>
      <c r="G418" s="8" t="str">
        <f ca="1">IFERROR(__xludf.DUMMYFUNCTION("""COMPUTED_VALUE"""),"None")</f>
        <v>None</v>
      </c>
    </row>
    <row r="419" spans="1:7" ht="12.75">
      <c r="A419" s="8" t="str">
        <f ca="1">IFERROR(__xludf.DUMMYFUNCTION("""COMPUTED_VALUE"""),"20210921KSEAW")</f>
        <v>20210921KSEAW</v>
      </c>
      <c r="B419" s="8">
        <f ca="1">IFERROR(__xludf.DUMMYFUNCTION("""COMPUTED_VALUE"""),17)</f>
        <v>17</v>
      </c>
      <c r="C419" s="8" t="str">
        <f ca="1">IFERROR(__xludf.DUMMYFUNCTION("""COMPUTED_VALUE"""),"Male")</f>
        <v>Male</v>
      </c>
      <c r="D419" s="8" t="str">
        <f ca="1">IFERROR(__xludf.DUMMYFUNCTION("""COMPUTED_VALUE"""),"Student")</f>
        <v>Student</v>
      </c>
      <c r="E419" s="8" t="str">
        <f ca="1">IFERROR(__xludf.DUMMYFUNCTION("""COMPUTED_VALUE"""),"Fled/Apprehended")</f>
        <v>Fled/Apprehended</v>
      </c>
      <c r="F419" s="8" t="str">
        <f ca="1">IFERROR(__xludf.DUMMYFUNCTION("""COMPUTED_VALUE"""),"No")</f>
        <v>No</v>
      </c>
      <c r="G419" s="8" t="str">
        <f ca="1">IFERROR(__xludf.DUMMYFUNCTION("""COMPUTED_VALUE"""),"None")</f>
        <v>None</v>
      </c>
    </row>
    <row r="420" spans="1:7" ht="12.75">
      <c r="A420" s="8" t="str">
        <f ca="1">IFERROR(__xludf.DUMMYFUNCTION("""COMPUTED_VALUE"""),"20210921GAFRA")</f>
        <v>20210921GAFRA</v>
      </c>
      <c r="B420" s="8" t="str">
        <f ca="1">IFERROR(__xludf.DUMMYFUNCTION("""COMPUTED_VALUE"""),"Adult")</f>
        <v>Adult</v>
      </c>
      <c r="C420" s="8"/>
      <c r="D420" s="8" t="str">
        <f ca="1">IFERROR(__xludf.DUMMYFUNCTION("""COMPUTED_VALUE"""),"Parent")</f>
        <v>Parent</v>
      </c>
      <c r="E420" s="8" t="str">
        <f ca="1">IFERROR(__xludf.DUMMYFUNCTION("""COMPUTED_VALUE"""),"Fled/Escaped")</f>
        <v>Fled/Escaped</v>
      </c>
      <c r="F420" s="8" t="str">
        <f ca="1">IFERROR(__xludf.DUMMYFUNCTION("""COMPUTED_VALUE"""),"No")</f>
        <v>No</v>
      </c>
      <c r="G420" s="8" t="str">
        <f ca="1">IFERROR(__xludf.DUMMYFUNCTION("""COMPUTED_VALUE"""),"None")</f>
        <v>None</v>
      </c>
    </row>
    <row r="421" spans="1:7" ht="12.75">
      <c r="A421" s="8" t="str">
        <f ca="1">IFERROR(__xludf.DUMMYFUNCTION("""COMPUTED_VALUE"""),"20210921FLLAL")</f>
        <v>20210921FLLAL</v>
      </c>
      <c r="B421" s="8" t="str">
        <f ca="1">IFERROR(__xludf.DUMMYFUNCTION("""COMPUTED_VALUE"""),"Minor")</f>
        <v>Minor</v>
      </c>
      <c r="C421" s="8"/>
      <c r="D421" s="8"/>
      <c r="E421" s="8" t="str">
        <f ca="1">IFERROR(__xludf.DUMMYFUNCTION("""COMPUTED_VALUE"""),"Fled/Apprehended")</f>
        <v>Fled/Apprehended</v>
      </c>
      <c r="F421" s="8" t="str">
        <f ca="1">IFERROR(__xludf.DUMMYFUNCTION("""COMPUTED_VALUE"""),"No")</f>
        <v>No</v>
      </c>
      <c r="G421" s="8" t="str">
        <f ca="1">IFERROR(__xludf.DUMMYFUNCTION("""COMPUTED_VALUE"""),"None")</f>
        <v>None</v>
      </c>
    </row>
    <row r="422" spans="1:7" ht="12.75">
      <c r="A422" s="8" t="str">
        <f ca="1">IFERROR(__xludf.DUMMYFUNCTION("""COMPUTED_VALUE"""),"20210920VAHEN")</f>
        <v>20210920VAHEN</v>
      </c>
      <c r="B422" s="8">
        <f ca="1">IFERROR(__xludf.DUMMYFUNCTION("""COMPUTED_VALUE"""),15)</f>
        <v>15</v>
      </c>
      <c r="C422" s="8" t="str">
        <f ca="1">IFERROR(__xludf.DUMMYFUNCTION("""COMPUTED_VALUE"""),"Male")</f>
        <v>Male</v>
      </c>
      <c r="D422" s="8" t="str">
        <f ca="1">IFERROR(__xludf.DUMMYFUNCTION("""COMPUTED_VALUE"""),"Student")</f>
        <v>Student</v>
      </c>
      <c r="E422" s="8" t="str">
        <f ca="1">IFERROR(__xludf.DUMMYFUNCTION("""COMPUTED_VALUE"""),"Fled/Apprehended")</f>
        <v>Fled/Apprehended</v>
      </c>
      <c r="F422" s="8" t="str">
        <f ca="1">IFERROR(__xludf.DUMMYFUNCTION("""COMPUTED_VALUE"""),"No")</f>
        <v>No</v>
      </c>
      <c r="G422" s="8" t="str">
        <f ca="1">IFERROR(__xludf.DUMMYFUNCTION("""COMPUTED_VALUE"""),"None")</f>
        <v>None</v>
      </c>
    </row>
    <row r="423" spans="1:7" ht="12.75">
      <c r="A423" s="8" t="str">
        <f ca="1">IFERROR(__xludf.DUMMYFUNCTION("""COMPUTED_VALUE"""),"20210920OHEAC")</f>
        <v>20210920OHEAC</v>
      </c>
      <c r="B423" s="8"/>
      <c r="C423" s="8" t="str">
        <f ca="1">IFERROR(__xludf.DUMMYFUNCTION("""COMPUTED_VALUE"""),"Male")</f>
        <v>Male</v>
      </c>
      <c r="D423" s="8" t="str">
        <f ca="1">IFERROR(__xludf.DUMMYFUNCTION("""COMPUTED_VALUE"""),"No Relation")</f>
        <v>No Relation</v>
      </c>
      <c r="E423" s="8" t="str">
        <f ca="1">IFERROR(__xludf.DUMMYFUNCTION("""COMPUTED_VALUE"""),"Fled/Escaped")</f>
        <v>Fled/Escaped</v>
      </c>
      <c r="F423" s="8" t="str">
        <f ca="1">IFERROR(__xludf.DUMMYFUNCTION("""COMPUTED_VALUE"""),"No")</f>
        <v>No</v>
      </c>
      <c r="G423" s="8" t="str">
        <f ca="1">IFERROR(__xludf.DUMMYFUNCTION("""COMPUTED_VALUE"""),"None")</f>
        <v>None</v>
      </c>
    </row>
    <row r="424" spans="1:7" ht="12.75">
      <c r="A424" s="8" t="str">
        <f ca="1">IFERROR(__xludf.DUMMYFUNCTION("""COMPUTED_VALUE"""),"20210920OHEAC")</f>
        <v>20210920OHEAC</v>
      </c>
      <c r="B424" s="8"/>
      <c r="C424" s="8" t="str">
        <f ca="1">IFERROR(__xludf.DUMMYFUNCTION("""COMPUTED_VALUE"""),"Male")</f>
        <v>Male</v>
      </c>
      <c r="D424" s="8" t="str">
        <f ca="1">IFERROR(__xludf.DUMMYFUNCTION("""COMPUTED_VALUE"""),"No Relation")</f>
        <v>No Relation</v>
      </c>
      <c r="E424" s="8" t="str">
        <f ca="1">IFERROR(__xludf.DUMMYFUNCTION("""COMPUTED_VALUE"""),"Fled/Escaped")</f>
        <v>Fled/Escaped</v>
      </c>
      <c r="F424" s="8" t="str">
        <f ca="1">IFERROR(__xludf.DUMMYFUNCTION("""COMPUTED_VALUE"""),"No")</f>
        <v>No</v>
      </c>
      <c r="G424" s="8" t="str">
        <f ca="1">IFERROR(__xludf.DUMMYFUNCTION("""COMPUTED_VALUE"""),"None")</f>
        <v>None</v>
      </c>
    </row>
    <row r="425" spans="1:7" ht="12.75">
      <c r="A425" s="8" t="str">
        <f ca="1">IFERROR(__xludf.DUMMYFUNCTION("""COMPUTED_VALUE"""),"20210918COWIC")</f>
        <v>20210918COWIC</v>
      </c>
      <c r="B425" s="8"/>
      <c r="C425" s="8"/>
      <c r="D425" s="8"/>
      <c r="E425" s="8" t="str">
        <f ca="1">IFERROR(__xludf.DUMMYFUNCTION("""COMPUTED_VALUE"""),"Fled/Escaped")</f>
        <v>Fled/Escaped</v>
      </c>
      <c r="F425" s="8" t="str">
        <f ca="1">IFERROR(__xludf.DUMMYFUNCTION("""COMPUTED_VALUE"""),"No")</f>
        <v>No</v>
      </c>
      <c r="G425" s="8" t="str">
        <f ca="1">IFERROR(__xludf.DUMMYFUNCTION("""COMPUTED_VALUE"""),"None")</f>
        <v>None</v>
      </c>
    </row>
    <row r="426" spans="1:7" ht="12.75">
      <c r="A426" s="8" t="str">
        <f ca="1">IFERROR(__xludf.DUMMYFUNCTION("""COMPUTED_VALUE"""),"20210917VAHEH")</f>
        <v>20210917VAHEH</v>
      </c>
      <c r="B426" s="8"/>
      <c r="C426" s="8"/>
      <c r="D426" s="8"/>
      <c r="E426" s="8" t="str">
        <f ca="1">IFERROR(__xludf.DUMMYFUNCTION("""COMPUTED_VALUE"""),"Fled/Escaped")</f>
        <v>Fled/Escaped</v>
      </c>
      <c r="F426" s="8" t="str">
        <f ca="1">IFERROR(__xludf.DUMMYFUNCTION("""COMPUTED_VALUE"""),"No")</f>
        <v>No</v>
      </c>
      <c r="G426" s="8" t="str">
        <f ca="1">IFERROR(__xludf.DUMMYFUNCTION("""COMPUTED_VALUE"""),"None")</f>
        <v>None</v>
      </c>
    </row>
    <row r="427" spans="1:7" ht="12.75">
      <c r="A427" s="8" t="str">
        <f ca="1">IFERROR(__xludf.DUMMYFUNCTION("""COMPUTED_VALUE"""),"20210917TNAUK")</f>
        <v>20210917TNAUK</v>
      </c>
      <c r="B427" s="8"/>
      <c r="C427" s="8"/>
      <c r="D427" s="8"/>
      <c r="E427" s="8" t="str">
        <f ca="1">IFERROR(__xludf.DUMMYFUNCTION("""COMPUTED_VALUE"""),"Fled/Escaped")</f>
        <v>Fled/Escaped</v>
      </c>
      <c r="F427" s="8" t="str">
        <f ca="1">IFERROR(__xludf.DUMMYFUNCTION("""COMPUTED_VALUE"""),"No")</f>
        <v>No</v>
      </c>
      <c r="G427" s="8" t="str">
        <f ca="1">IFERROR(__xludf.DUMMYFUNCTION("""COMPUTED_VALUE"""),"None")</f>
        <v>None</v>
      </c>
    </row>
    <row r="428" spans="1:7" ht="12.75">
      <c r="A428" s="8" t="str">
        <f ca="1">IFERROR(__xludf.DUMMYFUNCTION("""COMPUTED_VALUE"""),"20210917PAWEP")</f>
        <v>20210917PAWEP</v>
      </c>
      <c r="B428" s="8" t="str">
        <f ca="1">IFERROR(__xludf.DUMMYFUNCTION("""COMPUTED_VALUE"""),"Teen")</f>
        <v>Teen</v>
      </c>
      <c r="C428" s="8"/>
      <c r="D428" s="8"/>
      <c r="E428" s="8" t="str">
        <f ca="1">IFERROR(__xludf.DUMMYFUNCTION("""COMPUTED_VALUE"""),"Fled/Escaped")</f>
        <v>Fled/Escaped</v>
      </c>
      <c r="F428" s="8" t="str">
        <f ca="1">IFERROR(__xludf.DUMMYFUNCTION("""COMPUTED_VALUE"""),"No")</f>
        <v>No</v>
      </c>
      <c r="G428" s="8" t="str">
        <f ca="1">IFERROR(__xludf.DUMMYFUNCTION("""COMPUTED_VALUE"""),"None")</f>
        <v>None</v>
      </c>
    </row>
    <row r="429" spans="1:7" ht="12.75">
      <c r="A429" s="8" t="str">
        <f ca="1">IFERROR(__xludf.DUMMYFUNCTION("""COMPUTED_VALUE"""),"20210917NCPAW")</f>
        <v>20210917NCPAW</v>
      </c>
      <c r="B429" s="8" t="str">
        <f ca="1">IFERROR(__xludf.DUMMYFUNCTION("""COMPUTED_VALUE"""),"Teen")</f>
        <v>Teen</v>
      </c>
      <c r="C429" s="8" t="str">
        <f ca="1">IFERROR(__xludf.DUMMYFUNCTION("""COMPUTED_VALUE"""),"Male")</f>
        <v>Male</v>
      </c>
      <c r="D429" s="8"/>
      <c r="E429" s="8" t="str">
        <f ca="1">IFERROR(__xludf.DUMMYFUNCTION("""COMPUTED_VALUE"""),"Fled/Escaped")</f>
        <v>Fled/Escaped</v>
      </c>
      <c r="F429" s="8" t="str">
        <f ca="1">IFERROR(__xludf.DUMMYFUNCTION("""COMPUTED_VALUE"""),"No")</f>
        <v>No</v>
      </c>
      <c r="G429" s="8" t="str">
        <f ca="1">IFERROR(__xludf.DUMMYFUNCTION("""COMPUTED_VALUE"""),"None")</f>
        <v>None</v>
      </c>
    </row>
    <row r="430" spans="1:7" ht="12.75">
      <c r="A430" s="8" t="str">
        <f ca="1">IFERROR(__xludf.DUMMYFUNCTION("""COMPUTED_VALUE"""),"20210917GASWS")</f>
        <v>20210917GASWS</v>
      </c>
      <c r="B430" s="8"/>
      <c r="C430" s="8"/>
      <c r="D430" s="8"/>
      <c r="E430" s="8" t="str">
        <f ca="1">IFERROR(__xludf.DUMMYFUNCTION("""COMPUTED_VALUE"""),"Fled/Escaped")</f>
        <v>Fled/Escaped</v>
      </c>
      <c r="F430" s="8" t="str">
        <f ca="1">IFERROR(__xludf.DUMMYFUNCTION("""COMPUTED_VALUE"""),"No")</f>
        <v>No</v>
      </c>
      <c r="G430" s="8" t="str">
        <f ca="1">IFERROR(__xludf.DUMMYFUNCTION("""COMPUTED_VALUE"""),"None")</f>
        <v>None</v>
      </c>
    </row>
    <row r="431" spans="1:7" ht="12.75">
      <c r="A431" s="8" t="str">
        <f ca="1">IFERROR(__xludf.DUMMYFUNCTION("""COMPUTED_VALUE"""),"20210916WIORM")</f>
        <v>20210916WIORM</v>
      </c>
      <c r="B431" s="8" t="str">
        <f ca="1">IFERROR(__xludf.DUMMYFUNCTION("""COMPUTED_VALUE"""),"Adult")</f>
        <v>Adult</v>
      </c>
      <c r="C431" s="8" t="str">
        <f ca="1">IFERROR(__xludf.DUMMYFUNCTION("""COMPUTED_VALUE"""),"Male")</f>
        <v>Male</v>
      </c>
      <c r="D431" s="8" t="str">
        <f ca="1">IFERROR(__xludf.DUMMYFUNCTION("""COMPUTED_VALUE"""),"No Relation")</f>
        <v>No Relation</v>
      </c>
      <c r="E431" s="8" t="str">
        <f ca="1">IFERROR(__xludf.DUMMYFUNCTION("""COMPUTED_VALUE"""),"Fled/Escaped")</f>
        <v>Fled/Escaped</v>
      </c>
      <c r="F431" s="8" t="str">
        <f ca="1">IFERROR(__xludf.DUMMYFUNCTION("""COMPUTED_VALUE"""),"No")</f>
        <v>No</v>
      </c>
      <c r="G431" s="8" t="str">
        <f ca="1">IFERROR(__xludf.DUMMYFUNCTION("""COMPUTED_VALUE"""),"None")</f>
        <v>None</v>
      </c>
    </row>
    <row r="432" spans="1:7" ht="12.75">
      <c r="A432" s="8" t="str">
        <f ca="1">IFERROR(__xludf.DUMMYFUNCTION("""COMPUTED_VALUE"""),"20210916UTPRP")</f>
        <v>20210916UTPRP</v>
      </c>
      <c r="B432" s="8" t="str">
        <f ca="1">IFERROR(__xludf.DUMMYFUNCTION("""COMPUTED_VALUE"""),"Teen")</f>
        <v>Teen</v>
      </c>
      <c r="C432" s="8" t="str">
        <f ca="1">IFERROR(__xludf.DUMMYFUNCTION("""COMPUTED_VALUE"""),"Male")</f>
        <v>Male</v>
      </c>
      <c r="D432" s="8" t="str">
        <f ca="1">IFERROR(__xludf.DUMMYFUNCTION("""COMPUTED_VALUE"""),"Student")</f>
        <v>Student</v>
      </c>
      <c r="E432" s="8" t="str">
        <f ca="1">IFERROR(__xludf.DUMMYFUNCTION("""COMPUTED_VALUE"""),"Apprehended/Killed by LE")</f>
        <v>Apprehended/Killed by LE</v>
      </c>
      <c r="F432" s="8" t="str">
        <f ca="1">IFERROR(__xludf.DUMMYFUNCTION("""COMPUTED_VALUE"""),"No")</f>
        <v>No</v>
      </c>
      <c r="G432" s="8" t="str">
        <f ca="1">IFERROR(__xludf.DUMMYFUNCTION("""COMPUTED_VALUE"""),"None")</f>
        <v>None</v>
      </c>
    </row>
    <row r="433" spans="1:7" ht="12.75">
      <c r="A433" s="8" t="str">
        <f ca="1">IFERROR(__xludf.DUMMYFUNCTION("""COMPUTED_VALUE"""),"20210916OHBEC")</f>
        <v>20210916OHBEC</v>
      </c>
      <c r="B433" s="8"/>
      <c r="C433" s="8"/>
      <c r="D433" s="8"/>
      <c r="E433" s="8" t="str">
        <f ca="1">IFERROR(__xludf.DUMMYFUNCTION("""COMPUTED_VALUE"""),"Fled/Escaped")</f>
        <v>Fled/Escaped</v>
      </c>
      <c r="F433" s="8" t="str">
        <f ca="1">IFERROR(__xludf.DUMMYFUNCTION("""COMPUTED_VALUE"""),"No")</f>
        <v>No</v>
      </c>
      <c r="G433" s="8" t="str">
        <f ca="1">IFERROR(__xludf.DUMMYFUNCTION("""COMPUTED_VALUE"""),"None")</f>
        <v>None</v>
      </c>
    </row>
    <row r="434" spans="1:7" ht="12.75">
      <c r="A434" s="8" t="str">
        <f ca="1">IFERROR(__xludf.DUMMYFUNCTION("""COMPUTED_VALUE"""),"20210915VASPS")</f>
        <v>20210915VASPS</v>
      </c>
      <c r="B434" s="8" t="str">
        <f ca="1">IFERROR(__xludf.DUMMYFUNCTION("""COMPUTED_VALUE"""),"Child")</f>
        <v>Child</v>
      </c>
      <c r="C434" s="8"/>
      <c r="D434" s="8" t="str">
        <f ca="1">IFERROR(__xludf.DUMMYFUNCTION("""COMPUTED_VALUE"""),"Student")</f>
        <v>Student</v>
      </c>
      <c r="E434" s="8" t="str">
        <f ca="1">IFERROR(__xludf.DUMMYFUNCTION("""COMPUTED_VALUE"""),"Apprehended/Killed by LE")</f>
        <v>Apprehended/Killed by LE</v>
      </c>
      <c r="F434" s="8" t="str">
        <f ca="1">IFERROR(__xludf.DUMMYFUNCTION("""COMPUTED_VALUE"""),"No")</f>
        <v>No</v>
      </c>
      <c r="G434" s="8" t="str">
        <f ca="1">IFERROR(__xludf.DUMMYFUNCTION("""COMPUTED_VALUE"""),"None")</f>
        <v>None</v>
      </c>
    </row>
    <row r="435" spans="1:7" ht="12.75">
      <c r="A435" s="8" t="str">
        <f ca="1">IFERROR(__xludf.DUMMYFUNCTION("""COMPUTED_VALUE"""),"20210915KYMAL")</f>
        <v>20210915KYMAL</v>
      </c>
      <c r="B435" s="8" t="str">
        <f ca="1">IFERROR(__xludf.DUMMYFUNCTION("""COMPUTED_VALUE"""),"Adult")</f>
        <v>Adult</v>
      </c>
      <c r="C435" s="8"/>
      <c r="D435" s="8" t="str">
        <f ca="1">IFERROR(__xludf.DUMMYFUNCTION("""COMPUTED_VALUE"""),"No Relation")</f>
        <v>No Relation</v>
      </c>
      <c r="E435" s="8" t="str">
        <f ca="1">IFERROR(__xludf.DUMMYFUNCTION("""COMPUTED_VALUE"""),"Fled/Escaped")</f>
        <v>Fled/Escaped</v>
      </c>
      <c r="F435" s="8" t="str">
        <f ca="1">IFERROR(__xludf.DUMMYFUNCTION("""COMPUTED_VALUE"""),"No")</f>
        <v>No</v>
      </c>
      <c r="G435" s="8" t="str">
        <f ca="1">IFERROR(__xludf.DUMMYFUNCTION("""COMPUTED_VALUE"""),"None")</f>
        <v>None</v>
      </c>
    </row>
    <row r="436" spans="1:7" ht="12.75">
      <c r="A436" s="8" t="str">
        <f ca="1">IFERROR(__xludf.DUMMYFUNCTION("""COMPUTED_VALUE"""),"20210915ILCEC")</f>
        <v>20210915ILCEC</v>
      </c>
      <c r="B436" s="8">
        <f ca="1">IFERROR(__xludf.DUMMYFUNCTION("""COMPUTED_VALUE"""),15)</f>
        <v>15</v>
      </c>
      <c r="C436" s="8" t="str">
        <f ca="1">IFERROR(__xludf.DUMMYFUNCTION("""COMPUTED_VALUE"""),"Male")</f>
        <v>Male</v>
      </c>
      <c r="D436" s="8" t="str">
        <f ca="1">IFERROR(__xludf.DUMMYFUNCTION("""COMPUTED_VALUE"""),"Student")</f>
        <v>Student</v>
      </c>
      <c r="E436" s="8" t="str">
        <f ca="1">IFERROR(__xludf.DUMMYFUNCTION("""COMPUTED_VALUE"""),"Fled/Apprehended")</f>
        <v>Fled/Apprehended</v>
      </c>
      <c r="F436" s="8" t="str">
        <f ca="1">IFERROR(__xludf.DUMMYFUNCTION("""COMPUTED_VALUE"""),"No")</f>
        <v>No</v>
      </c>
      <c r="G436" s="8" t="str">
        <f ca="1">IFERROR(__xludf.DUMMYFUNCTION("""COMPUTED_VALUE"""),"None")</f>
        <v>None</v>
      </c>
    </row>
    <row r="437" spans="1:7" ht="12.75">
      <c r="A437" s="8" t="str">
        <f ca="1">IFERROR(__xludf.DUMMYFUNCTION("""COMPUTED_VALUE"""),"20210915ILCEC")</f>
        <v>20210915ILCEC</v>
      </c>
      <c r="B437" s="8">
        <f ca="1">IFERROR(__xludf.DUMMYFUNCTION("""COMPUTED_VALUE"""),17)</f>
        <v>17</v>
      </c>
      <c r="C437" s="8" t="str">
        <f ca="1">IFERROR(__xludf.DUMMYFUNCTION("""COMPUTED_VALUE"""),"Male")</f>
        <v>Male</v>
      </c>
      <c r="D437" s="8" t="str">
        <f ca="1">IFERROR(__xludf.DUMMYFUNCTION("""COMPUTED_VALUE"""),"Student")</f>
        <v>Student</v>
      </c>
      <c r="E437" s="8" t="str">
        <f ca="1">IFERROR(__xludf.DUMMYFUNCTION("""COMPUTED_VALUE"""),"Fled/Apprehended")</f>
        <v>Fled/Apprehended</v>
      </c>
      <c r="F437" s="8" t="str">
        <f ca="1">IFERROR(__xludf.DUMMYFUNCTION("""COMPUTED_VALUE"""),"No")</f>
        <v>No</v>
      </c>
      <c r="G437" s="8" t="str">
        <f ca="1">IFERROR(__xludf.DUMMYFUNCTION("""COMPUTED_VALUE"""),"None")</f>
        <v>None</v>
      </c>
    </row>
    <row r="438" spans="1:7" ht="12.75">
      <c r="A438" s="8" t="str">
        <f ca="1">IFERROR(__xludf.DUMMYFUNCTION("""COMPUTED_VALUE"""),"20210914TNLAL")</f>
        <v>20210914TNLAL</v>
      </c>
      <c r="B438" s="8">
        <f ca="1">IFERROR(__xludf.DUMMYFUNCTION("""COMPUTED_VALUE"""),15)</f>
        <v>15</v>
      </c>
      <c r="C438" s="8" t="str">
        <f ca="1">IFERROR(__xludf.DUMMYFUNCTION("""COMPUTED_VALUE"""),"Male")</f>
        <v>Male</v>
      </c>
      <c r="D438" s="8" t="str">
        <f ca="1">IFERROR(__xludf.DUMMYFUNCTION("""COMPUTED_VALUE"""),"Student")</f>
        <v>Student</v>
      </c>
      <c r="E438" s="8" t="str">
        <f ca="1">IFERROR(__xludf.DUMMYFUNCTION("""COMPUTED_VALUE"""),"Fled/Apprehended")</f>
        <v>Fled/Apprehended</v>
      </c>
      <c r="F438" s="8" t="str">
        <f ca="1">IFERROR(__xludf.DUMMYFUNCTION("""COMPUTED_VALUE"""),"No")</f>
        <v>No</v>
      </c>
      <c r="G438" s="8" t="str">
        <f ca="1">IFERROR(__xludf.DUMMYFUNCTION("""COMPUTED_VALUE"""),"None")</f>
        <v>None</v>
      </c>
    </row>
    <row r="439" spans="1:7" ht="12.75">
      <c r="A439" s="8" t="str">
        <f ca="1">IFERROR(__xludf.DUMMYFUNCTION("""COMPUTED_VALUE"""),"20210914MOMCH")</f>
        <v>20210914MOMCH</v>
      </c>
      <c r="B439" s="8" t="str">
        <f ca="1">IFERROR(__xludf.DUMMYFUNCTION("""COMPUTED_VALUE"""),"Adult")</f>
        <v>Adult</v>
      </c>
      <c r="C439" s="8" t="str">
        <f ca="1">IFERROR(__xludf.DUMMYFUNCTION("""COMPUTED_VALUE"""),"Female")</f>
        <v>Female</v>
      </c>
      <c r="D439" s="8" t="str">
        <f ca="1">IFERROR(__xludf.DUMMYFUNCTION("""COMPUTED_VALUE"""),"Parent")</f>
        <v>Parent</v>
      </c>
      <c r="E439" s="8" t="str">
        <f ca="1">IFERROR(__xludf.DUMMYFUNCTION("""COMPUTED_VALUE"""),"Fled/Escaped")</f>
        <v>Fled/Escaped</v>
      </c>
      <c r="F439" s="8" t="str">
        <f ca="1">IFERROR(__xludf.DUMMYFUNCTION("""COMPUTED_VALUE"""),"No")</f>
        <v>No</v>
      </c>
      <c r="G439" s="8" t="str">
        <f ca="1">IFERROR(__xludf.DUMMYFUNCTION("""COMPUTED_VALUE"""),"None")</f>
        <v>None</v>
      </c>
    </row>
    <row r="440" spans="1:7" ht="12.75">
      <c r="A440" s="8" t="str">
        <f ca="1">IFERROR(__xludf.DUMMYFUNCTION("""COMPUTED_VALUE"""),"20210914MOMCH")</f>
        <v>20210914MOMCH</v>
      </c>
      <c r="B440" s="8" t="str">
        <f ca="1">IFERROR(__xludf.DUMMYFUNCTION("""COMPUTED_VALUE"""),"Adult")</f>
        <v>Adult</v>
      </c>
      <c r="C440" s="8" t="str">
        <f ca="1">IFERROR(__xludf.DUMMYFUNCTION("""COMPUTED_VALUE"""),"Female")</f>
        <v>Female</v>
      </c>
      <c r="D440" s="8" t="str">
        <f ca="1">IFERROR(__xludf.DUMMYFUNCTION("""COMPUTED_VALUE"""),"Parent")</f>
        <v>Parent</v>
      </c>
      <c r="E440" s="8" t="str">
        <f ca="1">IFERROR(__xludf.DUMMYFUNCTION("""COMPUTED_VALUE"""),"Fled/Escaped")</f>
        <v>Fled/Escaped</v>
      </c>
      <c r="F440" s="8" t="str">
        <f ca="1">IFERROR(__xludf.DUMMYFUNCTION("""COMPUTED_VALUE"""),"No")</f>
        <v>No</v>
      </c>
      <c r="G440" s="8" t="str">
        <f ca="1">IFERROR(__xludf.DUMMYFUNCTION("""COMPUTED_VALUE"""),"None")</f>
        <v>None</v>
      </c>
    </row>
    <row r="441" spans="1:7" ht="12.75">
      <c r="A441" s="8" t="str">
        <f ca="1">IFERROR(__xludf.DUMMYFUNCTION("""COMPUTED_VALUE"""),"20210913SCEDC")</f>
        <v>20210913SCEDC</v>
      </c>
      <c r="B441" s="8">
        <f ca="1">IFERROR(__xludf.DUMMYFUNCTION("""COMPUTED_VALUE"""),54)</f>
        <v>54</v>
      </c>
      <c r="C441" s="8" t="str">
        <f ca="1">IFERROR(__xludf.DUMMYFUNCTION("""COMPUTED_VALUE"""),"Female")</f>
        <v>Female</v>
      </c>
      <c r="D441" s="8" t="str">
        <f ca="1">IFERROR(__xludf.DUMMYFUNCTION("""COMPUTED_VALUE"""),"Relative")</f>
        <v>Relative</v>
      </c>
      <c r="E441" s="8" t="str">
        <f ca="1">IFERROR(__xludf.DUMMYFUNCTION("""COMPUTED_VALUE"""),"Fled/Apprehended")</f>
        <v>Fled/Apprehended</v>
      </c>
      <c r="F441" s="8" t="str">
        <f ca="1">IFERROR(__xludf.DUMMYFUNCTION("""COMPUTED_VALUE"""),"No")</f>
        <v>No</v>
      </c>
      <c r="G441" s="8" t="str">
        <f ca="1">IFERROR(__xludf.DUMMYFUNCTION("""COMPUTED_VALUE"""),"None")</f>
        <v>None</v>
      </c>
    </row>
    <row r="442" spans="1:7" ht="12.75">
      <c r="A442" s="8" t="str">
        <f ca="1">IFERROR(__xludf.DUMMYFUNCTION("""COMPUTED_VALUE"""),"20210910CONOA")</f>
        <v>20210910CONOA</v>
      </c>
      <c r="B442" s="8"/>
      <c r="C442" s="8" t="str">
        <f ca="1">IFERROR(__xludf.DUMMYFUNCTION("""COMPUTED_VALUE"""),"Male")</f>
        <v>Male</v>
      </c>
      <c r="D442" s="8" t="str">
        <f ca="1">IFERROR(__xludf.DUMMYFUNCTION("""COMPUTED_VALUE"""),"Nonstudent Using Athletic Facilities/Attending Game")</f>
        <v>Nonstudent Using Athletic Facilities/Attending Game</v>
      </c>
      <c r="E442" s="8" t="str">
        <f ca="1">IFERROR(__xludf.DUMMYFUNCTION("""COMPUTED_VALUE"""),"Fled/Escaped")</f>
        <v>Fled/Escaped</v>
      </c>
      <c r="F442" s="8" t="str">
        <f ca="1">IFERROR(__xludf.DUMMYFUNCTION("""COMPUTED_VALUE"""),"No")</f>
        <v>No</v>
      </c>
      <c r="G442" s="8" t="str">
        <f ca="1">IFERROR(__xludf.DUMMYFUNCTION("""COMPUTED_VALUE"""),"None")</f>
        <v>None</v>
      </c>
    </row>
    <row r="443" spans="1:7" ht="12.75">
      <c r="A443" s="8" t="str">
        <f ca="1">IFERROR(__xludf.DUMMYFUNCTION("""COMPUTED_VALUE"""),"20210910CASTP")</f>
        <v>20210910CASTP</v>
      </c>
      <c r="B443" s="8">
        <f ca="1">IFERROR(__xludf.DUMMYFUNCTION("""COMPUTED_VALUE"""),62)</f>
        <v>62</v>
      </c>
      <c r="C443" s="8" t="str">
        <f ca="1">IFERROR(__xludf.DUMMYFUNCTION("""COMPUTED_VALUE"""),"Male")</f>
        <v>Male</v>
      </c>
      <c r="D443" s="8" t="str">
        <f ca="1">IFERROR(__xludf.DUMMYFUNCTION("""COMPUTED_VALUE"""),"No Relation")</f>
        <v>No Relation</v>
      </c>
      <c r="E443" s="8" t="str">
        <f ca="1">IFERROR(__xludf.DUMMYFUNCTION("""COMPUTED_VALUE"""),"Apprehended/Killed by LE")</f>
        <v>Apprehended/Killed by LE</v>
      </c>
      <c r="F443" s="8" t="str">
        <f ca="1">IFERROR(__xludf.DUMMYFUNCTION("""COMPUTED_VALUE"""),"No")</f>
        <v>No</v>
      </c>
      <c r="G443" s="8" t="str">
        <f ca="1">IFERROR(__xludf.DUMMYFUNCTION("""COMPUTED_VALUE"""),"None")</f>
        <v>None</v>
      </c>
    </row>
    <row r="444" spans="1:7" ht="12.75">
      <c r="A444" s="8" t="str">
        <f ca="1">IFERROR(__xludf.DUMMYFUNCTION("""COMPUTED_VALUE"""),"20210909NCSHE")</f>
        <v>20210909NCSHE</v>
      </c>
      <c r="B444" s="8"/>
      <c r="C444" s="8"/>
      <c r="D444" s="8"/>
      <c r="E444" s="8" t="str">
        <f ca="1">IFERROR(__xludf.DUMMYFUNCTION("""COMPUTED_VALUE"""),"Fled/Escaped")</f>
        <v>Fled/Escaped</v>
      </c>
      <c r="F444" s="8" t="str">
        <f ca="1">IFERROR(__xludf.DUMMYFUNCTION("""COMPUTED_VALUE"""),"No")</f>
        <v>No</v>
      </c>
      <c r="G444" s="8" t="str">
        <f ca="1">IFERROR(__xludf.DUMMYFUNCTION("""COMPUTED_VALUE"""),"None")</f>
        <v>None</v>
      </c>
    </row>
    <row r="445" spans="1:7" ht="12.75">
      <c r="A445" s="8" t="str">
        <f ca="1">IFERROR(__xludf.DUMMYFUNCTION("""COMPUTED_VALUE"""),"20210909MITRF")</f>
        <v>20210909MITRF</v>
      </c>
      <c r="B445" s="8" t="str">
        <f ca="1">IFERROR(__xludf.DUMMYFUNCTION("""COMPUTED_VALUE"""),"Teen")</f>
        <v>Teen</v>
      </c>
      <c r="C445" s="8" t="str">
        <f ca="1">IFERROR(__xludf.DUMMYFUNCTION("""COMPUTED_VALUE"""),"Male")</f>
        <v>Male</v>
      </c>
      <c r="D445" s="8" t="str">
        <f ca="1">IFERROR(__xludf.DUMMYFUNCTION("""COMPUTED_VALUE"""),"Student")</f>
        <v>Student</v>
      </c>
      <c r="E445" s="8" t="str">
        <f ca="1">IFERROR(__xludf.DUMMYFUNCTION("""COMPUTED_VALUE"""),"Apprehended/Killed by LE")</f>
        <v>Apprehended/Killed by LE</v>
      </c>
      <c r="F445" s="8" t="str">
        <f ca="1">IFERROR(__xludf.DUMMYFUNCTION("""COMPUTED_VALUE"""),"No")</f>
        <v>No</v>
      </c>
      <c r="G445" s="8" t="str">
        <f ca="1">IFERROR(__xludf.DUMMYFUNCTION("""COMPUTED_VALUE"""),"None")</f>
        <v>None</v>
      </c>
    </row>
    <row r="446" spans="1:7" ht="12.75">
      <c r="A446" s="8" t="str">
        <f ca="1">IFERROR(__xludf.DUMMYFUNCTION("""COMPUTED_VALUE"""),"20210909ILCHC")</f>
        <v>20210909ILCHC</v>
      </c>
      <c r="B446" s="8" t="str">
        <f ca="1">IFERROR(__xludf.DUMMYFUNCTION("""COMPUTED_VALUE"""),"Adult")</f>
        <v>Adult</v>
      </c>
      <c r="C446" s="8"/>
      <c r="D446" s="8" t="str">
        <f ca="1">IFERROR(__xludf.DUMMYFUNCTION("""COMPUTED_VALUE"""),"No Relation")</f>
        <v>No Relation</v>
      </c>
      <c r="E446" s="8" t="str">
        <f ca="1">IFERROR(__xludf.DUMMYFUNCTION("""COMPUTED_VALUE"""),"Fled/Escaped")</f>
        <v>Fled/Escaped</v>
      </c>
      <c r="F446" s="8" t="str">
        <f ca="1">IFERROR(__xludf.DUMMYFUNCTION("""COMPUTED_VALUE"""),"No")</f>
        <v>No</v>
      </c>
      <c r="G446" s="8" t="str">
        <f ca="1">IFERROR(__xludf.DUMMYFUNCTION("""COMPUTED_VALUE"""),"None")</f>
        <v>None</v>
      </c>
    </row>
    <row r="447" spans="1:7" ht="12.75">
      <c r="A447" s="8" t="str">
        <f ca="1">IFERROR(__xludf.DUMMYFUNCTION("""COMPUTED_VALUE"""),"20210908MNPRB")</f>
        <v>20210908MNPRB</v>
      </c>
      <c r="B447" s="8"/>
      <c r="C447" s="8"/>
      <c r="D447" s="8" t="str">
        <f ca="1">IFERROR(__xludf.DUMMYFUNCTION("""COMPUTED_VALUE"""),"No Relation")</f>
        <v>No Relation</v>
      </c>
      <c r="E447" s="8" t="str">
        <f ca="1">IFERROR(__xludf.DUMMYFUNCTION("""COMPUTED_VALUE"""),"Fled/Escaped")</f>
        <v>Fled/Escaped</v>
      </c>
      <c r="F447" s="8" t="str">
        <f ca="1">IFERROR(__xludf.DUMMYFUNCTION("""COMPUTED_VALUE"""),"No")</f>
        <v>No</v>
      </c>
      <c r="G447" s="8" t="str">
        <f ca="1">IFERROR(__xludf.DUMMYFUNCTION("""COMPUTED_VALUE"""),"None")</f>
        <v>None</v>
      </c>
    </row>
    <row r="448" spans="1:7" ht="12.75">
      <c r="A448" s="8" t="str">
        <f ca="1">IFERROR(__xludf.DUMMYFUNCTION("""COMPUTED_VALUE"""),"20210908MNPRB")</f>
        <v>20210908MNPRB</v>
      </c>
      <c r="B448" s="8"/>
      <c r="C448" s="8"/>
      <c r="D448" s="8" t="str">
        <f ca="1">IFERROR(__xludf.DUMMYFUNCTION("""COMPUTED_VALUE"""),"No Relation")</f>
        <v>No Relation</v>
      </c>
      <c r="E448" s="8" t="str">
        <f ca="1">IFERROR(__xludf.DUMMYFUNCTION("""COMPUTED_VALUE"""),"Fled/Escaped")</f>
        <v>Fled/Escaped</v>
      </c>
      <c r="F448" s="8" t="str">
        <f ca="1">IFERROR(__xludf.DUMMYFUNCTION("""COMPUTED_VALUE"""),"No")</f>
        <v>No</v>
      </c>
      <c r="G448" s="8" t="str">
        <f ca="1">IFERROR(__xludf.DUMMYFUNCTION("""COMPUTED_VALUE"""),"None")</f>
        <v>None</v>
      </c>
    </row>
    <row r="449" spans="1:7" ht="12.75">
      <c r="A449" s="8" t="str">
        <f ca="1">IFERROR(__xludf.DUMMYFUNCTION("""COMPUTED_VALUE"""),"20210908MNPRB")</f>
        <v>20210908MNPRB</v>
      </c>
      <c r="B449" s="8"/>
      <c r="C449" s="8"/>
      <c r="D449" s="8" t="str">
        <f ca="1">IFERROR(__xludf.DUMMYFUNCTION("""COMPUTED_VALUE"""),"No Relation")</f>
        <v>No Relation</v>
      </c>
      <c r="E449" s="8" t="str">
        <f ca="1">IFERROR(__xludf.DUMMYFUNCTION("""COMPUTED_VALUE"""),"Fled/Escaped")</f>
        <v>Fled/Escaped</v>
      </c>
      <c r="F449" s="8" t="str">
        <f ca="1">IFERROR(__xludf.DUMMYFUNCTION("""COMPUTED_VALUE"""),"No")</f>
        <v>No</v>
      </c>
      <c r="G449" s="8" t="str">
        <f ca="1">IFERROR(__xludf.DUMMYFUNCTION("""COMPUTED_VALUE"""),"None")</f>
        <v>None</v>
      </c>
    </row>
    <row r="450" spans="1:7" ht="12.75">
      <c r="A450" s="8" t="str">
        <f ca="1">IFERROR(__xludf.DUMMYFUNCTION("""COMPUTED_VALUE"""),"20210908ILCEC")</f>
        <v>20210908ILCEC</v>
      </c>
      <c r="B450" s="8">
        <f ca="1">IFERROR(__xludf.DUMMYFUNCTION("""COMPUTED_VALUE"""),18)</f>
        <v>18</v>
      </c>
      <c r="C450" s="8" t="str">
        <f ca="1">IFERROR(__xludf.DUMMYFUNCTION("""COMPUTED_VALUE"""),"Male")</f>
        <v>Male</v>
      </c>
      <c r="D450" s="8" t="str">
        <f ca="1">IFERROR(__xludf.DUMMYFUNCTION("""COMPUTED_VALUE"""),"Student")</f>
        <v>Student</v>
      </c>
      <c r="E450" s="8" t="str">
        <f ca="1">IFERROR(__xludf.DUMMYFUNCTION("""COMPUTED_VALUE"""),"Fled/Escaped")</f>
        <v>Fled/Escaped</v>
      </c>
      <c r="F450" s="8" t="str">
        <f ca="1">IFERROR(__xludf.DUMMYFUNCTION("""COMPUTED_VALUE"""),"No")</f>
        <v>No</v>
      </c>
      <c r="G450" s="8" t="str">
        <f ca="1">IFERROR(__xludf.DUMMYFUNCTION("""COMPUTED_VALUE"""),"None")</f>
        <v>None</v>
      </c>
    </row>
    <row r="451" spans="1:7" ht="12.75">
      <c r="A451" s="8" t="str">
        <f ca="1">IFERROR(__xludf.DUMMYFUNCTION("""COMPUTED_VALUE"""),"20210907TNLAL")</f>
        <v>20210907TNLAL</v>
      </c>
      <c r="B451" s="8">
        <f ca="1">IFERROR(__xludf.DUMMYFUNCTION("""COMPUTED_VALUE"""),15)</f>
        <v>15</v>
      </c>
      <c r="C451" s="8" t="str">
        <f ca="1">IFERROR(__xludf.DUMMYFUNCTION("""COMPUTED_VALUE"""),"Male")</f>
        <v>Male</v>
      </c>
      <c r="D451" s="8" t="str">
        <f ca="1">IFERROR(__xludf.DUMMYFUNCTION("""COMPUTED_VALUE"""),"Student")</f>
        <v>Student</v>
      </c>
      <c r="E451" s="8" t="str">
        <f ca="1">IFERROR(__xludf.DUMMYFUNCTION("""COMPUTED_VALUE"""),"Fled/Apprehended")</f>
        <v>Fled/Apprehended</v>
      </c>
      <c r="F451" s="8" t="str">
        <f ca="1">IFERROR(__xludf.DUMMYFUNCTION("""COMPUTED_VALUE"""),"No")</f>
        <v>No</v>
      </c>
      <c r="G451" s="8" t="str">
        <f ca="1">IFERROR(__xludf.DUMMYFUNCTION("""COMPUTED_VALUE"""),"None")</f>
        <v>None</v>
      </c>
    </row>
    <row r="452" spans="1:7" ht="12.75">
      <c r="A452" s="8" t="str">
        <f ca="1">IFERROR(__xludf.DUMMYFUNCTION("""COMPUTED_VALUE"""),"20210907PAHAH")</f>
        <v>20210907PAHAH</v>
      </c>
      <c r="B452" s="8" t="str">
        <f ca="1">IFERROR(__xludf.DUMMYFUNCTION("""COMPUTED_VALUE"""),"Teen")</f>
        <v>Teen</v>
      </c>
      <c r="C452" s="8" t="str">
        <f ca="1">IFERROR(__xludf.DUMMYFUNCTION("""COMPUTED_VALUE"""),"Male")</f>
        <v>Male</v>
      </c>
      <c r="D452" s="8" t="str">
        <f ca="1">IFERROR(__xludf.DUMMYFUNCTION("""COMPUTED_VALUE"""),"Student")</f>
        <v>Student</v>
      </c>
      <c r="E452" s="8" t="str">
        <f ca="1">IFERROR(__xludf.DUMMYFUNCTION("""COMPUTED_VALUE"""),"Fled/Escaped")</f>
        <v>Fled/Escaped</v>
      </c>
      <c r="F452" s="8" t="str">
        <f ca="1">IFERROR(__xludf.DUMMYFUNCTION("""COMPUTED_VALUE"""),"No")</f>
        <v>No</v>
      </c>
      <c r="G452" s="8" t="str">
        <f ca="1">IFERROR(__xludf.DUMMYFUNCTION("""COMPUTED_VALUE"""),"None")</f>
        <v>None</v>
      </c>
    </row>
    <row r="453" spans="1:7" ht="12.75">
      <c r="A453" s="8" t="str">
        <f ca="1">IFERROR(__xludf.DUMMYFUNCTION("""COMPUTED_VALUE"""),"20210907MAOMG")</f>
        <v>20210907MAOMG</v>
      </c>
      <c r="B453" s="8">
        <f ca="1">IFERROR(__xludf.DUMMYFUNCTION("""COMPUTED_VALUE"""),18)</f>
        <v>18</v>
      </c>
      <c r="C453" s="8" t="str">
        <f ca="1">IFERROR(__xludf.DUMMYFUNCTION("""COMPUTED_VALUE"""),"Male")</f>
        <v>Male</v>
      </c>
      <c r="D453" s="8" t="str">
        <f ca="1">IFERROR(__xludf.DUMMYFUNCTION("""COMPUTED_VALUE"""),"No Relation")</f>
        <v>No Relation</v>
      </c>
      <c r="E453" s="8" t="str">
        <f ca="1">IFERROR(__xludf.DUMMYFUNCTION("""COMPUTED_VALUE"""),"Fled/Apprehended")</f>
        <v>Fled/Apprehended</v>
      </c>
      <c r="F453" s="8" t="str">
        <f ca="1">IFERROR(__xludf.DUMMYFUNCTION("""COMPUTED_VALUE"""),"No")</f>
        <v>No</v>
      </c>
      <c r="G453" s="8" t="str">
        <f ca="1">IFERROR(__xludf.DUMMYFUNCTION("""COMPUTED_VALUE"""),"None")</f>
        <v>None</v>
      </c>
    </row>
    <row r="454" spans="1:7" ht="12.75">
      <c r="A454" s="8" t="str">
        <f ca="1">IFERROR(__xludf.DUMMYFUNCTION("""COMPUTED_VALUE"""),"20210907MAOMG")</f>
        <v>20210907MAOMG</v>
      </c>
      <c r="B454" s="8">
        <f ca="1">IFERROR(__xludf.DUMMYFUNCTION("""COMPUTED_VALUE"""),18)</f>
        <v>18</v>
      </c>
      <c r="C454" s="8" t="str">
        <f ca="1">IFERROR(__xludf.DUMMYFUNCTION("""COMPUTED_VALUE"""),"Male")</f>
        <v>Male</v>
      </c>
      <c r="D454" s="8" t="str">
        <f ca="1">IFERROR(__xludf.DUMMYFUNCTION("""COMPUTED_VALUE"""),"No Relation")</f>
        <v>No Relation</v>
      </c>
      <c r="E454" s="8" t="str">
        <f ca="1">IFERROR(__xludf.DUMMYFUNCTION("""COMPUTED_VALUE"""),"Fled/Apprehended")</f>
        <v>Fled/Apprehended</v>
      </c>
      <c r="F454" s="8" t="str">
        <f ca="1">IFERROR(__xludf.DUMMYFUNCTION("""COMPUTED_VALUE"""),"No")</f>
        <v>No</v>
      </c>
      <c r="G454" s="8" t="str">
        <f ca="1">IFERROR(__xludf.DUMMYFUNCTION("""COMPUTED_VALUE"""),"None")</f>
        <v>None</v>
      </c>
    </row>
    <row r="455" spans="1:7" ht="12.75">
      <c r="A455" s="8" t="str">
        <f ca="1">IFERROR(__xludf.DUMMYFUNCTION("""COMPUTED_VALUE"""),"20210903NVDEL")</f>
        <v>20210903NVDEL</v>
      </c>
      <c r="B455" s="8" t="str">
        <f ca="1">IFERROR(__xludf.DUMMYFUNCTION("""COMPUTED_VALUE"""),"Adult")</f>
        <v>Adult</v>
      </c>
      <c r="C455" s="8"/>
      <c r="D455" s="8" t="str">
        <f ca="1">IFERROR(__xludf.DUMMYFUNCTION("""COMPUTED_VALUE"""),"Nonstudent Using Athletic Facilities/Attending Game")</f>
        <v>Nonstudent Using Athletic Facilities/Attending Game</v>
      </c>
      <c r="E455" s="8" t="str">
        <f ca="1">IFERROR(__xludf.DUMMYFUNCTION("""COMPUTED_VALUE"""),"Fled/Escaped")</f>
        <v>Fled/Escaped</v>
      </c>
      <c r="F455" s="8" t="str">
        <f ca="1">IFERROR(__xludf.DUMMYFUNCTION("""COMPUTED_VALUE"""),"No")</f>
        <v>No</v>
      </c>
      <c r="G455" s="8" t="str">
        <f ca="1">IFERROR(__xludf.DUMMYFUNCTION("""COMPUTED_VALUE"""),"None")</f>
        <v>None</v>
      </c>
    </row>
    <row r="456" spans="1:7" ht="12.75">
      <c r="A456" s="8" t="str">
        <f ca="1">IFERROR(__xludf.DUMMYFUNCTION("""COMPUTED_VALUE"""),"20210903NCJUC")</f>
        <v>20210903NCJUC</v>
      </c>
      <c r="B456" s="8"/>
      <c r="C456" s="8"/>
      <c r="D456" s="8" t="str">
        <f ca="1">IFERROR(__xludf.DUMMYFUNCTION("""COMPUTED_VALUE"""),"Nonstudent Using Athletic Facilities/Attending Game")</f>
        <v>Nonstudent Using Athletic Facilities/Attending Game</v>
      </c>
      <c r="E456" s="8" t="str">
        <f ca="1">IFERROR(__xludf.DUMMYFUNCTION("""COMPUTED_VALUE"""),"Fled/Escaped")</f>
        <v>Fled/Escaped</v>
      </c>
      <c r="F456" s="8" t="str">
        <f ca="1">IFERROR(__xludf.DUMMYFUNCTION("""COMPUTED_VALUE"""),"No")</f>
        <v>No</v>
      </c>
      <c r="G456" s="8" t="str">
        <f ca="1">IFERROR(__xludf.DUMMYFUNCTION("""COMPUTED_VALUE"""),"None")</f>
        <v>None</v>
      </c>
    </row>
    <row r="457" spans="1:7" ht="12.75">
      <c r="A457" s="8" t="str">
        <f ca="1">IFERROR(__xludf.DUMMYFUNCTION("""COMPUTED_VALUE"""),"20210903CAMTH")</f>
        <v>20210903CAMTH</v>
      </c>
      <c r="B457" s="8">
        <f ca="1">IFERROR(__xludf.DUMMYFUNCTION("""COMPUTED_VALUE"""),16)</f>
        <v>16</v>
      </c>
      <c r="C457" s="8" t="str">
        <f ca="1">IFERROR(__xludf.DUMMYFUNCTION("""COMPUTED_VALUE"""),"Male")</f>
        <v>Male</v>
      </c>
      <c r="D457" s="8" t="str">
        <f ca="1">IFERROR(__xludf.DUMMYFUNCTION("""COMPUTED_VALUE"""),"Student")</f>
        <v>Student</v>
      </c>
      <c r="E457" s="8" t="str">
        <f ca="1">IFERROR(__xludf.DUMMYFUNCTION("""COMPUTED_VALUE"""),"Apprehended/Killed by LE")</f>
        <v>Apprehended/Killed by LE</v>
      </c>
      <c r="F457" s="8" t="str">
        <f ca="1">IFERROR(__xludf.DUMMYFUNCTION("""COMPUTED_VALUE"""),"No")</f>
        <v>No</v>
      </c>
      <c r="G457" s="8" t="str">
        <f ca="1">IFERROR(__xludf.DUMMYFUNCTION("""COMPUTED_VALUE"""),"None")</f>
        <v>None</v>
      </c>
    </row>
    <row r="458" spans="1:7" ht="12.75">
      <c r="A458" s="8" t="str">
        <f ca="1">IFERROR(__xludf.DUMMYFUNCTION("""COMPUTED_VALUE"""),"20210903CAMTH")</f>
        <v>20210903CAMTH</v>
      </c>
      <c r="B458" s="8" t="str">
        <f ca="1">IFERROR(__xludf.DUMMYFUNCTION("""COMPUTED_VALUE"""),"Teen")</f>
        <v>Teen</v>
      </c>
      <c r="C458" s="8" t="str">
        <f ca="1">IFERROR(__xludf.DUMMYFUNCTION("""COMPUTED_VALUE"""),"Male")</f>
        <v>Male</v>
      </c>
      <c r="D458" s="8" t="str">
        <f ca="1">IFERROR(__xludf.DUMMYFUNCTION("""COMPUTED_VALUE"""),"Student")</f>
        <v>Student</v>
      </c>
      <c r="E458" s="8" t="str">
        <f ca="1">IFERROR(__xludf.DUMMYFUNCTION("""COMPUTED_VALUE"""),"Fled/Apprehended")</f>
        <v>Fled/Apprehended</v>
      </c>
      <c r="F458" s="8" t="str">
        <f ca="1">IFERROR(__xludf.DUMMYFUNCTION("""COMPUTED_VALUE"""),"No")</f>
        <v>No</v>
      </c>
      <c r="G458" s="8" t="str">
        <f ca="1">IFERROR(__xludf.DUMMYFUNCTION("""COMPUTED_VALUE"""),"None")</f>
        <v>None</v>
      </c>
    </row>
    <row r="459" spans="1:7" ht="12.75">
      <c r="A459" s="8" t="str">
        <f ca="1">IFERROR(__xludf.DUMMYFUNCTION("""COMPUTED_VALUE"""),"20210903CABUB")</f>
        <v>20210903CABUB</v>
      </c>
      <c r="B459" s="8" t="str">
        <f ca="1">IFERROR(__xludf.DUMMYFUNCTION("""COMPUTED_VALUE"""),"Adult")</f>
        <v>Adult</v>
      </c>
      <c r="C459" s="8" t="str">
        <f ca="1">IFERROR(__xludf.DUMMYFUNCTION("""COMPUTED_VALUE"""),"Male")</f>
        <v>Male</v>
      </c>
      <c r="D459" s="8" t="str">
        <f ca="1">IFERROR(__xludf.DUMMYFUNCTION("""COMPUTED_VALUE"""),"Intimate Relationship")</f>
        <v>Intimate Relationship</v>
      </c>
      <c r="E459" s="8" t="str">
        <f ca="1">IFERROR(__xludf.DUMMYFUNCTION("""COMPUTED_VALUE"""),"Apprehended/Killed by LE")</f>
        <v>Apprehended/Killed by LE</v>
      </c>
      <c r="F459" s="8" t="str">
        <f ca="1">IFERROR(__xludf.DUMMYFUNCTION("""COMPUTED_VALUE"""),"Yes")</f>
        <v>Yes</v>
      </c>
      <c r="G459" s="8" t="str">
        <f ca="1">IFERROR(__xludf.DUMMYFUNCTION("""COMPUTED_VALUE"""),"Fatal")</f>
        <v>Fatal</v>
      </c>
    </row>
    <row r="460" spans="1:7" ht="12.75">
      <c r="A460" s="8" t="str">
        <f ca="1">IFERROR(__xludf.DUMMYFUNCTION("""COMPUTED_VALUE"""),"20210902NMALA")</f>
        <v>20210902NMALA</v>
      </c>
      <c r="B460" s="8">
        <f ca="1">IFERROR(__xludf.DUMMYFUNCTION("""COMPUTED_VALUE"""),16)</f>
        <v>16</v>
      </c>
      <c r="C460" s="8" t="str">
        <f ca="1">IFERROR(__xludf.DUMMYFUNCTION("""COMPUTED_VALUE"""),"Male")</f>
        <v>Male</v>
      </c>
      <c r="D460" s="8" t="str">
        <f ca="1">IFERROR(__xludf.DUMMYFUNCTION("""COMPUTED_VALUE"""),"Student")</f>
        <v>Student</v>
      </c>
      <c r="E460" s="8" t="str">
        <f ca="1">IFERROR(__xludf.DUMMYFUNCTION("""COMPUTED_VALUE"""),"Fled/Apprehended")</f>
        <v>Fled/Apprehended</v>
      </c>
      <c r="F460" s="8" t="str">
        <f ca="1">IFERROR(__xludf.DUMMYFUNCTION("""COMPUTED_VALUE"""),"No")</f>
        <v>No</v>
      </c>
      <c r="G460" s="8" t="str">
        <f ca="1">IFERROR(__xludf.DUMMYFUNCTION("""COMPUTED_VALUE"""),"Wounded")</f>
        <v>Wounded</v>
      </c>
    </row>
    <row r="461" spans="1:7" ht="12.75">
      <c r="A461" s="8" t="str">
        <f ca="1">IFERROR(__xludf.DUMMYFUNCTION("""COMPUTED_VALUE"""),"20210902NMALA")</f>
        <v>20210902NMALA</v>
      </c>
      <c r="B461" s="8" t="str">
        <f ca="1">IFERROR(__xludf.DUMMYFUNCTION("""COMPUTED_VALUE"""),"Teen")</f>
        <v>Teen</v>
      </c>
      <c r="C461" s="8"/>
      <c r="D461" s="8" t="str">
        <f ca="1">IFERROR(__xludf.DUMMYFUNCTION("""COMPUTED_VALUE"""),"Other Student")</f>
        <v>Other Student</v>
      </c>
      <c r="E461" s="8" t="str">
        <f ca="1">IFERROR(__xludf.DUMMYFUNCTION("""COMPUTED_VALUE"""),"Fled/Escaped")</f>
        <v>Fled/Escaped</v>
      </c>
      <c r="F461" s="8" t="str">
        <f ca="1">IFERROR(__xludf.DUMMYFUNCTION("""COMPUTED_VALUE"""),"No")</f>
        <v>No</v>
      </c>
      <c r="G461" s="8" t="str">
        <f ca="1">IFERROR(__xludf.DUMMYFUNCTION("""COMPUTED_VALUE"""),"None")</f>
        <v>None</v>
      </c>
    </row>
    <row r="462" spans="1:7" ht="12.75">
      <c r="A462" s="8" t="str">
        <f ca="1">IFERROR(__xludf.DUMMYFUNCTION("""COMPUTED_VALUE"""),"20210902INWEG")</f>
        <v>20210902INWEG</v>
      </c>
      <c r="B462" s="8" t="str">
        <f ca="1">IFERROR(__xludf.DUMMYFUNCTION("""COMPUTED_VALUE"""),"Teen")</f>
        <v>Teen</v>
      </c>
      <c r="C462" s="8" t="str">
        <f ca="1">IFERROR(__xludf.DUMMYFUNCTION("""COMPUTED_VALUE"""),"Male")</f>
        <v>Male</v>
      </c>
      <c r="D462" s="8"/>
      <c r="E462" s="8" t="str">
        <f ca="1">IFERROR(__xludf.DUMMYFUNCTION("""COMPUTED_VALUE"""),"Fled/Escaped")</f>
        <v>Fled/Escaped</v>
      </c>
      <c r="F462" s="8" t="str">
        <f ca="1">IFERROR(__xludf.DUMMYFUNCTION("""COMPUTED_VALUE"""),"No")</f>
        <v>No</v>
      </c>
      <c r="G462" s="8" t="str">
        <f ca="1">IFERROR(__xludf.DUMMYFUNCTION("""COMPUTED_VALUE"""),"None")</f>
        <v>None</v>
      </c>
    </row>
    <row r="463" spans="1:7" ht="12.75">
      <c r="A463" s="8" t="str">
        <f ca="1">IFERROR(__xludf.DUMMYFUNCTION("""COMPUTED_VALUE"""),"20210902GAWOS")</f>
        <v>20210902GAWOS</v>
      </c>
      <c r="B463" s="8">
        <f ca="1">IFERROR(__xludf.DUMMYFUNCTION("""COMPUTED_VALUE"""),24)</f>
        <v>24</v>
      </c>
      <c r="C463" s="8" t="str">
        <f ca="1">IFERROR(__xludf.DUMMYFUNCTION("""COMPUTED_VALUE"""),"Male")</f>
        <v>Male</v>
      </c>
      <c r="D463" s="8" t="str">
        <f ca="1">IFERROR(__xludf.DUMMYFUNCTION("""COMPUTED_VALUE"""),"No Relation")</f>
        <v>No Relation</v>
      </c>
      <c r="E463" s="8" t="str">
        <f ca="1">IFERROR(__xludf.DUMMYFUNCTION("""COMPUTED_VALUE"""),"Apprehended/Killed by LE")</f>
        <v>Apprehended/Killed by LE</v>
      </c>
      <c r="F463" s="8" t="str">
        <f ca="1">IFERROR(__xludf.DUMMYFUNCTION("""COMPUTED_VALUE"""),"No")</f>
        <v>No</v>
      </c>
      <c r="G463" s="8" t="str">
        <f ca="1">IFERROR(__xludf.DUMMYFUNCTION("""COMPUTED_VALUE"""),"None")</f>
        <v>None</v>
      </c>
    </row>
    <row r="464" spans="1:7" ht="12.75">
      <c r="A464" s="8" t="str">
        <f ca="1">IFERROR(__xludf.DUMMYFUNCTION("""COMPUTED_VALUE"""),"20210902CASAL")</f>
        <v>20210902CASAL</v>
      </c>
      <c r="B464" s="8">
        <f ca="1">IFERROR(__xludf.DUMMYFUNCTION("""COMPUTED_VALUE"""),17)</f>
        <v>17</v>
      </c>
      <c r="C464" s="8" t="str">
        <f ca="1">IFERROR(__xludf.DUMMYFUNCTION("""COMPUTED_VALUE"""),"Male")</f>
        <v>Male</v>
      </c>
      <c r="D464" s="8" t="str">
        <f ca="1">IFERROR(__xludf.DUMMYFUNCTION("""COMPUTED_VALUE"""),"Student")</f>
        <v>Student</v>
      </c>
      <c r="E464" s="8" t="str">
        <f ca="1">IFERROR(__xludf.DUMMYFUNCTION("""COMPUTED_VALUE"""),"Fled/Apprehended")</f>
        <v>Fled/Apprehended</v>
      </c>
      <c r="F464" s="8" t="str">
        <f ca="1">IFERROR(__xludf.DUMMYFUNCTION("""COMPUTED_VALUE"""),"No")</f>
        <v>No</v>
      </c>
      <c r="G464" s="8" t="str">
        <f ca="1">IFERROR(__xludf.DUMMYFUNCTION("""COMPUTED_VALUE"""),"None")</f>
        <v>None</v>
      </c>
    </row>
    <row r="465" spans="1:7" ht="12.75">
      <c r="A465" s="8" t="str">
        <f ca="1">IFERROR(__xludf.DUMMYFUNCTION("""COMPUTED_VALUE"""),"20210902CASAL")</f>
        <v>20210902CASAL</v>
      </c>
      <c r="B465" s="8">
        <f ca="1">IFERROR(__xludf.DUMMYFUNCTION("""COMPUTED_VALUE"""),17)</f>
        <v>17</v>
      </c>
      <c r="C465" s="8" t="str">
        <f ca="1">IFERROR(__xludf.DUMMYFUNCTION("""COMPUTED_VALUE"""),"Male")</f>
        <v>Male</v>
      </c>
      <c r="D465" s="8" t="str">
        <f ca="1">IFERROR(__xludf.DUMMYFUNCTION("""COMPUTED_VALUE"""),"Student")</f>
        <v>Student</v>
      </c>
      <c r="E465" s="8" t="str">
        <f ca="1">IFERROR(__xludf.DUMMYFUNCTION("""COMPUTED_VALUE"""),"Fled/Apprehended")</f>
        <v>Fled/Apprehended</v>
      </c>
      <c r="F465" s="8" t="str">
        <f ca="1">IFERROR(__xludf.DUMMYFUNCTION("""COMPUTED_VALUE"""),"No")</f>
        <v>No</v>
      </c>
      <c r="G465" s="8" t="str">
        <f ca="1">IFERROR(__xludf.DUMMYFUNCTION("""COMPUTED_VALUE"""),"None")</f>
        <v>None</v>
      </c>
    </row>
    <row r="466" spans="1:7" ht="12.75">
      <c r="A466" s="8" t="str">
        <f ca="1">IFERROR(__xludf.DUMMYFUNCTION("""COMPUTED_VALUE"""),"20210902ARLIL")</f>
        <v>20210902ARLIL</v>
      </c>
      <c r="B466" s="8">
        <f ca="1">IFERROR(__xludf.DUMMYFUNCTION("""COMPUTED_VALUE"""),36)</f>
        <v>36</v>
      </c>
      <c r="C466" s="8" t="str">
        <f ca="1">IFERROR(__xludf.DUMMYFUNCTION("""COMPUTED_VALUE"""),"Female")</f>
        <v>Female</v>
      </c>
      <c r="D466" s="8" t="str">
        <f ca="1">IFERROR(__xludf.DUMMYFUNCTION("""COMPUTED_VALUE"""),"Parent")</f>
        <v>Parent</v>
      </c>
      <c r="E466" s="8" t="str">
        <f ca="1">IFERROR(__xludf.DUMMYFUNCTION("""COMPUTED_VALUE"""),"Apprehended/Killed by SRO")</f>
        <v>Apprehended/Killed by SRO</v>
      </c>
      <c r="F466" s="8" t="str">
        <f ca="1">IFERROR(__xludf.DUMMYFUNCTION("""COMPUTED_VALUE"""),"No")</f>
        <v>No</v>
      </c>
      <c r="G466" s="8" t="str">
        <f ca="1">IFERROR(__xludf.DUMMYFUNCTION("""COMPUTED_VALUE"""),"None")</f>
        <v>None</v>
      </c>
    </row>
    <row r="467" spans="1:7" ht="12.75">
      <c r="A467" s="8" t="str">
        <f ca="1">IFERROR(__xludf.DUMMYFUNCTION("""COMPUTED_VALUE"""),"20210901NCMTW")</f>
        <v>20210901NCMTW</v>
      </c>
      <c r="B467" s="8">
        <f ca="1">IFERROR(__xludf.DUMMYFUNCTION("""COMPUTED_VALUE"""),15)</f>
        <v>15</v>
      </c>
      <c r="C467" s="8" t="str">
        <f ca="1">IFERROR(__xludf.DUMMYFUNCTION("""COMPUTED_VALUE"""),"Male")</f>
        <v>Male</v>
      </c>
      <c r="D467" s="8" t="str">
        <f ca="1">IFERROR(__xludf.DUMMYFUNCTION("""COMPUTED_VALUE"""),"Student")</f>
        <v>Student</v>
      </c>
      <c r="E467" s="8" t="str">
        <f ca="1">IFERROR(__xludf.DUMMYFUNCTION("""COMPUTED_VALUE"""),"Fled/Apprehended")</f>
        <v>Fled/Apprehended</v>
      </c>
      <c r="F467" s="8" t="str">
        <f ca="1">IFERROR(__xludf.DUMMYFUNCTION("""COMPUTED_VALUE"""),"No")</f>
        <v>No</v>
      </c>
      <c r="G467" s="8" t="str">
        <f ca="1">IFERROR(__xludf.DUMMYFUNCTION("""COMPUTED_VALUE"""),"None")</f>
        <v>None</v>
      </c>
    </row>
    <row r="468" spans="1:7" ht="12.75">
      <c r="A468" s="8" t="str">
        <f ca="1">IFERROR(__xludf.DUMMYFUNCTION("""COMPUTED_VALUE"""),"20210901ILFRC")</f>
        <v>20210901ILFRC</v>
      </c>
      <c r="B468" s="8"/>
      <c r="C468" s="8"/>
      <c r="D468" s="8" t="str">
        <f ca="1">IFERROR(__xludf.DUMMYFUNCTION("""COMPUTED_VALUE"""),"No Relation")</f>
        <v>No Relation</v>
      </c>
      <c r="E468" s="8" t="str">
        <f ca="1">IFERROR(__xludf.DUMMYFUNCTION("""COMPUTED_VALUE"""),"Fled/Escaped")</f>
        <v>Fled/Escaped</v>
      </c>
      <c r="F468" s="8" t="str">
        <f ca="1">IFERROR(__xludf.DUMMYFUNCTION("""COMPUTED_VALUE"""),"No")</f>
        <v>No</v>
      </c>
      <c r="G468" s="8" t="str">
        <f ca="1">IFERROR(__xludf.DUMMYFUNCTION("""COMPUTED_VALUE"""),"None")</f>
        <v>None</v>
      </c>
    </row>
    <row r="469" spans="1:7" ht="12.75">
      <c r="A469" s="8" t="str">
        <f ca="1">IFERROR(__xludf.DUMMYFUNCTION("""COMPUTED_VALUE"""),"20210830NJWEN")</f>
        <v>20210830NJWEN</v>
      </c>
      <c r="B469" s="8"/>
      <c r="C469" s="8"/>
      <c r="D469" s="8"/>
      <c r="E469" s="8" t="str">
        <f ca="1">IFERROR(__xludf.DUMMYFUNCTION("""COMPUTED_VALUE"""),"Fled/Escaped")</f>
        <v>Fled/Escaped</v>
      </c>
      <c r="F469" s="8" t="str">
        <f ca="1">IFERROR(__xludf.DUMMYFUNCTION("""COMPUTED_VALUE"""),"No")</f>
        <v>No</v>
      </c>
      <c r="G469" s="8" t="str">
        <f ca="1">IFERROR(__xludf.DUMMYFUNCTION("""COMPUTED_VALUE"""),"None")</f>
        <v>None</v>
      </c>
    </row>
    <row r="470" spans="1:7" ht="12.75">
      <c r="A470" s="8" t="str">
        <f ca="1">IFERROR(__xludf.DUMMYFUNCTION("""COMPUTED_VALUE"""),"20210830NCNEW")</f>
        <v>20210830NCNEW</v>
      </c>
      <c r="B470" s="8">
        <f ca="1">IFERROR(__xludf.DUMMYFUNCTION("""COMPUTED_VALUE"""),15)</f>
        <v>15</v>
      </c>
      <c r="C470" s="8" t="str">
        <f ca="1">IFERROR(__xludf.DUMMYFUNCTION("""COMPUTED_VALUE"""),"Male")</f>
        <v>Male</v>
      </c>
      <c r="D470" s="8" t="str">
        <f ca="1">IFERROR(__xludf.DUMMYFUNCTION("""COMPUTED_VALUE"""),"Student")</f>
        <v>Student</v>
      </c>
      <c r="E470" s="8" t="str">
        <f ca="1">IFERROR(__xludf.DUMMYFUNCTION("""COMPUTED_VALUE"""),"Fled/Apprehended")</f>
        <v>Fled/Apprehended</v>
      </c>
      <c r="F470" s="8" t="str">
        <f ca="1">IFERROR(__xludf.DUMMYFUNCTION("""COMPUTED_VALUE"""),"No")</f>
        <v>No</v>
      </c>
      <c r="G470" s="8" t="str">
        <f ca="1">IFERROR(__xludf.DUMMYFUNCTION("""COMPUTED_VALUE"""),"None")</f>
        <v>None</v>
      </c>
    </row>
    <row r="471" spans="1:7" ht="12.75">
      <c r="A471" s="8" t="str">
        <f ca="1">IFERROR(__xludf.DUMMYFUNCTION("""COMPUTED_VALUE"""),"20210830MDNEO")</f>
        <v>20210830MDNEO</v>
      </c>
      <c r="B471" s="8">
        <f ca="1">IFERROR(__xludf.DUMMYFUNCTION("""COMPUTED_VALUE"""),34)</f>
        <v>34</v>
      </c>
      <c r="C471" s="8" t="str">
        <f ca="1">IFERROR(__xludf.DUMMYFUNCTION("""COMPUTED_VALUE"""),"Male")</f>
        <v>Male</v>
      </c>
      <c r="D471" s="8" t="str">
        <f ca="1">IFERROR(__xludf.DUMMYFUNCTION("""COMPUTED_VALUE"""),"No Relation")</f>
        <v>No Relation</v>
      </c>
      <c r="E471" s="8" t="str">
        <f ca="1">IFERROR(__xludf.DUMMYFUNCTION("""COMPUTED_VALUE"""),"Fled/Apprehended")</f>
        <v>Fled/Apprehended</v>
      </c>
      <c r="F471" s="8" t="str">
        <f ca="1">IFERROR(__xludf.DUMMYFUNCTION("""COMPUTED_VALUE"""),"No")</f>
        <v>No</v>
      </c>
      <c r="G471" s="8" t="str">
        <f ca="1">IFERROR(__xludf.DUMMYFUNCTION("""COMPUTED_VALUE"""),"None")</f>
        <v>None</v>
      </c>
    </row>
    <row r="472" spans="1:7" ht="12.75">
      <c r="A472" s="8" t="str">
        <f ca="1">IFERROR(__xludf.DUMMYFUNCTION("""COMPUTED_VALUE"""),"20210830FLOKW")</f>
        <v>20210830FLOKW</v>
      </c>
      <c r="B472" s="8" t="str">
        <f ca="1">IFERROR(__xludf.DUMMYFUNCTION("""COMPUTED_VALUE"""),"Teen")</f>
        <v>Teen</v>
      </c>
      <c r="C472" s="8" t="str">
        <f ca="1">IFERROR(__xludf.DUMMYFUNCTION("""COMPUTED_VALUE"""),"Male")</f>
        <v>Male</v>
      </c>
      <c r="D472" s="8" t="str">
        <f ca="1">IFERROR(__xludf.DUMMYFUNCTION("""COMPUTED_VALUE"""),"Student")</f>
        <v>Student</v>
      </c>
      <c r="E472" s="8" t="str">
        <f ca="1">IFERROR(__xludf.DUMMYFUNCTION("""COMPUTED_VALUE"""),"Fled/Apprehended")</f>
        <v>Fled/Apprehended</v>
      </c>
      <c r="F472" s="8" t="str">
        <f ca="1">IFERROR(__xludf.DUMMYFUNCTION("""COMPUTED_VALUE"""),"No")</f>
        <v>No</v>
      </c>
      <c r="G472" s="8" t="str">
        <f ca="1">IFERROR(__xludf.DUMMYFUNCTION("""COMPUTED_VALUE"""),"None")</f>
        <v>None</v>
      </c>
    </row>
    <row r="473" spans="1:7" ht="12.75">
      <c r="A473" s="8" t="str">
        <f ca="1">IFERROR(__xludf.DUMMYFUNCTION("""COMPUTED_VALUE"""),"20210828CASAS")</f>
        <v>20210828CASAS</v>
      </c>
      <c r="B473" s="8"/>
      <c r="C473" s="8"/>
      <c r="D473" s="8"/>
      <c r="E473" s="8" t="str">
        <f ca="1">IFERROR(__xludf.DUMMYFUNCTION("""COMPUTED_VALUE"""),"Fled/Escaped")</f>
        <v>Fled/Escaped</v>
      </c>
      <c r="F473" s="8" t="str">
        <f ca="1">IFERROR(__xludf.DUMMYFUNCTION("""COMPUTED_VALUE"""),"No")</f>
        <v>No</v>
      </c>
      <c r="G473" s="8" t="str">
        <f ca="1">IFERROR(__xludf.DUMMYFUNCTION("""COMPUTED_VALUE"""),"None")</f>
        <v>None</v>
      </c>
    </row>
    <row r="474" spans="1:7" ht="12.75">
      <c r="A474" s="8" t="str">
        <f ca="1">IFERROR(__xludf.DUMMYFUNCTION("""COMPUTED_VALUE"""),"20210827VTEDB")</f>
        <v>20210827VTEDB</v>
      </c>
      <c r="B474" s="8"/>
      <c r="C474" s="8"/>
      <c r="D474" s="8"/>
      <c r="E474" s="8" t="str">
        <f ca="1">IFERROR(__xludf.DUMMYFUNCTION("""COMPUTED_VALUE"""),"Fled/Escaped")</f>
        <v>Fled/Escaped</v>
      </c>
      <c r="F474" s="8" t="str">
        <f ca="1">IFERROR(__xludf.DUMMYFUNCTION("""COMPUTED_VALUE"""),"No")</f>
        <v>No</v>
      </c>
      <c r="G474" s="8" t="str">
        <f ca="1">IFERROR(__xludf.DUMMYFUNCTION("""COMPUTED_VALUE"""),"None")</f>
        <v>None</v>
      </c>
    </row>
    <row r="475" spans="1:7" ht="12.75">
      <c r="A475" s="8" t="str">
        <f ca="1">IFERROR(__xludf.DUMMYFUNCTION("""COMPUTED_VALUE"""),"20210827VAFRW")</f>
        <v>20210827VAFRW</v>
      </c>
      <c r="B475" s="8">
        <f ca="1">IFERROR(__xludf.DUMMYFUNCTION("""COMPUTED_VALUE"""),17)</f>
        <v>17</v>
      </c>
      <c r="C475" s="8" t="str">
        <f ca="1">IFERROR(__xludf.DUMMYFUNCTION("""COMPUTED_VALUE"""),"Male")</f>
        <v>Male</v>
      </c>
      <c r="D475" s="8" t="str">
        <f ca="1">IFERROR(__xludf.DUMMYFUNCTION("""COMPUTED_VALUE"""),"Student")</f>
        <v>Student</v>
      </c>
      <c r="E475" s="8" t="str">
        <f ca="1">IFERROR(__xludf.DUMMYFUNCTION("""COMPUTED_VALUE"""),"Fled/Apprehended")</f>
        <v>Fled/Apprehended</v>
      </c>
      <c r="F475" s="8" t="str">
        <f ca="1">IFERROR(__xludf.DUMMYFUNCTION("""COMPUTED_VALUE"""),"No")</f>
        <v>No</v>
      </c>
      <c r="G475" s="8" t="str">
        <f ca="1">IFERROR(__xludf.DUMMYFUNCTION("""COMPUTED_VALUE"""),"None")</f>
        <v>None</v>
      </c>
    </row>
    <row r="476" spans="1:7" ht="12.75">
      <c r="A476" s="8" t="str">
        <f ca="1">IFERROR(__xludf.DUMMYFUNCTION("""COMPUTED_VALUE"""),"20210827PAACS")</f>
        <v>20210827PAACS</v>
      </c>
      <c r="B476" s="8"/>
      <c r="C476" s="8"/>
      <c r="D476" s="8" t="str">
        <f ca="1">IFERROR(__xludf.DUMMYFUNCTION("""COMPUTED_VALUE"""),"Police Officer/SRO")</f>
        <v>Police Officer/SRO</v>
      </c>
      <c r="E476" s="8" t="str">
        <f ca="1">IFERROR(__xludf.DUMMYFUNCTION("""COMPUTED_VALUE"""),"Law Enforcement")</f>
        <v>Law Enforcement</v>
      </c>
      <c r="F476" s="8"/>
      <c r="G476" s="8"/>
    </row>
    <row r="477" spans="1:7" ht="12.75">
      <c r="A477" s="8" t="str">
        <f ca="1">IFERROR(__xludf.DUMMYFUNCTION("""COMPUTED_VALUE"""),"20210827PAACS")</f>
        <v>20210827PAACS</v>
      </c>
      <c r="B477" s="8"/>
      <c r="C477" s="8"/>
      <c r="D477" s="8" t="str">
        <f ca="1">IFERROR(__xludf.DUMMYFUNCTION("""COMPUTED_VALUE"""),"Police Officer/SRO")</f>
        <v>Police Officer/SRO</v>
      </c>
      <c r="E477" s="8" t="str">
        <f ca="1">IFERROR(__xludf.DUMMYFUNCTION("""COMPUTED_VALUE"""),"Law Enforcement")</f>
        <v>Law Enforcement</v>
      </c>
      <c r="F477" s="8"/>
      <c r="G477" s="8"/>
    </row>
    <row r="478" spans="1:7" ht="12.75">
      <c r="A478" s="8" t="str">
        <f ca="1">IFERROR(__xludf.DUMMYFUNCTION("""COMPUTED_VALUE"""),"20210827PAACS")</f>
        <v>20210827PAACS</v>
      </c>
      <c r="B478" s="8"/>
      <c r="C478" s="8"/>
      <c r="D478" s="8" t="str">
        <f ca="1">IFERROR(__xludf.DUMMYFUNCTION("""COMPUTED_VALUE"""),"Police Officer/SRO")</f>
        <v>Police Officer/SRO</v>
      </c>
      <c r="E478" s="8" t="str">
        <f ca="1">IFERROR(__xludf.DUMMYFUNCTION("""COMPUTED_VALUE"""),"Law Enforcement")</f>
        <v>Law Enforcement</v>
      </c>
      <c r="F478" s="8"/>
      <c r="G478" s="8"/>
    </row>
    <row r="479" spans="1:7" ht="12.75">
      <c r="A479" s="8" t="str">
        <f ca="1">IFERROR(__xludf.DUMMYFUNCTION("""COMPUTED_VALUE"""),"20210827PAACS")</f>
        <v>20210827PAACS</v>
      </c>
      <c r="B479" s="8">
        <f ca="1">IFERROR(__xludf.DUMMYFUNCTION("""COMPUTED_VALUE"""),16)</f>
        <v>16</v>
      </c>
      <c r="C479" s="8" t="str">
        <f ca="1">IFERROR(__xludf.DUMMYFUNCTION("""COMPUTED_VALUE"""),"Male")</f>
        <v>Male</v>
      </c>
      <c r="D479" s="8" t="str">
        <f ca="1">IFERROR(__xludf.DUMMYFUNCTION("""COMPUTED_VALUE"""),"Student")</f>
        <v>Student</v>
      </c>
      <c r="E479" s="8" t="str">
        <f ca="1">IFERROR(__xludf.DUMMYFUNCTION("""COMPUTED_VALUE"""),"Fled/Apprehended")</f>
        <v>Fled/Apprehended</v>
      </c>
      <c r="F479" s="8" t="str">
        <f ca="1">IFERROR(__xludf.DUMMYFUNCTION("""COMPUTED_VALUE"""),"No")</f>
        <v>No</v>
      </c>
      <c r="G479" s="8" t="str">
        <f ca="1">IFERROR(__xludf.DUMMYFUNCTION("""COMPUTED_VALUE"""),"None")</f>
        <v>None</v>
      </c>
    </row>
    <row r="480" spans="1:7" ht="12.75">
      <c r="A480" s="8" t="str">
        <f ca="1">IFERROR(__xludf.DUMMYFUNCTION("""COMPUTED_VALUE"""),"20210827PAACS")</f>
        <v>20210827PAACS</v>
      </c>
      <c r="B480" s="8">
        <f ca="1">IFERROR(__xludf.DUMMYFUNCTION("""COMPUTED_VALUE"""),18)</f>
        <v>18</v>
      </c>
      <c r="C480" s="8" t="str">
        <f ca="1">IFERROR(__xludf.DUMMYFUNCTION("""COMPUTED_VALUE"""),"Male")</f>
        <v>Male</v>
      </c>
      <c r="D480" s="8"/>
      <c r="E480" s="8" t="str">
        <f ca="1">IFERROR(__xludf.DUMMYFUNCTION("""COMPUTED_VALUE"""),"Fled/Escaped")</f>
        <v>Fled/Escaped</v>
      </c>
      <c r="F480" s="8" t="str">
        <f ca="1">IFERROR(__xludf.DUMMYFUNCTION("""COMPUTED_VALUE"""),"No")</f>
        <v>No</v>
      </c>
      <c r="G480" s="8" t="str">
        <f ca="1">IFERROR(__xludf.DUMMYFUNCTION("""COMPUTED_VALUE"""),"None")</f>
        <v>None</v>
      </c>
    </row>
    <row r="481" spans="1:7" ht="12.75">
      <c r="A481" s="8" t="str">
        <f ca="1">IFERROR(__xludf.DUMMYFUNCTION("""COMPUTED_VALUE"""),"20210827KYAPO")</f>
        <v>20210827KYAPO</v>
      </c>
      <c r="B481" s="8" t="str">
        <f ca="1">IFERROR(__xludf.DUMMYFUNCTION("""COMPUTED_VALUE"""),"Adult")</f>
        <v>Adult</v>
      </c>
      <c r="C481" s="8" t="str">
        <f ca="1">IFERROR(__xludf.DUMMYFUNCTION("""COMPUTED_VALUE"""),"Male")</f>
        <v>Male</v>
      </c>
      <c r="D481" s="8" t="str">
        <f ca="1">IFERROR(__xludf.DUMMYFUNCTION("""COMPUTED_VALUE"""),"Nonstudent Using Athletic Facilities/Attending Game")</f>
        <v>Nonstudent Using Athletic Facilities/Attending Game</v>
      </c>
      <c r="E481" s="8" t="str">
        <f ca="1">IFERROR(__xludf.DUMMYFUNCTION("""COMPUTED_VALUE"""),"Apprehended/Killed by LE")</f>
        <v>Apprehended/Killed by LE</v>
      </c>
      <c r="F481" s="8" t="str">
        <f ca="1">IFERROR(__xludf.DUMMYFUNCTION("""COMPUTED_VALUE"""),"No")</f>
        <v>No</v>
      </c>
      <c r="G481" s="8" t="str">
        <f ca="1">IFERROR(__xludf.DUMMYFUNCTION("""COMPUTED_VALUE"""),"None")</f>
        <v>None</v>
      </c>
    </row>
    <row r="482" spans="1:7" ht="12.75">
      <c r="A482" s="8" t="str">
        <f ca="1">IFERROR(__xludf.DUMMYFUNCTION("""COMPUTED_VALUE"""),"20210827INHAH")</f>
        <v>20210827INHAH</v>
      </c>
      <c r="B482" s="8">
        <f ca="1">IFERROR(__xludf.DUMMYFUNCTION("""COMPUTED_VALUE"""),17)</f>
        <v>17</v>
      </c>
      <c r="C482" s="8" t="str">
        <f ca="1">IFERROR(__xludf.DUMMYFUNCTION("""COMPUTED_VALUE"""),"Male")</f>
        <v>Male</v>
      </c>
      <c r="D482" s="8" t="str">
        <f ca="1">IFERROR(__xludf.DUMMYFUNCTION("""COMPUTED_VALUE"""),"Former Student")</f>
        <v>Former Student</v>
      </c>
      <c r="E482" s="8" t="str">
        <f ca="1">IFERROR(__xludf.DUMMYFUNCTION("""COMPUTED_VALUE"""),"Fled/Apprehended")</f>
        <v>Fled/Apprehended</v>
      </c>
      <c r="F482" s="8" t="str">
        <f ca="1">IFERROR(__xludf.DUMMYFUNCTION("""COMPUTED_VALUE"""),"No")</f>
        <v>No</v>
      </c>
      <c r="G482" s="8" t="str">
        <f ca="1">IFERROR(__xludf.DUMMYFUNCTION("""COMPUTED_VALUE"""),"None")</f>
        <v>None</v>
      </c>
    </row>
    <row r="483" spans="1:7" ht="12.75">
      <c r="A483" s="8" t="str">
        <f ca="1">IFERROR(__xludf.DUMMYFUNCTION("""COMPUTED_VALUE"""),"20210826WAAKS")</f>
        <v>20210826WAAKS</v>
      </c>
      <c r="B483" s="8">
        <f ca="1">IFERROR(__xludf.DUMMYFUNCTION("""COMPUTED_VALUE"""),14)</f>
        <v>14</v>
      </c>
      <c r="C483" s="8" t="str">
        <f ca="1">IFERROR(__xludf.DUMMYFUNCTION("""COMPUTED_VALUE"""),"Male")</f>
        <v>Male</v>
      </c>
      <c r="D483" s="8" t="str">
        <f ca="1">IFERROR(__xludf.DUMMYFUNCTION("""COMPUTED_VALUE"""),"Former Student")</f>
        <v>Former Student</v>
      </c>
      <c r="E483" s="8" t="str">
        <f ca="1">IFERROR(__xludf.DUMMYFUNCTION("""COMPUTED_VALUE"""),"Fled/Apprehended")</f>
        <v>Fled/Apprehended</v>
      </c>
      <c r="F483" s="8" t="str">
        <f ca="1">IFERROR(__xludf.DUMMYFUNCTION("""COMPUTED_VALUE"""),"No")</f>
        <v>No</v>
      </c>
      <c r="G483" s="8" t="str">
        <f ca="1">IFERROR(__xludf.DUMMYFUNCTION("""COMPUTED_VALUE"""),"None")</f>
        <v>None</v>
      </c>
    </row>
    <row r="484" spans="1:7" ht="12.75">
      <c r="A484" s="8" t="str">
        <f ca="1">IFERROR(__xludf.DUMMYFUNCTION("""COMPUTED_VALUE"""),"20210826WAAKS")</f>
        <v>20210826WAAKS</v>
      </c>
      <c r="B484" s="8">
        <f ca="1">IFERROR(__xludf.DUMMYFUNCTION("""COMPUTED_VALUE"""),17)</f>
        <v>17</v>
      </c>
      <c r="C484" s="8" t="str">
        <f ca="1">IFERROR(__xludf.DUMMYFUNCTION("""COMPUTED_VALUE"""),"Male")</f>
        <v>Male</v>
      </c>
      <c r="D484" s="8" t="str">
        <f ca="1">IFERROR(__xludf.DUMMYFUNCTION("""COMPUTED_VALUE"""),"Former Student")</f>
        <v>Former Student</v>
      </c>
      <c r="E484" s="8" t="str">
        <f ca="1">IFERROR(__xludf.DUMMYFUNCTION("""COMPUTED_VALUE"""),"Apprehended/Killed by LE")</f>
        <v>Apprehended/Killed by LE</v>
      </c>
      <c r="F484" s="8" t="str">
        <f ca="1">IFERROR(__xludf.DUMMYFUNCTION("""COMPUTED_VALUE"""),"No")</f>
        <v>No</v>
      </c>
      <c r="G484" s="8" t="str">
        <f ca="1">IFERROR(__xludf.DUMMYFUNCTION("""COMPUTED_VALUE"""),"Wounded")</f>
        <v>Wounded</v>
      </c>
    </row>
    <row r="485" spans="1:7" ht="12.75">
      <c r="A485" s="8" t="str">
        <f ca="1">IFERROR(__xludf.DUMMYFUNCTION("""COMPUTED_VALUE"""),"20210826OHNOT")</f>
        <v>20210826OHNOT</v>
      </c>
      <c r="B485" s="8" t="str">
        <f ca="1">IFERROR(__xludf.DUMMYFUNCTION("""COMPUTED_VALUE"""),"Adult")</f>
        <v>Adult</v>
      </c>
      <c r="C485" s="8" t="str">
        <f ca="1">IFERROR(__xludf.DUMMYFUNCTION("""COMPUTED_VALUE"""),"Male")</f>
        <v>Male</v>
      </c>
      <c r="D485" s="8" t="str">
        <f ca="1">IFERROR(__xludf.DUMMYFUNCTION("""COMPUTED_VALUE"""),"Nonstudent Using Athletic Facilities/Attending Game")</f>
        <v>Nonstudent Using Athletic Facilities/Attending Game</v>
      </c>
      <c r="E485" s="8" t="str">
        <f ca="1">IFERROR(__xludf.DUMMYFUNCTION("""COMPUTED_VALUE"""),"Fled/Escaped")</f>
        <v>Fled/Escaped</v>
      </c>
      <c r="F485" s="8" t="str">
        <f ca="1">IFERROR(__xludf.DUMMYFUNCTION("""COMPUTED_VALUE"""),"No")</f>
        <v>No</v>
      </c>
      <c r="G485" s="8" t="str">
        <f ca="1">IFERROR(__xludf.DUMMYFUNCTION("""COMPUTED_VALUE"""),"None")</f>
        <v>None</v>
      </c>
    </row>
    <row r="486" spans="1:7" ht="12.75">
      <c r="A486" s="8" t="str">
        <f ca="1">IFERROR(__xludf.DUMMYFUNCTION("""COMPUTED_VALUE"""),"20210826NYHAH")</f>
        <v>20210826NYHAH</v>
      </c>
      <c r="B486" s="8">
        <f ca="1">IFERROR(__xludf.DUMMYFUNCTION("""COMPUTED_VALUE"""),27)</f>
        <v>27</v>
      </c>
      <c r="C486" s="8" t="str">
        <f ca="1">IFERROR(__xludf.DUMMYFUNCTION("""COMPUTED_VALUE"""),"Male")</f>
        <v>Male</v>
      </c>
      <c r="D486" s="8"/>
      <c r="E486" s="8" t="str">
        <f ca="1">IFERROR(__xludf.DUMMYFUNCTION("""COMPUTED_VALUE"""),"Fled/Apprehended")</f>
        <v>Fled/Apprehended</v>
      </c>
      <c r="F486" s="8" t="str">
        <f ca="1">IFERROR(__xludf.DUMMYFUNCTION("""COMPUTED_VALUE"""),"No")</f>
        <v>No</v>
      </c>
      <c r="G486" s="8" t="str">
        <f ca="1">IFERROR(__xludf.DUMMYFUNCTION("""COMPUTED_VALUE"""),"None")</f>
        <v>None</v>
      </c>
    </row>
    <row r="487" spans="1:7" ht="12.75">
      <c r="A487" s="8" t="str">
        <f ca="1">IFERROR(__xludf.DUMMYFUNCTION("""COMPUTED_VALUE"""),"20210822ILWER")</f>
        <v>20210822ILWER</v>
      </c>
      <c r="B487" s="8">
        <f ca="1">IFERROR(__xludf.DUMMYFUNCTION("""COMPUTED_VALUE"""),17)</f>
        <v>17</v>
      </c>
      <c r="C487" s="8" t="str">
        <f ca="1">IFERROR(__xludf.DUMMYFUNCTION("""COMPUTED_VALUE"""),"Male")</f>
        <v>Male</v>
      </c>
      <c r="D487" s="8" t="str">
        <f ca="1">IFERROR(__xludf.DUMMYFUNCTION("""COMPUTED_VALUE"""),"No Relation")</f>
        <v>No Relation</v>
      </c>
      <c r="E487" s="8" t="str">
        <f ca="1">IFERROR(__xludf.DUMMYFUNCTION("""COMPUTED_VALUE"""),"Fled/Apprehended")</f>
        <v>Fled/Apprehended</v>
      </c>
      <c r="F487" s="8" t="str">
        <f ca="1">IFERROR(__xludf.DUMMYFUNCTION("""COMPUTED_VALUE"""),"No")</f>
        <v>No</v>
      </c>
      <c r="G487" s="8" t="str">
        <f ca="1">IFERROR(__xludf.DUMMYFUNCTION("""COMPUTED_VALUE"""),"None")</f>
        <v>None</v>
      </c>
    </row>
    <row r="488" spans="1:7" ht="12.75">
      <c r="A488" s="8" t="str">
        <f ca="1">IFERROR(__xludf.DUMMYFUNCTION("""COMPUTED_VALUE"""),"20210820NEMIO")</f>
        <v>20210820NEMIO</v>
      </c>
      <c r="B488" s="8" t="str">
        <f ca="1">IFERROR(__xludf.DUMMYFUNCTION("""COMPUTED_VALUE"""),"Adult")</f>
        <v>Adult</v>
      </c>
      <c r="C488" s="8"/>
      <c r="D488" s="8" t="str">
        <f ca="1">IFERROR(__xludf.DUMMYFUNCTION("""COMPUTED_VALUE"""),"No Relation")</f>
        <v>No Relation</v>
      </c>
      <c r="E488" s="8" t="str">
        <f ca="1">IFERROR(__xludf.DUMMYFUNCTION("""COMPUTED_VALUE"""),"Fled/Escaped")</f>
        <v>Fled/Escaped</v>
      </c>
      <c r="F488" s="8" t="str">
        <f ca="1">IFERROR(__xludf.DUMMYFUNCTION("""COMPUTED_VALUE"""),"No")</f>
        <v>No</v>
      </c>
      <c r="G488" s="8" t="str">
        <f ca="1">IFERROR(__xludf.DUMMYFUNCTION("""COMPUTED_VALUE"""),"None")</f>
        <v>None</v>
      </c>
    </row>
    <row r="489" spans="1:7" ht="12.75">
      <c r="A489" s="8" t="str">
        <f ca="1">IFERROR(__xludf.DUMMYFUNCTION("""COMPUTED_VALUE"""),"20210820CACEF")</f>
        <v>20210820CACEF</v>
      </c>
      <c r="B489" s="8">
        <f ca="1">IFERROR(__xludf.DUMMYFUNCTION("""COMPUTED_VALUE"""),19)</f>
        <v>19</v>
      </c>
      <c r="C489" s="8" t="str">
        <f ca="1">IFERROR(__xludf.DUMMYFUNCTION("""COMPUTED_VALUE"""),"Male")</f>
        <v>Male</v>
      </c>
      <c r="D489" s="8" t="str">
        <f ca="1">IFERROR(__xludf.DUMMYFUNCTION("""COMPUTED_VALUE"""),"Nonstudent Using Athletic Facilities/Attending Game")</f>
        <v>Nonstudent Using Athletic Facilities/Attending Game</v>
      </c>
      <c r="E489" s="8" t="str">
        <f ca="1">IFERROR(__xludf.DUMMYFUNCTION("""COMPUTED_VALUE"""),"Apprehended/Killed by LE")</f>
        <v>Apprehended/Killed by LE</v>
      </c>
      <c r="F489" s="8" t="str">
        <f ca="1">IFERROR(__xludf.DUMMYFUNCTION("""COMPUTED_VALUE"""),"No")</f>
        <v>No</v>
      </c>
      <c r="G489" s="8" t="str">
        <f ca="1">IFERROR(__xludf.DUMMYFUNCTION("""COMPUTED_VALUE"""),"None")</f>
        <v>None</v>
      </c>
    </row>
    <row r="490" spans="1:7" ht="12.75">
      <c r="A490" s="8" t="str">
        <f ca="1">IFERROR(__xludf.DUMMYFUNCTION("""COMPUTED_VALUE"""),"20210818SCORO")</f>
        <v>20210818SCORO</v>
      </c>
      <c r="B490" s="8">
        <f ca="1">IFERROR(__xludf.DUMMYFUNCTION("""COMPUTED_VALUE"""),14)</f>
        <v>14</v>
      </c>
      <c r="C490" s="8" t="str">
        <f ca="1">IFERROR(__xludf.DUMMYFUNCTION("""COMPUTED_VALUE"""),"Male")</f>
        <v>Male</v>
      </c>
      <c r="D490" s="8" t="str">
        <f ca="1">IFERROR(__xludf.DUMMYFUNCTION("""COMPUTED_VALUE"""),"Student")</f>
        <v>Student</v>
      </c>
      <c r="E490" s="8" t="str">
        <f ca="1">IFERROR(__xludf.DUMMYFUNCTION("""COMPUTED_VALUE"""),"Fled/Apprehended")</f>
        <v>Fled/Apprehended</v>
      </c>
      <c r="F490" s="8" t="str">
        <f ca="1">IFERROR(__xludf.DUMMYFUNCTION("""COMPUTED_VALUE"""),"No")</f>
        <v>No</v>
      </c>
      <c r="G490" s="8" t="str">
        <f ca="1">IFERROR(__xludf.DUMMYFUNCTION("""COMPUTED_VALUE"""),"None")</f>
        <v>None</v>
      </c>
    </row>
    <row r="491" spans="1:7" ht="12.75">
      <c r="A491" s="8" t="str">
        <f ca="1">IFERROR(__xludf.DUMMYFUNCTION("""COMPUTED_VALUE"""),"20210817COYED")</f>
        <v>20210817COYED</v>
      </c>
      <c r="B491" s="8">
        <f ca="1">IFERROR(__xludf.DUMMYFUNCTION("""COMPUTED_VALUE"""),18)</f>
        <v>18</v>
      </c>
      <c r="C491" s="8" t="str">
        <f ca="1">IFERROR(__xludf.DUMMYFUNCTION("""COMPUTED_VALUE"""),"Male")</f>
        <v>Male</v>
      </c>
      <c r="D491" s="8" t="str">
        <f ca="1">IFERROR(__xludf.DUMMYFUNCTION("""COMPUTED_VALUE"""),"No Relation")</f>
        <v>No Relation</v>
      </c>
      <c r="E491" s="8" t="str">
        <f ca="1">IFERROR(__xludf.DUMMYFUNCTION("""COMPUTED_VALUE"""),"Fled/Apprehended")</f>
        <v>Fled/Apprehended</v>
      </c>
      <c r="F491" s="8" t="str">
        <f ca="1">IFERROR(__xludf.DUMMYFUNCTION("""COMPUTED_VALUE"""),"No")</f>
        <v>No</v>
      </c>
      <c r="G491" s="8" t="str">
        <f ca="1">IFERROR(__xludf.DUMMYFUNCTION("""COMPUTED_VALUE"""),"None")</f>
        <v>None</v>
      </c>
    </row>
    <row r="492" spans="1:7" ht="12.75">
      <c r="A492" s="8" t="str">
        <f ca="1">IFERROR(__xludf.DUMMYFUNCTION("""COMPUTED_VALUE"""),"20210815VAROD")</f>
        <v>20210815VAROD</v>
      </c>
      <c r="B492" s="8"/>
      <c r="C492" s="8"/>
      <c r="D492" s="8" t="str">
        <f ca="1">IFERROR(__xludf.DUMMYFUNCTION("""COMPUTED_VALUE"""),"No Relation")</f>
        <v>No Relation</v>
      </c>
      <c r="E492" s="8" t="str">
        <f ca="1">IFERROR(__xludf.DUMMYFUNCTION("""COMPUTED_VALUE"""),"Fled/Escaped")</f>
        <v>Fled/Escaped</v>
      </c>
      <c r="F492" s="8" t="str">
        <f ca="1">IFERROR(__xludf.DUMMYFUNCTION("""COMPUTED_VALUE"""),"No")</f>
        <v>No</v>
      </c>
      <c r="G492" s="8" t="str">
        <f ca="1">IFERROR(__xludf.DUMMYFUNCTION("""COMPUTED_VALUE"""),"None")</f>
        <v>None</v>
      </c>
    </row>
    <row r="493" spans="1:7" ht="12.75">
      <c r="A493" s="8" t="str">
        <f ca="1">IFERROR(__xludf.DUMMYFUNCTION("""COMPUTED_VALUE"""),"20210814SCDAH")</f>
        <v>20210814SCDAH</v>
      </c>
      <c r="B493" s="8"/>
      <c r="C493" s="8"/>
      <c r="D493" s="8"/>
      <c r="E493" s="8" t="str">
        <f ca="1">IFERROR(__xludf.DUMMYFUNCTION("""COMPUTED_VALUE"""),"Fled/Escaped")</f>
        <v>Fled/Escaped</v>
      </c>
      <c r="F493" s="8" t="str">
        <f ca="1">IFERROR(__xludf.DUMMYFUNCTION("""COMPUTED_VALUE"""),"No")</f>
        <v>No</v>
      </c>
      <c r="G493" s="8" t="str">
        <f ca="1">IFERROR(__xludf.DUMMYFUNCTION("""COMPUTED_VALUE"""),"None")</f>
        <v>None</v>
      </c>
    </row>
    <row r="494" spans="1:7" ht="12.75">
      <c r="A494" s="8" t="str">
        <f ca="1">IFERROR(__xludf.DUMMYFUNCTION("""COMPUTED_VALUE"""),"20210814ILMAC")</f>
        <v>20210814ILMAC</v>
      </c>
      <c r="B494" s="8"/>
      <c r="C494" s="8"/>
      <c r="D494" s="8" t="str">
        <f ca="1">IFERROR(__xludf.DUMMYFUNCTION("""COMPUTED_VALUE"""),"No Relation")</f>
        <v>No Relation</v>
      </c>
      <c r="E494" s="8" t="str">
        <f ca="1">IFERROR(__xludf.DUMMYFUNCTION("""COMPUTED_VALUE"""),"Fled/Escaped")</f>
        <v>Fled/Escaped</v>
      </c>
      <c r="F494" s="8" t="str">
        <f ca="1">IFERROR(__xludf.DUMMYFUNCTION("""COMPUTED_VALUE"""),"No")</f>
        <v>No</v>
      </c>
      <c r="G494" s="8" t="str">
        <f ca="1">IFERROR(__xludf.DUMMYFUNCTION("""COMPUTED_VALUE"""),"None")</f>
        <v>None</v>
      </c>
    </row>
    <row r="495" spans="1:7" ht="12.75">
      <c r="A495" s="8" t="str">
        <f ca="1">IFERROR(__xludf.DUMMYFUNCTION("""COMPUTED_VALUE"""),"20210813NMWAA")</f>
        <v>20210813NMWAA</v>
      </c>
      <c r="B495" s="8">
        <f ca="1">IFERROR(__xludf.DUMMYFUNCTION("""COMPUTED_VALUE"""),13)</f>
        <v>13</v>
      </c>
      <c r="C495" s="8" t="str">
        <f ca="1">IFERROR(__xludf.DUMMYFUNCTION("""COMPUTED_VALUE"""),"Male")</f>
        <v>Male</v>
      </c>
      <c r="D495" s="8" t="str">
        <f ca="1">IFERROR(__xludf.DUMMYFUNCTION("""COMPUTED_VALUE"""),"Student")</f>
        <v>Student</v>
      </c>
      <c r="E495" s="8" t="str">
        <f ca="1">IFERROR(__xludf.DUMMYFUNCTION("""COMPUTED_VALUE"""),"Apprehended/Killed by SRO")</f>
        <v>Apprehended/Killed by SRO</v>
      </c>
      <c r="F495" s="8" t="str">
        <f ca="1">IFERROR(__xludf.DUMMYFUNCTION("""COMPUTED_VALUE"""),"No")</f>
        <v>No</v>
      </c>
      <c r="G495" s="8" t="str">
        <f ca="1">IFERROR(__xludf.DUMMYFUNCTION("""COMPUTED_VALUE"""),"None")</f>
        <v>None</v>
      </c>
    </row>
    <row r="496" spans="1:7" ht="12.75">
      <c r="A496" s="8" t="str">
        <f ca="1">IFERROR(__xludf.DUMMYFUNCTION("""COMPUTED_VALUE"""),"20210813GACAS")</f>
        <v>20210813GACAS</v>
      </c>
      <c r="B496" s="8"/>
      <c r="C496" s="8"/>
      <c r="D496" s="8"/>
      <c r="E496" s="8" t="str">
        <f ca="1">IFERROR(__xludf.DUMMYFUNCTION("""COMPUTED_VALUE"""),"Fled/Escaped")</f>
        <v>Fled/Escaped</v>
      </c>
      <c r="F496" s="8" t="str">
        <f ca="1">IFERROR(__xludf.DUMMYFUNCTION("""COMPUTED_VALUE"""),"No")</f>
        <v>No</v>
      </c>
      <c r="G496" s="8" t="str">
        <f ca="1">IFERROR(__xludf.DUMMYFUNCTION("""COMPUTED_VALUE"""),"None")</f>
        <v>None</v>
      </c>
    </row>
    <row r="497" spans="1:7" ht="12.75">
      <c r="A497" s="8" t="str">
        <f ca="1">IFERROR(__xludf.DUMMYFUNCTION("""COMPUTED_VALUE"""),"20210812GALIL")</f>
        <v>20210812GALIL</v>
      </c>
      <c r="B497" s="8"/>
      <c r="C497" s="8"/>
      <c r="D497" s="8" t="str">
        <f ca="1">IFERROR(__xludf.DUMMYFUNCTION("""COMPUTED_VALUE"""),"Police Officer/SRO")</f>
        <v>Police Officer/SRO</v>
      </c>
      <c r="E497" s="8"/>
      <c r="F497" s="8"/>
      <c r="G497" s="8"/>
    </row>
    <row r="498" spans="1:7" ht="12.75">
      <c r="A498" s="8" t="str">
        <f ca="1">IFERROR(__xludf.DUMMYFUNCTION("""COMPUTED_VALUE"""),"20210812CANOS")</f>
        <v>20210812CANOS</v>
      </c>
      <c r="B498" s="8" t="str">
        <f ca="1">IFERROR(__xludf.DUMMYFUNCTION("""COMPUTED_VALUE"""),"Teen")</f>
        <v>Teen</v>
      </c>
      <c r="C498" s="8"/>
      <c r="D498" s="8" t="str">
        <f ca="1">IFERROR(__xludf.DUMMYFUNCTION("""COMPUTED_VALUE"""),"Student")</f>
        <v>Student</v>
      </c>
      <c r="E498" s="8" t="str">
        <f ca="1">IFERROR(__xludf.DUMMYFUNCTION("""COMPUTED_VALUE"""),"Apprehended/Killed by LE")</f>
        <v>Apprehended/Killed by LE</v>
      </c>
      <c r="F498" s="8" t="str">
        <f ca="1">IFERROR(__xludf.DUMMYFUNCTION("""COMPUTED_VALUE"""),"No")</f>
        <v>No</v>
      </c>
      <c r="G498" s="8" t="str">
        <f ca="1">IFERROR(__xludf.DUMMYFUNCTION("""COMPUTED_VALUE"""),"None")</f>
        <v>None</v>
      </c>
    </row>
    <row r="499" spans="1:7" ht="12.75">
      <c r="A499" s="8" t="str">
        <f ca="1">IFERROR(__xludf.DUMMYFUNCTION("""COMPUTED_VALUE"""),"20210811COMAC")</f>
        <v>20210811COMAC</v>
      </c>
      <c r="B499" s="8"/>
      <c r="C499" s="8"/>
      <c r="D499" s="8" t="str">
        <f ca="1">IFERROR(__xludf.DUMMYFUNCTION("""COMPUTED_VALUE"""),"No Relation")</f>
        <v>No Relation</v>
      </c>
      <c r="E499" s="8" t="str">
        <f ca="1">IFERROR(__xludf.DUMMYFUNCTION("""COMPUTED_VALUE"""),"Fled/Escaped")</f>
        <v>Fled/Escaped</v>
      </c>
      <c r="F499" s="8" t="str">
        <f ca="1">IFERROR(__xludf.DUMMYFUNCTION("""COMPUTED_VALUE"""),"No")</f>
        <v>No</v>
      </c>
      <c r="G499" s="8" t="str">
        <f ca="1">IFERROR(__xludf.DUMMYFUNCTION("""COMPUTED_VALUE"""),"None")</f>
        <v>None</v>
      </c>
    </row>
    <row r="500" spans="1:7" ht="12.75">
      <c r="A500" s="8" t="str">
        <f ca="1">IFERROR(__xludf.DUMMYFUNCTION("""COMPUTED_VALUE"""),"20210811CAOAO")</f>
        <v>20210811CAOAO</v>
      </c>
      <c r="B500" s="8"/>
      <c r="C500" s="8"/>
      <c r="D500" s="8"/>
      <c r="E500" s="8" t="str">
        <f ca="1">IFERROR(__xludf.DUMMYFUNCTION("""COMPUTED_VALUE"""),"Fled/Escaped")</f>
        <v>Fled/Escaped</v>
      </c>
      <c r="F500" s="8" t="str">
        <f ca="1">IFERROR(__xludf.DUMMYFUNCTION("""COMPUTED_VALUE"""),"No")</f>
        <v>No</v>
      </c>
      <c r="G500" s="8" t="str">
        <f ca="1">IFERROR(__xludf.DUMMYFUNCTION("""COMPUTED_VALUE"""),"None")</f>
        <v>None</v>
      </c>
    </row>
    <row r="501" spans="1:7" ht="12.75">
      <c r="A501" s="8" t="str">
        <f ca="1">IFERROR(__xludf.DUMMYFUNCTION("""COMPUTED_VALUE"""),"20210810OHEAC")</f>
        <v>20210810OHEAC</v>
      </c>
      <c r="B501" s="8">
        <f ca="1">IFERROR(__xludf.DUMMYFUNCTION("""COMPUTED_VALUE"""),12)</f>
        <v>12</v>
      </c>
      <c r="C501" s="8" t="str">
        <f ca="1">IFERROR(__xludf.DUMMYFUNCTION("""COMPUTED_VALUE"""),"Male")</f>
        <v>Male</v>
      </c>
      <c r="D501" s="8" t="str">
        <f ca="1">IFERROR(__xludf.DUMMYFUNCTION("""COMPUTED_VALUE"""),"Former Student")</f>
        <v>Former Student</v>
      </c>
      <c r="E501" s="8" t="str">
        <f ca="1">IFERROR(__xludf.DUMMYFUNCTION("""COMPUTED_VALUE"""),"Surrendered")</f>
        <v>Surrendered</v>
      </c>
      <c r="F501" s="8" t="str">
        <f ca="1">IFERROR(__xludf.DUMMYFUNCTION("""COMPUTED_VALUE"""),"No")</f>
        <v>No</v>
      </c>
      <c r="G501" s="8" t="str">
        <f ca="1">IFERROR(__xludf.DUMMYFUNCTION("""COMPUTED_VALUE"""),"None")</f>
        <v>None</v>
      </c>
    </row>
    <row r="502" spans="1:7" ht="12.75">
      <c r="A502" s="8" t="str">
        <f ca="1">IFERROR(__xludf.DUMMYFUNCTION("""COMPUTED_VALUE"""),"20210807ORGIP")</f>
        <v>20210807ORGIP</v>
      </c>
      <c r="B502" s="8"/>
      <c r="C502" s="8"/>
      <c r="D502" s="8"/>
      <c r="E502" s="8" t="str">
        <f ca="1">IFERROR(__xludf.DUMMYFUNCTION("""COMPUTED_VALUE"""),"Fled/Escaped")</f>
        <v>Fled/Escaped</v>
      </c>
      <c r="F502" s="8" t="str">
        <f ca="1">IFERROR(__xludf.DUMMYFUNCTION("""COMPUTED_VALUE"""),"No")</f>
        <v>No</v>
      </c>
      <c r="G502" s="8" t="str">
        <f ca="1">IFERROR(__xludf.DUMMYFUNCTION("""COMPUTED_VALUE"""),"None")</f>
        <v>None</v>
      </c>
    </row>
    <row r="503" spans="1:7" ht="12.75">
      <c r="A503" s="8" t="str">
        <f ca="1">IFERROR(__xludf.DUMMYFUNCTION("""COMPUTED_VALUE"""),"20210806LASTH")</f>
        <v>20210806LASTH</v>
      </c>
      <c r="B503" s="8">
        <f ca="1">IFERROR(__xludf.DUMMYFUNCTION("""COMPUTED_VALUE"""),17)</f>
        <v>17</v>
      </c>
      <c r="C503" s="8" t="str">
        <f ca="1">IFERROR(__xludf.DUMMYFUNCTION("""COMPUTED_VALUE"""),"Male")</f>
        <v>Male</v>
      </c>
      <c r="D503" s="8" t="str">
        <f ca="1">IFERROR(__xludf.DUMMYFUNCTION("""COMPUTED_VALUE"""),"No Relation")</f>
        <v>No Relation</v>
      </c>
      <c r="E503" s="8" t="str">
        <f ca="1">IFERROR(__xludf.DUMMYFUNCTION("""COMPUTED_VALUE"""),"Fled/Apprehended")</f>
        <v>Fled/Apprehended</v>
      </c>
      <c r="F503" s="8" t="str">
        <f ca="1">IFERROR(__xludf.DUMMYFUNCTION("""COMPUTED_VALUE"""),"No")</f>
        <v>No</v>
      </c>
      <c r="G503" s="8" t="str">
        <f ca="1">IFERROR(__xludf.DUMMYFUNCTION("""COMPUTED_VALUE"""),"None")</f>
        <v>None</v>
      </c>
    </row>
    <row r="504" spans="1:7" ht="12.75">
      <c r="A504" s="8" t="str">
        <f ca="1">IFERROR(__xludf.DUMMYFUNCTION("""COMPUTED_VALUE"""),"20210805GACHD")</f>
        <v>20210805GACHD</v>
      </c>
      <c r="B504" s="8">
        <f ca="1">IFERROR(__xludf.DUMMYFUNCTION("""COMPUTED_VALUE"""),23)</f>
        <v>23</v>
      </c>
      <c r="C504" s="8" t="str">
        <f ca="1">IFERROR(__xludf.DUMMYFUNCTION("""COMPUTED_VALUE"""),"Male")</f>
        <v>Male</v>
      </c>
      <c r="D504" s="8" t="str">
        <f ca="1">IFERROR(__xludf.DUMMYFUNCTION("""COMPUTED_VALUE"""),"Teacher")</f>
        <v>Teacher</v>
      </c>
      <c r="E504" s="8" t="str">
        <f ca="1">IFERROR(__xludf.DUMMYFUNCTION("""COMPUTED_VALUE"""),"Fled/Apprehended")</f>
        <v>Fled/Apprehended</v>
      </c>
      <c r="F504" s="8" t="str">
        <f ca="1">IFERROR(__xludf.DUMMYFUNCTION("""COMPUTED_VALUE"""),"No")</f>
        <v>No</v>
      </c>
      <c r="G504" s="8" t="str">
        <f ca="1">IFERROR(__xludf.DUMMYFUNCTION("""COMPUTED_VALUE"""),"None")</f>
        <v>None</v>
      </c>
    </row>
    <row r="505" spans="1:7" ht="12.75">
      <c r="A505" s="8" t="str">
        <f ca="1">IFERROR(__xludf.DUMMYFUNCTION("""COMPUTED_VALUE"""),"20210804ALBUM")</f>
        <v>20210804ALBUM</v>
      </c>
      <c r="B505" s="8"/>
      <c r="C505" s="8"/>
      <c r="D505" s="8"/>
      <c r="E505" s="8" t="str">
        <f ca="1">IFERROR(__xludf.DUMMYFUNCTION("""COMPUTED_VALUE"""),"Fled/Escaped")</f>
        <v>Fled/Escaped</v>
      </c>
      <c r="F505" s="8" t="str">
        <f ca="1">IFERROR(__xludf.DUMMYFUNCTION("""COMPUTED_VALUE"""),"No")</f>
        <v>No</v>
      </c>
      <c r="G505" s="8" t="str">
        <f ca="1">IFERROR(__xludf.DUMMYFUNCTION("""COMPUTED_VALUE"""),"None")</f>
        <v>None</v>
      </c>
    </row>
    <row r="506" spans="1:7" ht="12.75">
      <c r="A506" s="8" t="str">
        <f ca="1">IFERROR(__xludf.DUMMYFUNCTION("""COMPUTED_VALUE"""),"20210727WATYS")</f>
        <v>20210727WATYS</v>
      </c>
      <c r="B506" s="8" t="str">
        <f ca="1">IFERROR(__xludf.DUMMYFUNCTION("""COMPUTED_VALUE"""),"Adult")</f>
        <v>Adult</v>
      </c>
      <c r="C506" s="8" t="str">
        <f ca="1">IFERROR(__xludf.DUMMYFUNCTION("""COMPUTED_VALUE"""),"Male")</f>
        <v>Male</v>
      </c>
      <c r="D506" s="8" t="str">
        <f ca="1">IFERROR(__xludf.DUMMYFUNCTION("""COMPUTED_VALUE"""),"Nonstudent Using Athletic Facilities/Attending Game")</f>
        <v>Nonstudent Using Athletic Facilities/Attending Game</v>
      </c>
      <c r="E506" s="8" t="str">
        <f ca="1">IFERROR(__xludf.DUMMYFUNCTION("""COMPUTED_VALUE"""),"Fled/Escaped")</f>
        <v>Fled/Escaped</v>
      </c>
      <c r="F506" s="8" t="str">
        <f ca="1">IFERROR(__xludf.DUMMYFUNCTION("""COMPUTED_VALUE"""),"No")</f>
        <v>No</v>
      </c>
      <c r="G506" s="8" t="str">
        <f ca="1">IFERROR(__xludf.DUMMYFUNCTION("""COMPUTED_VALUE"""),"None")</f>
        <v>None</v>
      </c>
    </row>
    <row r="507" spans="1:7" ht="12.75">
      <c r="A507" s="8" t="str">
        <f ca="1">IFERROR(__xludf.DUMMYFUNCTION("""COMPUTED_VALUE"""),"20210721ILTHC")</f>
        <v>20210721ILTHC</v>
      </c>
      <c r="B507" s="8"/>
      <c r="C507" s="8"/>
      <c r="D507" s="8" t="str">
        <f ca="1">IFERROR(__xludf.DUMMYFUNCTION("""COMPUTED_VALUE"""),"No Relation")</f>
        <v>No Relation</v>
      </c>
      <c r="E507" s="8" t="str">
        <f ca="1">IFERROR(__xludf.DUMMYFUNCTION("""COMPUTED_VALUE"""),"Fled/Escaped")</f>
        <v>Fled/Escaped</v>
      </c>
      <c r="F507" s="8" t="str">
        <f ca="1">IFERROR(__xludf.DUMMYFUNCTION("""COMPUTED_VALUE"""),"No")</f>
        <v>No</v>
      </c>
      <c r="G507" s="8" t="str">
        <f ca="1">IFERROR(__xludf.DUMMYFUNCTION("""COMPUTED_VALUE"""),"None")</f>
        <v>None</v>
      </c>
    </row>
    <row r="508" spans="1:7" ht="12.75">
      <c r="A508" s="8" t="str">
        <f ca="1">IFERROR(__xludf.DUMMYFUNCTION("""COMPUTED_VALUE"""),"20210719TXCAC")</f>
        <v>20210719TXCAC</v>
      </c>
      <c r="B508" s="8" t="str">
        <f ca="1">IFERROR(__xludf.DUMMYFUNCTION("""COMPUTED_VALUE"""),"Teen")</f>
        <v>Teen</v>
      </c>
      <c r="C508" s="8"/>
      <c r="D508" s="8" t="str">
        <f ca="1">IFERROR(__xludf.DUMMYFUNCTION("""COMPUTED_VALUE"""),"Student")</f>
        <v>Student</v>
      </c>
      <c r="E508" s="8" t="str">
        <f ca="1">IFERROR(__xludf.DUMMYFUNCTION("""COMPUTED_VALUE"""),"Fled/Apprehended")</f>
        <v>Fled/Apprehended</v>
      </c>
      <c r="F508" s="8" t="str">
        <f ca="1">IFERROR(__xludf.DUMMYFUNCTION("""COMPUTED_VALUE"""),"No")</f>
        <v>No</v>
      </c>
      <c r="G508" s="8" t="str">
        <f ca="1">IFERROR(__xludf.DUMMYFUNCTION("""COMPUTED_VALUE"""),"None")</f>
        <v>None</v>
      </c>
    </row>
    <row r="509" spans="1:7" ht="12.75">
      <c r="A509" s="8" t="str">
        <f ca="1">IFERROR(__xludf.DUMMYFUNCTION("""COMPUTED_VALUE"""),"20210718ARFOL")</f>
        <v>20210718ARFOL</v>
      </c>
      <c r="B509" s="8" t="str">
        <f ca="1">IFERROR(__xludf.DUMMYFUNCTION("""COMPUTED_VALUE"""),"Adult")</f>
        <v>Adult</v>
      </c>
      <c r="C509" s="8"/>
      <c r="D509" s="8" t="str">
        <f ca="1">IFERROR(__xludf.DUMMYFUNCTION("""COMPUTED_VALUE"""),"Nonstudent Using Athletic Facilities/Attending Game")</f>
        <v>Nonstudent Using Athletic Facilities/Attending Game</v>
      </c>
      <c r="E509" s="8" t="str">
        <f ca="1">IFERROR(__xludf.DUMMYFUNCTION("""COMPUTED_VALUE"""),"Fled/Escaped")</f>
        <v>Fled/Escaped</v>
      </c>
      <c r="F509" s="8" t="str">
        <f ca="1">IFERROR(__xludf.DUMMYFUNCTION("""COMPUTED_VALUE"""),"No")</f>
        <v>No</v>
      </c>
      <c r="G509" s="8" t="str">
        <f ca="1">IFERROR(__xludf.DUMMYFUNCTION("""COMPUTED_VALUE"""),"None")</f>
        <v>None</v>
      </c>
    </row>
    <row r="510" spans="1:7" ht="12.75">
      <c r="A510" s="8" t="str">
        <f ca="1">IFERROR(__xludf.DUMMYFUNCTION("""COMPUTED_VALUE"""),"20210709KSCAW")</f>
        <v>20210709KSCAW</v>
      </c>
      <c r="B510" s="8" t="str">
        <f ca="1">IFERROR(__xludf.DUMMYFUNCTION("""COMPUTED_VALUE"""),"Adult")</f>
        <v>Adult</v>
      </c>
      <c r="C510" s="8" t="str">
        <f ca="1">IFERROR(__xludf.DUMMYFUNCTION("""COMPUTED_VALUE"""),"Male")</f>
        <v>Male</v>
      </c>
      <c r="D510" s="8" t="str">
        <f ca="1">IFERROR(__xludf.DUMMYFUNCTION("""COMPUTED_VALUE"""),"No Relation")</f>
        <v>No Relation</v>
      </c>
      <c r="E510" s="8" t="str">
        <f ca="1">IFERROR(__xludf.DUMMYFUNCTION("""COMPUTED_VALUE"""),"Suicide")</f>
        <v>Suicide</v>
      </c>
      <c r="F510" s="8" t="str">
        <f ca="1">IFERROR(__xludf.DUMMYFUNCTION("""COMPUTED_VALUE"""),"Yes")</f>
        <v>Yes</v>
      </c>
      <c r="G510" s="8" t="str">
        <f ca="1">IFERROR(__xludf.DUMMYFUNCTION("""COMPUTED_VALUE"""),"Suicide")</f>
        <v>Suicide</v>
      </c>
    </row>
    <row r="511" spans="1:7" ht="12.75">
      <c r="A511" s="8" t="str">
        <f ca="1">IFERROR(__xludf.DUMMYFUNCTION("""COMPUTED_VALUE"""),"20210708ILBEC")</f>
        <v>20210708ILBEC</v>
      </c>
      <c r="B511" s="8" t="str">
        <f ca="1">IFERROR(__xludf.DUMMYFUNCTION("""COMPUTED_VALUE"""),"Adult")</f>
        <v>Adult</v>
      </c>
      <c r="C511" s="8"/>
      <c r="D511" s="8" t="str">
        <f ca="1">IFERROR(__xludf.DUMMYFUNCTION("""COMPUTED_VALUE"""),"No Relation")</f>
        <v>No Relation</v>
      </c>
      <c r="E511" s="8" t="str">
        <f ca="1">IFERROR(__xludf.DUMMYFUNCTION("""COMPUTED_VALUE"""),"Fled/Escaped")</f>
        <v>Fled/Escaped</v>
      </c>
      <c r="F511" s="8" t="str">
        <f ca="1">IFERROR(__xludf.DUMMYFUNCTION("""COMPUTED_VALUE"""),"No")</f>
        <v>No</v>
      </c>
      <c r="G511" s="8" t="str">
        <f ca="1">IFERROR(__xludf.DUMMYFUNCTION("""COMPUTED_VALUE"""),"None")</f>
        <v>None</v>
      </c>
    </row>
    <row r="512" spans="1:7" ht="12.75">
      <c r="A512" s="8" t="str">
        <f ca="1">IFERROR(__xludf.DUMMYFUNCTION("""COMPUTED_VALUE"""),"20210704NYDRR")</f>
        <v>20210704NYDRR</v>
      </c>
      <c r="B512" s="8"/>
      <c r="C512" s="8"/>
      <c r="D512" s="8"/>
      <c r="E512" s="8" t="str">
        <f ca="1">IFERROR(__xludf.DUMMYFUNCTION("""COMPUTED_VALUE"""),"Fled/Escaped")</f>
        <v>Fled/Escaped</v>
      </c>
      <c r="F512" s="8" t="str">
        <f ca="1">IFERROR(__xludf.DUMMYFUNCTION("""COMPUTED_VALUE"""),"No")</f>
        <v>No</v>
      </c>
      <c r="G512" s="8" t="str">
        <f ca="1">IFERROR(__xludf.DUMMYFUNCTION("""COMPUTED_VALUE"""),"None")</f>
        <v>None</v>
      </c>
    </row>
    <row r="513" spans="1:7" ht="12.75">
      <c r="A513" s="8" t="str">
        <f ca="1">IFERROR(__xludf.DUMMYFUNCTION("""COMPUTED_VALUE"""),"20210628CASLF")</f>
        <v>20210628CASLF</v>
      </c>
      <c r="B513" s="8" t="str">
        <f ca="1">IFERROR(__xludf.DUMMYFUNCTION("""COMPUTED_VALUE"""),"Adult")</f>
        <v>Adult</v>
      </c>
      <c r="C513" s="8"/>
      <c r="D513" s="8" t="str">
        <f ca="1">IFERROR(__xludf.DUMMYFUNCTION("""COMPUTED_VALUE"""),"No Relation")</f>
        <v>No Relation</v>
      </c>
      <c r="E513" s="8" t="str">
        <f ca="1">IFERROR(__xludf.DUMMYFUNCTION("""COMPUTED_VALUE"""),"Fled/Escaped")</f>
        <v>Fled/Escaped</v>
      </c>
      <c r="F513" s="8" t="str">
        <f ca="1">IFERROR(__xludf.DUMMYFUNCTION("""COMPUTED_VALUE"""),"No")</f>
        <v>No</v>
      </c>
      <c r="G513" s="8" t="str">
        <f ca="1">IFERROR(__xludf.DUMMYFUNCTION("""COMPUTED_VALUE"""),"None")</f>
        <v>None</v>
      </c>
    </row>
    <row r="514" spans="1:7" ht="12.75">
      <c r="A514" s="8" t="str">
        <f ca="1">IFERROR(__xludf.DUMMYFUNCTION("""COMPUTED_VALUE"""),"20210624ILABR")</f>
        <v>20210624ILABR</v>
      </c>
      <c r="B514" s="8" t="str">
        <f ca="1">IFERROR(__xludf.DUMMYFUNCTION("""COMPUTED_VALUE"""),"Adult")</f>
        <v>Adult</v>
      </c>
      <c r="C514" s="8"/>
      <c r="D514" s="8"/>
      <c r="E514" s="8" t="str">
        <f ca="1">IFERROR(__xludf.DUMMYFUNCTION("""COMPUTED_VALUE"""),"Fled/Escaped")</f>
        <v>Fled/Escaped</v>
      </c>
      <c r="F514" s="8" t="str">
        <f ca="1">IFERROR(__xludf.DUMMYFUNCTION("""COMPUTED_VALUE"""),"No")</f>
        <v>No</v>
      </c>
      <c r="G514" s="8" t="str">
        <f ca="1">IFERROR(__xludf.DUMMYFUNCTION("""COMPUTED_VALUE"""),"None")</f>
        <v>None</v>
      </c>
    </row>
    <row r="515" spans="1:7" ht="12.75">
      <c r="A515" s="8" t="str">
        <f ca="1">IFERROR(__xludf.DUMMYFUNCTION("""COMPUTED_VALUE"""),"20210620CAGRM")</f>
        <v>20210620CAGRM</v>
      </c>
      <c r="B515" s="8" t="str">
        <f ca="1">IFERROR(__xludf.DUMMYFUNCTION("""COMPUTED_VALUE"""),"Adult")</f>
        <v>Adult</v>
      </c>
      <c r="C515" s="8"/>
      <c r="D515" s="8" t="str">
        <f ca="1">IFERROR(__xludf.DUMMYFUNCTION("""COMPUTED_VALUE"""),"Security Guard")</f>
        <v>Security Guard</v>
      </c>
      <c r="E515" s="8" t="str">
        <f ca="1">IFERROR(__xludf.DUMMYFUNCTION("""COMPUTED_VALUE"""),"Law Enforcement")</f>
        <v>Law Enforcement</v>
      </c>
      <c r="F515" s="8" t="str">
        <f ca="1">IFERROR(__xludf.DUMMYFUNCTION("""COMPUTED_VALUE"""),"No")</f>
        <v>No</v>
      </c>
      <c r="G515" s="8" t="str">
        <f ca="1">IFERROR(__xludf.DUMMYFUNCTION("""COMPUTED_VALUE"""),"None")</f>
        <v>None</v>
      </c>
    </row>
    <row r="516" spans="1:7" ht="12.75">
      <c r="A516" s="8" t="str">
        <f ca="1">IFERROR(__xludf.DUMMYFUNCTION("""COMPUTED_VALUE"""),"20210614TXEAF")</f>
        <v>20210614TXEAF</v>
      </c>
      <c r="B516" s="8"/>
      <c r="C516" s="8" t="str">
        <f ca="1">IFERROR(__xludf.DUMMYFUNCTION("""COMPUTED_VALUE"""),"Male")</f>
        <v>Male</v>
      </c>
      <c r="D516" s="8"/>
      <c r="E516" s="8" t="str">
        <f ca="1">IFERROR(__xludf.DUMMYFUNCTION("""COMPUTED_VALUE"""),"Fled/Escaped")</f>
        <v>Fled/Escaped</v>
      </c>
      <c r="F516" s="8" t="str">
        <f ca="1">IFERROR(__xludf.DUMMYFUNCTION("""COMPUTED_VALUE"""),"No")</f>
        <v>No</v>
      </c>
      <c r="G516" s="8" t="str">
        <f ca="1">IFERROR(__xludf.DUMMYFUNCTION("""COMPUTED_VALUE"""),"None")</f>
        <v>None</v>
      </c>
    </row>
    <row r="517" spans="1:7" ht="12.75">
      <c r="A517" s="8" t="str">
        <f ca="1">IFERROR(__xludf.DUMMYFUNCTION("""COMPUTED_VALUE"""),"20210614NCROR")</f>
        <v>20210614NCROR</v>
      </c>
      <c r="B517" s="8"/>
      <c r="C517" s="8"/>
      <c r="D517" s="8"/>
      <c r="E517" s="8" t="str">
        <f ca="1">IFERROR(__xludf.DUMMYFUNCTION("""COMPUTED_VALUE"""),"Fled/Escaped")</f>
        <v>Fled/Escaped</v>
      </c>
      <c r="F517" s="8" t="str">
        <f ca="1">IFERROR(__xludf.DUMMYFUNCTION("""COMPUTED_VALUE"""),"No")</f>
        <v>No</v>
      </c>
      <c r="G517" s="8" t="str">
        <f ca="1">IFERROR(__xludf.DUMMYFUNCTION("""COMPUTED_VALUE"""),"None")</f>
        <v>None</v>
      </c>
    </row>
    <row r="518" spans="1:7" ht="12.75">
      <c r="A518" s="8" t="str">
        <f ca="1">IFERROR(__xludf.DUMMYFUNCTION("""COMPUTED_VALUE"""),"20210614NCROR")</f>
        <v>20210614NCROR</v>
      </c>
      <c r="B518" s="8"/>
      <c r="C518" s="8"/>
      <c r="D518" s="8"/>
      <c r="E518" s="8" t="str">
        <f ca="1">IFERROR(__xludf.DUMMYFUNCTION("""COMPUTED_VALUE"""),"Fled/Escaped")</f>
        <v>Fled/Escaped</v>
      </c>
      <c r="F518" s="8" t="str">
        <f ca="1">IFERROR(__xludf.DUMMYFUNCTION("""COMPUTED_VALUE"""),"No")</f>
        <v>No</v>
      </c>
      <c r="G518" s="8" t="str">
        <f ca="1">IFERROR(__xludf.DUMMYFUNCTION("""COMPUTED_VALUE"""),"None")</f>
        <v>None</v>
      </c>
    </row>
    <row r="519" spans="1:7" ht="12.75">
      <c r="A519" s="8" t="str">
        <f ca="1">IFERROR(__xludf.DUMMYFUNCTION("""COMPUTED_VALUE"""),"20210614NCROR")</f>
        <v>20210614NCROR</v>
      </c>
      <c r="B519" s="8"/>
      <c r="C519" s="8"/>
      <c r="D519" s="8"/>
      <c r="E519" s="8" t="str">
        <f ca="1">IFERROR(__xludf.DUMMYFUNCTION("""COMPUTED_VALUE"""),"Fled/Escaped")</f>
        <v>Fled/Escaped</v>
      </c>
      <c r="F519" s="8" t="str">
        <f ca="1">IFERROR(__xludf.DUMMYFUNCTION("""COMPUTED_VALUE"""),"No")</f>
        <v>No</v>
      </c>
      <c r="G519" s="8" t="str">
        <f ca="1">IFERROR(__xludf.DUMMYFUNCTION("""COMPUTED_VALUE"""),"None")</f>
        <v>None</v>
      </c>
    </row>
    <row r="520" spans="1:7" ht="12.75">
      <c r="A520" s="8" t="str">
        <f ca="1">IFERROR(__xludf.DUMMYFUNCTION("""COMPUTED_VALUE"""),"20210614NCRJW")</f>
        <v>20210614NCRJW</v>
      </c>
      <c r="B520" s="8">
        <f ca="1">IFERROR(__xludf.DUMMYFUNCTION("""COMPUTED_VALUE"""),26)</f>
        <v>26</v>
      </c>
      <c r="C520" s="8" t="str">
        <f ca="1">IFERROR(__xludf.DUMMYFUNCTION("""COMPUTED_VALUE"""),"Male")</f>
        <v>Male</v>
      </c>
      <c r="D520" s="8" t="str">
        <f ca="1">IFERROR(__xludf.DUMMYFUNCTION("""COMPUTED_VALUE"""),"No Relation")</f>
        <v>No Relation</v>
      </c>
      <c r="E520" s="8" t="str">
        <f ca="1">IFERROR(__xludf.DUMMYFUNCTION("""COMPUTED_VALUE"""),"Apprehended/Killed by LE")</f>
        <v>Apprehended/Killed by LE</v>
      </c>
      <c r="F520" s="8" t="str">
        <f ca="1">IFERROR(__xludf.DUMMYFUNCTION("""COMPUTED_VALUE"""),"Yes")</f>
        <v>Yes</v>
      </c>
      <c r="G520" s="8" t="str">
        <f ca="1">IFERROR(__xludf.DUMMYFUNCTION("""COMPUTED_VALUE"""),"Fatal")</f>
        <v>Fatal</v>
      </c>
    </row>
    <row r="521" spans="1:7" ht="12.75">
      <c r="A521" s="8" t="str">
        <f ca="1">IFERROR(__xludf.DUMMYFUNCTION("""COMPUTED_VALUE"""),"20210613PAWIP")</f>
        <v>20210613PAWIP</v>
      </c>
      <c r="B521" s="8"/>
      <c r="C521" s="8" t="str">
        <f ca="1">IFERROR(__xludf.DUMMYFUNCTION("""COMPUTED_VALUE"""),"Male")</f>
        <v>Male</v>
      </c>
      <c r="D521" s="8" t="str">
        <f ca="1">IFERROR(__xludf.DUMMYFUNCTION("""COMPUTED_VALUE"""),"Nonstudent Using Athletic Facilities/Attending Game")</f>
        <v>Nonstudent Using Athletic Facilities/Attending Game</v>
      </c>
      <c r="E521" s="8" t="str">
        <f ca="1">IFERROR(__xludf.DUMMYFUNCTION("""COMPUTED_VALUE"""),"Fled/Escaped")</f>
        <v>Fled/Escaped</v>
      </c>
      <c r="F521" s="8" t="str">
        <f ca="1">IFERROR(__xludf.DUMMYFUNCTION("""COMPUTED_VALUE"""),"No")</f>
        <v>No</v>
      </c>
      <c r="G521" s="8" t="str">
        <f ca="1">IFERROR(__xludf.DUMMYFUNCTION("""COMPUTED_VALUE"""),"None")</f>
        <v>None</v>
      </c>
    </row>
    <row r="522" spans="1:7" ht="12.75">
      <c r="A522" s="8" t="str">
        <f ca="1">IFERROR(__xludf.DUMMYFUNCTION("""COMPUTED_VALUE"""),"20210613PAPAC")</f>
        <v>20210613PAPAC</v>
      </c>
      <c r="B522" s="8">
        <f ca="1">IFERROR(__xludf.DUMMYFUNCTION("""COMPUTED_VALUE"""),78)</f>
        <v>78</v>
      </c>
      <c r="C522" s="8" t="str">
        <f ca="1">IFERROR(__xludf.DUMMYFUNCTION("""COMPUTED_VALUE"""),"Male")</f>
        <v>Male</v>
      </c>
      <c r="D522" s="8" t="str">
        <f ca="1">IFERROR(__xludf.DUMMYFUNCTION("""COMPUTED_VALUE"""),"No Relation")</f>
        <v>No Relation</v>
      </c>
      <c r="E522" s="8" t="str">
        <f ca="1">IFERROR(__xludf.DUMMYFUNCTION("""COMPUTED_VALUE"""),"Suicide")</f>
        <v>Suicide</v>
      </c>
      <c r="F522" s="8" t="str">
        <f ca="1">IFERROR(__xludf.DUMMYFUNCTION("""COMPUTED_VALUE"""),"No")</f>
        <v>No</v>
      </c>
      <c r="G522" s="8" t="str">
        <f ca="1">IFERROR(__xludf.DUMMYFUNCTION("""COMPUTED_VALUE"""),"Suicide")</f>
        <v>Suicide</v>
      </c>
    </row>
    <row r="523" spans="1:7" ht="12.75">
      <c r="A523" s="8" t="str">
        <f ca="1">IFERROR(__xludf.DUMMYFUNCTION("""COMPUTED_VALUE"""),"20210612MOMCF")</f>
        <v>20210612MOMCF</v>
      </c>
      <c r="B523" s="8">
        <f ca="1">IFERROR(__xludf.DUMMYFUNCTION("""COMPUTED_VALUE"""),18)</f>
        <v>18</v>
      </c>
      <c r="C523" s="8" t="str">
        <f ca="1">IFERROR(__xludf.DUMMYFUNCTION("""COMPUTED_VALUE"""),"Male")</f>
        <v>Male</v>
      </c>
      <c r="D523" s="8" t="str">
        <f ca="1">IFERROR(__xludf.DUMMYFUNCTION("""COMPUTED_VALUE"""),"Student")</f>
        <v>Student</v>
      </c>
      <c r="E523" s="8" t="str">
        <f ca="1">IFERROR(__xludf.DUMMYFUNCTION("""COMPUTED_VALUE"""),"Fled/Apprehended")</f>
        <v>Fled/Apprehended</v>
      </c>
      <c r="F523" s="8" t="str">
        <f ca="1">IFERROR(__xludf.DUMMYFUNCTION("""COMPUTED_VALUE"""),"No")</f>
        <v>No</v>
      </c>
      <c r="G523" s="8" t="str">
        <f ca="1">IFERROR(__xludf.DUMMYFUNCTION("""COMPUTED_VALUE"""),"None")</f>
        <v>None</v>
      </c>
    </row>
    <row r="524" spans="1:7" ht="12.75">
      <c r="A524" s="8" t="str">
        <f ca="1">IFERROR(__xludf.DUMMYFUNCTION("""COMPUTED_VALUE"""),"20210610CTHOW")</f>
        <v>20210610CTHOW</v>
      </c>
      <c r="B524" s="8">
        <f ca="1">IFERROR(__xludf.DUMMYFUNCTION("""COMPUTED_VALUE"""),41)</f>
        <v>41</v>
      </c>
      <c r="C524" s="8" t="str">
        <f ca="1">IFERROR(__xludf.DUMMYFUNCTION("""COMPUTED_VALUE"""),"Male")</f>
        <v>Male</v>
      </c>
      <c r="D524" s="8" t="str">
        <f ca="1">IFERROR(__xludf.DUMMYFUNCTION("""COMPUTED_VALUE"""),"No Relation")</f>
        <v>No Relation</v>
      </c>
      <c r="E524" s="8" t="str">
        <f ca="1">IFERROR(__xludf.DUMMYFUNCTION("""COMPUTED_VALUE"""),"Apprehended/Killed by LE")</f>
        <v>Apprehended/Killed by LE</v>
      </c>
      <c r="F524" s="8" t="str">
        <f ca="1">IFERROR(__xludf.DUMMYFUNCTION("""COMPUTED_VALUE"""),"No")</f>
        <v>No</v>
      </c>
      <c r="G524" s="8" t="str">
        <f ca="1">IFERROR(__xludf.DUMMYFUNCTION("""COMPUTED_VALUE"""),"None")</f>
        <v>None</v>
      </c>
    </row>
    <row r="525" spans="1:7" ht="12.75">
      <c r="A525" s="8" t="str">
        <f ca="1">IFERROR(__xludf.DUMMYFUNCTION("""COMPUTED_VALUE"""),"20210610CTHOW")</f>
        <v>20210610CTHOW</v>
      </c>
      <c r="B525" s="8">
        <f ca="1">IFERROR(__xludf.DUMMYFUNCTION("""COMPUTED_VALUE"""),45)</f>
        <v>45</v>
      </c>
      <c r="C525" s="8" t="str">
        <f ca="1">IFERROR(__xludf.DUMMYFUNCTION("""COMPUTED_VALUE"""),"Male")</f>
        <v>Male</v>
      </c>
      <c r="D525" s="8" t="str">
        <f ca="1">IFERROR(__xludf.DUMMYFUNCTION("""COMPUTED_VALUE"""),"No Relation")</f>
        <v>No Relation</v>
      </c>
      <c r="E525" s="8" t="str">
        <f ca="1">IFERROR(__xludf.DUMMYFUNCTION("""COMPUTED_VALUE"""),"Apprehended/Killed by LE")</f>
        <v>Apprehended/Killed by LE</v>
      </c>
      <c r="F525" s="8" t="str">
        <f ca="1">IFERROR(__xludf.DUMMYFUNCTION("""COMPUTED_VALUE"""),"No")</f>
        <v>No</v>
      </c>
      <c r="G525" s="8" t="str">
        <f ca="1">IFERROR(__xludf.DUMMYFUNCTION("""COMPUTED_VALUE"""),"None")</f>
        <v>None</v>
      </c>
    </row>
    <row r="526" spans="1:7" ht="12.75">
      <c r="A526" s="8" t="str">
        <f ca="1">IFERROR(__xludf.DUMMYFUNCTION("""COMPUTED_VALUE"""),"20210609VAWIR")</f>
        <v>20210609VAWIR</v>
      </c>
      <c r="B526" s="8" t="str">
        <f ca="1">IFERROR(__xludf.DUMMYFUNCTION("""COMPUTED_VALUE"""),"Teen")</f>
        <v>Teen</v>
      </c>
      <c r="C526" s="8" t="str">
        <f ca="1">IFERROR(__xludf.DUMMYFUNCTION("""COMPUTED_VALUE"""),"Male")</f>
        <v>Male</v>
      </c>
      <c r="D526" s="8" t="str">
        <f ca="1">IFERROR(__xludf.DUMMYFUNCTION("""COMPUTED_VALUE"""),"Student")</f>
        <v>Student</v>
      </c>
      <c r="E526" s="8" t="str">
        <f ca="1">IFERROR(__xludf.DUMMYFUNCTION("""COMPUTED_VALUE"""),"Fled/Apprehended")</f>
        <v>Fled/Apprehended</v>
      </c>
      <c r="F526" s="8" t="str">
        <f ca="1">IFERROR(__xludf.DUMMYFUNCTION("""COMPUTED_VALUE"""),"No")</f>
        <v>No</v>
      </c>
      <c r="G526" s="8" t="str">
        <f ca="1">IFERROR(__xludf.DUMMYFUNCTION("""COMPUTED_VALUE"""),"None")</f>
        <v>None</v>
      </c>
    </row>
    <row r="527" spans="1:7" ht="12.75">
      <c r="A527" s="8" t="str">
        <f ca="1">IFERROR(__xludf.DUMMYFUNCTION("""COMPUTED_VALUE"""),"20210609TXNOH")</f>
        <v>20210609TXNOH</v>
      </c>
      <c r="B527" s="8">
        <f ca="1">IFERROR(__xludf.DUMMYFUNCTION("""COMPUTED_VALUE"""),18)</f>
        <v>18</v>
      </c>
      <c r="C527" s="8" t="str">
        <f ca="1">IFERROR(__xludf.DUMMYFUNCTION("""COMPUTED_VALUE"""),"Male")</f>
        <v>Male</v>
      </c>
      <c r="D527" s="8" t="str">
        <f ca="1">IFERROR(__xludf.DUMMYFUNCTION("""COMPUTED_VALUE"""),"Student")</f>
        <v>Student</v>
      </c>
      <c r="E527" s="8" t="str">
        <f ca="1">IFERROR(__xludf.DUMMYFUNCTION("""COMPUTED_VALUE"""),"Fled/Apprehended")</f>
        <v>Fled/Apprehended</v>
      </c>
      <c r="F527" s="8" t="str">
        <f ca="1">IFERROR(__xludf.DUMMYFUNCTION("""COMPUTED_VALUE"""),"No")</f>
        <v>No</v>
      </c>
      <c r="G527" s="8" t="str">
        <f ca="1">IFERROR(__xludf.DUMMYFUNCTION("""COMPUTED_VALUE"""),"None")</f>
        <v>None</v>
      </c>
    </row>
    <row r="528" spans="1:7" ht="12.75">
      <c r="A528" s="8" t="str">
        <f ca="1">IFERROR(__xludf.DUMMYFUNCTION("""COMPUTED_VALUE"""),"20210608PAMUS")</f>
        <v>20210608PAMUS</v>
      </c>
      <c r="B528" s="8">
        <f ca="1">IFERROR(__xludf.DUMMYFUNCTION("""COMPUTED_VALUE"""),17)</f>
        <v>17</v>
      </c>
      <c r="C528" s="8" t="str">
        <f ca="1">IFERROR(__xludf.DUMMYFUNCTION("""COMPUTED_VALUE"""),"Male")</f>
        <v>Male</v>
      </c>
      <c r="D528" s="8" t="str">
        <f ca="1">IFERROR(__xludf.DUMMYFUNCTION("""COMPUTED_VALUE"""),"No Relation")</f>
        <v>No Relation</v>
      </c>
      <c r="E528" s="8" t="str">
        <f ca="1">IFERROR(__xludf.DUMMYFUNCTION("""COMPUTED_VALUE"""),"Fled/Apprehended")</f>
        <v>Fled/Apprehended</v>
      </c>
      <c r="F528" s="8" t="str">
        <f ca="1">IFERROR(__xludf.DUMMYFUNCTION("""COMPUTED_VALUE"""),"No")</f>
        <v>No</v>
      </c>
      <c r="G528" s="8" t="str">
        <f ca="1">IFERROR(__xludf.DUMMYFUNCTION("""COMPUTED_VALUE"""),"None")</f>
        <v>None</v>
      </c>
    </row>
    <row r="529" spans="1:7" ht="12.75">
      <c r="A529" s="8" t="str">
        <f ca="1">IFERROR(__xludf.DUMMYFUNCTION("""COMPUTED_VALUE"""),"20210608KSHAK")</f>
        <v>20210608KSHAK</v>
      </c>
      <c r="B529" s="8">
        <f ca="1">IFERROR(__xludf.DUMMYFUNCTION("""COMPUTED_VALUE"""),16)</f>
        <v>16</v>
      </c>
      <c r="C529" s="8" t="str">
        <f ca="1">IFERROR(__xludf.DUMMYFUNCTION("""COMPUTED_VALUE"""),"Male")</f>
        <v>Male</v>
      </c>
      <c r="D529" s="8" t="str">
        <f ca="1">IFERROR(__xludf.DUMMYFUNCTION("""COMPUTED_VALUE"""),"No Relation")</f>
        <v>No Relation</v>
      </c>
      <c r="E529" s="8" t="str">
        <f ca="1">IFERROR(__xludf.DUMMYFUNCTION("""COMPUTED_VALUE"""),"Fled/Apprehended")</f>
        <v>Fled/Apprehended</v>
      </c>
      <c r="F529" s="8" t="str">
        <f ca="1">IFERROR(__xludf.DUMMYFUNCTION("""COMPUTED_VALUE"""),"No")</f>
        <v>No</v>
      </c>
      <c r="G529" s="8" t="str">
        <f ca="1">IFERROR(__xludf.DUMMYFUNCTION("""COMPUTED_VALUE"""),"None")</f>
        <v>None</v>
      </c>
    </row>
    <row r="530" spans="1:7" ht="12.75">
      <c r="A530" s="8" t="str">
        <f ca="1">IFERROR(__xludf.DUMMYFUNCTION("""COMPUTED_VALUE"""),"20210608KSHAK")</f>
        <v>20210608KSHAK</v>
      </c>
      <c r="B530" s="8">
        <f ca="1">IFERROR(__xludf.DUMMYFUNCTION("""COMPUTED_VALUE"""),17)</f>
        <v>17</v>
      </c>
      <c r="C530" s="8" t="str">
        <f ca="1">IFERROR(__xludf.DUMMYFUNCTION("""COMPUTED_VALUE"""),"Male")</f>
        <v>Male</v>
      </c>
      <c r="D530" s="8"/>
      <c r="E530" s="8" t="str">
        <f ca="1">IFERROR(__xludf.DUMMYFUNCTION("""COMPUTED_VALUE"""),"Fled/Apprehended")</f>
        <v>Fled/Apprehended</v>
      </c>
      <c r="F530" s="8" t="str">
        <f ca="1">IFERROR(__xludf.DUMMYFUNCTION("""COMPUTED_VALUE"""),"No")</f>
        <v>No</v>
      </c>
      <c r="G530" s="8" t="str">
        <f ca="1">IFERROR(__xludf.DUMMYFUNCTION("""COMPUTED_VALUE"""),"None")</f>
        <v>None</v>
      </c>
    </row>
    <row r="531" spans="1:7" ht="12.75">
      <c r="A531" s="8" t="str">
        <f ca="1">IFERROR(__xludf.DUMMYFUNCTION("""COMPUTED_VALUE"""),"20210607TXEAF")</f>
        <v>20210607TXEAF</v>
      </c>
      <c r="B531" s="8"/>
      <c r="C531" s="8"/>
      <c r="D531" s="8"/>
      <c r="E531" s="8" t="str">
        <f ca="1">IFERROR(__xludf.DUMMYFUNCTION("""COMPUTED_VALUE"""),"Fled/Escaped")</f>
        <v>Fled/Escaped</v>
      </c>
      <c r="F531" s="8" t="str">
        <f ca="1">IFERROR(__xludf.DUMMYFUNCTION("""COMPUTED_VALUE"""),"No")</f>
        <v>No</v>
      </c>
      <c r="G531" s="8" t="str">
        <f ca="1">IFERROR(__xludf.DUMMYFUNCTION("""COMPUTED_VALUE"""),"None")</f>
        <v>None</v>
      </c>
    </row>
    <row r="532" spans="1:7" ht="12.75">
      <c r="A532" s="8" t="str">
        <f ca="1">IFERROR(__xludf.DUMMYFUNCTION("""COMPUTED_VALUE"""),"20210606VADRA")</f>
        <v>20210606VADRA</v>
      </c>
      <c r="B532" s="8"/>
      <c r="C532" s="8"/>
      <c r="D532" s="8" t="str">
        <f ca="1">IFERROR(__xludf.DUMMYFUNCTION("""COMPUTED_VALUE"""),"No Relation")</f>
        <v>No Relation</v>
      </c>
      <c r="E532" s="8" t="str">
        <f ca="1">IFERROR(__xludf.DUMMYFUNCTION("""COMPUTED_VALUE"""),"Fled/Escaped")</f>
        <v>Fled/Escaped</v>
      </c>
      <c r="F532" s="8" t="str">
        <f ca="1">IFERROR(__xludf.DUMMYFUNCTION("""COMPUTED_VALUE"""),"No")</f>
        <v>No</v>
      </c>
      <c r="G532" s="8" t="str">
        <f ca="1">IFERROR(__xludf.DUMMYFUNCTION("""COMPUTED_VALUE"""),"None")</f>
        <v>None</v>
      </c>
    </row>
    <row r="533" spans="1:7" ht="12.75">
      <c r="A533" s="8" t="str">
        <f ca="1">IFERROR(__xludf.DUMMYFUNCTION("""COMPUTED_VALUE"""),"20210606VADRA")</f>
        <v>20210606VADRA</v>
      </c>
      <c r="B533" s="8"/>
      <c r="C533" s="8"/>
      <c r="D533" s="8" t="str">
        <f ca="1">IFERROR(__xludf.DUMMYFUNCTION("""COMPUTED_VALUE"""),"No Relation")</f>
        <v>No Relation</v>
      </c>
      <c r="E533" s="8" t="str">
        <f ca="1">IFERROR(__xludf.DUMMYFUNCTION("""COMPUTED_VALUE"""),"Fled/Escaped")</f>
        <v>Fled/Escaped</v>
      </c>
      <c r="F533" s="8" t="str">
        <f ca="1">IFERROR(__xludf.DUMMYFUNCTION("""COMPUTED_VALUE"""),"No")</f>
        <v>No</v>
      </c>
      <c r="G533" s="8" t="str">
        <f ca="1">IFERROR(__xludf.DUMMYFUNCTION("""COMPUTED_VALUE"""),"None")</f>
        <v>None</v>
      </c>
    </row>
    <row r="534" spans="1:7" ht="12.75">
      <c r="A534" s="8" t="str">
        <f ca="1">IFERROR(__xludf.DUMMYFUNCTION("""COMPUTED_VALUE"""),"20210601ILLIC")</f>
        <v>20210601ILLIC</v>
      </c>
      <c r="B534" s="8">
        <f ca="1">IFERROR(__xludf.DUMMYFUNCTION("""COMPUTED_VALUE"""),17)</f>
        <v>17</v>
      </c>
      <c r="C534" s="8" t="str">
        <f ca="1">IFERROR(__xludf.DUMMYFUNCTION("""COMPUTED_VALUE"""),"Male")</f>
        <v>Male</v>
      </c>
      <c r="D534" s="8"/>
      <c r="E534" s="8" t="str">
        <f ca="1">IFERROR(__xludf.DUMMYFUNCTION("""COMPUTED_VALUE"""),"Fled/Escaped")</f>
        <v>Fled/Escaped</v>
      </c>
      <c r="F534" s="8" t="str">
        <f ca="1">IFERROR(__xludf.DUMMYFUNCTION("""COMPUTED_VALUE"""),"No")</f>
        <v>No</v>
      </c>
      <c r="G534" s="8" t="str">
        <f ca="1">IFERROR(__xludf.DUMMYFUNCTION("""COMPUTED_VALUE"""),"None")</f>
        <v>None</v>
      </c>
    </row>
    <row r="535" spans="1:7" ht="12.75">
      <c r="A535" s="8" t="str">
        <f ca="1">IFERROR(__xludf.DUMMYFUNCTION("""COMPUTED_VALUE"""),"20210525NJPAP")</f>
        <v>20210525NJPAP</v>
      </c>
      <c r="B535" s="8">
        <f ca="1">IFERROR(__xludf.DUMMYFUNCTION("""COMPUTED_VALUE"""),15)</f>
        <v>15</v>
      </c>
      <c r="C535" s="8" t="str">
        <f ca="1">IFERROR(__xludf.DUMMYFUNCTION("""COMPUTED_VALUE"""),"Male")</f>
        <v>Male</v>
      </c>
      <c r="D535" s="8" t="str">
        <f ca="1">IFERROR(__xludf.DUMMYFUNCTION("""COMPUTED_VALUE"""),"No Relation")</f>
        <v>No Relation</v>
      </c>
      <c r="E535" s="8" t="str">
        <f ca="1">IFERROR(__xludf.DUMMYFUNCTION("""COMPUTED_VALUE"""),"Apprehended/Killed by LE")</f>
        <v>Apprehended/Killed by LE</v>
      </c>
      <c r="F535" s="8" t="str">
        <f ca="1">IFERROR(__xludf.DUMMYFUNCTION("""COMPUTED_VALUE"""),"No")</f>
        <v>No</v>
      </c>
      <c r="G535" s="8" t="str">
        <f ca="1">IFERROR(__xludf.DUMMYFUNCTION("""COMPUTED_VALUE"""),"None")</f>
        <v>None</v>
      </c>
    </row>
    <row r="536" spans="1:7" ht="12.75">
      <c r="A536" s="8" t="str">
        <f ca="1">IFERROR(__xludf.DUMMYFUNCTION("""COMPUTED_VALUE"""),"20210517TXBRE")</f>
        <v>20210517TXBRE</v>
      </c>
      <c r="B536" s="8">
        <f ca="1">IFERROR(__xludf.DUMMYFUNCTION("""COMPUTED_VALUE"""),13)</f>
        <v>13</v>
      </c>
      <c r="C536" s="8" t="str">
        <f ca="1">IFERROR(__xludf.DUMMYFUNCTION("""COMPUTED_VALUE"""),"Male")</f>
        <v>Male</v>
      </c>
      <c r="D536" s="8" t="str">
        <f ca="1">IFERROR(__xludf.DUMMYFUNCTION("""COMPUTED_VALUE"""),"Student")</f>
        <v>Student</v>
      </c>
      <c r="E536" s="8" t="str">
        <f ca="1">IFERROR(__xludf.DUMMYFUNCTION("""COMPUTED_VALUE"""),"Fled/Escaped")</f>
        <v>Fled/Escaped</v>
      </c>
      <c r="F536" s="8" t="str">
        <f ca="1">IFERROR(__xludf.DUMMYFUNCTION("""COMPUTED_VALUE"""),"No")</f>
        <v>No</v>
      </c>
      <c r="G536" s="8" t="str">
        <f ca="1">IFERROR(__xludf.DUMMYFUNCTION("""COMPUTED_VALUE"""),"None")</f>
        <v>None</v>
      </c>
    </row>
    <row r="537" spans="1:7" ht="12.75">
      <c r="A537" s="8" t="str">
        <f ca="1">IFERROR(__xludf.DUMMYFUNCTION("""COMPUTED_VALUE"""),"20210517TNAUM")</f>
        <v>20210517TNAUM</v>
      </c>
      <c r="B537" s="8">
        <f ca="1">IFERROR(__xludf.DUMMYFUNCTION("""COMPUTED_VALUE"""),51)</f>
        <v>51</v>
      </c>
      <c r="C537" s="8" t="str">
        <f ca="1">IFERROR(__xludf.DUMMYFUNCTION("""COMPUTED_VALUE"""),"Male")</f>
        <v>Male</v>
      </c>
      <c r="D537" s="8" t="str">
        <f ca="1">IFERROR(__xludf.DUMMYFUNCTION("""COMPUTED_VALUE"""),"No Relation")</f>
        <v>No Relation</v>
      </c>
      <c r="E537" s="8" t="str">
        <f ca="1">IFERROR(__xludf.DUMMYFUNCTION("""COMPUTED_VALUE"""),"Apprehended/Killed by LE")</f>
        <v>Apprehended/Killed by LE</v>
      </c>
      <c r="F537" s="8" t="str">
        <f ca="1">IFERROR(__xludf.DUMMYFUNCTION("""COMPUTED_VALUE"""),"No")</f>
        <v>No</v>
      </c>
      <c r="G537" s="8" t="str">
        <f ca="1">IFERROR(__xludf.DUMMYFUNCTION("""COMPUTED_VALUE"""),"None")</f>
        <v>None</v>
      </c>
    </row>
    <row r="538" spans="1:7" ht="12.75">
      <c r="A538" s="8" t="str">
        <f ca="1">IFERROR(__xludf.DUMMYFUNCTION("""COMPUTED_VALUE"""),"20210517MDLOC")</f>
        <v>20210517MDLOC</v>
      </c>
      <c r="B538" s="8">
        <f ca="1">IFERROR(__xludf.DUMMYFUNCTION("""COMPUTED_VALUE"""),18)</f>
        <v>18</v>
      </c>
      <c r="C538" s="8" t="str">
        <f ca="1">IFERROR(__xludf.DUMMYFUNCTION("""COMPUTED_VALUE"""),"Male")</f>
        <v>Male</v>
      </c>
      <c r="D538" s="8" t="str">
        <f ca="1">IFERROR(__xludf.DUMMYFUNCTION("""COMPUTED_VALUE"""),"Relative")</f>
        <v>Relative</v>
      </c>
      <c r="E538" s="8" t="str">
        <f ca="1">IFERROR(__xludf.DUMMYFUNCTION("""COMPUTED_VALUE"""),"Apprehended/Killed by LE")</f>
        <v>Apprehended/Killed by LE</v>
      </c>
      <c r="F538" s="8" t="str">
        <f ca="1">IFERROR(__xludf.DUMMYFUNCTION("""COMPUTED_VALUE"""),"No")</f>
        <v>No</v>
      </c>
      <c r="G538" s="8" t="str">
        <f ca="1">IFERROR(__xludf.DUMMYFUNCTION("""COMPUTED_VALUE"""),"None")</f>
        <v>None</v>
      </c>
    </row>
    <row r="539" spans="1:7" ht="12.75">
      <c r="A539" s="8" t="str">
        <f ca="1">IFERROR(__xludf.DUMMYFUNCTION("""COMPUTED_VALUE"""),"20210517MDLOC")</f>
        <v>20210517MDLOC</v>
      </c>
      <c r="B539" s="8">
        <f ca="1">IFERROR(__xludf.DUMMYFUNCTION("""COMPUTED_VALUE"""),20)</f>
        <v>20</v>
      </c>
      <c r="C539" s="8" t="str">
        <f ca="1">IFERROR(__xludf.DUMMYFUNCTION("""COMPUTED_VALUE"""),"Female")</f>
        <v>Female</v>
      </c>
      <c r="D539" s="8" t="str">
        <f ca="1">IFERROR(__xludf.DUMMYFUNCTION("""COMPUTED_VALUE"""),"Relative")</f>
        <v>Relative</v>
      </c>
      <c r="E539" s="8" t="str">
        <f ca="1">IFERROR(__xludf.DUMMYFUNCTION("""COMPUTED_VALUE"""),"Apprehended/Killed by LE")</f>
        <v>Apprehended/Killed by LE</v>
      </c>
      <c r="F539" s="8" t="str">
        <f ca="1">IFERROR(__xludf.DUMMYFUNCTION("""COMPUTED_VALUE"""),"No")</f>
        <v>No</v>
      </c>
      <c r="G539" s="8" t="str">
        <f ca="1">IFERROR(__xludf.DUMMYFUNCTION("""COMPUTED_VALUE"""),"None")</f>
        <v>None</v>
      </c>
    </row>
    <row r="540" spans="1:7" ht="12.75">
      <c r="A540" s="8" t="str">
        <f ca="1">IFERROR(__xludf.DUMMYFUNCTION("""COMPUTED_VALUE"""),"20210514CASAS")</f>
        <v>20210514CASAS</v>
      </c>
      <c r="B540" s="8">
        <f ca="1">IFERROR(__xludf.DUMMYFUNCTION("""COMPUTED_VALUE"""),16)</f>
        <v>16</v>
      </c>
      <c r="C540" s="8" t="str">
        <f ca="1">IFERROR(__xludf.DUMMYFUNCTION("""COMPUTED_VALUE"""),"Male")</f>
        <v>Male</v>
      </c>
      <c r="D540" s="8" t="str">
        <f ca="1">IFERROR(__xludf.DUMMYFUNCTION("""COMPUTED_VALUE"""),"No Relation")</f>
        <v>No Relation</v>
      </c>
      <c r="E540" s="8" t="str">
        <f ca="1">IFERROR(__xludf.DUMMYFUNCTION("""COMPUTED_VALUE"""),"Fled/Escaped")</f>
        <v>Fled/Escaped</v>
      </c>
      <c r="F540" s="8" t="str">
        <f ca="1">IFERROR(__xludf.DUMMYFUNCTION("""COMPUTED_VALUE"""),"No")</f>
        <v>No</v>
      </c>
      <c r="G540" s="8" t="str">
        <f ca="1">IFERROR(__xludf.DUMMYFUNCTION("""COMPUTED_VALUE"""),"None")</f>
        <v>None</v>
      </c>
    </row>
    <row r="541" spans="1:7" ht="12.75">
      <c r="A541" s="8" t="str">
        <f ca="1">IFERROR(__xludf.DUMMYFUNCTION("""COMPUTED_VALUE"""),"20210514CASAS")</f>
        <v>20210514CASAS</v>
      </c>
      <c r="B541" s="8">
        <f ca="1">IFERROR(__xludf.DUMMYFUNCTION("""COMPUTED_VALUE"""),16)</f>
        <v>16</v>
      </c>
      <c r="C541" s="8" t="str">
        <f ca="1">IFERROR(__xludf.DUMMYFUNCTION("""COMPUTED_VALUE"""),"Male")</f>
        <v>Male</v>
      </c>
      <c r="D541" s="8" t="str">
        <f ca="1">IFERROR(__xludf.DUMMYFUNCTION("""COMPUTED_VALUE"""),"No Relation")</f>
        <v>No Relation</v>
      </c>
      <c r="E541" s="8" t="str">
        <f ca="1">IFERROR(__xludf.DUMMYFUNCTION("""COMPUTED_VALUE"""),"Fled/Escaped")</f>
        <v>Fled/Escaped</v>
      </c>
      <c r="F541" s="8" t="str">
        <f ca="1">IFERROR(__xludf.DUMMYFUNCTION("""COMPUTED_VALUE"""),"No")</f>
        <v>No</v>
      </c>
      <c r="G541" s="8" t="str">
        <f ca="1">IFERROR(__xludf.DUMMYFUNCTION("""COMPUTED_VALUE"""),"None")</f>
        <v>None</v>
      </c>
    </row>
    <row r="542" spans="1:7" ht="12.75">
      <c r="A542" s="8" t="str">
        <f ca="1">IFERROR(__xludf.DUMMYFUNCTION("""COMPUTED_VALUE"""),"20210511NYPSB")</f>
        <v>20210511NYPSB</v>
      </c>
      <c r="B542" s="8" t="str">
        <f ca="1">IFERROR(__xludf.DUMMYFUNCTION("""COMPUTED_VALUE"""),"Teen")</f>
        <v>Teen</v>
      </c>
      <c r="C542" s="8" t="str">
        <f ca="1">IFERROR(__xludf.DUMMYFUNCTION("""COMPUTED_VALUE"""),"Male")</f>
        <v>Male</v>
      </c>
      <c r="D542" s="8" t="str">
        <f ca="1">IFERROR(__xludf.DUMMYFUNCTION("""COMPUTED_VALUE"""),"Student")</f>
        <v>Student</v>
      </c>
      <c r="E542" s="8" t="str">
        <f ca="1">IFERROR(__xludf.DUMMYFUNCTION("""COMPUTED_VALUE"""),"Fled/Escaped")</f>
        <v>Fled/Escaped</v>
      </c>
      <c r="F542" s="8" t="str">
        <f ca="1">IFERROR(__xludf.DUMMYFUNCTION("""COMPUTED_VALUE"""),"No")</f>
        <v>No</v>
      </c>
      <c r="G542" s="8" t="str">
        <f ca="1">IFERROR(__xludf.DUMMYFUNCTION("""COMPUTED_VALUE"""),"None")</f>
        <v>None</v>
      </c>
    </row>
    <row r="543" spans="1:7" ht="12.75">
      <c r="A543" s="8" t="str">
        <f ca="1">IFERROR(__xludf.DUMMYFUNCTION("""COMPUTED_VALUE"""),"20210511CAVEL")</f>
        <v>20210511CAVEL</v>
      </c>
      <c r="B543" s="8"/>
      <c r="C543" s="8"/>
      <c r="D543" s="8" t="str">
        <f ca="1">IFERROR(__xludf.DUMMYFUNCTION("""COMPUTED_VALUE"""),"No Relation")</f>
        <v>No Relation</v>
      </c>
      <c r="E543" s="8" t="str">
        <f ca="1">IFERROR(__xludf.DUMMYFUNCTION("""COMPUTED_VALUE"""),"Fled/Escaped")</f>
        <v>Fled/Escaped</v>
      </c>
      <c r="F543" s="8" t="str">
        <f ca="1">IFERROR(__xludf.DUMMYFUNCTION("""COMPUTED_VALUE"""),"No")</f>
        <v>No</v>
      </c>
      <c r="G543" s="8" t="str">
        <f ca="1">IFERROR(__xludf.DUMMYFUNCTION("""COMPUTED_VALUE"""),"None")</f>
        <v>None</v>
      </c>
    </row>
    <row r="544" spans="1:7" ht="12.75">
      <c r="A544" s="8" t="str">
        <f ca="1">IFERROR(__xludf.DUMMYFUNCTION("""COMPUTED_VALUE"""),"20210506SCFOC")</f>
        <v>20210506SCFOC</v>
      </c>
      <c r="B544" s="8">
        <f ca="1">IFERROR(__xludf.DUMMYFUNCTION("""COMPUTED_VALUE"""),23)</f>
        <v>23</v>
      </c>
      <c r="C544" s="8" t="str">
        <f ca="1">IFERROR(__xludf.DUMMYFUNCTION("""COMPUTED_VALUE"""),"Male")</f>
        <v>Male</v>
      </c>
      <c r="D544" s="8" t="str">
        <f ca="1">IFERROR(__xludf.DUMMYFUNCTION("""COMPUTED_VALUE"""),"No Relation")</f>
        <v>No Relation</v>
      </c>
      <c r="E544" s="8" t="str">
        <f ca="1">IFERROR(__xludf.DUMMYFUNCTION("""COMPUTED_VALUE"""),"Apprehended/Killed by LE")</f>
        <v>Apprehended/Killed by LE</v>
      </c>
      <c r="F544" s="8" t="str">
        <f ca="1">IFERROR(__xludf.DUMMYFUNCTION("""COMPUTED_VALUE"""),"No")</f>
        <v>No</v>
      </c>
      <c r="G544" s="8" t="str">
        <f ca="1">IFERROR(__xludf.DUMMYFUNCTION("""COMPUTED_VALUE"""),"None")</f>
        <v>None</v>
      </c>
    </row>
    <row r="545" spans="1:7" ht="12.75">
      <c r="A545" s="8" t="str">
        <f ca="1">IFERROR(__xludf.DUMMYFUNCTION("""COMPUTED_VALUE"""),"20210506IDRIR")</f>
        <v>20210506IDRIR</v>
      </c>
      <c r="B545" s="8">
        <f ca="1">IFERROR(__xludf.DUMMYFUNCTION("""COMPUTED_VALUE"""),13)</f>
        <v>13</v>
      </c>
      <c r="C545" s="8" t="str">
        <f ca="1">IFERROR(__xludf.DUMMYFUNCTION("""COMPUTED_VALUE"""),"Female")</f>
        <v>Female</v>
      </c>
      <c r="D545" s="8" t="str">
        <f ca="1">IFERROR(__xludf.DUMMYFUNCTION("""COMPUTED_VALUE"""),"Student")</f>
        <v>Student</v>
      </c>
      <c r="E545" s="8" t="str">
        <f ca="1">IFERROR(__xludf.DUMMYFUNCTION("""COMPUTED_VALUE"""),"Subdued by Students/Staff/Other")</f>
        <v>Subdued by Students/Staff/Other</v>
      </c>
      <c r="F545" s="8" t="str">
        <f ca="1">IFERROR(__xludf.DUMMYFUNCTION("""COMPUTED_VALUE"""),"No")</f>
        <v>No</v>
      </c>
      <c r="G545" s="8" t="str">
        <f ca="1">IFERROR(__xludf.DUMMYFUNCTION("""COMPUTED_VALUE"""),"None")</f>
        <v>None</v>
      </c>
    </row>
    <row r="546" spans="1:7" ht="12.75">
      <c r="A546" s="8" t="str">
        <f ca="1">IFERROR(__xludf.DUMMYFUNCTION("""COMPUTED_VALUE"""),"20210505SCWAW")</f>
        <v>20210505SCWAW</v>
      </c>
      <c r="B546" s="8" t="str">
        <f ca="1">IFERROR(__xludf.DUMMYFUNCTION("""COMPUTED_VALUE"""),"Teen")</f>
        <v>Teen</v>
      </c>
      <c r="C546" s="8" t="str">
        <f ca="1">IFERROR(__xludf.DUMMYFUNCTION("""COMPUTED_VALUE"""),"Male")</f>
        <v>Male</v>
      </c>
      <c r="D546" s="8" t="str">
        <f ca="1">IFERROR(__xludf.DUMMYFUNCTION("""COMPUTED_VALUE"""),"Student")</f>
        <v>Student</v>
      </c>
      <c r="E546" s="8" t="str">
        <f ca="1">IFERROR(__xludf.DUMMYFUNCTION("""COMPUTED_VALUE"""),"Suicide")</f>
        <v>Suicide</v>
      </c>
      <c r="F546" s="8" t="str">
        <f ca="1">IFERROR(__xludf.DUMMYFUNCTION("""COMPUTED_VALUE"""),"Yes")</f>
        <v>Yes</v>
      </c>
      <c r="G546" s="8" t="str">
        <f ca="1">IFERROR(__xludf.DUMMYFUNCTION("""COMPUTED_VALUE"""),"Suicide")</f>
        <v>Suicide</v>
      </c>
    </row>
    <row r="547" spans="1:7" ht="12.75">
      <c r="A547" s="8" t="str">
        <f ca="1">IFERROR(__xludf.DUMMYFUNCTION("""COMPUTED_VALUE"""),"20210505MICRC")</f>
        <v>20210505MICRC</v>
      </c>
      <c r="B547" s="8" t="str">
        <f ca="1">IFERROR(__xludf.DUMMYFUNCTION("""COMPUTED_VALUE"""),"Adult")</f>
        <v>Adult</v>
      </c>
      <c r="C547" s="8" t="str">
        <f ca="1">IFERROR(__xludf.DUMMYFUNCTION("""COMPUTED_VALUE"""),"Male")</f>
        <v>Male</v>
      </c>
      <c r="D547" s="8" t="str">
        <f ca="1">IFERROR(__xludf.DUMMYFUNCTION("""COMPUTED_VALUE"""),"No Relation")</f>
        <v>No Relation</v>
      </c>
      <c r="E547" s="8" t="str">
        <f ca="1">IFERROR(__xludf.DUMMYFUNCTION("""COMPUTED_VALUE"""),"Apprehended/Killed by LE")</f>
        <v>Apprehended/Killed by LE</v>
      </c>
      <c r="F547" s="8" t="str">
        <f ca="1">IFERROR(__xludf.DUMMYFUNCTION("""COMPUTED_VALUE"""),"No")</f>
        <v>No</v>
      </c>
      <c r="G547" s="8" t="str">
        <f ca="1">IFERROR(__xludf.DUMMYFUNCTION("""COMPUTED_VALUE"""),"Wounded")</f>
        <v>Wounded</v>
      </c>
    </row>
    <row r="548" spans="1:7" ht="12.75">
      <c r="A548" s="8" t="str">
        <f ca="1">IFERROR(__xludf.DUMMYFUNCTION("""COMPUTED_VALUE"""),"20210502ILCHC")</f>
        <v>20210502ILCHC</v>
      </c>
      <c r="B548" s="8" t="str">
        <f ca="1">IFERROR(__xludf.DUMMYFUNCTION("""COMPUTED_VALUE"""),"Adult")</f>
        <v>Adult</v>
      </c>
      <c r="C548" s="8"/>
      <c r="D548" s="8" t="str">
        <f ca="1">IFERROR(__xludf.DUMMYFUNCTION("""COMPUTED_VALUE"""),"No Relation")</f>
        <v>No Relation</v>
      </c>
      <c r="E548" s="8" t="str">
        <f ca="1">IFERROR(__xludf.DUMMYFUNCTION("""COMPUTED_VALUE"""),"Fled/Escaped")</f>
        <v>Fled/Escaped</v>
      </c>
      <c r="F548" s="8" t="str">
        <f ca="1">IFERROR(__xludf.DUMMYFUNCTION("""COMPUTED_VALUE"""),"No")</f>
        <v>No</v>
      </c>
      <c r="G548" s="8" t="str">
        <f ca="1">IFERROR(__xludf.DUMMYFUNCTION("""COMPUTED_VALUE"""),"None")</f>
        <v>None</v>
      </c>
    </row>
    <row r="549" spans="1:7" ht="12.75">
      <c r="A549" s="8" t="str">
        <f ca="1">IFERROR(__xludf.DUMMYFUNCTION("""COMPUTED_VALUE"""),"20210502ILCHC")</f>
        <v>20210502ILCHC</v>
      </c>
      <c r="B549" s="8" t="str">
        <f ca="1">IFERROR(__xludf.DUMMYFUNCTION("""COMPUTED_VALUE"""),"Adult")</f>
        <v>Adult</v>
      </c>
      <c r="C549" s="8"/>
      <c r="D549" s="8" t="str">
        <f ca="1">IFERROR(__xludf.DUMMYFUNCTION("""COMPUTED_VALUE"""),"No Relation")</f>
        <v>No Relation</v>
      </c>
      <c r="E549" s="8" t="str">
        <f ca="1">IFERROR(__xludf.DUMMYFUNCTION("""COMPUTED_VALUE"""),"Fled/Escaped")</f>
        <v>Fled/Escaped</v>
      </c>
      <c r="F549" s="8" t="str">
        <f ca="1">IFERROR(__xludf.DUMMYFUNCTION("""COMPUTED_VALUE"""),"No")</f>
        <v>No</v>
      </c>
      <c r="G549" s="8" t="str">
        <f ca="1">IFERROR(__xludf.DUMMYFUNCTION("""COMPUTED_VALUE"""),"None")</f>
        <v>None</v>
      </c>
    </row>
    <row r="550" spans="1:7" ht="12.75">
      <c r="A550" s="8" t="str">
        <f ca="1">IFERROR(__xludf.DUMMYFUNCTION("""COMPUTED_VALUE"""),"20210501MNBES")</f>
        <v>20210501MNBES</v>
      </c>
      <c r="B550" s="8" t="str">
        <f ca="1">IFERROR(__xludf.DUMMYFUNCTION("""COMPUTED_VALUE"""),"Adult")</f>
        <v>Adult</v>
      </c>
      <c r="C550" s="8" t="str">
        <f ca="1">IFERROR(__xludf.DUMMYFUNCTION("""COMPUTED_VALUE"""),"Male")</f>
        <v>Male</v>
      </c>
      <c r="D550" s="8" t="str">
        <f ca="1">IFERROR(__xludf.DUMMYFUNCTION("""COMPUTED_VALUE"""),"No Relation")</f>
        <v>No Relation</v>
      </c>
      <c r="E550" s="8" t="str">
        <f ca="1">IFERROR(__xludf.DUMMYFUNCTION("""COMPUTED_VALUE"""),"Fled/Escaped")</f>
        <v>Fled/Escaped</v>
      </c>
      <c r="F550" s="8" t="str">
        <f ca="1">IFERROR(__xludf.DUMMYFUNCTION("""COMPUTED_VALUE"""),"No")</f>
        <v>No</v>
      </c>
      <c r="G550" s="8" t="str">
        <f ca="1">IFERROR(__xludf.DUMMYFUNCTION("""COMPUTED_VALUE"""),"None")</f>
        <v>None</v>
      </c>
    </row>
    <row r="551" spans="1:7" ht="12.75">
      <c r="A551" s="8" t="str">
        <f ca="1">IFERROR(__xludf.DUMMYFUNCTION("""COMPUTED_VALUE"""),"20210501MNBES")</f>
        <v>20210501MNBES</v>
      </c>
      <c r="B551" s="8" t="str">
        <f ca="1">IFERROR(__xludf.DUMMYFUNCTION("""COMPUTED_VALUE"""),"Adult")</f>
        <v>Adult</v>
      </c>
      <c r="C551" s="8" t="str">
        <f ca="1">IFERROR(__xludf.DUMMYFUNCTION("""COMPUTED_VALUE"""),"Male")</f>
        <v>Male</v>
      </c>
      <c r="D551" s="8" t="str">
        <f ca="1">IFERROR(__xludf.DUMMYFUNCTION("""COMPUTED_VALUE"""),"No Relation")</f>
        <v>No Relation</v>
      </c>
      <c r="E551" s="8" t="str">
        <f ca="1">IFERROR(__xludf.DUMMYFUNCTION("""COMPUTED_VALUE"""),"Fled/Escaped")</f>
        <v>Fled/Escaped</v>
      </c>
      <c r="F551" s="8" t="str">
        <f ca="1">IFERROR(__xludf.DUMMYFUNCTION("""COMPUTED_VALUE"""),"No")</f>
        <v>No</v>
      </c>
      <c r="G551" s="8" t="str">
        <f ca="1">IFERROR(__xludf.DUMMYFUNCTION("""COMPUTED_VALUE"""),"None")</f>
        <v>None</v>
      </c>
    </row>
    <row r="552" spans="1:7" ht="12.75">
      <c r="A552" s="8" t="str">
        <f ca="1">IFERROR(__xludf.DUMMYFUNCTION("""COMPUTED_VALUE"""),"20210501MNBES")</f>
        <v>20210501MNBES</v>
      </c>
      <c r="B552" s="8" t="str">
        <f ca="1">IFERROR(__xludf.DUMMYFUNCTION("""COMPUTED_VALUE"""),"Adult")</f>
        <v>Adult</v>
      </c>
      <c r="C552" s="8" t="str">
        <f ca="1">IFERROR(__xludf.DUMMYFUNCTION("""COMPUTED_VALUE"""),"Male")</f>
        <v>Male</v>
      </c>
      <c r="D552" s="8" t="str">
        <f ca="1">IFERROR(__xludf.DUMMYFUNCTION("""COMPUTED_VALUE"""),"No Relation")</f>
        <v>No Relation</v>
      </c>
      <c r="E552" s="8" t="str">
        <f ca="1">IFERROR(__xludf.DUMMYFUNCTION("""COMPUTED_VALUE"""),"Fled/Escaped")</f>
        <v>Fled/Escaped</v>
      </c>
      <c r="F552" s="8" t="str">
        <f ca="1">IFERROR(__xludf.DUMMYFUNCTION("""COMPUTED_VALUE"""),"No")</f>
        <v>No</v>
      </c>
      <c r="G552" s="8" t="str">
        <f ca="1">IFERROR(__xludf.DUMMYFUNCTION("""COMPUTED_VALUE"""),"None")</f>
        <v>None</v>
      </c>
    </row>
    <row r="553" spans="1:7" ht="12.75">
      <c r="A553" s="8" t="str">
        <f ca="1">IFERROR(__xludf.DUMMYFUNCTION("""COMPUTED_VALUE"""),"20210430INMAI")</f>
        <v>20210430INMAI</v>
      </c>
      <c r="B553" s="8" t="str">
        <f ca="1">IFERROR(__xludf.DUMMYFUNCTION("""COMPUTED_VALUE"""),"Adult")</f>
        <v>Adult</v>
      </c>
      <c r="C553" s="8" t="str">
        <f ca="1">IFERROR(__xludf.DUMMYFUNCTION("""COMPUTED_VALUE"""),"Male")</f>
        <v>Male</v>
      </c>
      <c r="D553" s="8" t="str">
        <f ca="1">IFERROR(__xludf.DUMMYFUNCTION("""COMPUTED_VALUE"""),"Parent")</f>
        <v>Parent</v>
      </c>
      <c r="E553" s="8" t="str">
        <f ca="1">IFERROR(__xludf.DUMMYFUNCTION("""COMPUTED_VALUE"""),"Fled/Escaped")</f>
        <v>Fled/Escaped</v>
      </c>
      <c r="F553" s="8" t="str">
        <f ca="1">IFERROR(__xludf.DUMMYFUNCTION("""COMPUTED_VALUE"""),"No")</f>
        <v>No</v>
      </c>
      <c r="G553" s="8" t="str">
        <f ca="1">IFERROR(__xludf.DUMMYFUNCTION("""COMPUTED_VALUE"""),"None")</f>
        <v>None</v>
      </c>
    </row>
    <row r="554" spans="1:7" ht="12.75">
      <c r="A554" s="8" t="str">
        <f ca="1">IFERROR(__xludf.DUMMYFUNCTION("""COMPUTED_VALUE"""),"20210429NYURB")</f>
        <v>20210429NYURB</v>
      </c>
      <c r="B554" s="8">
        <f ca="1">IFERROR(__xludf.DUMMYFUNCTION("""COMPUTED_VALUE"""),15)</f>
        <v>15</v>
      </c>
      <c r="C554" s="8" t="str">
        <f ca="1">IFERROR(__xludf.DUMMYFUNCTION("""COMPUTED_VALUE"""),"Male")</f>
        <v>Male</v>
      </c>
      <c r="D554" s="8" t="str">
        <f ca="1">IFERROR(__xludf.DUMMYFUNCTION("""COMPUTED_VALUE"""),"Nonstudent")</f>
        <v>Nonstudent</v>
      </c>
      <c r="E554" s="8" t="str">
        <f ca="1">IFERROR(__xludf.DUMMYFUNCTION("""COMPUTED_VALUE"""),"Fled/Apprehended")</f>
        <v>Fled/Apprehended</v>
      </c>
      <c r="F554" s="8" t="str">
        <f ca="1">IFERROR(__xludf.DUMMYFUNCTION("""COMPUTED_VALUE"""),"No")</f>
        <v>No</v>
      </c>
      <c r="G554" s="8" t="str">
        <f ca="1">IFERROR(__xludf.DUMMYFUNCTION("""COMPUTED_VALUE"""),"None")</f>
        <v>None</v>
      </c>
    </row>
    <row r="555" spans="1:7" ht="12.75">
      <c r="A555" s="8" t="str">
        <f ca="1">IFERROR(__xludf.DUMMYFUNCTION("""COMPUTED_VALUE"""),"20210429NYURB")</f>
        <v>20210429NYURB</v>
      </c>
      <c r="B555" s="8">
        <f ca="1">IFERROR(__xludf.DUMMYFUNCTION("""COMPUTED_VALUE"""),16)</f>
        <v>16</v>
      </c>
      <c r="C555" s="8" t="str">
        <f ca="1">IFERROR(__xludf.DUMMYFUNCTION("""COMPUTED_VALUE"""),"Male")</f>
        <v>Male</v>
      </c>
      <c r="D555" s="8" t="str">
        <f ca="1">IFERROR(__xludf.DUMMYFUNCTION("""COMPUTED_VALUE"""),"Nonstudent")</f>
        <v>Nonstudent</v>
      </c>
      <c r="E555" s="8" t="str">
        <f ca="1">IFERROR(__xludf.DUMMYFUNCTION("""COMPUTED_VALUE"""),"Fled/Escaped")</f>
        <v>Fled/Escaped</v>
      </c>
      <c r="F555" s="8" t="str">
        <f ca="1">IFERROR(__xludf.DUMMYFUNCTION("""COMPUTED_VALUE"""),"No")</f>
        <v>No</v>
      </c>
      <c r="G555" s="8" t="str">
        <f ca="1">IFERROR(__xludf.DUMMYFUNCTION("""COMPUTED_VALUE"""),"None")</f>
        <v>None</v>
      </c>
    </row>
    <row r="556" spans="1:7" ht="12.75">
      <c r="A556" s="8" t="str">
        <f ca="1">IFERROR(__xludf.DUMMYFUNCTION("""COMPUTED_VALUE"""),"20210429CAVIV")</f>
        <v>20210429CAVIV</v>
      </c>
      <c r="B556" s="8">
        <f ca="1">IFERROR(__xludf.DUMMYFUNCTION("""COMPUTED_VALUE"""),17)</f>
        <v>17</v>
      </c>
      <c r="C556" s="8" t="str">
        <f ca="1">IFERROR(__xludf.DUMMYFUNCTION("""COMPUTED_VALUE"""),"Male")</f>
        <v>Male</v>
      </c>
      <c r="D556" s="8" t="str">
        <f ca="1">IFERROR(__xludf.DUMMYFUNCTION("""COMPUTED_VALUE"""),"Nonstudent")</f>
        <v>Nonstudent</v>
      </c>
      <c r="E556" s="8" t="str">
        <f ca="1">IFERROR(__xludf.DUMMYFUNCTION("""COMPUTED_VALUE"""),"Fled/Apprehended")</f>
        <v>Fled/Apprehended</v>
      </c>
      <c r="F556" s="8" t="str">
        <f ca="1">IFERROR(__xludf.DUMMYFUNCTION("""COMPUTED_VALUE"""),"No")</f>
        <v>No</v>
      </c>
      <c r="G556" s="8" t="str">
        <f ca="1">IFERROR(__xludf.DUMMYFUNCTION("""COMPUTED_VALUE"""),"None")</f>
        <v>None</v>
      </c>
    </row>
    <row r="557" spans="1:7" ht="12.75">
      <c r="A557" s="8" t="str">
        <f ca="1">IFERROR(__xludf.DUMMYFUNCTION("""COMPUTED_VALUE"""),"20210427TNLAM")</f>
        <v>20210427TNLAM</v>
      </c>
      <c r="B557" s="8" t="str">
        <f ca="1">IFERROR(__xludf.DUMMYFUNCTION("""COMPUTED_VALUE"""),"Adult")</f>
        <v>Adult</v>
      </c>
      <c r="C557" s="8" t="str">
        <f ca="1">IFERROR(__xludf.DUMMYFUNCTION("""COMPUTED_VALUE"""),"Female")</f>
        <v>Female</v>
      </c>
      <c r="D557" s="8" t="str">
        <f ca="1">IFERROR(__xludf.DUMMYFUNCTION("""COMPUTED_VALUE"""),"Parent")</f>
        <v>Parent</v>
      </c>
      <c r="E557" s="8" t="str">
        <f ca="1">IFERROR(__xludf.DUMMYFUNCTION("""COMPUTED_VALUE"""),"Fled/Apprehended")</f>
        <v>Fled/Apprehended</v>
      </c>
      <c r="F557" s="8" t="str">
        <f ca="1">IFERROR(__xludf.DUMMYFUNCTION("""COMPUTED_VALUE"""),"No")</f>
        <v>No</v>
      </c>
      <c r="G557" s="8" t="str">
        <f ca="1">IFERROR(__xludf.DUMMYFUNCTION("""COMPUTED_VALUE"""),"None")</f>
        <v>None</v>
      </c>
    </row>
    <row r="558" spans="1:7" ht="12.75">
      <c r="A558" s="8" t="str">
        <f ca="1">IFERROR(__xludf.DUMMYFUNCTION("""COMPUTED_VALUE"""),"20210427DESMS")</f>
        <v>20210427DESMS</v>
      </c>
      <c r="B558" s="8">
        <f ca="1">IFERROR(__xludf.DUMMYFUNCTION("""COMPUTED_VALUE"""),47)</f>
        <v>47</v>
      </c>
      <c r="C558" s="8" t="str">
        <f ca="1">IFERROR(__xludf.DUMMYFUNCTION("""COMPUTED_VALUE"""),"Male")</f>
        <v>Male</v>
      </c>
      <c r="D558" s="8" t="str">
        <f ca="1">IFERROR(__xludf.DUMMYFUNCTION("""COMPUTED_VALUE"""),"Parent")</f>
        <v>Parent</v>
      </c>
      <c r="E558" s="8" t="str">
        <f ca="1">IFERROR(__xludf.DUMMYFUNCTION("""COMPUTED_VALUE"""),"Fled/Apprehended")</f>
        <v>Fled/Apprehended</v>
      </c>
      <c r="F558" s="8" t="str">
        <f ca="1">IFERROR(__xludf.DUMMYFUNCTION("""COMPUTED_VALUE"""),"Yes")</f>
        <v>Yes</v>
      </c>
      <c r="G558" s="8" t="str">
        <f ca="1">IFERROR(__xludf.DUMMYFUNCTION("""COMPUTED_VALUE"""),"Suicide")</f>
        <v>Suicide</v>
      </c>
    </row>
    <row r="559" spans="1:7" ht="12.75">
      <c r="A559" s="8" t="str">
        <f ca="1">IFERROR(__xludf.DUMMYFUNCTION("""COMPUTED_VALUE"""),"20210426MNPLP")</f>
        <v>20210426MNPLP</v>
      </c>
      <c r="B559" s="8">
        <f ca="1">IFERROR(__xludf.DUMMYFUNCTION("""COMPUTED_VALUE"""),12)</f>
        <v>12</v>
      </c>
      <c r="C559" s="8" t="str">
        <f ca="1">IFERROR(__xludf.DUMMYFUNCTION("""COMPUTED_VALUE"""),"Male")</f>
        <v>Male</v>
      </c>
      <c r="D559" s="8" t="str">
        <f ca="1">IFERROR(__xludf.DUMMYFUNCTION("""COMPUTED_VALUE"""),"Student")</f>
        <v>Student</v>
      </c>
      <c r="E559" s="8" t="str">
        <f ca="1">IFERROR(__xludf.DUMMYFUNCTION("""COMPUTED_VALUE"""),"Surrendered")</f>
        <v>Surrendered</v>
      </c>
      <c r="F559" s="8" t="str">
        <f ca="1">IFERROR(__xludf.DUMMYFUNCTION("""COMPUTED_VALUE"""),"No")</f>
        <v>No</v>
      </c>
      <c r="G559" s="8" t="str">
        <f ca="1">IFERROR(__xludf.DUMMYFUNCTION("""COMPUTED_VALUE"""),"None")</f>
        <v>None</v>
      </c>
    </row>
    <row r="560" spans="1:7" ht="12.75">
      <c r="A560" s="8" t="str">
        <f ca="1">IFERROR(__xludf.DUMMYFUNCTION("""COMPUTED_VALUE"""),"20210420TXHAH")</f>
        <v>20210420TXHAH</v>
      </c>
      <c r="B560" s="8" t="str">
        <f ca="1">IFERROR(__xludf.DUMMYFUNCTION("""COMPUTED_VALUE"""),"Adult")</f>
        <v>Adult</v>
      </c>
      <c r="C560" s="8" t="str">
        <f ca="1">IFERROR(__xludf.DUMMYFUNCTION("""COMPUTED_VALUE"""),"Male")</f>
        <v>Male</v>
      </c>
      <c r="D560" s="8" t="str">
        <f ca="1">IFERROR(__xludf.DUMMYFUNCTION("""COMPUTED_VALUE"""),"No Relation")</f>
        <v>No Relation</v>
      </c>
      <c r="E560" s="8" t="str">
        <f ca="1">IFERROR(__xludf.DUMMYFUNCTION("""COMPUTED_VALUE"""),"Fled/Apprehended")</f>
        <v>Fled/Apprehended</v>
      </c>
      <c r="F560" s="8" t="str">
        <f ca="1">IFERROR(__xludf.DUMMYFUNCTION("""COMPUTED_VALUE"""),"No")</f>
        <v>No</v>
      </c>
      <c r="G560" s="8" t="str">
        <f ca="1">IFERROR(__xludf.DUMMYFUNCTION("""COMPUTED_VALUE"""),"None")</f>
        <v>None</v>
      </c>
    </row>
    <row r="561" spans="1:7" ht="12.75">
      <c r="A561" s="8" t="str">
        <f ca="1">IFERROR(__xludf.DUMMYFUNCTION("""COMPUTED_VALUE"""),"20210420TXHAH")</f>
        <v>20210420TXHAH</v>
      </c>
      <c r="B561" s="8" t="str">
        <f ca="1">IFERROR(__xludf.DUMMYFUNCTION("""COMPUTED_VALUE"""),"Adult")</f>
        <v>Adult</v>
      </c>
      <c r="C561" s="8" t="str">
        <f ca="1">IFERROR(__xludf.DUMMYFUNCTION("""COMPUTED_VALUE"""),"Male")</f>
        <v>Male</v>
      </c>
      <c r="D561" s="8" t="str">
        <f ca="1">IFERROR(__xludf.DUMMYFUNCTION("""COMPUTED_VALUE"""),"No Relation")</f>
        <v>No Relation</v>
      </c>
      <c r="E561" s="8" t="str">
        <f ca="1">IFERROR(__xludf.DUMMYFUNCTION("""COMPUTED_VALUE"""),"Fled/Apprehended")</f>
        <v>Fled/Apprehended</v>
      </c>
      <c r="F561" s="8" t="str">
        <f ca="1">IFERROR(__xludf.DUMMYFUNCTION("""COMPUTED_VALUE"""),"No")</f>
        <v>No</v>
      </c>
      <c r="G561" s="8" t="str">
        <f ca="1">IFERROR(__xludf.DUMMYFUNCTION("""COMPUTED_VALUE"""),"None")</f>
        <v>None</v>
      </c>
    </row>
    <row r="562" spans="1:7" ht="12.75">
      <c r="A562" s="8" t="str">
        <f ca="1">IFERROR(__xludf.DUMMYFUNCTION("""COMPUTED_VALUE"""),"20210418OHWED")</f>
        <v>20210418OHWED</v>
      </c>
      <c r="B562" s="8"/>
      <c r="C562" s="8"/>
      <c r="D562" s="8" t="str">
        <f ca="1">IFERROR(__xludf.DUMMYFUNCTION("""COMPUTED_VALUE"""),"No Relation")</f>
        <v>No Relation</v>
      </c>
      <c r="E562" s="8" t="str">
        <f ca="1">IFERROR(__xludf.DUMMYFUNCTION("""COMPUTED_VALUE"""),"Fled/Escaped")</f>
        <v>Fled/Escaped</v>
      </c>
      <c r="F562" s="8" t="str">
        <f ca="1">IFERROR(__xludf.DUMMYFUNCTION("""COMPUTED_VALUE"""),"No")</f>
        <v>No</v>
      </c>
      <c r="G562" s="8" t="str">
        <f ca="1">IFERROR(__xludf.DUMMYFUNCTION("""COMPUTED_VALUE"""),"None")</f>
        <v>None</v>
      </c>
    </row>
    <row r="563" spans="1:7" ht="12.75">
      <c r="A563" s="8" t="str">
        <f ca="1">IFERROR(__xludf.DUMMYFUNCTION("""COMPUTED_VALUE"""),"20210413TNMAC")</f>
        <v>20210413TNMAC</v>
      </c>
      <c r="B563" s="8">
        <f ca="1">IFERROR(__xludf.DUMMYFUNCTION("""COMPUTED_VALUE"""),32)</f>
        <v>32</v>
      </c>
      <c r="C563" s="8" t="str">
        <f ca="1">IFERROR(__xludf.DUMMYFUNCTION("""COMPUTED_VALUE"""),"Female")</f>
        <v>Female</v>
      </c>
      <c r="D563" s="8" t="str">
        <f ca="1">IFERROR(__xludf.DUMMYFUNCTION("""COMPUTED_VALUE"""),"Parent")</f>
        <v>Parent</v>
      </c>
      <c r="E563" s="8" t="str">
        <f ca="1">IFERROR(__xludf.DUMMYFUNCTION("""COMPUTED_VALUE"""),"Fled/Apprehended")</f>
        <v>Fled/Apprehended</v>
      </c>
      <c r="F563" s="8" t="str">
        <f ca="1">IFERROR(__xludf.DUMMYFUNCTION("""COMPUTED_VALUE"""),"No")</f>
        <v>No</v>
      </c>
      <c r="G563" s="8" t="str">
        <f ca="1">IFERROR(__xludf.DUMMYFUNCTION("""COMPUTED_VALUE"""),"None")</f>
        <v>None</v>
      </c>
    </row>
    <row r="564" spans="1:7" ht="12.75">
      <c r="A564" s="8" t="str">
        <f ca="1">IFERROR(__xludf.DUMMYFUNCTION("""COMPUTED_VALUE"""),"20210412TNAUK")</f>
        <v>20210412TNAUK</v>
      </c>
      <c r="B564" s="8">
        <f ca="1">IFERROR(__xludf.DUMMYFUNCTION("""COMPUTED_VALUE"""),17)</f>
        <v>17</v>
      </c>
      <c r="C564" s="8" t="str">
        <f ca="1">IFERROR(__xludf.DUMMYFUNCTION("""COMPUTED_VALUE"""),"Male")</f>
        <v>Male</v>
      </c>
      <c r="D564" s="8" t="str">
        <f ca="1">IFERROR(__xludf.DUMMYFUNCTION("""COMPUTED_VALUE"""),"Student")</f>
        <v>Student</v>
      </c>
      <c r="E564" s="8" t="str">
        <f ca="1">IFERROR(__xludf.DUMMYFUNCTION("""COMPUTED_VALUE"""),"Apprehended/Killed by LE")</f>
        <v>Apprehended/Killed by LE</v>
      </c>
      <c r="F564" s="8" t="str">
        <f ca="1">IFERROR(__xludf.DUMMYFUNCTION("""COMPUTED_VALUE"""),"Yes")</f>
        <v>Yes</v>
      </c>
      <c r="G564" s="8" t="str">
        <f ca="1">IFERROR(__xludf.DUMMYFUNCTION("""COMPUTED_VALUE"""),"Fatal")</f>
        <v>Fatal</v>
      </c>
    </row>
    <row r="565" spans="1:7" ht="12.75">
      <c r="A565" s="8" t="str">
        <f ca="1">IFERROR(__xludf.DUMMYFUNCTION("""COMPUTED_VALUE"""),"20210412CASAS")</f>
        <v>20210412CASAS</v>
      </c>
      <c r="B565" s="8">
        <f ca="1">IFERROR(__xludf.DUMMYFUNCTION("""COMPUTED_VALUE"""),36)</f>
        <v>36</v>
      </c>
      <c r="C565" s="8" t="str">
        <f ca="1">IFERROR(__xludf.DUMMYFUNCTION("""COMPUTED_VALUE"""),"Male")</f>
        <v>Male</v>
      </c>
      <c r="D565" s="8" t="str">
        <f ca="1">IFERROR(__xludf.DUMMYFUNCTION("""COMPUTED_VALUE"""),"No Relation")</f>
        <v>No Relation</v>
      </c>
      <c r="E565" s="8" t="str">
        <f ca="1">IFERROR(__xludf.DUMMYFUNCTION("""COMPUTED_VALUE"""),"Apprehended/Killed by LE")</f>
        <v>Apprehended/Killed by LE</v>
      </c>
      <c r="F565" s="8" t="str">
        <f ca="1">IFERROR(__xludf.DUMMYFUNCTION("""COMPUTED_VALUE"""),"Yes")</f>
        <v>Yes</v>
      </c>
      <c r="G565" s="8" t="str">
        <f ca="1">IFERROR(__xludf.DUMMYFUNCTION("""COMPUTED_VALUE"""),"None")</f>
        <v>None</v>
      </c>
    </row>
    <row r="566" spans="1:7" ht="12.75">
      <c r="A566" s="8" t="str">
        <f ca="1">IFERROR(__xludf.DUMMYFUNCTION("""COMPUTED_VALUE"""),"20210411INBIH")</f>
        <v>20210411INBIH</v>
      </c>
      <c r="B566" s="8">
        <f ca="1">IFERROR(__xludf.DUMMYFUNCTION("""COMPUTED_VALUE"""),38)</f>
        <v>38</v>
      </c>
      <c r="C566" s="8" t="str">
        <f ca="1">IFERROR(__xludf.DUMMYFUNCTION("""COMPUTED_VALUE"""),"Male")</f>
        <v>Male</v>
      </c>
      <c r="D566" s="8" t="str">
        <f ca="1">IFERROR(__xludf.DUMMYFUNCTION("""COMPUTED_VALUE"""),"No Relation")</f>
        <v>No Relation</v>
      </c>
      <c r="E566" s="8" t="str">
        <f ca="1">IFERROR(__xludf.DUMMYFUNCTION("""COMPUTED_VALUE"""),"Fled/Apprehended")</f>
        <v>Fled/Apprehended</v>
      </c>
      <c r="F566" s="8" t="str">
        <f ca="1">IFERROR(__xludf.DUMMYFUNCTION("""COMPUTED_VALUE"""),"No")</f>
        <v>No</v>
      </c>
      <c r="G566" s="8" t="str">
        <f ca="1">IFERROR(__xludf.DUMMYFUNCTION("""COMPUTED_VALUE"""),"None")</f>
        <v>None</v>
      </c>
    </row>
    <row r="567" spans="1:7" ht="12.75">
      <c r="A567" s="8" t="str">
        <f ca="1">IFERROR(__xludf.DUMMYFUNCTION("""COMPUTED_VALUE"""),"20210407ILPEP")</f>
        <v>20210407ILPEP</v>
      </c>
      <c r="B567" s="8">
        <f ca="1">IFERROR(__xludf.DUMMYFUNCTION("""COMPUTED_VALUE"""),14)</f>
        <v>14</v>
      </c>
      <c r="C567" s="8" t="str">
        <f ca="1">IFERROR(__xludf.DUMMYFUNCTION("""COMPUTED_VALUE"""),"Male")</f>
        <v>Male</v>
      </c>
      <c r="D567" s="8" t="str">
        <f ca="1">IFERROR(__xludf.DUMMYFUNCTION("""COMPUTED_VALUE"""),"Student")</f>
        <v>Student</v>
      </c>
      <c r="E567" s="8" t="str">
        <f ca="1">IFERROR(__xludf.DUMMYFUNCTION("""COMPUTED_VALUE"""),"Subdued by Students/Staff/Other")</f>
        <v>Subdued by Students/Staff/Other</v>
      </c>
      <c r="F567" s="8" t="str">
        <f ca="1">IFERROR(__xludf.DUMMYFUNCTION("""COMPUTED_VALUE"""),"No")</f>
        <v>No</v>
      </c>
      <c r="G567" s="8" t="str">
        <f ca="1">IFERROR(__xludf.DUMMYFUNCTION("""COMPUTED_VALUE"""),"None")</f>
        <v>None</v>
      </c>
    </row>
    <row r="568" spans="1:7" ht="12.75">
      <c r="A568" s="8" t="str">
        <f ca="1">IFERROR(__xludf.DUMMYFUNCTION("""COMPUTED_VALUE"""),"20210406ILBAC")</f>
        <v>20210406ILBAC</v>
      </c>
      <c r="B568" s="8">
        <f ca="1">IFERROR(__xludf.DUMMYFUNCTION("""COMPUTED_VALUE"""),19)</f>
        <v>19</v>
      </c>
      <c r="C568" s="8" t="str">
        <f ca="1">IFERROR(__xludf.DUMMYFUNCTION("""COMPUTED_VALUE"""),"Male")</f>
        <v>Male</v>
      </c>
      <c r="D568" s="8" t="str">
        <f ca="1">IFERROR(__xludf.DUMMYFUNCTION("""COMPUTED_VALUE"""),"No Relation")</f>
        <v>No Relation</v>
      </c>
      <c r="E568" s="8" t="str">
        <f ca="1">IFERROR(__xludf.DUMMYFUNCTION("""COMPUTED_VALUE"""),"Fled/Apprehended")</f>
        <v>Fled/Apprehended</v>
      </c>
      <c r="F568" s="8" t="str">
        <f ca="1">IFERROR(__xludf.DUMMYFUNCTION("""COMPUTED_VALUE"""),"No")</f>
        <v>No</v>
      </c>
      <c r="G568" s="8" t="str">
        <f ca="1">IFERROR(__xludf.DUMMYFUNCTION("""COMPUTED_VALUE"""),"None")</f>
        <v>None</v>
      </c>
    </row>
    <row r="569" spans="1:7" ht="12.75">
      <c r="A569" s="8" t="str">
        <f ca="1">IFERROR(__xludf.DUMMYFUNCTION("""COMPUTED_VALUE"""),"20210401OKCLC")</f>
        <v>20210401OKCLC</v>
      </c>
      <c r="B569" s="8"/>
      <c r="C569" s="8"/>
      <c r="D569" s="8"/>
      <c r="E569" s="8" t="str">
        <f ca="1">IFERROR(__xludf.DUMMYFUNCTION("""COMPUTED_VALUE"""),"Fled/Escaped")</f>
        <v>Fled/Escaped</v>
      </c>
      <c r="F569" s="8" t="str">
        <f ca="1">IFERROR(__xludf.DUMMYFUNCTION("""COMPUTED_VALUE"""),"No")</f>
        <v>No</v>
      </c>
      <c r="G569" s="8" t="str">
        <f ca="1">IFERROR(__xludf.DUMMYFUNCTION("""COMPUTED_VALUE"""),"None")</f>
        <v>None</v>
      </c>
    </row>
    <row r="570" spans="1:7" ht="12.75">
      <c r="A570" s="8" t="str">
        <f ca="1">IFERROR(__xludf.DUMMYFUNCTION("""COMPUTED_VALUE"""),"20210401ALSES")</f>
        <v>20210401ALSES</v>
      </c>
      <c r="B570" s="8">
        <f ca="1">IFERROR(__xludf.DUMMYFUNCTION("""COMPUTED_VALUE"""),15)</f>
        <v>15</v>
      </c>
      <c r="C570" s="8" t="str">
        <f ca="1">IFERROR(__xludf.DUMMYFUNCTION("""COMPUTED_VALUE"""),"Male")</f>
        <v>Male</v>
      </c>
      <c r="D570" s="8" t="str">
        <f ca="1">IFERROR(__xludf.DUMMYFUNCTION("""COMPUTED_VALUE"""),"Student")</f>
        <v>Student</v>
      </c>
      <c r="E570" s="8" t="str">
        <f ca="1">IFERROR(__xludf.DUMMYFUNCTION("""COMPUTED_VALUE"""),"Fled/Apprehended")</f>
        <v>Fled/Apprehended</v>
      </c>
      <c r="F570" s="8" t="str">
        <f ca="1">IFERROR(__xludf.DUMMYFUNCTION("""COMPUTED_VALUE"""),"No")</f>
        <v>No</v>
      </c>
      <c r="G570" s="8" t="str">
        <f ca="1">IFERROR(__xludf.DUMMYFUNCTION("""COMPUTED_VALUE"""),"None")</f>
        <v>None</v>
      </c>
    </row>
    <row r="571" spans="1:7" ht="12.75">
      <c r="A571" s="8" t="str">
        <f ca="1">IFERROR(__xludf.DUMMYFUNCTION("""COMPUTED_VALUE"""),"20210327MAPEC")</f>
        <v>20210327MAPEC</v>
      </c>
      <c r="B571" s="8"/>
      <c r="C571" s="8"/>
      <c r="D571" s="8" t="str">
        <f ca="1">IFERROR(__xludf.DUMMYFUNCTION("""COMPUTED_VALUE"""),"Nonstudent Using Athletic Facilities/Attending Game")</f>
        <v>Nonstudent Using Athletic Facilities/Attending Game</v>
      </c>
      <c r="E571" s="8" t="str">
        <f ca="1">IFERROR(__xludf.DUMMYFUNCTION("""COMPUTED_VALUE"""),"Fled/Escaped")</f>
        <v>Fled/Escaped</v>
      </c>
      <c r="F571" s="8" t="str">
        <f ca="1">IFERROR(__xludf.DUMMYFUNCTION("""COMPUTED_VALUE"""),"No")</f>
        <v>No</v>
      </c>
      <c r="G571" s="8" t="str">
        <f ca="1">IFERROR(__xludf.DUMMYFUNCTION("""COMPUTED_VALUE"""),"None")</f>
        <v>None</v>
      </c>
    </row>
    <row r="572" spans="1:7" ht="12.75">
      <c r="A572" s="8" t="str">
        <f ca="1">IFERROR(__xludf.DUMMYFUNCTION("""COMPUTED_VALUE"""),"20210326MOCAS")</f>
        <v>20210326MOCAS</v>
      </c>
      <c r="B572" s="8">
        <f ca="1">IFERROR(__xludf.DUMMYFUNCTION("""COMPUTED_VALUE"""),33)</f>
        <v>33</v>
      </c>
      <c r="C572" s="8" t="str">
        <f ca="1">IFERROR(__xludf.DUMMYFUNCTION("""COMPUTED_VALUE"""),"Male")</f>
        <v>Male</v>
      </c>
      <c r="D572" s="8" t="str">
        <f ca="1">IFERROR(__xludf.DUMMYFUNCTION("""COMPUTED_VALUE"""),"No Relation")</f>
        <v>No Relation</v>
      </c>
      <c r="E572" s="8" t="str">
        <f ca="1">IFERROR(__xludf.DUMMYFUNCTION("""COMPUTED_VALUE"""),"Apprehended/Killed by LE")</f>
        <v>Apprehended/Killed by LE</v>
      </c>
      <c r="F572" s="8" t="str">
        <f ca="1">IFERROR(__xludf.DUMMYFUNCTION("""COMPUTED_VALUE"""),"Yes")</f>
        <v>Yes</v>
      </c>
      <c r="G572" s="8" t="str">
        <f ca="1">IFERROR(__xludf.DUMMYFUNCTION("""COMPUTED_VALUE"""),"Fatal")</f>
        <v>Fatal</v>
      </c>
    </row>
    <row r="573" spans="1:7" ht="12.75">
      <c r="A573" s="8" t="str">
        <f ca="1">IFERROR(__xludf.DUMMYFUNCTION("""COMPUTED_VALUE"""),"20210324ORFOS")</f>
        <v>20210324ORFOS</v>
      </c>
      <c r="B573" s="8" t="str">
        <f ca="1">IFERROR(__xludf.DUMMYFUNCTION("""COMPUTED_VALUE"""),"Teen")</f>
        <v>Teen</v>
      </c>
      <c r="C573" s="8" t="str">
        <f ca="1">IFERROR(__xludf.DUMMYFUNCTION("""COMPUTED_VALUE"""),"Male")</f>
        <v>Male</v>
      </c>
      <c r="D573" s="8" t="str">
        <f ca="1">IFERROR(__xludf.DUMMYFUNCTION("""COMPUTED_VALUE"""),"No Relation")</f>
        <v>No Relation</v>
      </c>
      <c r="E573" s="8" t="str">
        <f ca="1">IFERROR(__xludf.DUMMYFUNCTION("""COMPUTED_VALUE"""),"Fled/Apprehended")</f>
        <v>Fled/Apprehended</v>
      </c>
      <c r="F573" s="8" t="str">
        <f ca="1">IFERROR(__xludf.DUMMYFUNCTION("""COMPUTED_VALUE"""),"No")</f>
        <v>No</v>
      </c>
      <c r="G573" s="8" t="str">
        <f ca="1">IFERROR(__xludf.DUMMYFUNCTION("""COMPUTED_VALUE"""),"None")</f>
        <v>None</v>
      </c>
    </row>
    <row r="574" spans="1:7" ht="12.75">
      <c r="A574" s="8" t="str">
        <f ca="1">IFERROR(__xludf.DUMMYFUNCTION("""COMPUTED_VALUE"""),"20210319WVSPM")</f>
        <v>20210319WVSPM</v>
      </c>
      <c r="B574" s="8" t="str">
        <f ca="1">IFERROR(__xludf.DUMMYFUNCTION("""COMPUTED_VALUE"""),"Teen")</f>
        <v>Teen</v>
      </c>
      <c r="C574" s="8" t="str">
        <f ca="1">IFERROR(__xludf.DUMMYFUNCTION("""COMPUTED_VALUE"""),"Male")</f>
        <v>Male</v>
      </c>
      <c r="D574" s="8"/>
      <c r="E574" s="8" t="str">
        <f ca="1">IFERROR(__xludf.DUMMYFUNCTION("""COMPUTED_VALUE"""),"Fled/Apprehended")</f>
        <v>Fled/Apprehended</v>
      </c>
      <c r="F574" s="8" t="str">
        <f ca="1">IFERROR(__xludf.DUMMYFUNCTION("""COMPUTED_VALUE"""),"No")</f>
        <v>No</v>
      </c>
      <c r="G574" s="8" t="str">
        <f ca="1">IFERROR(__xludf.DUMMYFUNCTION("""COMPUTED_VALUE"""),"None")</f>
        <v>None</v>
      </c>
    </row>
    <row r="575" spans="1:7" ht="12.75">
      <c r="A575" s="8" t="str">
        <f ca="1">IFERROR(__xludf.DUMMYFUNCTION("""COMPUTED_VALUE"""),"20210319WVSPM")</f>
        <v>20210319WVSPM</v>
      </c>
      <c r="B575" s="8" t="str">
        <f ca="1">IFERROR(__xludf.DUMMYFUNCTION("""COMPUTED_VALUE"""),"Teen")</f>
        <v>Teen</v>
      </c>
      <c r="C575" s="8" t="str">
        <f ca="1">IFERROR(__xludf.DUMMYFUNCTION("""COMPUTED_VALUE"""),"Male")</f>
        <v>Male</v>
      </c>
      <c r="D575" s="8"/>
      <c r="E575" s="8" t="str">
        <f ca="1">IFERROR(__xludf.DUMMYFUNCTION("""COMPUTED_VALUE"""),"Fled/Apprehended")</f>
        <v>Fled/Apprehended</v>
      </c>
      <c r="F575" s="8" t="str">
        <f ca="1">IFERROR(__xludf.DUMMYFUNCTION("""COMPUTED_VALUE"""),"No")</f>
        <v>No</v>
      </c>
      <c r="G575" s="8" t="str">
        <f ca="1">IFERROR(__xludf.DUMMYFUNCTION("""COMPUTED_VALUE"""),"None")</f>
        <v>None</v>
      </c>
    </row>
    <row r="576" spans="1:7" ht="12.75">
      <c r="A576" s="8" t="str">
        <f ca="1">IFERROR(__xludf.DUMMYFUNCTION("""COMPUTED_VALUE"""),"20210318KYGRL")</f>
        <v>20210318KYGRL</v>
      </c>
      <c r="B576" s="8">
        <f ca="1">IFERROR(__xludf.DUMMYFUNCTION("""COMPUTED_VALUE"""),36)</f>
        <v>36</v>
      </c>
      <c r="C576" s="8" t="str">
        <f ca="1">IFERROR(__xludf.DUMMYFUNCTION("""COMPUTED_VALUE"""),"Male")</f>
        <v>Male</v>
      </c>
      <c r="D576" s="8" t="str">
        <f ca="1">IFERROR(__xludf.DUMMYFUNCTION("""COMPUTED_VALUE"""),"Parent")</f>
        <v>Parent</v>
      </c>
      <c r="E576" s="8" t="str">
        <f ca="1">IFERROR(__xludf.DUMMYFUNCTION("""COMPUTED_VALUE"""),"Apprehended/Killed by LE")</f>
        <v>Apprehended/Killed by LE</v>
      </c>
      <c r="F576" s="8" t="str">
        <f ca="1">IFERROR(__xludf.DUMMYFUNCTION("""COMPUTED_VALUE"""),"No")</f>
        <v>No</v>
      </c>
      <c r="G576" s="8" t="str">
        <f ca="1">IFERROR(__xludf.DUMMYFUNCTION("""COMPUTED_VALUE"""),"None")</f>
        <v>None</v>
      </c>
    </row>
    <row r="577" spans="1:7" ht="12.75">
      <c r="A577" s="8" t="str">
        <f ca="1">IFERROR(__xludf.DUMMYFUNCTION("""COMPUTED_VALUE"""),"20210315INMEM")</f>
        <v>20210315INMEM</v>
      </c>
      <c r="B577" s="8">
        <f ca="1">IFERROR(__xludf.DUMMYFUNCTION("""COMPUTED_VALUE"""),18)</f>
        <v>18</v>
      </c>
      <c r="C577" s="8" t="str">
        <f ca="1">IFERROR(__xludf.DUMMYFUNCTION("""COMPUTED_VALUE"""),"Male")</f>
        <v>Male</v>
      </c>
      <c r="D577" s="8" t="str">
        <f ca="1">IFERROR(__xludf.DUMMYFUNCTION("""COMPUTED_VALUE"""),"No Relation")</f>
        <v>No Relation</v>
      </c>
      <c r="E577" s="8" t="str">
        <f ca="1">IFERROR(__xludf.DUMMYFUNCTION("""COMPUTED_VALUE"""),"Fled/Apprehended")</f>
        <v>Fled/Apprehended</v>
      </c>
      <c r="F577" s="8" t="str">
        <f ca="1">IFERROR(__xludf.DUMMYFUNCTION("""COMPUTED_VALUE"""),"No")</f>
        <v>No</v>
      </c>
      <c r="G577" s="8" t="str">
        <f ca="1">IFERROR(__xludf.DUMMYFUNCTION("""COMPUTED_VALUE"""),"None")</f>
        <v>None</v>
      </c>
    </row>
    <row r="578" spans="1:7" ht="12.75">
      <c r="A578" s="8" t="str">
        <f ca="1">IFERROR(__xludf.DUMMYFUNCTION("""COMPUTED_VALUE"""),"20210315INMEM")</f>
        <v>20210315INMEM</v>
      </c>
      <c r="B578" s="8">
        <f ca="1">IFERROR(__xludf.DUMMYFUNCTION("""COMPUTED_VALUE"""),20)</f>
        <v>20</v>
      </c>
      <c r="C578" s="8" t="str">
        <f ca="1">IFERROR(__xludf.DUMMYFUNCTION("""COMPUTED_VALUE"""),"Male")</f>
        <v>Male</v>
      </c>
      <c r="D578" s="8" t="str">
        <f ca="1">IFERROR(__xludf.DUMMYFUNCTION("""COMPUTED_VALUE"""),"No Relation")</f>
        <v>No Relation</v>
      </c>
      <c r="E578" s="8" t="str">
        <f ca="1">IFERROR(__xludf.DUMMYFUNCTION("""COMPUTED_VALUE"""),"Fled/Apprehended")</f>
        <v>Fled/Apprehended</v>
      </c>
      <c r="F578" s="8" t="str">
        <f ca="1">IFERROR(__xludf.DUMMYFUNCTION("""COMPUTED_VALUE"""),"No")</f>
        <v>No</v>
      </c>
      <c r="G578" s="8" t="str">
        <f ca="1">IFERROR(__xludf.DUMMYFUNCTION("""COMPUTED_VALUE"""),"None")</f>
        <v>None</v>
      </c>
    </row>
    <row r="579" spans="1:7" ht="12.75">
      <c r="A579" s="8" t="str">
        <f ca="1">IFERROR(__xludf.DUMMYFUNCTION("""COMPUTED_VALUE"""),"20210313TXLEA")</f>
        <v>20210313TXLEA</v>
      </c>
      <c r="B579" s="8">
        <f ca="1">IFERROR(__xludf.DUMMYFUNCTION("""COMPUTED_VALUE"""),66)</f>
        <v>66</v>
      </c>
      <c r="C579" s="8" t="str">
        <f ca="1">IFERROR(__xludf.DUMMYFUNCTION("""COMPUTED_VALUE"""),"Male")</f>
        <v>Male</v>
      </c>
      <c r="D579" s="8" t="str">
        <f ca="1">IFERROR(__xludf.DUMMYFUNCTION("""COMPUTED_VALUE"""),"Nonstudent Using Athletic Facilities/Attending Game")</f>
        <v>Nonstudent Using Athletic Facilities/Attending Game</v>
      </c>
      <c r="E579" s="8" t="str">
        <f ca="1">IFERROR(__xludf.DUMMYFUNCTION("""COMPUTED_VALUE"""),"Fled/Apprehended")</f>
        <v>Fled/Apprehended</v>
      </c>
      <c r="F579" s="8" t="str">
        <f ca="1">IFERROR(__xludf.DUMMYFUNCTION("""COMPUTED_VALUE"""),"No")</f>
        <v>No</v>
      </c>
      <c r="G579" s="8" t="str">
        <f ca="1">IFERROR(__xludf.DUMMYFUNCTION("""COMPUTED_VALUE"""),"None")</f>
        <v>None</v>
      </c>
    </row>
    <row r="580" spans="1:7" ht="12.75">
      <c r="A580" s="8" t="str">
        <f ca="1">IFERROR(__xludf.DUMMYFUNCTION("""COMPUTED_VALUE"""),"20210311OHCIC")</f>
        <v>20210311OHCIC</v>
      </c>
      <c r="B580" s="8" t="str">
        <f ca="1">IFERROR(__xludf.DUMMYFUNCTION("""COMPUTED_VALUE"""),"Adult")</f>
        <v>Adult</v>
      </c>
      <c r="C580" s="8"/>
      <c r="D580" s="8" t="str">
        <f ca="1">IFERROR(__xludf.DUMMYFUNCTION("""COMPUTED_VALUE"""),"No Relation")</f>
        <v>No Relation</v>
      </c>
      <c r="E580" s="8" t="str">
        <f ca="1">IFERROR(__xludf.DUMMYFUNCTION("""COMPUTED_VALUE"""),"Fled/Escaped")</f>
        <v>Fled/Escaped</v>
      </c>
      <c r="F580" s="8" t="str">
        <f ca="1">IFERROR(__xludf.DUMMYFUNCTION("""COMPUTED_VALUE"""),"No")</f>
        <v>No</v>
      </c>
      <c r="G580" s="8" t="str">
        <f ca="1">IFERROR(__xludf.DUMMYFUNCTION("""COMPUTED_VALUE"""),"None")</f>
        <v>None</v>
      </c>
    </row>
    <row r="581" spans="1:7" ht="12.75">
      <c r="A581" s="8" t="str">
        <f ca="1">IFERROR(__xludf.DUMMYFUNCTION("""COMPUTED_VALUE"""),"20210309TNSAK")</f>
        <v>20210309TNSAK</v>
      </c>
      <c r="B581" s="8"/>
      <c r="C581" s="8"/>
      <c r="D581" s="8" t="str">
        <f ca="1">IFERROR(__xludf.DUMMYFUNCTION("""COMPUTED_VALUE"""),"No Relation")</f>
        <v>No Relation</v>
      </c>
      <c r="E581" s="8" t="str">
        <f ca="1">IFERROR(__xludf.DUMMYFUNCTION("""COMPUTED_VALUE"""),"Fled/Escaped")</f>
        <v>Fled/Escaped</v>
      </c>
      <c r="F581" s="8" t="str">
        <f ca="1">IFERROR(__xludf.DUMMYFUNCTION("""COMPUTED_VALUE"""),"No")</f>
        <v>No</v>
      </c>
      <c r="G581" s="8" t="str">
        <f ca="1">IFERROR(__xludf.DUMMYFUNCTION("""COMPUTED_VALUE"""),"None")</f>
        <v>None</v>
      </c>
    </row>
    <row r="582" spans="1:7" ht="12.75">
      <c r="A582" s="8" t="str">
        <f ca="1">IFERROR(__xludf.DUMMYFUNCTION("""COMPUTED_VALUE"""),"20210308SCEDC")</f>
        <v>20210308SCEDC</v>
      </c>
      <c r="B582" s="8">
        <f ca="1">IFERROR(__xludf.DUMMYFUNCTION("""COMPUTED_VALUE"""),54)</f>
        <v>54</v>
      </c>
      <c r="C582" s="8" t="str">
        <f ca="1">IFERROR(__xludf.DUMMYFUNCTION("""COMPUTED_VALUE"""),"Female")</f>
        <v>Female</v>
      </c>
      <c r="D582" s="8" t="str">
        <f ca="1">IFERROR(__xludf.DUMMYFUNCTION("""COMPUTED_VALUE"""),"Relative")</f>
        <v>Relative</v>
      </c>
      <c r="E582" s="8" t="str">
        <f ca="1">IFERROR(__xludf.DUMMYFUNCTION("""COMPUTED_VALUE"""),"Fled/Apprehended")</f>
        <v>Fled/Apprehended</v>
      </c>
      <c r="F582" s="8" t="str">
        <f ca="1">IFERROR(__xludf.DUMMYFUNCTION("""COMPUTED_VALUE"""),"No")</f>
        <v>No</v>
      </c>
      <c r="G582" s="8" t="str">
        <f ca="1">IFERROR(__xludf.DUMMYFUNCTION("""COMPUTED_VALUE"""),"None")</f>
        <v>None</v>
      </c>
    </row>
    <row r="583" spans="1:7" ht="12.75">
      <c r="A583" s="8" t="str">
        <f ca="1">IFERROR(__xludf.DUMMYFUNCTION("""COMPUTED_VALUE"""),"20210301ARWAP")</f>
        <v>20210301ARWAP</v>
      </c>
      <c r="B583" s="8">
        <f ca="1">IFERROR(__xludf.DUMMYFUNCTION("""COMPUTED_VALUE"""),15)</f>
        <v>15</v>
      </c>
      <c r="C583" s="8" t="str">
        <f ca="1">IFERROR(__xludf.DUMMYFUNCTION("""COMPUTED_VALUE"""),"Male")</f>
        <v>Male</v>
      </c>
      <c r="D583" s="8" t="str">
        <f ca="1">IFERROR(__xludf.DUMMYFUNCTION("""COMPUTED_VALUE"""),"Student")</f>
        <v>Student</v>
      </c>
      <c r="E583" s="8" t="str">
        <f ca="1">IFERROR(__xludf.DUMMYFUNCTION("""COMPUTED_VALUE"""),"Fled/Apprehended")</f>
        <v>Fled/Apprehended</v>
      </c>
      <c r="F583" s="8" t="str">
        <f ca="1">IFERROR(__xludf.DUMMYFUNCTION("""COMPUTED_VALUE"""),"No")</f>
        <v>No</v>
      </c>
      <c r="G583" s="8" t="str">
        <f ca="1">IFERROR(__xludf.DUMMYFUNCTION("""COMPUTED_VALUE"""),"None")</f>
        <v>None</v>
      </c>
    </row>
    <row r="584" spans="1:7" ht="12.75">
      <c r="A584" s="8" t="str">
        <f ca="1">IFERROR(__xludf.DUMMYFUNCTION("""COMPUTED_VALUE"""),"20210226LAGEN")</f>
        <v>20210226LAGEN</v>
      </c>
      <c r="B584" s="8">
        <f ca="1">IFERROR(__xludf.DUMMYFUNCTION("""COMPUTED_VALUE"""),35)</f>
        <v>35</v>
      </c>
      <c r="C584" s="8" t="str">
        <f ca="1">IFERROR(__xludf.DUMMYFUNCTION("""COMPUTED_VALUE"""),"Male")</f>
        <v>Male</v>
      </c>
      <c r="D584" s="8" t="str">
        <f ca="1">IFERROR(__xludf.DUMMYFUNCTION("""COMPUTED_VALUE"""),"Nonstudent Using Athletic Facilities/Attending Game")</f>
        <v>Nonstudent Using Athletic Facilities/Attending Game</v>
      </c>
      <c r="E584" s="8" t="str">
        <f ca="1">IFERROR(__xludf.DUMMYFUNCTION("""COMPUTED_VALUE"""),"Surrendered")</f>
        <v>Surrendered</v>
      </c>
      <c r="F584" s="8" t="str">
        <f ca="1">IFERROR(__xludf.DUMMYFUNCTION("""COMPUTED_VALUE"""),"No")</f>
        <v>No</v>
      </c>
      <c r="G584" s="8" t="str">
        <f ca="1">IFERROR(__xludf.DUMMYFUNCTION("""COMPUTED_VALUE"""),"None")</f>
        <v>None</v>
      </c>
    </row>
    <row r="585" spans="1:7" ht="12.75">
      <c r="A585" s="8" t="str">
        <f ca="1">IFERROR(__xludf.DUMMYFUNCTION("""COMPUTED_VALUE"""),"20210224WAGAY")</f>
        <v>20210224WAGAY</v>
      </c>
      <c r="B585" s="8" t="str">
        <f ca="1">IFERROR(__xludf.DUMMYFUNCTION("""COMPUTED_VALUE"""),"Teen")</f>
        <v>Teen</v>
      </c>
      <c r="C585" s="8" t="str">
        <f ca="1">IFERROR(__xludf.DUMMYFUNCTION("""COMPUTED_VALUE"""),"Male")</f>
        <v>Male</v>
      </c>
      <c r="D585" s="8" t="str">
        <f ca="1">IFERROR(__xludf.DUMMYFUNCTION("""COMPUTED_VALUE"""),"No Relation")</f>
        <v>No Relation</v>
      </c>
      <c r="E585" s="8" t="str">
        <f ca="1">IFERROR(__xludf.DUMMYFUNCTION("""COMPUTED_VALUE"""),"Fled/Apprehended")</f>
        <v>Fled/Apprehended</v>
      </c>
      <c r="F585" s="8" t="str">
        <f ca="1">IFERROR(__xludf.DUMMYFUNCTION("""COMPUTED_VALUE"""),"No")</f>
        <v>No</v>
      </c>
      <c r="G585" s="8" t="str">
        <f ca="1">IFERROR(__xludf.DUMMYFUNCTION("""COMPUTED_VALUE"""),"None")</f>
        <v>None</v>
      </c>
    </row>
    <row r="586" spans="1:7" ht="12.75">
      <c r="A586" s="8" t="str">
        <f ca="1">IFERROR(__xludf.DUMMYFUNCTION("""COMPUTED_VALUE"""),"20210222CAHOV")</f>
        <v>20210222CAHOV</v>
      </c>
      <c r="B586" s="8"/>
      <c r="C586" s="8"/>
      <c r="D586" s="8" t="str">
        <f ca="1">IFERROR(__xludf.DUMMYFUNCTION("""COMPUTED_VALUE"""),"No Relation")</f>
        <v>No Relation</v>
      </c>
      <c r="E586" s="8" t="str">
        <f ca="1">IFERROR(__xludf.DUMMYFUNCTION("""COMPUTED_VALUE"""),"Fled/Escaped")</f>
        <v>Fled/Escaped</v>
      </c>
      <c r="F586" s="8" t="str">
        <f ca="1">IFERROR(__xludf.DUMMYFUNCTION("""COMPUTED_VALUE"""),"No")</f>
        <v>No</v>
      </c>
      <c r="G586" s="8" t="str">
        <f ca="1">IFERROR(__xludf.DUMMYFUNCTION("""COMPUTED_VALUE"""),"None")</f>
        <v>None</v>
      </c>
    </row>
    <row r="587" spans="1:7" ht="12.75">
      <c r="A587" s="8" t="str">
        <f ca="1">IFERROR(__xludf.DUMMYFUNCTION("""COMPUTED_VALUE"""),"20210219ILLIR")</f>
        <v>20210219ILLIR</v>
      </c>
      <c r="B587" s="8"/>
      <c r="C587" s="8"/>
      <c r="D587" s="8" t="str">
        <f ca="1">IFERROR(__xludf.DUMMYFUNCTION("""COMPUTED_VALUE"""),"No Relation")</f>
        <v>No Relation</v>
      </c>
      <c r="E587" s="8" t="str">
        <f ca="1">IFERROR(__xludf.DUMMYFUNCTION("""COMPUTED_VALUE"""),"Fled/Escaped")</f>
        <v>Fled/Escaped</v>
      </c>
      <c r="F587" s="8" t="str">
        <f ca="1">IFERROR(__xludf.DUMMYFUNCTION("""COMPUTED_VALUE"""),"No")</f>
        <v>No</v>
      </c>
      <c r="G587" s="8" t="str">
        <f ca="1">IFERROR(__xludf.DUMMYFUNCTION("""COMPUTED_VALUE"""),"None")</f>
        <v>None</v>
      </c>
    </row>
    <row r="588" spans="1:7" ht="12.75">
      <c r="A588" s="8" t="str">
        <f ca="1">IFERROR(__xludf.DUMMYFUNCTION("""COMPUTED_VALUE"""),"20210217TNKNK")</f>
        <v>20210217TNKNK</v>
      </c>
      <c r="B588" s="8">
        <f ca="1">IFERROR(__xludf.DUMMYFUNCTION("""COMPUTED_VALUE"""),30)</f>
        <v>30</v>
      </c>
      <c r="C588" s="8" t="str">
        <f ca="1">IFERROR(__xludf.DUMMYFUNCTION("""COMPUTED_VALUE"""),"Male")</f>
        <v>Male</v>
      </c>
      <c r="D588" s="8" t="str">
        <f ca="1">IFERROR(__xludf.DUMMYFUNCTION("""COMPUTED_VALUE"""),"No Relation")</f>
        <v>No Relation</v>
      </c>
      <c r="E588" s="8" t="str">
        <f ca="1">IFERROR(__xludf.DUMMYFUNCTION("""COMPUTED_VALUE"""),"Fled/Apprehended")</f>
        <v>Fled/Apprehended</v>
      </c>
      <c r="F588" s="8" t="str">
        <f ca="1">IFERROR(__xludf.DUMMYFUNCTION("""COMPUTED_VALUE"""),"No")</f>
        <v>No</v>
      </c>
      <c r="G588" s="8" t="str">
        <f ca="1">IFERROR(__xludf.DUMMYFUNCTION("""COMPUTED_VALUE"""),"None")</f>
        <v>None</v>
      </c>
    </row>
    <row r="589" spans="1:7" ht="12.75">
      <c r="A589" s="8" t="str">
        <f ca="1">IFERROR(__xludf.DUMMYFUNCTION("""COMPUTED_VALUE"""),"20210216NCTHS")</f>
        <v>20210216NCTHS</v>
      </c>
      <c r="B589" s="8" t="str">
        <f ca="1">IFERROR(__xludf.DUMMYFUNCTION("""COMPUTED_VALUE"""),"Child")</f>
        <v>Child</v>
      </c>
      <c r="C589" s="8" t="str">
        <f ca="1">IFERROR(__xludf.DUMMYFUNCTION("""COMPUTED_VALUE"""),"Male")</f>
        <v>Male</v>
      </c>
      <c r="D589" s="8" t="str">
        <f ca="1">IFERROR(__xludf.DUMMYFUNCTION("""COMPUTED_VALUE"""),"Student")</f>
        <v>Student</v>
      </c>
      <c r="E589" s="8" t="str">
        <f ca="1">IFERROR(__xludf.DUMMYFUNCTION("""COMPUTED_VALUE"""),"Apprehended/Killed by SRO")</f>
        <v>Apprehended/Killed by SRO</v>
      </c>
      <c r="F589" s="8" t="str">
        <f ca="1">IFERROR(__xludf.DUMMYFUNCTION("""COMPUTED_VALUE"""),"No")</f>
        <v>No</v>
      </c>
      <c r="G589" s="8" t="str">
        <f ca="1">IFERROR(__xludf.DUMMYFUNCTION("""COMPUTED_VALUE"""),"None")</f>
        <v>None</v>
      </c>
    </row>
    <row r="590" spans="1:7" ht="12.75">
      <c r="A590" s="8" t="str">
        <f ca="1">IFERROR(__xludf.DUMMYFUNCTION("""COMPUTED_VALUE"""),"20210216NCTHS")</f>
        <v>20210216NCTHS</v>
      </c>
      <c r="B590" s="8" t="str">
        <f ca="1">IFERROR(__xludf.DUMMYFUNCTION("""COMPUTED_VALUE"""),"Child")</f>
        <v>Child</v>
      </c>
      <c r="C590" s="8" t="str">
        <f ca="1">IFERROR(__xludf.DUMMYFUNCTION("""COMPUTED_VALUE"""),"Male")</f>
        <v>Male</v>
      </c>
      <c r="D590" s="8" t="str">
        <f ca="1">IFERROR(__xludf.DUMMYFUNCTION("""COMPUTED_VALUE"""),"Student")</f>
        <v>Student</v>
      </c>
      <c r="E590" s="8" t="str">
        <f ca="1">IFERROR(__xludf.DUMMYFUNCTION("""COMPUTED_VALUE"""),"Apprehended/Killed by SRO")</f>
        <v>Apprehended/Killed by SRO</v>
      </c>
      <c r="F590" s="8" t="str">
        <f ca="1">IFERROR(__xludf.DUMMYFUNCTION("""COMPUTED_VALUE"""),"No")</f>
        <v>No</v>
      </c>
      <c r="G590" s="8" t="str">
        <f ca="1">IFERROR(__xludf.DUMMYFUNCTION("""COMPUTED_VALUE"""),"None")</f>
        <v>None</v>
      </c>
    </row>
    <row r="591" spans="1:7" ht="12.75">
      <c r="A591" s="8" t="str">
        <f ca="1">IFERROR(__xludf.DUMMYFUNCTION("""COMPUTED_VALUE"""),"20210214MNROM")</f>
        <v>20210214MNROM</v>
      </c>
      <c r="B591" s="8"/>
      <c r="C591" s="8"/>
      <c r="D591" s="8" t="str">
        <f ca="1">IFERROR(__xludf.DUMMYFUNCTION("""COMPUTED_VALUE"""),"No Relation")</f>
        <v>No Relation</v>
      </c>
      <c r="E591" s="8" t="str">
        <f ca="1">IFERROR(__xludf.DUMMYFUNCTION("""COMPUTED_VALUE"""),"Fled/Escaped")</f>
        <v>Fled/Escaped</v>
      </c>
      <c r="F591" s="8" t="str">
        <f ca="1">IFERROR(__xludf.DUMMYFUNCTION("""COMPUTED_VALUE"""),"No")</f>
        <v>No</v>
      </c>
      <c r="G591" s="8" t="str">
        <f ca="1">IFERROR(__xludf.DUMMYFUNCTION("""COMPUTED_VALUE"""),"None")</f>
        <v>None</v>
      </c>
    </row>
    <row r="592" spans="1:7" ht="12.75">
      <c r="A592" s="8" t="str">
        <f ca="1">IFERROR(__xludf.DUMMYFUNCTION("""COMPUTED_VALUE"""),"20210210TXFOF")</f>
        <v>20210210TXFOF</v>
      </c>
      <c r="B592" s="8">
        <f ca="1">IFERROR(__xludf.DUMMYFUNCTION("""COMPUTED_VALUE"""),17)</f>
        <v>17</v>
      </c>
      <c r="C592" s="8" t="str">
        <f ca="1">IFERROR(__xludf.DUMMYFUNCTION("""COMPUTED_VALUE"""),"Male")</f>
        <v>Male</v>
      </c>
      <c r="D592" s="8" t="str">
        <f ca="1">IFERROR(__xludf.DUMMYFUNCTION("""COMPUTED_VALUE"""),"No Relation")</f>
        <v>No Relation</v>
      </c>
      <c r="E592" s="8" t="str">
        <f ca="1">IFERROR(__xludf.DUMMYFUNCTION("""COMPUTED_VALUE"""),"Fled/Apprehended")</f>
        <v>Fled/Apprehended</v>
      </c>
      <c r="F592" s="8" t="str">
        <f ca="1">IFERROR(__xludf.DUMMYFUNCTION("""COMPUTED_VALUE"""),"No")</f>
        <v>No</v>
      </c>
      <c r="G592" s="8" t="str">
        <f ca="1">IFERROR(__xludf.DUMMYFUNCTION("""COMPUTED_VALUE"""),"None")</f>
        <v>None</v>
      </c>
    </row>
    <row r="593" spans="1:7" ht="12.75">
      <c r="A593" s="8" t="str">
        <f ca="1">IFERROR(__xludf.DUMMYFUNCTION("""COMPUTED_VALUE"""),"20210210TXFOF")</f>
        <v>20210210TXFOF</v>
      </c>
      <c r="B593" s="8">
        <f ca="1">IFERROR(__xludf.DUMMYFUNCTION("""COMPUTED_VALUE"""),18)</f>
        <v>18</v>
      </c>
      <c r="C593" s="8" t="str">
        <f ca="1">IFERROR(__xludf.DUMMYFUNCTION("""COMPUTED_VALUE"""),"Male")</f>
        <v>Male</v>
      </c>
      <c r="D593" s="8" t="str">
        <f ca="1">IFERROR(__xludf.DUMMYFUNCTION("""COMPUTED_VALUE"""),"No Relation")</f>
        <v>No Relation</v>
      </c>
      <c r="E593" s="8" t="str">
        <f ca="1">IFERROR(__xludf.DUMMYFUNCTION("""COMPUTED_VALUE"""),"Fled/Apprehended")</f>
        <v>Fled/Apprehended</v>
      </c>
      <c r="F593" s="8" t="str">
        <f ca="1">IFERROR(__xludf.DUMMYFUNCTION("""COMPUTED_VALUE"""),"No")</f>
        <v>No</v>
      </c>
      <c r="G593" s="8" t="str">
        <f ca="1">IFERROR(__xludf.DUMMYFUNCTION("""COMPUTED_VALUE"""),"None")</f>
        <v>None</v>
      </c>
    </row>
    <row r="594" spans="1:7" ht="12.75">
      <c r="A594" s="8" t="str">
        <f ca="1">IFERROR(__xludf.DUMMYFUNCTION("""COMPUTED_VALUE"""),"20210210NJSCP")</f>
        <v>20210210NJSCP</v>
      </c>
      <c r="B594" s="8"/>
      <c r="C594" s="8"/>
      <c r="D594" s="8" t="str">
        <f ca="1">IFERROR(__xludf.DUMMYFUNCTION("""COMPUTED_VALUE"""),"No Relation")</f>
        <v>No Relation</v>
      </c>
      <c r="E594" s="8" t="str">
        <f ca="1">IFERROR(__xludf.DUMMYFUNCTION("""COMPUTED_VALUE"""),"Fled/Escaped")</f>
        <v>Fled/Escaped</v>
      </c>
      <c r="F594" s="8" t="str">
        <f ca="1">IFERROR(__xludf.DUMMYFUNCTION("""COMPUTED_VALUE"""),"No")</f>
        <v>No</v>
      </c>
      <c r="G594" s="8" t="str">
        <f ca="1">IFERROR(__xludf.DUMMYFUNCTION("""COMPUTED_VALUE"""),"None")</f>
        <v>None</v>
      </c>
    </row>
    <row r="595" spans="1:7" ht="12.75">
      <c r="A595" s="8" t="str">
        <f ca="1">IFERROR(__xludf.DUMMYFUNCTION("""COMPUTED_VALUE"""),"20210210LASTS")</f>
        <v>20210210LASTS</v>
      </c>
      <c r="B595" s="8" t="str">
        <f ca="1">IFERROR(__xludf.DUMMYFUNCTION("""COMPUTED_VALUE"""),"Adult")</f>
        <v>Adult</v>
      </c>
      <c r="C595" s="8" t="str">
        <f ca="1">IFERROR(__xludf.DUMMYFUNCTION("""COMPUTED_VALUE"""),"Male")</f>
        <v>Male</v>
      </c>
      <c r="D595" s="8" t="str">
        <f ca="1">IFERROR(__xludf.DUMMYFUNCTION("""COMPUTED_VALUE"""),"No Relation")</f>
        <v>No Relation</v>
      </c>
      <c r="E595" s="8" t="str">
        <f ca="1">IFERROR(__xludf.DUMMYFUNCTION("""COMPUTED_VALUE"""),"Fled/Escaped")</f>
        <v>Fled/Escaped</v>
      </c>
      <c r="F595" s="8" t="str">
        <f ca="1">IFERROR(__xludf.DUMMYFUNCTION("""COMPUTED_VALUE"""),"No")</f>
        <v>No</v>
      </c>
      <c r="G595" s="8" t="str">
        <f ca="1">IFERROR(__xludf.DUMMYFUNCTION("""COMPUTED_VALUE"""),"None")</f>
        <v>None</v>
      </c>
    </row>
    <row r="596" spans="1:7" ht="12.75">
      <c r="A596" s="8" t="str">
        <f ca="1">IFERROR(__xludf.DUMMYFUNCTION("""COMPUTED_VALUE"""),"20210208MISCG")</f>
        <v>20210208MISCG</v>
      </c>
      <c r="B596" s="8"/>
      <c r="C596" s="8" t="str">
        <f ca="1">IFERROR(__xludf.DUMMYFUNCTION("""COMPUTED_VALUE"""),"Male")</f>
        <v>Male</v>
      </c>
      <c r="D596" s="8" t="str">
        <f ca="1">IFERROR(__xludf.DUMMYFUNCTION("""COMPUTED_VALUE"""),"No Relation")</f>
        <v>No Relation</v>
      </c>
      <c r="E596" s="8" t="str">
        <f ca="1">IFERROR(__xludf.DUMMYFUNCTION("""COMPUTED_VALUE"""),"Fled/Escaped")</f>
        <v>Fled/Escaped</v>
      </c>
      <c r="F596" s="8" t="str">
        <f ca="1">IFERROR(__xludf.DUMMYFUNCTION("""COMPUTED_VALUE"""),"No")</f>
        <v>No</v>
      </c>
      <c r="G596" s="8" t="str">
        <f ca="1">IFERROR(__xludf.DUMMYFUNCTION("""COMPUTED_VALUE"""),"None")</f>
        <v>None</v>
      </c>
    </row>
    <row r="597" spans="1:7" ht="12.75">
      <c r="A597" s="8" t="str">
        <f ca="1">IFERROR(__xludf.DUMMYFUNCTION("""COMPUTED_VALUE"""),"20210205MDBEM")</f>
        <v>20210205MDBEM</v>
      </c>
      <c r="B597" s="8"/>
      <c r="C597" s="8"/>
      <c r="D597" s="8" t="str">
        <f ca="1">IFERROR(__xludf.DUMMYFUNCTION("""COMPUTED_VALUE"""),"No Relation")</f>
        <v>No Relation</v>
      </c>
      <c r="E597" s="8" t="str">
        <f ca="1">IFERROR(__xludf.DUMMYFUNCTION("""COMPUTED_VALUE"""),"Fled/Escaped")</f>
        <v>Fled/Escaped</v>
      </c>
      <c r="F597" s="8" t="str">
        <f ca="1">IFERROR(__xludf.DUMMYFUNCTION("""COMPUTED_VALUE"""),"No")</f>
        <v>No</v>
      </c>
      <c r="G597" s="8" t="str">
        <f ca="1">IFERROR(__xludf.DUMMYFUNCTION("""COMPUTED_VALUE"""),"None")</f>
        <v>None</v>
      </c>
    </row>
    <row r="598" spans="1:7" ht="12.75">
      <c r="A598" s="8" t="str">
        <f ca="1">IFERROR(__xludf.DUMMYFUNCTION("""COMPUTED_VALUE"""),"20210201MIMUD")</f>
        <v>20210201MIMUD</v>
      </c>
      <c r="B598" s="8" t="str">
        <f ca="1">IFERROR(__xludf.DUMMYFUNCTION("""COMPUTED_VALUE"""),"Teen")</f>
        <v>Teen</v>
      </c>
      <c r="C598" s="8" t="str">
        <f ca="1">IFERROR(__xludf.DUMMYFUNCTION("""COMPUTED_VALUE"""),"Male")</f>
        <v>Male</v>
      </c>
      <c r="D598" s="8" t="str">
        <f ca="1">IFERROR(__xludf.DUMMYFUNCTION("""COMPUTED_VALUE"""),"Nonstudent Using Athletic Facilities/Attending Game")</f>
        <v>Nonstudent Using Athletic Facilities/Attending Game</v>
      </c>
      <c r="E598" s="8" t="str">
        <f ca="1">IFERROR(__xludf.DUMMYFUNCTION("""COMPUTED_VALUE"""),"Fled/Escaped")</f>
        <v>Fled/Escaped</v>
      </c>
      <c r="F598" s="8" t="str">
        <f ca="1">IFERROR(__xludf.DUMMYFUNCTION("""COMPUTED_VALUE"""),"No")</f>
        <v>No</v>
      </c>
      <c r="G598" s="8" t="str">
        <f ca="1">IFERROR(__xludf.DUMMYFUNCTION("""COMPUTED_VALUE"""),"None")</f>
        <v>None</v>
      </c>
    </row>
    <row r="599" spans="1:7" ht="12.75">
      <c r="A599" s="8" t="str">
        <f ca="1">IFERROR(__xludf.DUMMYFUNCTION("""COMPUTED_VALUE"""),"20210127MSHAH")</f>
        <v>20210127MSHAH</v>
      </c>
      <c r="B599" s="8">
        <f ca="1">IFERROR(__xludf.DUMMYFUNCTION("""COMPUTED_VALUE"""),14)</f>
        <v>14</v>
      </c>
      <c r="C599" s="8" t="str">
        <f ca="1">IFERROR(__xludf.DUMMYFUNCTION("""COMPUTED_VALUE"""),"Male")</f>
        <v>Male</v>
      </c>
      <c r="D599" s="8"/>
      <c r="E599" s="8" t="str">
        <f ca="1">IFERROR(__xludf.DUMMYFUNCTION("""COMPUTED_VALUE"""),"Apprehended/Killed by LE")</f>
        <v>Apprehended/Killed by LE</v>
      </c>
      <c r="F599" s="8" t="str">
        <f ca="1">IFERROR(__xludf.DUMMYFUNCTION("""COMPUTED_VALUE"""),"No")</f>
        <v>No</v>
      </c>
      <c r="G599" s="8" t="str">
        <f ca="1">IFERROR(__xludf.DUMMYFUNCTION("""COMPUTED_VALUE"""),"Wounded")</f>
        <v>Wounded</v>
      </c>
    </row>
    <row r="600" spans="1:7" ht="12.75">
      <c r="A600" s="8" t="str">
        <f ca="1">IFERROR(__xludf.DUMMYFUNCTION("""COMPUTED_VALUE"""),"20210127FLHOH")</f>
        <v>20210127FLHOH</v>
      </c>
      <c r="B600" s="8" t="str">
        <f ca="1">IFERROR(__xludf.DUMMYFUNCTION("""COMPUTED_VALUE"""),"Teen")</f>
        <v>Teen</v>
      </c>
      <c r="C600" s="8"/>
      <c r="D600" s="8" t="str">
        <f ca="1">IFERROR(__xludf.DUMMYFUNCTION("""COMPUTED_VALUE"""),"Student")</f>
        <v>Student</v>
      </c>
      <c r="E600" s="8" t="str">
        <f ca="1">IFERROR(__xludf.DUMMYFUNCTION("""COMPUTED_VALUE"""),"Apprehended/Killed by Other")</f>
        <v>Apprehended/Killed by Other</v>
      </c>
      <c r="F600" s="8" t="str">
        <f ca="1">IFERROR(__xludf.DUMMYFUNCTION("""COMPUTED_VALUE"""),"No")</f>
        <v>No</v>
      </c>
      <c r="G600" s="8" t="str">
        <f ca="1">IFERROR(__xludf.DUMMYFUNCTION("""COMPUTED_VALUE"""),"None")</f>
        <v>None</v>
      </c>
    </row>
    <row r="601" spans="1:7" ht="12.75">
      <c r="A601" s="8" t="str">
        <f ca="1">IFERROR(__xludf.DUMMYFUNCTION("""COMPUTED_VALUE"""),"20210127FLHOH")</f>
        <v>20210127FLHOH</v>
      </c>
      <c r="B601" s="8" t="str">
        <f ca="1">IFERROR(__xludf.DUMMYFUNCTION("""COMPUTED_VALUE"""),"Teen")</f>
        <v>Teen</v>
      </c>
      <c r="C601" s="8"/>
      <c r="D601" s="8" t="str">
        <f ca="1">IFERROR(__xludf.DUMMYFUNCTION("""COMPUTED_VALUE"""),"Student")</f>
        <v>Student</v>
      </c>
      <c r="E601" s="8" t="str">
        <f ca="1">IFERROR(__xludf.DUMMYFUNCTION("""COMPUTED_VALUE"""),"Apprehended/Killed by Other")</f>
        <v>Apprehended/Killed by Other</v>
      </c>
      <c r="F601" s="8" t="str">
        <f ca="1">IFERROR(__xludf.DUMMYFUNCTION("""COMPUTED_VALUE"""),"No")</f>
        <v>No</v>
      </c>
      <c r="G601" s="8" t="str">
        <f ca="1">IFERROR(__xludf.DUMMYFUNCTION("""COMPUTED_VALUE"""),"None")</f>
        <v>None</v>
      </c>
    </row>
    <row r="602" spans="1:7" ht="12.75">
      <c r="A602" s="8" t="str">
        <f ca="1">IFERROR(__xludf.DUMMYFUNCTION("""COMPUTED_VALUE"""),"20210121OKLOG")</f>
        <v>20210121OKLOG</v>
      </c>
      <c r="B602" s="8" t="str">
        <f ca="1">IFERROR(__xludf.DUMMYFUNCTION("""COMPUTED_VALUE"""),"Adult")</f>
        <v>Adult</v>
      </c>
      <c r="C602" s="8" t="str">
        <f ca="1">IFERROR(__xludf.DUMMYFUNCTION("""COMPUTED_VALUE"""),"Male")</f>
        <v>Male</v>
      </c>
      <c r="D602" s="8" t="str">
        <f ca="1">IFERROR(__xludf.DUMMYFUNCTION("""COMPUTED_VALUE"""),"Parent")</f>
        <v>Parent</v>
      </c>
      <c r="E602" s="8" t="str">
        <f ca="1">IFERROR(__xludf.DUMMYFUNCTION("""COMPUTED_VALUE"""),"Fled/Apprehended")</f>
        <v>Fled/Apprehended</v>
      </c>
      <c r="F602" s="8" t="str">
        <f ca="1">IFERROR(__xludf.DUMMYFUNCTION("""COMPUTED_VALUE"""),"No")</f>
        <v>No</v>
      </c>
      <c r="G602" s="8" t="str">
        <f ca="1">IFERROR(__xludf.DUMMYFUNCTION("""COMPUTED_VALUE"""),"Wounded")</f>
        <v>Wounded</v>
      </c>
    </row>
    <row r="603" spans="1:7" ht="12.75">
      <c r="A603" s="8" t="str">
        <f ca="1">IFERROR(__xludf.DUMMYFUNCTION("""COMPUTED_VALUE"""),"20210121OHEAC")</f>
        <v>20210121OHEAC</v>
      </c>
      <c r="B603" s="8" t="str">
        <f ca="1">IFERROR(__xludf.DUMMYFUNCTION("""COMPUTED_VALUE"""),"Adult")</f>
        <v>Adult</v>
      </c>
      <c r="C603" s="8" t="str">
        <f ca="1">IFERROR(__xludf.DUMMYFUNCTION("""COMPUTED_VALUE"""),"Male")</f>
        <v>Male</v>
      </c>
      <c r="D603" s="8" t="str">
        <f ca="1">IFERROR(__xludf.DUMMYFUNCTION("""COMPUTED_VALUE"""),"No Relation")</f>
        <v>No Relation</v>
      </c>
      <c r="E603" s="8" t="str">
        <f ca="1">IFERROR(__xludf.DUMMYFUNCTION("""COMPUTED_VALUE"""),"Fled/Escaped")</f>
        <v>Fled/Escaped</v>
      </c>
      <c r="F603" s="8" t="str">
        <f ca="1">IFERROR(__xludf.DUMMYFUNCTION("""COMPUTED_VALUE"""),"No")</f>
        <v>No</v>
      </c>
      <c r="G603" s="8" t="str">
        <f ca="1">IFERROR(__xludf.DUMMYFUNCTION("""COMPUTED_VALUE"""),"None")</f>
        <v>None</v>
      </c>
    </row>
    <row r="604" spans="1:7" ht="12.75">
      <c r="A604" s="8" t="str">
        <f ca="1">IFERROR(__xludf.DUMMYFUNCTION("""COMPUTED_VALUE"""),"20210114MDHIW")</f>
        <v>20210114MDHIW</v>
      </c>
      <c r="B604" s="8"/>
      <c r="C604" s="8"/>
      <c r="D604" s="8" t="str">
        <f ca="1">IFERROR(__xludf.DUMMYFUNCTION("""COMPUTED_VALUE"""),"No Relation")</f>
        <v>No Relation</v>
      </c>
      <c r="E604" s="8" t="str">
        <f ca="1">IFERROR(__xludf.DUMMYFUNCTION("""COMPUTED_VALUE"""),"Fled/Escaped")</f>
        <v>Fled/Escaped</v>
      </c>
      <c r="F604" s="8" t="str">
        <f ca="1">IFERROR(__xludf.DUMMYFUNCTION("""COMPUTED_VALUE"""),"No")</f>
        <v>No</v>
      </c>
      <c r="G604" s="8" t="str">
        <f ca="1">IFERROR(__xludf.DUMMYFUNCTION("""COMPUTED_VALUE"""),"None")</f>
        <v>None</v>
      </c>
    </row>
    <row r="605" spans="1:7" ht="12.75">
      <c r="A605" s="8" t="str">
        <f ca="1">IFERROR(__xludf.DUMMYFUNCTION("""COMPUTED_VALUE"""),"20210110ILSOS")</f>
        <v>20210110ILSOS</v>
      </c>
      <c r="B605" s="8"/>
      <c r="C605" s="8"/>
      <c r="D605" s="8"/>
      <c r="E605" s="8" t="str">
        <f ca="1">IFERROR(__xludf.DUMMYFUNCTION("""COMPUTED_VALUE"""),"Fled/Escaped")</f>
        <v>Fled/Escaped</v>
      </c>
      <c r="F605" s="8" t="str">
        <f ca="1">IFERROR(__xludf.DUMMYFUNCTION("""COMPUTED_VALUE"""),"No")</f>
        <v>No</v>
      </c>
      <c r="G605" s="8" t="str">
        <f ca="1">IFERROR(__xludf.DUMMYFUNCTION("""COMPUTED_VALUE"""),"None")</f>
        <v>None</v>
      </c>
    </row>
    <row r="606" spans="1:7" ht="12.75">
      <c r="A606" s="8" t="str">
        <f ca="1">IFERROR(__xludf.DUMMYFUNCTION("""COMPUTED_VALUE"""),"20210104NYPEJ")</f>
        <v>20210104NYPEJ</v>
      </c>
      <c r="B606" s="8" t="str">
        <f ca="1">IFERROR(__xludf.DUMMYFUNCTION("""COMPUTED_VALUE"""),"Adult")</f>
        <v>Adult</v>
      </c>
      <c r="C606" s="8" t="str">
        <f ca="1">IFERROR(__xludf.DUMMYFUNCTION("""COMPUTED_VALUE"""),"Male")</f>
        <v>Male</v>
      </c>
      <c r="D606" s="8" t="str">
        <f ca="1">IFERROR(__xludf.DUMMYFUNCTION("""COMPUTED_VALUE"""),"No Relation")</f>
        <v>No Relation</v>
      </c>
      <c r="E606" s="8" t="str">
        <f ca="1">IFERROR(__xludf.DUMMYFUNCTION("""COMPUTED_VALUE"""),"Fled/Apprehended")</f>
        <v>Fled/Apprehended</v>
      </c>
      <c r="F606" s="8" t="str">
        <f ca="1">IFERROR(__xludf.DUMMYFUNCTION("""COMPUTED_VALUE"""),"No")</f>
        <v>No</v>
      </c>
      <c r="G606" s="8" t="str">
        <f ca="1">IFERROR(__xludf.DUMMYFUNCTION("""COMPUTED_VALUE"""),"None")</f>
        <v>None</v>
      </c>
    </row>
    <row r="607" spans="1:7" ht="12.75">
      <c r="A607" s="8" t="str">
        <f ca="1">IFERROR(__xludf.DUMMYFUNCTION("""COMPUTED_VALUE"""),"20201229WAROS")</f>
        <v>20201229WAROS</v>
      </c>
      <c r="B607" s="8"/>
      <c r="C607" s="8"/>
      <c r="D607" s="8"/>
      <c r="E607" s="8" t="str">
        <f ca="1">IFERROR(__xludf.DUMMYFUNCTION("""COMPUTED_VALUE"""),"Fled/Escaped")</f>
        <v>Fled/Escaped</v>
      </c>
      <c r="F607" s="8" t="str">
        <f ca="1">IFERROR(__xludf.DUMMYFUNCTION("""COMPUTED_VALUE"""),"No")</f>
        <v>No</v>
      </c>
      <c r="G607" s="8" t="str">
        <f ca="1">IFERROR(__xludf.DUMMYFUNCTION("""COMPUTED_VALUE"""),"None")</f>
        <v>None</v>
      </c>
    </row>
    <row r="608" spans="1:7" ht="12.75">
      <c r="A608" s="8" t="str">
        <f ca="1">IFERROR(__xludf.DUMMYFUNCTION("""COMPUTED_VALUE"""),"20201225FLYOP")</f>
        <v>20201225FLYOP</v>
      </c>
      <c r="B608" s="8"/>
      <c r="C608" s="8"/>
      <c r="D608" s="8"/>
      <c r="E608" s="8" t="str">
        <f ca="1">IFERROR(__xludf.DUMMYFUNCTION("""COMPUTED_VALUE"""),"Fled/Escaped")</f>
        <v>Fled/Escaped</v>
      </c>
      <c r="F608" s="8" t="str">
        <f ca="1">IFERROR(__xludf.DUMMYFUNCTION("""COMPUTED_VALUE"""),"No")</f>
        <v>No</v>
      </c>
      <c r="G608" s="8" t="str">
        <f ca="1">IFERROR(__xludf.DUMMYFUNCTION("""COMPUTED_VALUE"""),"None")</f>
        <v>None</v>
      </c>
    </row>
    <row r="609" spans="1:7" ht="12.75">
      <c r="A609" s="8" t="str">
        <f ca="1">IFERROR(__xludf.DUMMYFUNCTION("""COMPUTED_VALUE"""),"20201216ILDUC")</f>
        <v>20201216ILDUC</v>
      </c>
      <c r="B609" s="8"/>
      <c r="C609" s="8"/>
      <c r="D609" s="8" t="str">
        <f ca="1">IFERROR(__xludf.DUMMYFUNCTION("""COMPUTED_VALUE"""),"No Relation")</f>
        <v>No Relation</v>
      </c>
      <c r="E609" s="8" t="str">
        <f ca="1">IFERROR(__xludf.DUMMYFUNCTION("""COMPUTED_VALUE"""),"Fled/Escaped")</f>
        <v>Fled/Escaped</v>
      </c>
      <c r="F609" s="8" t="str">
        <f ca="1">IFERROR(__xludf.DUMMYFUNCTION("""COMPUTED_VALUE"""),"No")</f>
        <v>No</v>
      </c>
      <c r="G609" s="8" t="str">
        <f ca="1">IFERROR(__xludf.DUMMYFUNCTION("""COMPUTED_VALUE"""),"None")</f>
        <v>None</v>
      </c>
    </row>
    <row r="610" spans="1:7" ht="12.75">
      <c r="A610" s="8" t="str">
        <f ca="1">IFERROR(__xludf.DUMMYFUNCTION("""COMPUTED_VALUE"""),"20201211VATAY")</f>
        <v>20201211VATAY</v>
      </c>
      <c r="B610" s="8"/>
      <c r="C610" s="8"/>
      <c r="D610" s="8" t="str">
        <f ca="1">IFERROR(__xludf.DUMMYFUNCTION("""COMPUTED_VALUE"""),"Nonstudent Using Athletic Facilities/Attending Game")</f>
        <v>Nonstudent Using Athletic Facilities/Attending Game</v>
      </c>
      <c r="E610" s="8" t="str">
        <f ca="1">IFERROR(__xludf.DUMMYFUNCTION("""COMPUTED_VALUE"""),"Fled/Escaped")</f>
        <v>Fled/Escaped</v>
      </c>
      <c r="F610" s="8" t="str">
        <f ca="1">IFERROR(__xludf.DUMMYFUNCTION("""COMPUTED_VALUE"""),"No")</f>
        <v>No</v>
      </c>
      <c r="G610" s="8" t="str">
        <f ca="1">IFERROR(__xludf.DUMMYFUNCTION("""COMPUTED_VALUE"""),"None")</f>
        <v>None</v>
      </c>
    </row>
    <row r="611" spans="1:7" ht="12.75">
      <c r="A611" s="8" t="str">
        <f ca="1">IFERROR(__xludf.DUMMYFUNCTION("""COMPUTED_VALUE"""),"20201207ILEAC")</f>
        <v>20201207ILEAC</v>
      </c>
      <c r="B611" s="8"/>
      <c r="C611" s="8"/>
      <c r="D611" s="8" t="str">
        <f ca="1">IFERROR(__xludf.DUMMYFUNCTION("""COMPUTED_VALUE"""),"No Relation")</f>
        <v>No Relation</v>
      </c>
      <c r="E611" s="8" t="str">
        <f ca="1">IFERROR(__xludf.DUMMYFUNCTION("""COMPUTED_VALUE"""),"Fled/Escaped")</f>
        <v>Fled/Escaped</v>
      </c>
      <c r="F611" s="8" t="str">
        <f ca="1">IFERROR(__xludf.DUMMYFUNCTION("""COMPUTED_VALUE"""),"No")</f>
        <v>No</v>
      </c>
      <c r="G611" s="8" t="str">
        <f ca="1">IFERROR(__xludf.DUMMYFUNCTION("""COMPUTED_VALUE"""),"None")</f>
        <v>None</v>
      </c>
    </row>
    <row r="612" spans="1:7" ht="12.75">
      <c r="A612" s="8" t="str">
        <f ca="1">IFERROR(__xludf.DUMMYFUNCTION("""COMPUTED_VALUE"""),"20201125KSABG")</f>
        <v>20201125KSABG</v>
      </c>
      <c r="B612" s="8">
        <f ca="1">IFERROR(__xludf.DUMMYFUNCTION("""COMPUTED_VALUE"""),31)</f>
        <v>31</v>
      </c>
      <c r="C612" s="8" t="str">
        <f ca="1">IFERROR(__xludf.DUMMYFUNCTION("""COMPUTED_VALUE"""),"Male")</f>
        <v>Male</v>
      </c>
      <c r="D612" s="8" t="str">
        <f ca="1">IFERROR(__xludf.DUMMYFUNCTION("""COMPUTED_VALUE"""),"No Relation")</f>
        <v>No Relation</v>
      </c>
      <c r="E612" s="8" t="str">
        <f ca="1">IFERROR(__xludf.DUMMYFUNCTION("""COMPUTED_VALUE"""),"Fled/Apprehended")</f>
        <v>Fled/Apprehended</v>
      </c>
      <c r="F612" s="8" t="str">
        <f ca="1">IFERROR(__xludf.DUMMYFUNCTION("""COMPUTED_VALUE"""),"No")</f>
        <v>No</v>
      </c>
      <c r="G612" s="8" t="str">
        <f ca="1">IFERROR(__xludf.DUMMYFUNCTION("""COMPUTED_VALUE"""),"None")</f>
        <v>None</v>
      </c>
    </row>
    <row r="613" spans="1:7" ht="12.75">
      <c r="A613" s="8" t="str">
        <f ca="1">IFERROR(__xludf.DUMMYFUNCTION("""COMPUTED_VALUE"""),"20201124NCHEH")</f>
        <v>20201124NCHEH</v>
      </c>
      <c r="B613" s="8">
        <f ca="1">IFERROR(__xludf.DUMMYFUNCTION("""COMPUTED_VALUE"""),13)</f>
        <v>13</v>
      </c>
      <c r="C613" s="8" t="str">
        <f ca="1">IFERROR(__xludf.DUMMYFUNCTION("""COMPUTED_VALUE"""),"Male")</f>
        <v>Male</v>
      </c>
      <c r="D613" s="8" t="str">
        <f ca="1">IFERROR(__xludf.DUMMYFUNCTION("""COMPUTED_VALUE"""),"Student")</f>
        <v>Student</v>
      </c>
      <c r="E613" s="8" t="str">
        <f ca="1">IFERROR(__xludf.DUMMYFUNCTION("""COMPUTED_VALUE"""),"Surrendered")</f>
        <v>Surrendered</v>
      </c>
      <c r="F613" s="8" t="str">
        <f ca="1">IFERROR(__xludf.DUMMYFUNCTION("""COMPUTED_VALUE"""),"No")</f>
        <v>No</v>
      </c>
      <c r="G613" s="8" t="str">
        <f ca="1">IFERROR(__xludf.DUMMYFUNCTION("""COMPUTED_VALUE"""),"None")</f>
        <v>None</v>
      </c>
    </row>
    <row r="614" spans="1:7" ht="12.75">
      <c r="A614" s="8" t="str">
        <f ca="1">IFERROR(__xludf.DUMMYFUNCTION("""COMPUTED_VALUE"""),"20201117TXWEW")</f>
        <v>20201117TXWEW</v>
      </c>
      <c r="B614" s="8" t="str">
        <f ca="1">IFERROR(__xludf.DUMMYFUNCTION("""COMPUTED_VALUE"""),"Teen")</f>
        <v>Teen</v>
      </c>
      <c r="C614" s="8" t="str">
        <f ca="1">IFERROR(__xludf.DUMMYFUNCTION("""COMPUTED_VALUE"""),"Male")</f>
        <v>Male</v>
      </c>
      <c r="D614" s="8" t="str">
        <f ca="1">IFERROR(__xludf.DUMMYFUNCTION("""COMPUTED_VALUE"""),"Nonstudent")</f>
        <v>Nonstudent</v>
      </c>
      <c r="E614" s="8" t="str">
        <f ca="1">IFERROR(__xludf.DUMMYFUNCTION("""COMPUTED_VALUE"""),"Attempted Suicide")</f>
        <v>Attempted Suicide</v>
      </c>
      <c r="F614" s="8" t="str">
        <f ca="1">IFERROR(__xludf.DUMMYFUNCTION("""COMPUTED_VALUE"""),"No")</f>
        <v>No</v>
      </c>
      <c r="G614" s="8" t="str">
        <f ca="1">IFERROR(__xludf.DUMMYFUNCTION("""COMPUTED_VALUE"""),"Wounded")</f>
        <v>Wounded</v>
      </c>
    </row>
    <row r="615" spans="1:7" ht="12.75">
      <c r="A615" s="8" t="str">
        <f ca="1">IFERROR(__xludf.DUMMYFUNCTION("""COMPUTED_VALUE"""),"20201117MTGRG")</f>
        <v>20201117MTGRG</v>
      </c>
      <c r="B615" s="8">
        <f ca="1">IFERROR(__xludf.DUMMYFUNCTION("""COMPUTED_VALUE"""),19)</f>
        <v>19</v>
      </c>
      <c r="C615" s="8" t="str">
        <f ca="1">IFERROR(__xludf.DUMMYFUNCTION("""COMPUTED_VALUE"""),"Male")</f>
        <v>Male</v>
      </c>
      <c r="D615" s="8" t="str">
        <f ca="1">IFERROR(__xludf.DUMMYFUNCTION("""COMPUTED_VALUE"""),"No Relation")</f>
        <v>No Relation</v>
      </c>
      <c r="E615" s="8" t="str">
        <f ca="1">IFERROR(__xludf.DUMMYFUNCTION("""COMPUTED_VALUE"""),"Apprehended/Killed by LE")</f>
        <v>Apprehended/Killed by LE</v>
      </c>
      <c r="F615" s="8" t="str">
        <f ca="1">IFERROR(__xludf.DUMMYFUNCTION("""COMPUTED_VALUE"""),"No")</f>
        <v>No</v>
      </c>
      <c r="G615" s="8" t="str">
        <f ca="1">IFERROR(__xludf.DUMMYFUNCTION("""COMPUTED_VALUE"""),"None")</f>
        <v>None</v>
      </c>
    </row>
    <row r="616" spans="1:7" ht="12.75">
      <c r="A616" s="8" t="str">
        <f ca="1">IFERROR(__xludf.DUMMYFUNCTION("""COMPUTED_VALUE"""),"20201116TNWIM")</f>
        <v>20201116TNWIM</v>
      </c>
      <c r="B616" s="8">
        <f ca="1">IFERROR(__xludf.DUMMYFUNCTION("""COMPUTED_VALUE"""),25)</f>
        <v>25</v>
      </c>
      <c r="C616" s="8" t="str">
        <f ca="1">IFERROR(__xludf.DUMMYFUNCTION("""COMPUTED_VALUE"""),"Male")</f>
        <v>Male</v>
      </c>
      <c r="D616" s="8" t="str">
        <f ca="1">IFERROR(__xludf.DUMMYFUNCTION("""COMPUTED_VALUE"""),"No Relation")</f>
        <v>No Relation</v>
      </c>
      <c r="E616" s="8" t="str">
        <f ca="1">IFERROR(__xludf.DUMMYFUNCTION("""COMPUTED_VALUE"""),"Fled/Apprehended")</f>
        <v>Fled/Apprehended</v>
      </c>
      <c r="F616" s="8" t="str">
        <f ca="1">IFERROR(__xludf.DUMMYFUNCTION("""COMPUTED_VALUE"""),"No")</f>
        <v>No</v>
      </c>
      <c r="G616" s="8" t="str">
        <f ca="1">IFERROR(__xludf.DUMMYFUNCTION("""COMPUTED_VALUE"""),"None")</f>
        <v>None</v>
      </c>
    </row>
    <row r="617" spans="1:7" ht="12.75">
      <c r="A617" s="8" t="str">
        <f ca="1">IFERROR(__xludf.DUMMYFUNCTION("""COMPUTED_VALUE"""),"20201113NCLIL")</f>
        <v>20201113NCLIL</v>
      </c>
      <c r="B617" s="8"/>
      <c r="C617" s="8"/>
      <c r="D617" s="8" t="str">
        <f ca="1">IFERROR(__xludf.DUMMYFUNCTION("""COMPUTED_VALUE"""),"No Relation")</f>
        <v>No Relation</v>
      </c>
      <c r="E617" s="8" t="str">
        <f ca="1">IFERROR(__xludf.DUMMYFUNCTION("""COMPUTED_VALUE"""),"Fled/Escaped")</f>
        <v>Fled/Escaped</v>
      </c>
      <c r="F617" s="8" t="str">
        <f ca="1">IFERROR(__xludf.DUMMYFUNCTION("""COMPUTED_VALUE"""),"No")</f>
        <v>No</v>
      </c>
      <c r="G617" s="8" t="str">
        <f ca="1">IFERROR(__xludf.DUMMYFUNCTION("""COMPUTED_VALUE"""),"None")</f>
        <v>None</v>
      </c>
    </row>
    <row r="618" spans="1:7" ht="12.75">
      <c r="A618" s="8" t="str">
        <f ca="1">IFERROR(__xludf.DUMMYFUNCTION("""COMPUTED_VALUE"""),"20201112PANAH")</f>
        <v>20201112PANAH</v>
      </c>
      <c r="B618" s="8">
        <f ca="1">IFERROR(__xludf.DUMMYFUNCTION("""COMPUTED_VALUE"""),18)</f>
        <v>18</v>
      </c>
      <c r="C618" s="8" t="str">
        <f ca="1">IFERROR(__xludf.DUMMYFUNCTION("""COMPUTED_VALUE"""),"Male")</f>
        <v>Male</v>
      </c>
      <c r="D618" s="8" t="str">
        <f ca="1">IFERROR(__xludf.DUMMYFUNCTION("""COMPUTED_VALUE"""),"No Relation")</f>
        <v>No Relation</v>
      </c>
      <c r="E618" s="8" t="str">
        <f ca="1">IFERROR(__xludf.DUMMYFUNCTION("""COMPUTED_VALUE"""),"Fled/Escaped")</f>
        <v>Fled/Escaped</v>
      </c>
      <c r="F618" s="8" t="str">
        <f ca="1">IFERROR(__xludf.DUMMYFUNCTION("""COMPUTED_VALUE"""),"No")</f>
        <v>No</v>
      </c>
      <c r="G618" s="8" t="str">
        <f ca="1">IFERROR(__xludf.DUMMYFUNCTION("""COMPUTED_VALUE"""),"None")</f>
        <v>None</v>
      </c>
    </row>
    <row r="619" spans="1:7" ht="12.75">
      <c r="A619" s="8" t="str">
        <f ca="1">IFERROR(__xludf.DUMMYFUNCTION("""COMPUTED_VALUE"""),"20201112CACEU")</f>
        <v>20201112CACEU</v>
      </c>
      <c r="B619" s="8" t="str">
        <f ca="1">IFERROR(__xludf.DUMMYFUNCTION("""COMPUTED_VALUE"""),"Adult")</f>
        <v>Adult</v>
      </c>
      <c r="C619" s="8"/>
      <c r="D619" s="8" t="str">
        <f ca="1">IFERROR(__xludf.DUMMYFUNCTION("""COMPUTED_VALUE"""),"No Relation")</f>
        <v>No Relation</v>
      </c>
      <c r="E619" s="8" t="str">
        <f ca="1">IFERROR(__xludf.DUMMYFUNCTION("""COMPUTED_VALUE"""),"Fled/Escaped")</f>
        <v>Fled/Escaped</v>
      </c>
      <c r="F619" s="8" t="str">
        <f ca="1">IFERROR(__xludf.DUMMYFUNCTION("""COMPUTED_VALUE"""),"No")</f>
        <v>No</v>
      </c>
      <c r="G619" s="8" t="str">
        <f ca="1">IFERROR(__xludf.DUMMYFUNCTION("""COMPUTED_VALUE"""),"None")</f>
        <v>None</v>
      </c>
    </row>
    <row r="620" spans="1:7" ht="12.75">
      <c r="A620" s="8" t="str">
        <f ca="1">IFERROR(__xludf.DUMMYFUNCTION("""COMPUTED_VALUE"""),"20201109TXCOH")</f>
        <v>20201109TXCOH</v>
      </c>
      <c r="B620" s="8"/>
      <c r="C620" s="8"/>
      <c r="D620" s="8" t="str">
        <f ca="1">IFERROR(__xludf.DUMMYFUNCTION("""COMPUTED_VALUE"""),"No Relation")</f>
        <v>No Relation</v>
      </c>
      <c r="E620" s="8" t="str">
        <f ca="1">IFERROR(__xludf.DUMMYFUNCTION("""COMPUTED_VALUE"""),"Fled/Escaped")</f>
        <v>Fled/Escaped</v>
      </c>
      <c r="F620" s="8" t="str">
        <f ca="1">IFERROR(__xludf.DUMMYFUNCTION("""COMPUTED_VALUE"""),"No")</f>
        <v>No</v>
      </c>
      <c r="G620" s="8" t="str">
        <f ca="1">IFERROR(__xludf.DUMMYFUNCTION("""COMPUTED_VALUE"""),"None")</f>
        <v>None</v>
      </c>
    </row>
    <row r="621" spans="1:7" ht="12.75">
      <c r="A621" s="8" t="str">
        <f ca="1">IFERROR(__xludf.DUMMYFUNCTION("""COMPUTED_VALUE"""),"20201109CABAL")</f>
        <v>20201109CABAL</v>
      </c>
      <c r="B621" s="8" t="str">
        <f ca="1">IFERROR(__xludf.DUMMYFUNCTION("""COMPUTED_VALUE"""),"Adult")</f>
        <v>Adult</v>
      </c>
      <c r="C621" s="8" t="str">
        <f ca="1">IFERROR(__xludf.DUMMYFUNCTION("""COMPUTED_VALUE"""),"Male")</f>
        <v>Male</v>
      </c>
      <c r="D621" s="8" t="str">
        <f ca="1">IFERROR(__xludf.DUMMYFUNCTION("""COMPUTED_VALUE"""),"No Relation")</f>
        <v>No Relation</v>
      </c>
      <c r="E621" s="8" t="str">
        <f ca="1">IFERROR(__xludf.DUMMYFUNCTION("""COMPUTED_VALUE"""),"Suicide")</f>
        <v>Suicide</v>
      </c>
      <c r="F621" s="8" t="str">
        <f ca="1">IFERROR(__xludf.DUMMYFUNCTION("""COMPUTED_VALUE"""),"Yes")</f>
        <v>Yes</v>
      </c>
      <c r="G621" s="8" t="str">
        <f ca="1">IFERROR(__xludf.DUMMYFUNCTION("""COMPUTED_VALUE"""),"Fatal")</f>
        <v>Fatal</v>
      </c>
    </row>
    <row r="622" spans="1:7" ht="12.75">
      <c r="A622" s="8" t="str">
        <f ca="1">IFERROR(__xludf.DUMMYFUNCTION("""COMPUTED_VALUE"""),"20201108INTET")</f>
        <v>20201108INTET</v>
      </c>
      <c r="B622" s="8">
        <f ca="1">IFERROR(__xludf.DUMMYFUNCTION("""COMPUTED_VALUE"""),23)</f>
        <v>23</v>
      </c>
      <c r="C622" s="8" t="str">
        <f ca="1">IFERROR(__xludf.DUMMYFUNCTION("""COMPUTED_VALUE"""),"Male")</f>
        <v>Male</v>
      </c>
      <c r="D622" s="8" t="str">
        <f ca="1">IFERROR(__xludf.DUMMYFUNCTION("""COMPUTED_VALUE"""),"No Relation")</f>
        <v>No Relation</v>
      </c>
      <c r="E622" s="8" t="str">
        <f ca="1">IFERROR(__xludf.DUMMYFUNCTION("""COMPUTED_VALUE"""),"Fled/Apprehended")</f>
        <v>Fled/Apprehended</v>
      </c>
      <c r="F622" s="8" t="str">
        <f ca="1">IFERROR(__xludf.DUMMYFUNCTION("""COMPUTED_VALUE"""),"No")</f>
        <v>No</v>
      </c>
      <c r="G622" s="8" t="str">
        <f ca="1">IFERROR(__xludf.DUMMYFUNCTION("""COMPUTED_VALUE"""),"None")</f>
        <v>None</v>
      </c>
    </row>
    <row r="623" spans="1:7" ht="12.75">
      <c r="A623" s="8" t="str">
        <f ca="1">IFERROR(__xludf.DUMMYFUNCTION("""COMPUTED_VALUE"""),"20201106AZKHT")</f>
        <v>20201106AZKHT</v>
      </c>
      <c r="B623" s="8">
        <f ca="1">IFERROR(__xludf.DUMMYFUNCTION("""COMPUTED_VALUE"""),74)</f>
        <v>74</v>
      </c>
      <c r="C623" s="8" t="str">
        <f ca="1">IFERROR(__xludf.DUMMYFUNCTION("""COMPUTED_VALUE"""),"Male")</f>
        <v>Male</v>
      </c>
      <c r="D623" s="8" t="str">
        <f ca="1">IFERROR(__xludf.DUMMYFUNCTION("""COMPUTED_VALUE"""),"No Relation")</f>
        <v>No Relation</v>
      </c>
      <c r="E623" s="8" t="str">
        <f ca="1">IFERROR(__xludf.DUMMYFUNCTION("""COMPUTED_VALUE"""),"Apprehended/Killed by LE")</f>
        <v>Apprehended/Killed by LE</v>
      </c>
      <c r="F623" s="8" t="str">
        <f ca="1">IFERROR(__xludf.DUMMYFUNCTION("""COMPUTED_VALUE"""),"No")</f>
        <v>No</v>
      </c>
      <c r="G623" s="8" t="str">
        <f ca="1">IFERROR(__xludf.DUMMYFUNCTION("""COMPUTED_VALUE"""),"None")</f>
        <v>None</v>
      </c>
    </row>
    <row r="624" spans="1:7" ht="12.75">
      <c r="A624" s="8" t="str">
        <f ca="1">IFERROR(__xludf.DUMMYFUNCTION("""COMPUTED_VALUE"""),"20201102COERE")</f>
        <v>20201102COERE</v>
      </c>
      <c r="B624" s="8"/>
      <c r="C624" s="8"/>
      <c r="D624" s="8"/>
      <c r="E624" s="8" t="str">
        <f ca="1">IFERROR(__xludf.DUMMYFUNCTION("""COMPUTED_VALUE"""),"Fled/Escaped")</f>
        <v>Fled/Escaped</v>
      </c>
      <c r="F624" s="8" t="str">
        <f ca="1">IFERROR(__xludf.DUMMYFUNCTION("""COMPUTED_VALUE"""),"No")</f>
        <v>No</v>
      </c>
      <c r="G624" s="8" t="str">
        <f ca="1">IFERROR(__xludf.DUMMYFUNCTION("""COMPUTED_VALUE"""),"None")</f>
        <v>None</v>
      </c>
    </row>
    <row r="625" spans="1:7" ht="12.75">
      <c r="A625" s="8" t="str">
        <f ca="1">IFERROR(__xludf.DUMMYFUNCTION("""COMPUTED_VALUE"""),"20201029FLLAM")</f>
        <v>20201029FLLAM</v>
      </c>
      <c r="B625" s="8"/>
      <c r="C625" s="8"/>
      <c r="D625" s="8" t="str">
        <f ca="1">IFERROR(__xludf.DUMMYFUNCTION("""COMPUTED_VALUE"""),"No Relation")</f>
        <v>No Relation</v>
      </c>
      <c r="E625" s="8" t="str">
        <f ca="1">IFERROR(__xludf.DUMMYFUNCTION("""COMPUTED_VALUE"""),"Fled/Escaped")</f>
        <v>Fled/Escaped</v>
      </c>
      <c r="F625" s="8" t="str">
        <f ca="1">IFERROR(__xludf.DUMMYFUNCTION("""COMPUTED_VALUE"""),"No")</f>
        <v>No</v>
      </c>
      <c r="G625" s="8" t="str">
        <f ca="1">IFERROR(__xludf.DUMMYFUNCTION("""COMPUTED_VALUE"""),"None")</f>
        <v>None</v>
      </c>
    </row>
    <row r="626" spans="1:7" ht="12.75">
      <c r="A626" s="8" t="str">
        <f ca="1">IFERROR(__xludf.DUMMYFUNCTION("""COMPUTED_VALUE"""),"20201028NYROR")</f>
        <v>20201028NYROR</v>
      </c>
      <c r="B626" s="8"/>
      <c r="C626" s="8"/>
      <c r="D626" s="8" t="str">
        <f ca="1">IFERROR(__xludf.DUMMYFUNCTION("""COMPUTED_VALUE"""),"No Relation")</f>
        <v>No Relation</v>
      </c>
      <c r="E626" s="8" t="str">
        <f ca="1">IFERROR(__xludf.DUMMYFUNCTION("""COMPUTED_VALUE"""),"Fled/Escaped")</f>
        <v>Fled/Escaped</v>
      </c>
      <c r="F626" s="8" t="str">
        <f ca="1">IFERROR(__xludf.DUMMYFUNCTION("""COMPUTED_VALUE"""),"No")</f>
        <v>No</v>
      </c>
      <c r="G626" s="8" t="str">
        <f ca="1">IFERROR(__xludf.DUMMYFUNCTION("""COMPUTED_VALUE"""),"None")</f>
        <v>None</v>
      </c>
    </row>
    <row r="627" spans="1:7" ht="12.75">
      <c r="A627" s="8" t="str">
        <f ca="1">IFERROR(__xludf.DUMMYFUNCTION("""COMPUTED_VALUE"""),"20201026GARIR")</f>
        <v>20201026GARIR</v>
      </c>
      <c r="B627" s="8" t="str">
        <f ca="1">IFERROR(__xludf.DUMMYFUNCTION("""COMPUTED_VALUE"""),"Adult")</f>
        <v>Adult</v>
      </c>
      <c r="C627" s="8" t="str">
        <f ca="1">IFERROR(__xludf.DUMMYFUNCTION("""COMPUTED_VALUE"""),"Male")</f>
        <v>Male</v>
      </c>
      <c r="D627" s="8" t="str">
        <f ca="1">IFERROR(__xludf.DUMMYFUNCTION("""COMPUTED_VALUE"""),"No Relation")</f>
        <v>No Relation</v>
      </c>
      <c r="E627" s="8" t="str">
        <f ca="1">IFERROR(__xludf.DUMMYFUNCTION("""COMPUTED_VALUE"""),"Fled/Escaped")</f>
        <v>Fled/Escaped</v>
      </c>
      <c r="F627" s="8" t="str">
        <f ca="1">IFERROR(__xludf.DUMMYFUNCTION("""COMPUTED_VALUE"""),"No")</f>
        <v>No</v>
      </c>
      <c r="G627" s="8" t="str">
        <f ca="1">IFERROR(__xludf.DUMMYFUNCTION("""COMPUTED_VALUE"""),"None")</f>
        <v>None</v>
      </c>
    </row>
    <row r="628" spans="1:7" ht="12.75">
      <c r="A628" s="8" t="str">
        <f ca="1">IFERROR(__xludf.DUMMYFUNCTION("""COMPUTED_VALUE"""),"20201024CTSTS")</f>
        <v>20201024CTSTS</v>
      </c>
      <c r="B628" s="8"/>
      <c r="C628" s="8"/>
      <c r="D628" s="8"/>
      <c r="E628" s="8" t="str">
        <f ca="1">IFERROR(__xludf.DUMMYFUNCTION("""COMPUTED_VALUE"""),"Fled/Escaped")</f>
        <v>Fled/Escaped</v>
      </c>
      <c r="F628" s="8" t="str">
        <f ca="1">IFERROR(__xludf.DUMMYFUNCTION("""COMPUTED_VALUE"""),"No")</f>
        <v>No</v>
      </c>
      <c r="G628" s="8" t="str">
        <f ca="1">IFERROR(__xludf.DUMMYFUNCTION("""COMPUTED_VALUE"""),"None")</f>
        <v>None</v>
      </c>
    </row>
    <row r="629" spans="1:7" ht="12.75">
      <c r="A629" s="8" t="str">
        <f ca="1">IFERROR(__xludf.DUMMYFUNCTION("""COMPUTED_VALUE"""),"20201020ARJAP")</f>
        <v>20201020ARJAP</v>
      </c>
      <c r="B629" s="8">
        <f ca="1">IFERROR(__xludf.DUMMYFUNCTION("""COMPUTED_VALUE"""),17)</f>
        <v>17</v>
      </c>
      <c r="C629" s="8" t="str">
        <f ca="1">IFERROR(__xludf.DUMMYFUNCTION("""COMPUTED_VALUE"""),"Male")</f>
        <v>Male</v>
      </c>
      <c r="D629" s="8"/>
      <c r="E629" s="8" t="str">
        <f ca="1">IFERROR(__xludf.DUMMYFUNCTION("""COMPUTED_VALUE"""),"Fled/Apprehended")</f>
        <v>Fled/Apprehended</v>
      </c>
      <c r="F629" s="8" t="str">
        <f ca="1">IFERROR(__xludf.DUMMYFUNCTION("""COMPUTED_VALUE"""),"No")</f>
        <v>No</v>
      </c>
      <c r="G629" s="8" t="str">
        <f ca="1">IFERROR(__xludf.DUMMYFUNCTION("""COMPUTED_VALUE"""),"None")</f>
        <v>None</v>
      </c>
    </row>
    <row r="630" spans="1:7" ht="12.75">
      <c r="A630" s="8" t="str">
        <f ca="1">IFERROR(__xludf.DUMMYFUNCTION("""COMPUTED_VALUE"""),"20201018KYSEL")</f>
        <v>20201018KYSEL</v>
      </c>
      <c r="B630" s="8"/>
      <c r="C630" s="8"/>
      <c r="D630" s="8"/>
      <c r="E630" s="8" t="str">
        <f ca="1">IFERROR(__xludf.DUMMYFUNCTION("""COMPUTED_VALUE"""),"Fled/Escaped")</f>
        <v>Fled/Escaped</v>
      </c>
      <c r="F630" s="8" t="str">
        <f ca="1">IFERROR(__xludf.DUMMYFUNCTION("""COMPUTED_VALUE"""),"No")</f>
        <v>No</v>
      </c>
      <c r="G630" s="8" t="str">
        <f ca="1">IFERROR(__xludf.DUMMYFUNCTION("""COMPUTED_VALUE"""),"None")</f>
        <v>None</v>
      </c>
    </row>
    <row r="631" spans="1:7" ht="12.75">
      <c r="A631" s="8" t="str">
        <f ca="1">IFERROR(__xludf.DUMMYFUNCTION("""COMPUTED_VALUE"""),"20201014WAWAS")</f>
        <v>20201014WAWAS</v>
      </c>
      <c r="B631" s="8">
        <f ca="1">IFERROR(__xludf.DUMMYFUNCTION("""COMPUTED_VALUE"""),23)</f>
        <v>23</v>
      </c>
      <c r="C631" s="8" t="str">
        <f ca="1">IFERROR(__xludf.DUMMYFUNCTION("""COMPUTED_VALUE"""),"Male")</f>
        <v>Male</v>
      </c>
      <c r="D631" s="8" t="str">
        <f ca="1">IFERROR(__xludf.DUMMYFUNCTION("""COMPUTED_VALUE"""),"No Relation")</f>
        <v>No Relation</v>
      </c>
      <c r="E631" s="8" t="str">
        <f ca="1">IFERROR(__xludf.DUMMYFUNCTION("""COMPUTED_VALUE"""),"Fled/Apprehended")</f>
        <v>Fled/Apprehended</v>
      </c>
      <c r="F631" s="8" t="str">
        <f ca="1">IFERROR(__xludf.DUMMYFUNCTION("""COMPUTED_VALUE"""),"No")</f>
        <v>No</v>
      </c>
      <c r="G631" s="8" t="str">
        <f ca="1">IFERROR(__xludf.DUMMYFUNCTION("""COMPUTED_VALUE"""),"None")</f>
        <v>None</v>
      </c>
    </row>
    <row r="632" spans="1:7" ht="12.75">
      <c r="A632" s="8" t="str">
        <f ca="1">IFERROR(__xludf.DUMMYFUNCTION("""COMPUTED_VALUE"""),"20201014WAWAS")</f>
        <v>20201014WAWAS</v>
      </c>
      <c r="B632" s="8">
        <f ca="1">IFERROR(__xludf.DUMMYFUNCTION("""COMPUTED_VALUE"""),26)</f>
        <v>26</v>
      </c>
      <c r="C632" s="8" t="str">
        <f ca="1">IFERROR(__xludf.DUMMYFUNCTION("""COMPUTED_VALUE"""),"Male")</f>
        <v>Male</v>
      </c>
      <c r="D632" s="8" t="str">
        <f ca="1">IFERROR(__xludf.DUMMYFUNCTION("""COMPUTED_VALUE"""),"No Relation")</f>
        <v>No Relation</v>
      </c>
      <c r="E632" s="8" t="str">
        <f ca="1">IFERROR(__xludf.DUMMYFUNCTION("""COMPUTED_VALUE"""),"Fled/Apprehended")</f>
        <v>Fled/Apprehended</v>
      </c>
      <c r="F632" s="8" t="str">
        <f ca="1">IFERROR(__xludf.DUMMYFUNCTION("""COMPUTED_VALUE"""),"No")</f>
        <v>No</v>
      </c>
      <c r="G632" s="8" t="str">
        <f ca="1">IFERROR(__xludf.DUMMYFUNCTION("""COMPUTED_VALUE"""),"None")</f>
        <v>None</v>
      </c>
    </row>
    <row r="633" spans="1:7" ht="12.75">
      <c r="A633" s="8" t="str">
        <f ca="1">IFERROR(__xludf.DUMMYFUNCTION("""COMPUTED_VALUE"""),"20201014PABRB")</f>
        <v>20201014PABRB</v>
      </c>
      <c r="B633" s="8">
        <f ca="1">IFERROR(__xludf.DUMMYFUNCTION("""COMPUTED_VALUE"""),11)</f>
        <v>11</v>
      </c>
      <c r="C633" s="8" t="str">
        <f ca="1">IFERROR(__xludf.DUMMYFUNCTION("""COMPUTED_VALUE"""),"Male")</f>
        <v>Male</v>
      </c>
      <c r="D633" s="8" t="str">
        <f ca="1">IFERROR(__xludf.DUMMYFUNCTION("""COMPUTED_VALUE"""),"Student")</f>
        <v>Student</v>
      </c>
      <c r="E633" s="8" t="str">
        <f ca="1">IFERROR(__xludf.DUMMYFUNCTION("""COMPUTED_VALUE"""),"Apprehended/Killed by LE")</f>
        <v>Apprehended/Killed by LE</v>
      </c>
      <c r="F633" s="8" t="str">
        <f ca="1">IFERROR(__xludf.DUMMYFUNCTION("""COMPUTED_VALUE"""),"No")</f>
        <v>No</v>
      </c>
      <c r="G633" s="8" t="str">
        <f ca="1">IFERROR(__xludf.DUMMYFUNCTION("""COMPUTED_VALUE"""),"None")</f>
        <v>None</v>
      </c>
    </row>
    <row r="634" spans="1:7" ht="12.75">
      <c r="A634" s="8" t="str">
        <f ca="1">IFERROR(__xludf.DUMMYFUNCTION("""COMPUTED_VALUE"""),"20201013RIRHP")</f>
        <v>20201013RIRHP</v>
      </c>
      <c r="B634" s="8"/>
      <c r="C634" s="8"/>
      <c r="D634" s="8" t="str">
        <f ca="1">IFERROR(__xludf.DUMMYFUNCTION("""COMPUTED_VALUE"""),"No Relation")</f>
        <v>No Relation</v>
      </c>
      <c r="E634" s="8" t="str">
        <f ca="1">IFERROR(__xludf.DUMMYFUNCTION("""COMPUTED_VALUE"""),"Fled/Escaped")</f>
        <v>Fled/Escaped</v>
      </c>
      <c r="F634" s="8" t="str">
        <f ca="1">IFERROR(__xludf.DUMMYFUNCTION("""COMPUTED_VALUE"""),"No")</f>
        <v>No</v>
      </c>
      <c r="G634" s="8" t="str">
        <f ca="1">IFERROR(__xludf.DUMMYFUNCTION("""COMPUTED_VALUE"""),"None")</f>
        <v>None</v>
      </c>
    </row>
    <row r="635" spans="1:7" ht="12.75">
      <c r="A635" s="8" t="str">
        <f ca="1">IFERROR(__xludf.DUMMYFUNCTION("""COMPUTED_VALUE"""),"20201012TXNOD")</f>
        <v>20201012TXNOD</v>
      </c>
      <c r="B635" s="8" t="str">
        <f ca="1">IFERROR(__xludf.DUMMYFUNCTION("""COMPUTED_VALUE"""),"Adult")</f>
        <v>Adult</v>
      </c>
      <c r="C635" s="8" t="str">
        <f ca="1">IFERROR(__xludf.DUMMYFUNCTION("""COMPUTED_VALUE"""),"Male")</f>
        <v>Male</v>
      </c>
      <c r="D635" s="8" t="str">
        <f ca="1">IFERROR(__xludf.DUMMYFUNCTION("""COMPUTED_VALUE"""),"No Relation")</f>
        <v>No Relation</v>
      </c>
      <c r="E635" s="8" t="str">
        <f ca="1">IFERROR(__xludf.DUMMYFUNCTION("""COMPUTED_VALUE"""),"Apprehended/Killed by SRO")</f>
        <v>Apprehended/Killed by SRO</v>
      </c>
      <c r="F635" s="8" t="str">
        <f ca="1">IFERROR(__xludf.DUMMYFUNCTION("""COMPUTED_VALUE"""),"No")</f>
        <v>No</v>
      </c>
      <c r="G635" s="8" t="str">
        <f ca="1">IFERROR(__xludf.DUMMYFUNCTION("""COMPUTED_VALUE"""),"None")</f>
        <v>None</v>
      </c>
    </row>
    <row r="636" spans="1:7" ht="12.75">
      <c r="A636" s="8" t="str">
        <f ca="1">IFERROR(__xludf.DUMMYFUNCTION("""COMPUTED_VALUE"""),"20201012MNSHS")</f>
        <v>20201012MNSHS</v>
      </c>
      <c r="B636" s="8"/>
      <c r="C636" s="8"/>
      <c r="D636" s="8" t="str">
        <f ca="1">IFERROR(__xludf.DUMMYFUNCTION("""COMPUTED_VALUE"""),"No Relation")</f>
        <v>No Relation</v>
      </c>
      <c r="E636" s="8" t="str">
        <f ca="1">IFERROR(__xludf.DUMMYFUNCTION("""COMPUTED_VALUE"""),"Fled/Escaped")</f>
        <v>Fled/Escaped</v>
      </c>
      <c r="F636" s="8" t="str">
        <f ca="1">IFERROR(__xludf.DUMMYFUNCTION("""COMPUTED_VALUE"""),"No")</f>
        <v>No</v>
      </c>
      <c r="G636" s="8" t="str">
        <f ca="1">IFERROR(__xludf.DUMMYFUNCTION("""COMPUTED_VALUE"""),"None")</f>
        <v>None</v>
      </c>
    </row>
    <row r="637" spans="1:7" ht="12.75">
      <c r="A637" s="8" t="str">
        <f ca="1">IFERROR(__xludf.DUMMYFUNCTION("""COMPUTED_VALUE"""),"20201009FLJEJ")</f>
        <v>20201009FLJEJ</v>
      </c>
      <c r="B637" s="8">
        <f ca="1">IFERROR(__xludf.DUMMYFUNCTION("""COMPUTED_VALUE"""),18)</f>
        <v>18</v>
      </c>
      <c r="C637" s="8" t="str">
        <f ca="1">IFERROR(__xludf.DUMMYFUNCTION("""COMPUTED_VALUE"""),"Male")</f>
        <v>Male</v>
      </c>
      <c r="D637" s="8" t="str">
        <f ca="1">IFERROR(__xludf.DUMMYFUNCTION("""COMPUTED_VALUE"""),"Student")</f>
        <v>Student</v>
      </c>
      <c r="E637" s="8" t="str">
        <f ca="1">IFERROR(__xludf.DUMMYFUNCTION("""COMPUTED_VALUE"""),"Apprehended/Killed by SRO")</f>
        <v>Apprehended/Killed by SRO</v>
      </c>
      <c r="F637" s="8" t="str">
        <f ca="1">IFERROR(__xludf.DUMMYFUNCTION("""COMPUTED_VALUE"""),"No")</f>
        <v>No</v>
      </c>
      <c r="G637" s="8" t="str">
        <f ca="1">IFERROR(__xludf.DUMMYFUNCTION("""COMPUTED_VALUE"""),"None")</f>
        <v>None</v>
      </c>
    </row>
    <row r="638" spans="1:7" ht="12.75">
      <c r="A638" s="8" t="str">
        <f ca="1">IFERROR(__xludf.DUMMYFUNCTION("""COMPUTED_VALUE"""),"20201005OKSOM")</f>
        <v>20201005OKSOM</v>
      </c>
      <c r="B638" s="8" t="str">
        <f ca="1">IFERROR(__xludf.DUMMYFUNCTION("""COMPUTED_VALUE"""),"Teen")</f>
        <v>Teen</v>
      </c>
      <c r="C638" s="8"/>
      <c r="D638" s="8" t="str">
        <f ca="1">IFERROR(__xludf.DUMMYFUNCTION("""COMPUTED_VALUE"""),"Student")</f>
        <v>Student</v>
      </c>
      <c r="E638" s="8" t="str">
        <f ca="1">IFERROR(__xludf.DUMMYFUNCTION("""COMPUTED_VALUE"""),"Apprehended/Killed by LE")</f>
        <v>Apprehended/Killed by LE</v>
      </c>
      <c r="F638" s="8" t="str">
        <f ca="1">IFERROR(__xludf.DUMMYFUNCTION("""COMPUTED_VALUE"""),"No")</f>
        <v>No</v>
      </c>
      <c r="G638" s="8" t="str">
        <f ca="1">IFERROR(__xludf.DUMMYFUNCTION("""COMPUTED_VALUE"""),"None")</f>
        <v>None</v>
      </c>
    </row>
    <row r="639" spans="1:7" ht="12.75">
      <c r="A639" s="8" t="str">
        <f ca="1">IFERROR(__xludf.DUMMYFUNCTION("""COMPUTED_VALUE"""),"20201005ARKIH")</f>
        <v>20201005ARKIH</v>
      </c>
      <c r="B639" s="8" t="str">
        <f ca="1">IFERROR(__xludf.DUMMYFUNCTION("""COMPUTED_VALUE"""),"Adult")</f>
        <v>Adult</v>
      </c>
      <c r="C639" s="8" t="str">
        <f ca="1">IFERROR(__xludf.DUMMYFUNCTION("""COMPUTED_VALUE"""),"Male")</f>
        <v>Male</v>
      </c>
      <c r="D639" s="8"/>
      <c r="E639" s="8" t="str">
        <f ca="1">IFERROR(__xludf.DUMMYFUNCTION("""COMPUTED_VALUE"""),"Fled/Apprehended")</f>
        <v>Fled/Apprehended</v>
      </c>
      <c r="F639" s="8" t="str">
        <f ca="1">IFERROR(__xludf.DUMMYFUNCTION("""COMPUTED_VALUE"""),"No")</f>
        <v>No</v>
      </c>
      <c r="G639" s="8" t="str">
        <f ca="1">IFERROR(__xludf.DUMMYFUNCTION("""COMPUTED_VALUE"""),"None")</f>
        <v>None</v>
      </c>
    </row>
    <row r="640" spans="1:7" ht="12.75">
      <c r="A640" s="8" t="str">
        <f ca="1">IFERROR(__xludf.DUMMYFUNCTION("""COMPUTED_VALUE"""),"20201005ARKIH")</f>
        <v>20201005ARKIH</v>
      </c>
      <c r="B640" s="8"/>
      <c r="C640" s="8"/>
      <c r="D640" s="8"/>
      <c r="E640" s="8" t="str">
        <f ca="1">IFERROR(__xludf.DUMMYFUNCTION("""COMPUTED_VALUE"""),"Fled/Escaped")</f>
        <v>Fled/Escaped</v>
      </c>
      <c r="F640" s="8" t="str">
        <f ca="1">IFERROR(__xludf.DUMMYFUNCTION("""COMPUTED_VALUE"""),"No")</f>
        <v>No</v>
      </c>
      <c r="G640" s="8" t="str">
        <f ca="1">IFERROR(__xludf.DUMMYFUNCTION("""COMPUTED_VALUE"""),"None")</f>
        <v>None</v>
      </c>
    </row>
    <row r="641" spans="1:7" ht="12.75">
      <c r="A641" s="8" t="str">
        <f ca="1">IFERROR(__xludf.DUMMYFUNCTION("""COMPUTED_VALUE"""),"20201002PAMAE")</f>
        <v>20201002PAMAE</v>
      </c>
      <c r="B641" s="8"/>
      <c r="C641" s="8"/>
      <c r="D641" s="8"/>
      <c r="E641" s="8" t="str">
        <f ca="1">IFERROR(__xludf.DUMMYFUNCTION("""COMPUTED_VALUE"""),"Fled/Escaped")</f>
        <v>Fled/Escaped</v>
      </c>
      <c r="F641" s="8" t="str">
        <f ca="1">IFERROR(__xludf.DUMMYFUNCTION("""COMPUTED_VALUE"""),"No")</f>
        <v>No</v>
      </c>
      <c r="G641" s="8" t="str">
        <f ca="1">IFERROR(__xludf.DUMMYFUNCTION("""COMPUTED_VALUE"""),"None")</f>
        <v>None</v>
      </c>
    </row>
    <row r="642" spans="1:7" ht="12.75">
      <c r="A642" s="8" t="str">
        <f ca="1">IFERROR(__xludf.DUMMYFUNCTION("""COMPUTED_VALUE"""),"20200930CADYL")</f>
        <v>20200930CADYL</v>
      </c>
      <c r="B642" s="8"/>
      <c r="C642" s="8"/>
      <c r="D642" s="8" t="str">
        <f ca="1">IFERROR(__xludf.DUMMYFUNCTION("""COMPUTED_VALUE"""),"No Relation")</f>
        <v>No Relation</v>
      </c>
      <c r="E642" s="8" t="str">
        <f ca="1">IFERROR(__xludf.DUMMYFUNCTION("""COMPUTED_VALUE"""),"Fled/Escaped")</f>
        <v>Fled/Escaped</v>
      </c>
      <c r="F642" s="8" t="str">
        <f ca="1">IFERROR(__xludf.DUMMYFUNCTION("""COMPUTED_VALUE"""),"No")</f>
        <v>No</v>
      </c>
      <c r="G642" s="8" t="str">
        <f ca="1">IFERROR(__xludf.DUMMYFUNCTION("""COMPUTED_VALUE"""),"None")</f>
        <v>None</v>
      </c>
    </row>
    <row r="643" spans="1:7" ht="12.75">
      <c r="A643" s="8" t="str">
        <f ca="1">IFERROR(__xludf.DUMMYFUNCTION("""COMPUTED_VALUE"""),"20200928CTEAN")</f>
        <v>20200928CTEAN</v>
      </c>
      <c r="B643" s="8" t="str">
        <f ca="1">IFERROR(__xludf.DUMMYFUNCTION("""COMPUTED_VALUE"""),"Adult")</f>
        <v>Adult</v>
      </c>
      <c r="C643" s="8"/>
      <c r="D643" s="8" t="str">
        <f ca="1">IFERROR(__xludf.DUMMYFUNCTION("""COMPUTED_VALUE"""),"No Relation")</f>
        <v>No Relation</v>
      </c>
      <c r="E643" s="8" t="str">
        <f ca="1">IFERROR(__xludf.DUMMYFUNCTION("""COMPUTED_VALUE"""),"Fled/Escaped")</f>
        <v>Fled/Escaped</v>
      </c>
      <c r="F643" s="8" t="str">
        <f ca="1">IFERROR(__xludf.DUMMYFUNCTION("""COMPUTED_VALUE"""),"No")</f>
        <v>No</v>
      </c>
      <c r="G643" s="8" t="str">
        <f ca="1">IFERROR(__xludf.DUMMYFUNCTION("""COMPUTED_VALUE"""),"None")</f>
        <v>None</v>
      </c>
    </row>
    <row r="644" spans="1:7" ht="12.75">
      <c r="A644" s="8" t="str">
        <f ca="1">IFERROR(__xludf.DUMMYFUNCTION("""COMPUTED_VALUE"""),"20200925NJHAH")</f>
        <v>20200925NJHAH</v>
      </c>
      <c r="B644" s="8"/>
      <c r="C644" s="8"/>
      <c r="D644" s="8" t="str">
        <f ca="1">IFERROR(__xludf.DUMMYFUNCTION("""COMPUTED_VALUE"""),"No Relation")</f>
        <v>No Relation</v>
      </c>
      <c r="E644" s="8" t="str">
        <f ca="1">IFERROR(__xludf.DUMMYFUNCTION("""COMPUTED_VALUE"""),"Fled/Escaped")</f>
        <v>Fled/Escaped</v>
      </c>
      <c r="F644" s="8" t="str">
        <f ca="1">IFERROR(__xludf.DUMMYFUNCTION("""COMPUTED_VALUE"""),"No")</f>
        <v>No</v>
      </c>
      <c r="G644" s="8" t="str">
        <f ca="1">IFERROR(__xludf.DUMMYFUNCTION("""COMPUTED_VALUE"""),"None")</f>
        <v>None</v>
      </c>
    </row>
    <row r="645" spans="1:7" ht="12.75">
      <c r="A645" s="8" t="str">
        <f ca="1">IFERROR(__xludf.DUMMYFUNCTION("""COMPUTED_VALUE"""),"20200925ILROR")</f>
        <v>20200925ILROR</v>
      </c>
      <c r="B645" s="8">
        <f ca="1">IFERROR(__xludf.DUMMYFUNCTION("""COMPUTED_VALUE"""),30)</f>
        <v>30</v>
      </c>
      <c r="C645" s="8" t="str">
        <f ca="1">IFERROR(__xludf.DUMMYFUNCTION("""COMPUTED_VALUE"""),"Male")</f>
        <v>Male</v>
      </c>
      <c r="D645" s="8" t="str">
        <f ca="1">IFERROR(__xludf.DUMMYFUNCTION("""COMPUTED_VALUE"""),"No Relation")</f>
        <v>No Relation</v>
      </c>
      <c r="E645" s="8" t="str">
        <f ca="1">IFERROR(__xludf.DUMMYFUNCTION("""COMPUTED_VALUE"""),"Fled/Apprehended")</f>
        <v>Fled/Apprehended</v>
      </c>
      <c r="F645" s="8" t="str">
        <f ca="1">IFERROR(__xludf.DUMMYFUNCTION("""COMPUTED_VALUE"""),"No")</f>
        <v>No</v>
      </c>
      <c r="G645" s="8" t="str">
        <f ca="1">IFERROR(__xludf.DUMMYFUNCTION("""COMPUTED_VALUE"""),"None")</f>
        <v>None</v>
      </c>
    </row>
    <row r="646" spans="1:7" ht="12.75">
      <c r="A646" s="8" t="str">
        <f ca="1">IFERROR(__xludf.DUMMYFUNCTION("""COMPUTED_VALUE"""),"20200924ILMCS")</f>
        <v>20200924ILMCS</v>
      </c>
      <c r="B646" s="8"/>
      <c r="C646" s="8" t="str">
        <f ca="1">IFERROR(__xludf.DUMMYFUNCTION("""COMPUTED_VALUE"""),"Male")</f>
        <v>Male</v>
      </c>
      <c r="D646" s="8" t="str">
        <f ca="1">IFERROR(__xludf.DUMMYFUNCTION("""COMPUTED_VALUE"""),"No Relation")</f>
        <v>No Relation</v>
      </c>
      <c r="E646" s="8" t="str">
        <f ca="1">IFERROR(__xludf.DUMMYFUNCTION("""COMPUTED_VALUE"""),"Apprehended/Killed by LE")</f>
        <v>Apprehended/Killed by LE</v>
      </c>
      <c r="F646" s="8" t="str">
        <f ca="1">IFERROR(__xludf.DUMMYFUNCTION("""COMPUTED_VALUE"""),"No")</f>
        <v>No</v>
      </c>
      <c r="G646" s="8" t="str">
        <f ca="1">IFERROR(__xludf.DUMMYFUNCTION("""COMPUTED_VALUE"""),"None")</f>
        <v>None</v>
      </c>
    </row>
    <row r="647" spans="1:7" ht="12.75">
      <c r="A647" s="8" t="str">
        <f ca="1">IFERROR(__xludf.DUMMYFUNCTION("""COMPUTED_VALUE"""),"20200924CAWAC")</f>
        <v>20200924CAWAC</v>
      </c>
      <c r="B647" s="8">
        <f ca="1">IFERROR(__xludf.DUMMYFUNCTION("""COMPUTED_VALUE"""),25)</f>
        <v>25</v>
      </c>
      <c r="C647" s="8" t="str">
        <f ca="1">IFERROR(__xludf.DUMMYFUNCTION("""COMPUTED_VALUE"""),"Male")</f>
        <v>Male</v>
      </c>
      <c r="D647" s="8" t="str">
        <f ca="1">IFERROR(__xludf.DUMMYFUNCTION("""COMPUTED_VALUE"""),"No Relation")</f>
        <v>No Relation</v>
      </c>
      <c r="E647" s="8" t="str">
        <f ca="1">IFERROR(__xludf.DUMMYFUNCTION("""COMPUTED_VALUE"""),"Apprehended/Killed by LE")</f>
        <v>Apprehended/Killed by LE</v>
      </c>
      <c r="F647" s="8" t="str">
        <f ca="1">IFERROR(__xludf.DUMMYFUNCTION("""COMPUTED_VALUE"""),"No")</f>
        <v>No</v>
      </c>
      <c r="G647" s="8" t="str">
        <f ca="1">IFERROR(__xludf.DUMMYFUNCTION("""COMPUTED_VALUE"""),"None")</f>
        <v>None</v>
      </c>
    </row>
    <row r="648" spans="1:7" ht="12.75">
      <c r="A648" s="8" t="str">
        <f ca="1">IFERROR(__xludf.DUMMYFUNCTION("""COMPUTED_VALUE"""),"20200924CAWAC")</f>
        <v>20200924CAWAC</v>
      </c>
      <c r="B648" s="8">
        <f ca="1">IFERROR(__xludf.DUMMYFUNCTION("""COMPUTED_VALUE"""),27)</f>
        <v>27</v>
      </c>
      <c r="C648" s="8" t="str">
        <f ca="1">IFERROR(__xludf.DUMMYFUNCTION("""COMPUTED_VALUE"""),"Male")</f>
        <v>Male</v>
      </c>
      <c r="D648" s="8" t="str">
        <f ca="1">IFERROR(__xludf.DUMMYFUNCTION("""COMPUTED_VALUE"""),"No Relation")</f>
        <v>No Relation</v>
      </c>
      <c r="E648" s="8" t="str">
        <f ca="1">IFERROR(__xludf.DUMMYFUNCTION("""COMPUTED_VALUE"""),"Apprehended/Killed by LE")</f>
        <v>Apprehended/Killed by LE</v>
      </c>
      <c r="F648" s="8" t="str">
        <f ca="1">IFERROR(__xludf.DUMMYFUNCTION("""COMPUTED_VALUE"""),"No")</f>
        <v>No</v>
      </c>
      <c r="G648" s="8" t="str">
        <f ca="1">IFERROR(__xludf.DUMMYFUNCTION("""COMPUTED_VALUE"""),"None")</f>
        <v>None</v>
      </c>
    </row>
    <row r="649" spans="1:7" ht="12.75">
      <c r="A649" s="8" t="str">
        <f ca="1">IFERROR(__xludf.DUMMYFUNCTION("""COMPUTED_VALUE"""),"20200924CAWAC")</f>
        <v>20200924CAWAC</v>
      </c>
      <c r="B649" s="8">
        <f ca="1">IFERROR(__xludf.DUMMYFUNCTION("""COMPUTED_VALUE"""),29)</f>
        <v>29</v>
      </c>
      <c r="C649" s="8" t="str">
        <f ca="1">IFERROR(__xludf.DUMMYFUNCTION("""COMPUTED_VALUE"""),"Male")</f>
        <v>Male</v>
      </c>
      <c r="D649" s="8" t="str">
        <f ca="1">IFERROR(__xludf.DUMMYFUNCTION("""COMPUTED_VALUE"""),"No Relation")</f>
        <v>No Relation</v>
      </c>
      <c r="E649" s="8" t="str">
        <f ca="1">IFERROR(__xludf.DUMMYFUNCTION("""COMPUTED_VALUE"""),"Apprehended/Killed by LE")</f>
        <v>Apprehended/Killed by LE</v>
      </c>
      <c r="F649" s="8" t="str">
        <f ca="1">IFERROR(__xludf.DUMMYFUNCTION("""COMPUTED_VALUE"""),"No")</f>
        <v>No</v>
      </c>
      <c r="G649" s="8" t="str">
        <f ca="1">IFERROR(__xludf.DUMMYFUNCTION("""COMPUTED_VALUE"""),"None")</f>
        <v>None</v>
      </c>
    </row>
    <row r="650" spans="1:7" ht="12.75">
      <c r="A650" s="8" t="str">
        <f ca="1">IFERROR(__xludf.DUMMYFUNCTION("""COMPUTED_VALUE"""),"20200923PAWIW")</f>
        <v>20200923PAWIW</v>
      </c>
      <c r="B650" s="8">
        <f ca="1">IFERROR(__xludf.DUMMYFUNCTION("""COMPUTED_VALUE"""),22)</f>
        <v>22</v>
      </c>
      <c r="C650" s="8" t="str">
        <f ca="1">IFERROR(__xludf.DUMMYFUNCTION("""COMPUTED_VALUE"""),"Male")</f>
        <v>Male</v>
      </c>
      <c r="D650" s="8" t="str">
        <f ca="1">IFERROR(__xludf.DUMMYFUNCTION("""COMPUTED_VALUE"""),"No Relation")</f>
        <v>No Relation</v>
      </c>
      <c r="E650" s="8" t="str">
        <f ca="1">IFERROR(__xludf.DUMMYFUNCTION("""COMPUTED_VALUE"""),"Fled/Apprehended")</f>
        <v>Fled/Apprehended</v>
      </c>
      <c r="F650" s="8" t="str">
        <f ca="1">IFERROR(__xludf.DUMMYFUNCTION("""COMPUTED_VALUE"""),"No")</f>
        <v>No</v>
      </c>
      <c r="G650" s="8" t="str">
        <f ca="1">IFERROR(__xludf.DUMMYFUNCTION("""COMPUTED_VALUE"""),"None")</f>
        <v>None</v>
      </c>
    </row>
    <row r="651" spans="1:7" ht="12.75">
      <c r="A651" s="8" t="str">
        <f ca="1">IFERROR(__xludf.DUMMYFUNCTION("""COMPUTED_VALUE"""),"20200923FLHIJ")</f>
        <v>20200923FLHIJ</v>
      </c>
      <c r="B651" s="8">
        <f ca="1">IFERROR(__xludf.DUMMYFUNCTION("""COMPUTED_VALUE"""),18)</f>
        <v>18</v>
      </c>
      <c r="C651" s="8" t="str">
        <f ca="1">IFERROR(__xludf.DUMMYFUNCTION("""COMPUTED_VALUE"""),"Male")</f>
        <v>Male</v>
      </c>
      <c r="D651" s="8" t="str">
        <f ca="1">IFERROR(__xludf.DUMMYFUNCTION("""COMPUTED_VALUE"""),"No Relation")</f>
        <v>No Relation</v>
      </c>
      <c r="E651" s="8" t="str">
        <f ca="1">IFERROR(__xludf.DUMMYFUNCTION("""COMPUTED_VALUE"""),"Fled/Apprehended")</f>
        <v>Fled/Apprehended</v>
      </c>
      <c r="F651" s="8" t="str">
        <f ca="1">IFERROR(__xludf.DUMMYFUNCTION("""COMPUTED_VALUE"""),"No")</f>
        <v>No</v>
      </c>
      <c r="G651" s="8" t="str">
        <f ca="1">IFERROR(__xludf.DUMMYFUNCTION("""COMPUTED_VALUE"""),"None")</f>
        <v>None</v>
      </c>
    </row>
    <row r="652" spans="1:7" ht="12.75">
      <c r="A652" s="8" t="str">
        <f ca="1">IFERROR(__xludf.DUMMYFUNCTION("""COMPUTED_VALUE"""),"20200921CAPLP")</f>
        <v>20200921CAPLP</v>
      </c>
      <c r="B652" s="8">
        <f ca="1">IFERROR(__xludf.DUMMYFUNCTION("""COMPUTED_VALUE"""),46)</f>
        <v>46</v>
      </c>
      <c r="C652" s="8" t="str">
        <f ca="1">IFERROR(__xludf.DUMMYFUNCTION("""COMPUTED_VALUE"""),"Male")</f>
        <v>Male</v>
      </c>
      <c r="D652" s="8" t="str">
        <f ca="1">IFERROR(__xludf.DUMMYFUNCTION("""COMPUTED_VALUE"""),"No Relation")</f>
        <v>No Relation</v>
      </c>
      <c r="E652" s="8" t="str">
        <f ca="1">IFERROR(__xludf.DUMMYFUNCTION("""COMPUTED_VALUE"""),"Attempted Suicide")</f>
        <v>Attempted Suicide</v>
      </c>
      <c r="F652" s="8" t="str">
        <f ca="1">IFERROR(__xludf.DUMMYFUNCTION("""COMPUTED_VALUE"""),"No")</f>
        <v>No</v>
      </c>
      <c r="G652" s="8" t="str">
        <f ca="1">IFERROR(__xludf.DUMMYFUNCTION("""COMPUTED_VALUE"""),"Wounded")</f>
        <v>Wounded</v>
      </c>
    </row>
    <row r="653" spans="1:7" ht="12.75">
      <c r="A653" s="8" t="str">
        <f ca="1">IFERROR(__xludf.DUMMYFUNCTION("""COMPUTED_VALUE"""),"20200920UTLIS")</f>
        <v>20200920UTLIS</v>
      </c>
      <c r="B653" s="8"/>
      <c r="C653" s="8"/>
      <c r="D653" s="8" t="str">
        <f ca="1">IFERROR(__xludf.DUMMYFUNCTION("""COMPUTED_VALUE"""),"No Relation")</f>
        <v>No Relation</v>
      </c>
      <c r="E653" s="8" t="str">
        <f ca="1">IFERROR(__xludf.DUMMYFUNCTION("""COMPUTED_VALUE"""),"Fled/Escaped")</f>
        <v>Fled/Escaped</v>
      </c>
      <c r="F653" s="8" t="str">
        <f ca="1">IFERROR(__xludf.DUMMYFUNCTION("""COMPUTED_VALUE"""),"No")</f>
        <v>No</v>
      </c>
      <c r="G653" s="8" t="str">
        <f ca="1">IFERROR(__xludf.DUMMYFUNCTION("""COMPUTED_VALUE"""),"None")</f>
        <v>None</v>
      </c>
    </row>
    <row r="654" spans="1:7" ht="12.75">
      <c r="A654" s="8" t="str">
        <f ca="1">IFERROR(__xludf.DUMMYFUNCTION("""COMPUTED_VALUE"""),"20200919CAKRS")</f>
        <v>20200919CAKRS</v>
      </c>
      <c r="B654" s="8"/>
      <c r="C654" s="8"/>
      <c r="D654" s="8"/>
      <c r="E654" s="8" t="str">
        <f ca="1">IFERROR(__xludf.DUMMYFUNCTION("""COMPUTED_VALUE"""),"Fled/Escaped")</f>
        <v>Fled/Escaped</v>
      </c>
      <c r="F654" s="8" t="str">
        <f ca="1">IFERROR(__xludf.DUMMYFUNCTION("""COMPUTED_VALUE"""),"No")</f>
        <v>No</v>
      </c>
      <c r="G654" s="8" t="str">
        <f ca="1">IFERROR(__xludf.DUMMYFUNCTION("""COMPUTED_VALUE"""),"None")</f>
        <v>None</v>
      </c>
    </row>
    <row r="655" spans="1:7" ht="12.75">
      <c r="A655" s="8" t="str">
        <f ca="1">IFERROR(__xludf.DUMMYFUNCTION("""COMPUTED_VALUE"""),"20200918KYWIL")</f>
        <v>20200918KYWIL</v>
      </c>
      <c r="B655" s="8"/>
      <c r="C655" s="8"/>
      <c r="D655" s="8" t="str">
        <f ca="1">IFERROR(__xludf.DUMMYFUNCTION("""COMPUTED_VALUE"""),"Nonstudent Using Athletic Facilities/Attending Game")</f>
        <v>Nonstudent Using Athletic Facilities/Attending Game</v>
      </c>
      <c r="E655" s="8" t="str">
        <f ca="1">IFERROR(__xludf.DUMMYFUNCTION("""COMPUTED_VALUE"""),"Fled/Escaped")</f>
        <v>Fled/Escaped</v>
      </c>
      <c r="F655" s="8" t="str">
        <f ca="1">IFERROR(__xludf.DUMMYFUNCTION("""COMPUTED_VALUE"""),"No")</f>
        <v>No</v>
      </c>
      <c r="G655" s="8" t="str">
        <f ca="1">IFERROR(__xludf.DUMMYFUNCTION("""COMPUTED_VALUE"""),"None")</f>
        <v>None</v>
      </c>
    </row>
    <row r="656" spans="1:7" ht="12.75">
      <c r="A656" s="8" t="str">
        <f ca="1">IFERROR(__xludf.DUMMYFUNCTION("""COMPUTED_VALUE"""),"20200917ORDRP")</f>
        <v>20200917ORDRP</v>
      </c>
      <c r="B656" s="8"/>
      <c r="C656" s="8"/>
      <c r="D656" s="8" t="str">
        <f ca="1">IFERROR(__xludf.DUMMYFUNCTION("""COMPUTED_VALUE"""),"No Relation")</f>
        <v>No Relation</v>
      </c>
      <c r="E656" s="8" t="str">
        <f ca="1">IFERROR(__xludf.DUMMYFUNCTION("""COMPUTED_VALUE"""),"Fled/Escaped")</f>
        <v>Fled/Escaped</v>
      </c>
      <c r="F656" s="8" t="str">
        <f ca="1">IFERROR(__xludf.DUMMYFUNCTION("""COMPUTED_VALUE"""),"No")</f>
        <v>No</v>
      </c>
      <c r="G656" s="8" t="str">
        <f ca="1">IFERROR(__xludf.DUMMYFUNCTION("""COMPUTED_VALUE"""),"None")</f>
        <v>None</v>
      </c>
    </row>
    <row r="657" spans="1:7" ht="12.75">
      <c r="A657" s="8" t="str">
        <f ca="1">IFERROR(__xludf.DUMMYFUNCTION("""COMPUTED_VALUE"""),"20200917OHELA")</f>
        <v>20200917OHELA</v>
      </c>
      <c r="B657" s="8" t="str">
        <f ca="1">IFERROR(__xludf.DUMMYFUNCTION("""COMPUTED_VALUE"""),"Teen")</f>
        <v>Teen</v>
      </c>
      <c r="C657" s="8" t="str">
        <f ca="1">IFERROR(__xludf.DUMMYFUNCTION("""COMPUTED_VALUE"""),"Male")</f>
        <v>Male</v>
      </c>
      <c r="D657" s="8"/>
      <c r="E657" s="8" t="str">
        <f ca="1">IFERROR(__xludf.DUMMYFUNCTION("""COMPUTED_VALUE"""),"Fled/Escaped")</f>
        <v>Fled/Escaped</v>
      </c>
      <c r="F657" s="8" t="str">
        <f ca="1">IFERROR(__xludf.DUMMYFUNCTION("""COMPUTED_VALUE"""),"No")</f>
        <v>No</v>
      </c>
      <c r="G657" s="8" t="str">
        <f ca="1">IFERROR(__xludf.DUMMYFUNCTION("""COMPUTED_VALUE"""),"None")</f>
        <v>None</v>
      </c>
    </row>
    <row r="658" spans="1:7" ht="12.75">
      <c r="A658" s="8" t="str">
        <f ca="1">IFERROR(__xludf.DUMMYFUNCTION("""COMPUTED_VALUE"""),"20200916WAARG")</f>
        <v>20200916WAARG</v>
      </c>
      <c r="B658" s="8" t="str">
        <f ca="1">IFERROR(__xludf.DUMMYFUNCTION("""COMPUTED_VALUE"""),"Adult")</f>
        <v>Adult</v>
      </c>
      <c r="C658" s="8" t="str">
        <f ca="1">IFERROR(__xludf.DUMMYFUNCTION("""COMPUTED_VALUE"""),"Male")</f>
        <v>Male</v>
      </c>
      <c r="D658" s="8" t="str">
        <f ca="1">IFERROR(__xludf.DUMMYFUNCTION("""COMPUTED_VALUE"""),"No Relation")</f>
        <v>No Relation</v>
      </c>
      <c r="E658" s="8" t="str">
        <f ca="1">IFERROR(__xludf.DUMMYFUNCTION("""COMPUTED_VALUE"""),"Surrendered")</f>
        <v>Surrendered</v>
      </c>
      <c r="F658" s="8" t="str">
        <f ca="1">IFERROR(__xludf.DUMMYFUNCTION("""COMPUTED_VALUE"""),"No")</f>
        <v>No</v>
      </c>
      <c r="G658" s="8" t="str">
        <f ca="1">IFERROR(__xludf.DUMMYFUNCTION("""COMPUTED_VALUE"""),"None")</f>
        <v>None</v>
      </c>
    </row>
    <row r="659" spans="1:7" ht="12.75">
      <c r="A659" s="8" t="str">
        <f ca="1">IFERROR(__xludf.DUMMYFUNCTION("""COMPUTED_VALUE"""),"20200916CASOS")</f>
        <v>20200916CASOS</v>
      </c>
      <c r="B659" s="8">
        <f ca="1">IFERROR(__xludf.DUMMYFUNCTION("""COMPUTED_VALUE"""),20)</f>
        <v>20</v>
      </c>
      <c r="C659" s="8" t="str">
        <f ca="1">IFERROR(__xludf.DUMMYFUNCTION("""COMPUTED_VALUE"""),"Male")</f>
        <v>Male</v>
      </c>
      <c r="D659" s="8" t="str">
        <f ca="1">IFERROR(__xludf.DUMMYFUNCTION("""COMPUTED_VALUE"""),"No Relation")</f>
        <v>No Relation</v>
      </c>
      <c r="E659" s="8" t="str">
        <f ca="1">IFERROR(__xludf.DUMMYFUNCTION("""COMPUTED_VALUE"""),"Fled/Apprehended")</f>
        <v>Fled/Apprehended</v>
      </c>
      <c r="F659" s="8" t="str">
        <f ca="1">IFERROR(__xludf.DUMMYFUNCTION("""COMPUTED_VALUE"""),"No")</f>
        <v>No</v>
      </c>
      <c r="G659" s="8" t="str">
        <f ca="1">IFERROR(__xludf.DUMMYFUNCTION("""COMPUTED_VALUE"""),"None")</f>
        <v>None</v>
      </c>
    </row>
    <row r="660" spans="1:7" ht="12.75">
      <c r="A660" s="8" t="str">
        <f ca="1">IFERROR(__xludf.DUMMYFUNCTION("""COMPUTED_VALUE"""),"20200915UTVIB")</f>
        <v>20200915UTVIB</v>
      </c>
      <c r="B660" s="8">
        <f ca="1">IFERROR(__xludf.DUMMYFUNCTION("""COMPUTED_VALUE"""),27)</f>
        <v>27</v>
      </c>
      <c r="C660" s="8" t="str">
        <f ca="1">IFERROR(__xludf.DUMMYFUNCTION("""COMPUTED_VALUE"""),"Male")</f>
        <v>Male</v>
      </c>
      <c r="D660" s="8" t="str">
        <f ca="1">IFERROR(__xludf.DUMMYFUNCTION("""COMPUTED_VALUE"""),"No Relation")</f>
        <v>No Relation</v>
      </c>
      <c r="E660" s="8" t="str">
        <f ca="1">IFERROR(__xludf.DUMMYFUNCTION("""COMPUTED_VALUE"""),"Apprehended/Killed by LE")</f>
        <v>Apprehended/Killed by LE</v>
      </c>
      <c r="F660" s="8" t="str">
        <f ca="1">IFERROR(__xludf.DUMMYFUNCTION("""COMPUTED_VALUE"""),"Yes")</f>
        <v>Yes</v>
      </c>
      <c r="G660" s="8" t="str">
        <f ca="1">IFERROR(__xludf.DUMMYFUNCTION("""COMPUTED_VALUE"""),"Fatal")</f>
        <v>Fatal</v>
      </c>
    </row>
    <row r="661" spans="1:7" ht="12.75">
      <c r="A661" s="8" t="str">
        <f ca="1">IFERROR(__xludf.DUMMYFUNCTION("""COMPUTED_VALUE"""),"20200915SCYOR")</f>
        <v>20200915SCYOR</v>
      </c>
      <c r="B661" s="8"/>
      <c r="C661" s="8"/>
      <c r="D661" s="8"/>
      <c r="E661" s="8" t="str">
        <f ca="1">IFERROR(__xludf.DUMMYFUNCTION("""COMPUTED_VALUE"""),"Fled/Escaped")</f>
        <v>Fled/Escaped</v>
      </c>
      <c r="F661" s="8" t="str">
        <f ca="1">IFERROR(__xludf.DUMMYFUNCTION("""COMPUTED_VALUE"""),"No")</f>
        <v>No</v>
      </c>
      <c r="G661" s="8" t="str">
        <f ca="1">IFERROR(__xludf.DUMMYFUNCTION("""COMPUTED_VALUE"""),"None")</f>
        <v>None</v>
      </c>
    </row>
    <row r="662" spans="1:7" ht="12.75">
      <c r="A662" s="8" t="str">
        <f ca="1">IFERROR(__xludf.DUMMYFUNCTION("""COMPUTED_VALUE"""),"20200910OHSAC")</f>
        <v>20200910OHSAC</v>
      </c>
      <c r="B662" s="8" t="str">
        <f ca="1">IFERROR(__xludf.DUMMYFUNCTION("""COMPUTED_VALUE"""),"Adult")</f>
        <v>Adult</v>
      </c>
      <c r="C662" s="8"/>
      <c r="D662" s="8" t="str">
        <f ca="1">IFERROR(__xludf.DUMMYFUNCTION("""COMPUTED_VALUE"""),"No Relation")</f>
        <v>No Relation</v>
      </c>
      <c r="E662" s="8" t="str">
        <f ca="1">IFERROR(__xludf.DUMMYFUNCTION("""COMPUTED_VALUE"""),"Fled/Escaped")</f>
        <v>Fled/Escaped</v>
      </c>
      <c r="F662" s="8" t="str">
        <f ca="1">IFERROR(__xludf.DUMMYFUNCTION("""COMPUTED_VALUE"""),"No")</f>
        <v>No</v>
      </c>
      <c r="G662" s="8" t="str">
        <f ca="1">IFERROR(__xludf.DUMMYFUNCTION("""COMPUTED_VALUE"""),"None")</f>
        <v>None</v>
      </c>
    </row>
    <row r="663" spans="1:7" ht="12.75">
      <c r="A663" s="8" t="str">
        <f ca="1">IFERROR(__xludf.DUMMYFUNCTION("""COMPUTED_VALUE"""),"20200910ILPEP")</f>
        <v>20200910ILPEP</v>
      </c>
      <c r="B663" s="8" t="str">
        <f ca="1">IFERROR(__xludf.DUMMYFUNCTION("""COMPUTED_VALUE"""),"Adult")</f>
        <v>Adult</v>
      </c>
      <c r="C663" s="8" t="str">
        <f ca="1">IFERROR(__xludf.DUMMYFUNCTION("""COMPUTED_VALUE"""),"Male")</f>
        <v>Male</v>
      </c>
      <c r="D663" s="8" t="str">
        <f ca="1">IFERROR(__xludf.DUMMYFUNCTION("""COMPUTED_VALUE"""),"No Relation")</f>
        <v>No Relation</v>
      </c>
      <c r="E663" s="8" t="str">
        <f ca="1">IFERROR(__xludf.DUMMYFUNCTION("""COMPUTED_VALUE"""),"Fled/Escaped")</f>
        <v>Fled/Escaped</v>
      </c>
      <c r="F663" s="8" t="str">
        <f ca="1">IFERROR(__xludf.DUMMYFUNCTION("""COMPUTED_VALUE"""),"No")</f>
        <v>No</v>
      </c>
      <c r="G663" s="8" t="str">
        <f ca="1">IFERROR(__xludf.DUMMYFUNCTION("""COMPUTED_VALUE"""),"None")</f>
        <v>None</v>
      </c>
    </row>
    <row r="664" spans="1:7" ht="12.75">
      <c r="A664" s="8" t="str">
        <f ca="1">IFERROR(__xludf.DUMMYFUNCTION("""COMPUTED_VALUE"""),"20200909TXSOH")</f>
        <v>20200909TXSOH</v>
      </c>
      <c r="B664" s="8" t="str">
        <f ca="1">IFERROR(__xludf.DUMMYFUNCTION("""COMPUTED_VALUE"""),"Adult")</f>
        <v>Adult</v>
      </c>
      <c r="C664" s="8" t="str">
        <f ca="1">IFERROR(__xludf.DUMMYFUNCTION("""COMPUTED_VALUE"""),"Male")</f>
        <v>Male</v>
      </c>
      <c r="D664" s="8" t="str">
        <f ca="1">IFERROR(__xludf.DUMMYFUNCTION("""COMPUTED_VALUE"""),"No Relation")</f>
        <v>No Relation</v>
      </c>
      <c r="E664" s="8" t="str">
        <f ca="1">IFERROR(__xludf.DUMMYFUNCTION("""COMPUTED_VALUE"""),"Fled/Escaped")</f>
        <v>Fled/Escaped</v>
      </c>
      <c r="F664" s="8" t="str">
        <f ca="1">IFERROR(__xludf.DUMMYFUNCTION("""COMPUTED_VALUE"""),"No")</f>
        <v>No</v>
      </c>
      <c r="G664" s="8" t="str">
        <f ca="1">IFERROR(__xludf.DUMMYFUNCTION("""COMPUTED_VALUE"""),"None")</f>
        <v>None</v>
      </c>
    </row>
    <row r="665" spans="1:7" ht="12.75">
      <c r="A665" s="8" t="str">
        <f ca="1">IFERROR(__xludf.DUMMYFUNCTION("""COMPUTED_VALUE"""),"20200909PAWEW")</f>
        <v>20200909PAWEW</v>
      </c>
      <c r="B665" s="8" t="str">
        <f ca="1">IFERROR(__xludf.DUMMYFUNCTION("""COMPUTED_VALUE"""),"Adult")</f>
        <v>Adult</v>
      </c>
      <c r="C665" s="8" t="str">
        <f ca="1">IFERROR(__xludf.DUMMYFUNCTION("""COMPUTED_VALUE"""),"Male")</f>
        <v>Male</v>
      </c>
      <c r="D665" s="8" t="str">
        <f ca="1">IFERROR(__xludf.DUMMYFUNCTION("""COMPUTED_VALUE"""),"No Relation")</f>
        <v>No Relation</v>
      </c>
      <c r="E665" s="8" t="str">
        <f ca="1">IFERROR(__xludf.DUMMYFUNCTION("""COMPUTED_VALUE"""),"Fled/Escaped")</f>
        <v>Fled/Escaped</v>
      </c>
      <c r="F665" s="8" t="str">
        <f ca="1">IFERROR(__xludf.DUMMYFUNCTION("""COMPUTED_VALUE"""),"No")</f>
        <v>No</v>
      </c>
      <c r="G665" s="8" t="str">
        <f ca="1">IFERROR(__xludf.DUMMYFUNCTION("""COMPUTED_VALUE"""),"None")</f>
        <v>None</v>
      </c>
    </row>
    <row r="666" spans="1:7" ht="12.75">
      <c r="A666" s="8" t="str">
        <f ca="1">IFERROR(__xludf.DUMMYFUNCTION("""COMPUTED_VALUE"""),"20200904FLLOJ")</f>
        <v>20200904FLLOJ</v>
      </c>
      <c r="B666" s="8" t="str">
        <f ca="1">IFERROR(__xludf.DUMMYFUNCTION("""COMPUTED_VALUE"""),"Adult")</f>
        <v>Adult</v>
      </c>
      <c r="C666" s="8"/>
      <c r="D666" s="8" t="str">
        <f ca="1">IFERROR(__xludf.DUMMYFUNCTION("""COMPUTED_VALUE"""),"No Relation")</f>
        <v>No Relation</v>
      </c>
      <c r="E666" s="8" t="str">
        <f ca="1">IFERROR(__xludf.DUMMYFUNCTION("""COMPUTED_VALUE"""),"Fled/Escaped")</f>
        <v>Fled/Escaped</v>
      </c>
      <c r="F666" s="8" t="str">
        <f ca="1">IFERROR(__xludf.DUMMYFUNCTION("""COMPUTED_VALUE"""),"No")</f>
        <v>No</v>
      </c>
      <c r="G666" s="8" t="str">
        <f ca="1">IFERROR(__xludf.DUMMYFUNCTION("""COMPUTED_VALUE"""),"None")</f>
        <v>None</v>
      </c>
    </row>
    <row r="667" spans="1:7" ht="12.75">
      <c r="A667" s="8" t="str">
        <f ca="1">IFERROR(__xludf.DUMMYFUNCTION("""COMPUTED_VALUE"""),"20200903GADOA")</f>
        <v>20200903GADOA</v>
      </c>
      <c r="B667" s="8" t="str">
        <f ca="1">IFERROR(__xludf.DUMMYFUNCTION("""COMPUTED_VALUE"""),"Adult")</f>
        <v>Adult</v>
      </c>
      <c r="C667" s="8"/>
      <c r="D667" s="8" t="str">
        <f ca="1">IFERROR(__xludf.DUMMYFUNCTION("""COMPUTED_VALUE"""),"No Relation")</f>
        <v>No Relation</v>
      </c>
      <c r="E667" s="8" t="str">
        <f ca="1">IFERROR(__xludf.DUMMYFUNCTION("""COMPUTED_VALUE"""),"Fled/Escaped")</f>
        <v>Fled/Escaped</v>
      </c>
      <c r="F667" s="8" t="str">
        <f ca="1">IFERROR(__xludf.DUMMYFUNCTION("""COMPUTED_VALUE"""),"No")</f>
        <v>No</v>
      </c>
      <c r="G667" s="8" t="str">
        <f ca="1">IFERROR(__xludf.DUMMYFUNCTION("""COMPUTED_VALUE"""),"None")</f>
        <v>None</v>
      </c>
    </row>
    <row r="668" spans="1:7" ht="12.75">
      <c r="A668" s="8" t="str">
        <f ca="1">IFERROR(__xludf.DUMMYFUNCTION("""COMPUTED_VALUE"""),"20200830TXLOD")</f>
        <v>20200830TXLOD</v>
      </c>
      <c r="B668" s="8">
        <f ca="1">IFERROR(__xludf.DUMMYFUNCTION("""COMPUTED_VALUE"""),17)</f>
        <v>17</v>
      </c>
      <c r="C668" s="8" t="str">
        <f ca="1">IFERROR(__xludf.DUMMYFUNCTION("""COMPUTED_VALUE"""),"Male")</f>
        <v>Male</v>
      </c>
      <c r="D668" s="8" t="str">
        <f ca="1">IFERROR(__xludf.DUMMYFUNCTION("""COMPUTED_VALUE"""),"No Relation")</f>
        <v>No Relation</v>
      </c>
      <c r="E668" s="8" t="str">
        <f ca="1">IFERROR(__xludf.DUMMYFUNCTION("""COMPUTED_VALUE"""),"Fled/Apprehended")</f>
        <v>Fled/Apprehended</v>
      </c>
      <c r="F668" s="8" t="str">
        <f ca="1">IFERROR(__xludf.DUMMYFUNCTION("""COMPUTED_VALUE"""),"No")</f>
        <v>No</v>
      </c>
      <c r="G668" s="8" t="str">
        <f ca="1">IFERROR(__xludf.DUMMYFUNCTION("""COMPUTED_VALUE"""),"None")</f>
        <v>None</v>
      </c>
    </row>
    <row r="669" spans="1:7" ht="12.75">
      <c r="A669" s="8" t="str">
        <f ca="1">IFERROR(__xludf.DUMMYFUNCTION("""COMPUTED_VALUE"""),"20200825MOWEC")</f>
        <v>20200825MOWEC</v>
      </c>
      <c r="B669" s="8" t="str">
        <f ca="1">IFERROR(__xludf.DUMMYFUNCTION("""COMPUTED_VALUE"""),"Adult")</f>
        <v>Adult</v>
      </c>
      <c r="C669" s="8"/>
      <c r="D669" s="8" t="str">
        <f ca="1">IFERROR(__xludf.DUMMYFUNCTION("""COMPUTED_VALUE"""),"No Relation")</f>
        <v>No Relation</v>
      </c>
      <c r="E669" s="8" t="str">
        <f ca="1">IFERROR(__xludf.DUMMYFUNCTION("""COMPUTED_VALUE"""),"Fled/Escaped")</f>
        <v>Fled/Escaped</v>
      </c>
      <c r="F669" s="8" t="str">
        <f ca="1">IFERROR(__xludf.DUMMYFUNCTION("""COMPUTED_VALUE"""),"No")</f>
        <v>No</v>
      </c>
      <c r="G669" s="8" t="str">
        <f ca="1">IFERROR(__xludf.DUMMYFUNCTION("""COMPUTED_VALUE"""),"None")</f>
        <v>None</v>
      </c>
    </row>
    <row r="670" spans="1:7" ht="12.75">
      <c r="A670" s="8" t="str">
        <f ca="1">IFERROR(__xludf.DUMMYFUNCTION("""COMPUTED_VALUE"""),"20200817MIABG")</f>
        <v>20200817MIABG</v>
      </c>
      <c r="B670" s="8" t="str">
        <f ca="1">IFERROR(__xludf.DUMMYFUNCTION("""COMPUTED_VALUE"""),"Adult")</f>
        <v>Adult</v>
      </c>
      <c r="C670" s="8" t="str">
        <f ca="1">IFERROR(__xludf.DUMMYFUNCTION("""COMPUTED_VALUE"""),"Male")</f>
        <v>Male</v>
      </c>
      <c r="D670" s="8" t="str">
        <f ca="1">IFERROR(__xludf.DUMMYFUNCTION("""COMPUTED_VALUE"""),"No Relation")</f>
        <v>No Relation</v>
      </c>
      <c r="E670" s="8" t="str">
        <f ca="1">IFERROR(__xludf.DUMMYFUNCTION("""COMPUTED_VALUE"""),"Fled/Escaped")</f>
        <v>Fled/Escaped</v>
      </c>
      <c r="F670" s="8" t="str">
        <f ca="1">IFERROR(__xludf.DUMMYFUNCTION("""COMPUTED_VALUE"""),"No")</f>
        <v>No</v>
      </c>
      <c r="G670" s="8" t="str">
        <f ca="1">IFERROR(__xludf.DUMMYFUNCTION("""COMPUTED_VALUE"""),"None")</f>
        <v>None</v>
      </c>
    </row>
    <row r="671" spans="1:7" ht="12.75">
      <c r="A671" s="8" t="str">
        <f ca="1">IFERROR(__xludf.DUMMYFUNCTION("""COMPUTED_VALUE"""),"20200804PAKEP")</f>
        <v>20200804PAKEP</v>
      </c>
      <c r="B671" s="8">
        <f ca="1">IFERROR(__xludf.DUMMYFUNCTION("""COMPUTED_VALUE"""),29)</f>
        <v>29</v>
      </c>
      <c r="C671" s="8" t="str">
        <f ca="1">IFERROR(__xludf.DUMMYFUNCTION("""COMPUTED_VALUE"""),"Male")</f>
        <v>Male</v>
      </c>
      <c r="D671" s="8" t="str">
        <f ca="1">IFERROR(__xludf.DUMMYFUNCTION("""COMPUTED_VALUE"""),"No Relation")</f>
        <v>No Relation</v>
      </c>
      <c r="E671" s="8" t="str">
        <f ca="1">IFERROR(__xludf.DUMMYFUNCTION("""COMPUTED_VALUE"""),"Fled/Apprehended")</f>
        <v>Fled/Apprehended</v>
      </c>
      <c r="F671" s="8" t="str">
        <f ca="1">IFERROR(__xludf.DUMMYFUNCTION("""COMPUTED_VALUE"""),"No")</f>
        <v>No</v>
      </c>
      <c r="G671" s="8" t="str">
        <f ca="1">IFERROR(__xludf.DUMMYFUNCTION("""COMPUTED_VALUE"""),"None")</f>
        <v>None</v>
      </c>
    </row>
    <row r="672" spans="1:7" ht="12.75">
      <c r="A672" s="8" t="str">
        <f ca="1">IFERROR(__xludf.DUMMYFUNCTION("""COMPUTED_VALUE"""),"20200729ILCOC")</f>
        <v>20200729ILCOC</v>
      </c>
      <c r="B672" s="8">
        <f ca="1">IFERROR(__xludf.DUMMYFUNCTION("""COMPUTED_VALUE"""),17)</f>
        <v>17</v>
      </c>
      <c r="C672" s="8" t="str">
        <f ca="1">IFERROR(__xludf.DUMMYFUNCTION("""COMPUTED_VALUE"""),"Male")</f>
        <v>Male</v>
      </c>
      <c r="D672" s="8"/>
      <c r="E672" s="8" t="str">
        <f ca="1">IFERROR(__xludf.DUMMYFUNCTION("""COMPUTED_VALUE"""),"Apprehended/Killed by LE")</f>
        <v>Apprehended/Killed by LE</v>
      </c>
      <c r="F672" s="8" t="str">
        <f ca="1">IFERROR(__xludf.DUMMYFUNCTION("""COMPUTED_VALUE"""),"No")</f>
        <v>No</v>
      </c>
      <c r="G672" s="8" t="str">
        <f ca="1">IFERROR(__xludf.DUMMYFUNCTION("""COMPUTED_VALUE"""),"Wounded")</f>
        <v>Wounded</v>
      </c>
    </row>
    <row r="673" spans="1:7" ht="12.75">
      <c r="A673" s="8" t="str">
        <f ca="1">IFERROR(__xludf.DUMMYFUNCTION("""COMPUTED_VALUE"""),"20200727AZCAO")</f>
        <v>20200727AZCAO</v>
      </c>
      <c r="B673" s="8">
        <f ca="1">IFERROR(__xludf.DUMMYFUNCTION("""COMPUTED_VALUE"""),40)</f>
        <v>40</v>
      </c>
      <c r="C673" s="8" t="str">
        <f ca="1">IFERROR(__xludf.DUMMYFUNCTION("""COMPUTED_VALUE"""),"Male")</f>
        <v>Male</v>
      </c>
      <c r="D673" s="8" t="str">
        <f ca="1">IFERROR(__xludf.DUMMYFUNCTION("""COMPUTED_VALUE"""),"Other Staff")</f>
        <v>Other Staff</v>
      </c>
      <c r="E673" s="8" t="str">
        <f ca="1">IFERROR(__xludf.DUMMYFUNCTION("""COMPUTED_VALUE"""),"Apprehended/Killed by Other")</f>
        <v>Apprehended/Killed by Other</v>
      </c>
      <c r="F673" s="8" t="str">
        <f ca="1">IFERROR(__xludf.DUMMYFUNCTION("""COMPUTED_VALUE"""),"Yes")</f>
        <v>Yes</v>
      </c>
      <c r="G673" s="8" t="str">
        <f ca="1">IFERROR(__xludf.DUMMYFUNCTION("""COMPUTED_VALUE"""),"Fatal")</f>
        <v>Fatal</v>
      </c>
    </row>
    <row r="674" spans="1:7" ht="12.75">
      <c r="A674" s="8" t="str">
        <f ca="1">IFERROR(__xludf.DUMMYFUNCTION("""COMPUTED_VALUE"""),"20200721SCBRO")</f>
        <v>20200721SCBRO</v>
      </c>
      <c r="B674" s="8">
        <f ca="1">IFERROR(__xludf.DUMMYFUNCTION("""COMPUTED_VALUE"""),21)</f>
        <v>21</v>
      </c>
      <c r="C674" s="8" t="str">
        <f ca="1">IFERROR(__xludf.DUMMYFUNCTION("""COMPUTED_VALUE"""),"Male")</f>
        <v>Male</v>
      </c>
      <c r="D674" s="8" t="str">
        <f ca="1">IFERROR(__xludf.DUMMYFUNCTION("""COMPUTED_VALUE"""),"Nonstudent Using Athletic Facilities/Attending Game")</f>
        <v>Nonstudent Using Athletic Facilities/Attending Game</v>
      </c>
      <c r="E674" s="8" t="str">
        <f ca="1">IFERROR(__xludf.DUMMYFUNCTION("""COMPUTED_VALUE"""),"Fled/Apprehended")</f>
        <v>Fled/Apprehended</v>
      </c>
      <c r="F674" s="8" t="str">
        <f ca="1">IFERROR(__xludf.DUMMYFUNCTION("""COMPUTED_VALUE"""),"No")</f>
        <v>No</v>
      </c>
      <c r="G674" s="8" t="str">
        <f ca="1">IFERROR(__xludf.DUMMYFUNCTION("""COMPUTED_VALUE"""),"None")</f>
        <v>None</v>
      </c>
    </row>
    <row r="675" spans="1:7" ht="12.75">
      <c r="A675" s="8" t="str">
        <f ca="1">IFERROR(__xludf.DUMMYFUNCTION("""COMPUTED_VALUE"""),"20200714MIWID")</f>
        <v>20200714MIWID</v>
      </c>
      <c r="B675" s="8" t="str">
        <f ca="1">IFERROR(__xludf.DUMMYFUNCTION("""COMPUTED_VALUE"""),"Adult")</f>
        <v>Adult</v>
      </c>
      <c r="C675" s="8" t="str">
        <f ca="1">IFERROR(__xludf.DUMMYFUNCTION("""COMPUTED_VALUE"""),"Male")</f>
        <v>Male</v>
      </c>
      <c r="D675" s="8" t="str">
        <f ca="1">IFERROR(__xludf.DUMMYFUNCTION("""COMPUTED_VALUE"""),"No Relation")</f>
        <v>No Relation</v>
      </c>
      <c r="E675" s="8" t="str">
        <f ca="1">IFERROR(__xludf.DUMMYFUNCTION("""COMPUTED_VALUE"""),"Fled/Escaped")</f>
        <v>Fled/Escaped</v>
      </c>
      <c r="F675" s="8" t="str">
        <f ca="1">IFERROR(__xludf.DUMMYFUNCTION("""COMPUTED_VALUE"""),"No")</f>
        <v>No</v>
      </c>
      <c r="G675" s="8" t="str">
        <f ca="1">IFERROR(__xludf.DUMMYFUNCTION("""COMPUTED_VALUE"""),"None")</f>
        <v>None</v>
      </c>
    </row>
    <row r="676" spans="1:7" ht="12.75">
      <c r="A676" s="8" t="str">
        <f ca="1">IFERROR(__xludf.DUMMYFUNCTION("""COMPUTED_VALUE"""),"20200704INLAM")</f>
        <v>20200704INLAM</v>
      </c>
      <c r="B676" s="8">
        <f ca="1">IFERROR(__xludf.DUMMYFUNCTION("""COMPUTED_VALUE"""),22)</f>
        <v>22</v>
      </c>
      <c r="C676" s="8" t="str">
        <f ca="1">IFERROR(__xludf.DUMMYFUNCTION("""COMPUTED_VALUE"""),"Male")</f>
        <v>Male</v>
      </c>
      <c r="D676" s="8" t="str">
        <f ca="1">IFERROR(__xludf.DUMMYFUNCTION("""COMPUTED_VALUE"""),"No Relation")</f>
        <v>No Relation</v>
      </c>
      <c r="E676" s="8" t="str">
        <f ca="1">IFERROR(__xludf.DUMMYFUNCTION("""COMPUTED_VALUE"""),"Fled/Apprehended")</f>
        <v>Fled/Apprehended</v>
      </c>
      <c r="F676" s="8" t="str">
        <f ca="1">IFERROR(__xludf.DUMMYFUNCTION("""COMPUTED_VALUE"""),"No")</f>
        <v>No</v>
      </c>
      <c r="G676" s="8" t="str">
        <f ca="1">IFERROR(__xludf.DUMMYFUNCTION("""COMPUTED_VALUE"""),"None")</f>
        <v>None</v>
      </c>
    </row>
    <row r="677" spans="1:7" ht="12.75">
      <c r="A677" s="8" t="str">
        <f ca="1">IFERROR(__xludf.DUMMYFUNCTION("""COMPUTED_VALUE"""),"20200701ILFRP")</f>
        <v>20200701ILFRP</v>
      </c>
      <c r="B677" s="8">
        <f ca="1">IFERROR(__xludf.DUMMYFUNCTION("""COMPUTED_VALUE"""),25)</f>
        <v>25</v>
      </c>
      <c r="C677" s="8" t="str">
        <f ca="1">IFERROR(__xludf.DUMMYFUNCTION("""COMPUTED_VALUE"""),"Male")</f>
        <v>Male</v>
      </c>
      <c r="D677" s="8" t="str">
        <f ca="1">IFERROR(__xludf.DUMMYFUNCTION("""COMPUTED_VALUE"""),"No Relation")</f>
        <v>No Relation</v>
      </c>
      <c r="E677" s="8" t="str">
        <f ca="1">IFERROR(__xludf.DUMMYFUNCTION("""COMPUTED_VALUE"""),"Fled/Apprehended")</f>
        <v>Fled/Apprehended</v>
      </c>
      <c r="F677" s="8" t="str">
        <f ca="1">IFERROR(__xludf.DUMMYFUNCTION("""COMPUTED_VALUE"""),"No")</f>
        <v>No</v>
      </c>
      <c r="G677" s="8" t="str">
        <f ca="1">IFERROR(__xludf.DUMMYFUNCTION("""COMPUTED_VALUE"""),"None")</f>
        <v>None</v>
      </c>
    </row>
    <row r="678" spans="1:7" ht="12.75">
      <c r="A678" s="8" t="str">
        <f ca="1">IFERROR(__xludf.DUMMYFUNCTION("""COMPUTED_VALUE"""),"20200630OHLAW")</f>
        <v>20200630OHLAW</v>
      </c>
      <c r="B678" s="8">
        <f ca="1">IFERROR(__xludf.DUMMYFUNCTION("""COMPUTED_VALUE"""),19)</f>
        <v>19</v>
      </c>
      <c r="C678" s="8" t="str">
        <f ca="1">IFERROR(__xludf.DUMMYFUNCTION("""COMPUTED_VALUE"""),"Male")</f>
        <v>Male</v>
      </c>
      <c r="D678" s="8" t="str">
        <f ca="1">IFERROR(__xludf.DUMMYFUNCTION("""COMPUTED_VALUE"""),"No Relation")</f>
        <v>No Relation</v>
      </c>
      <c r="E678" s="8" t="str">
        <f ca="1">IFERROR(__xludf.DUMMYFUNCTION("""COMPUTED_VALUE"""),"Fled/Apprehended")</f>
        <v>Fled/Apprehended</v>
      </c>
      <c r="F678" s="8" t="str">
        <f ca="1">IFERROR(__xludf.DUMMYFUNCTION("""COMPUTED_VALUE"""),"No")</f>
        <v>No</v>
      </c>
      <c r="G678" s="8" t="str">
        <f ca="1">IFERROR(__xludf.DUMMYFUNCTION("""COMPUTED_VALUE"""),"None")</f>
        <v>None</v>
      </c>
    </row>
    <row r="679" spans="1:7" ht="12.75">
      <c r="A679" s="8" t="str">
        <f ca="1">IFERROR(__xludf.DUMMYFUNCTION("""COMPUTED_VALUE"""),"20200627VAHAS")</f>
        <v>20200627VAHAS</v>
      </c>
      <c r="B679" s="8">
        <f ca="1">IFERROR(__xludf.DUMMYFUNCTION("""COMPUTED_VALUE"""),17)</f>
        <v>17</v>
      </c>
      <c r="C679" s="8" t="str">
        <f ca="1">IFERROR(__xludf.DUMMYFUNCTION("""COMPUTED_VALUE"""),"Male")</f>
        <v>Male</v>
      </c>
      <c r="D679" s="8" t="str">
        <f ca="1">IFERROR(__xludf.DUMMYFUNCTION("""COMPUTED_VALUE"""),"Unknown")</f>
        <v>Unknown</v>
      </c>
      <c r="E679" s="8" t="str">
        <f ca="1">IFERROR(__xludf.DUMMYFUNCTION("""COMPUTED_VALUE"""),"Fled/Apprehended")</f>
        <v>Fled/Apprehended</v>
      </c>
      <c r="F679" s="8" t="str">
        <f ca="1">IFERROR(__xludf.DUMMYFUNCTION("""COMPUTED_VALUE"""),"No")</f>
        <v>No</v>
      </c>
      <c r="G679" s="8" t="str">
        <f ca="1">IFERROR(__xludf.DUMMYFUNCTION("""COMPUTED_VALUE"""),"None")</f>
        <v>None</v>
      </c>
    </row>
    <row r="680" spans="1:7" ht="12.75">
      <c r="A680" s="8" t="str">
        <f ca="1">IFERROR(__xludf.DUMMYFUNCTION("""COMPUTED_VALUE"""),"20200621INCOC")</f>
        <v>20200621INCOC</v>
      </c>
      <c r="B680" s="8">
        <f ca="1">IFERROR(__xludf.DUMMYFUNCTION("""COMPUTED_VALUE"""),14)</f>
        <v>14</v>
      </c>
      <c r="C680" s="8" t="str">
        <f ca="1">IFERROR(__xludf.DUMMYFUNCTION("""COMPUTED_VALUE"""),"Male")</f>
        <v>Male</v>
      </c>
      <c r="D680" s="8" t="str">
        <f ca="1">IFERROR(__xludf.DUMMYFUNCTION("""COMPUTED_VALUE"""),"Unknown")</f>
        <v>Unknown</v>
      </c>
      <c r="E680" s="8" t="str">
        <f ca="1">IFERROR(__xludf.DUMMYFUNCTION("""COMPUTED_VALUE"""),"Fled/Apprehended")</f>
        <v>Fled/Apprehended</v>
      </c>
      <c r="F680" s="8" t="str">
        <f ca="1">IFERROR(__xludf.DUMMYFUNCTION("""COMPUTED_VALUE"""),"No")</f>
        <v>No</v>
      </c>
      <c r="G680" s="8" t="str">
        <f ca="1">IFERROR(__xludf.DUMMYFUNCTION("""COMPUTED_VALUE"""),"None")</f>
        <v>None</v>
      </c>
    </row>
    <row r="681" spans="1:7" ht="12.75">
      <c r="A681" s="8" t="str">
        <f ca="1">IFERROR(__xludf.DUMMYFUNCTION("""COMPUTED_VALUE"""),"20200621INCOC")</f>
        <v>20200621INCOC</v>
      </c>
      <c r="B681" s="8">
        <f ca="1">IFERROR(__xludf.DUMMYFUNCTION("""COMPUTED_VALUE"""),16)</f>
        <v>16</v>
      </c>
      <c r="C681" s="8" t="str">
        <f ca="1">IFERROR(__xludf.DUMMYFUNCTION("""COMPUTED_VALUE"""),"Male")</f>
        <v>Male</v>
      </c>
      <c r="D681" s="8" t="str">
        <f ca="1">IFERROR(__xludf.DUMMYFUNCTION("""COMPUTED_VALUE"""),"Unknown")</f>
        <v>Unknown</v>
      </c>
      <c r="E681" s="8" t="str">
        <f ca="1">IFERROR(__xludf.DUMMYFUNCTION("""COMPUTED_VALUE"""),"Fled/Apprehended")</f>
        <v>Fled/Apprehended</v>
      </c>
      <c r="F681" s="8" t="str">
        <f ca="1">IFERROR(__xludf.DUMMYFUNCTION("""COMPUTED_VALUE"""),"No")</f>
        <v>No</v>
      </c>
      <c r="G681" s="8" t="str">
        <f ca="1">IFERROR(__xludf.DUMMYFUNCTION("""COMPUTED_VALUE"""),"None")</f>
        <v>None</v>
      </c>
    </row>
    <row r="682" spans="1:7" ht="12.75">
      <c r="A682" s="8" t="str">
        <f ca="1">IFERROR(__xludf.DUMMYFUNCTION("""COMPUTED_VALUE"""),"20200621INCOC")</f>
        <v>20200621INCOC</v>
      </c>
      <c r="B682" s="8">
        <f ca="1">IFERROR(__xludf.DUMMYFUNCTION("""COMPUTED_VALUE"""),16)</f>
        <v>16</v>
      </c>
      <c r="C682" s="8" t="str">
        <f ca="1">IFERROR(__xludf.DUMMYFUNCTION("""COMPUTED_VALUE"""),"Male")</f>
        <v>Male</v>
      </c>
      <c r="D682" s="8" t="str">
        <f ca="1">IFERROR(__xludf.DUMMYFUNCTION("""COMPUTED_VALUE"""),"Unknown")</f>
        <v>Unknown</v>
      </c>
      <c r="E682" s="8" t="str">
        <f ca="1">IFERROR(__xludf.DUMMYFUNCTION("""COMPUTED_VALUE"""),"Fled/Apprehended")</f>
        <v>Fled/Apprehended</v>
      </c>
      <c r="F682" s="8" t="str">
        <f ca="1">IFERROR(__xludf.DUMMYFUNCTION("""COMPUTED_VALUE"""),"No")</f>
        <v>No</v>
      </c>
      <c r="G682" s="8" t="str">
        <f ca="1">IFERROR(__xludf.DUMMYFUNCTION("""COMPUTED_VALUE"""),"None")</f>
        <v>None</v>
      </c>
    </row>
    <row r="683" spans="1:7" ht="12.75">
      <c r="A683" s="8" t="str">
        <f ca="1">IFERROR(__xludf.DUMMYFUNCTION("""COMPUTED_VALUE"""),"20200618INJOI")</f>
        <v>20200618INJOI</v>
      </c>
      <c r="B683" s="8"/>
      <c r="C683" s="8"/>
      <c r="D683" s="8" t="str">
        <f ca="1">IFERROR(__xludf.DUMMYFUNCTION("""COMPUTED_VALUE"""),"No Relation")</f>
        <v>No Relation</v>
      </c>
      <c r="E683" s="8" t="str">
        <f ca="1">IFERROR(__xludf.DUMMYFUNCTION("""COMPUTED_VALUE"""),"Fled/Escaped")</f>
        <v>Fled/Escaped</v>
      </c>
      <c r="F683" s="8"/>
      <c r="G683" s="8"/>
    </row>
    <row r="684" spans="1:7" ht="12.75">
      <c r="A684" s="8" t="str">
        <f ca="1">IFERROR(__xludf.DUMMYFUNCTION("""COMPUTED_VALUE"""),"20200616FLTOM")</f>
        <v>20200616FLTOM</v>
      </c>
      <c r="B684" s="8"/>
      <c r="C684" s="8" t="str">
        <f ca="1">IFERROR(__xludf.DUMMYFUNCTION("""COMPUTED_VALUE"""),"Male")</f>
        <v>Male</v>
      </c>
      <c r="D684" s="8" t="str">
        <f ca="1">IFERROR(__xludf.DUMMYFUNCTION("""COMPUTED_VALUE"""),"No Relation")</f>
        <v>No Relation</v>
      </c>
      <c r="E684" s="8" t="str">
        <f ca="1">IFERROR(__xludf.DUMMYFUNCTION("""COMPUTED_VALUE"""),"Fled/Escaped")</f>
        <v>Fled/Escaped</v>
      </c>
      <c r="F684" s="8" t="str">
        <f ca="1">IFERROR(__xludf.DUMMYFUNCTION("""COMPUTED_VALUE"""),"No")</f>
        <v>No</v>
      </c>
      <c r="G684" s="8" t="str">
        <f ca="1">IFERROR(__xludf.DUMMYFUNCTION("""COMPUTED_VALUE"""),"None")</f>
        <v>None</v>
      </c>
    </row>
    <row r="685" spans="1:7" ht="12.75">
      <c r="A685" s="8" t="str">
        <f ca="1">IFERROR(__xludf.DUMMYFUNCTION("""COMPUTED_VALUE"""),"20200603IAGAD")</f>
        <v>20200603IAGAD</v>
      </c>
      <c r="B685" s="8" t="str">
        <f ca="1">IFERROR(__xludf.DUMMYFUNCTION("""COMPUTED_VALUE"""),"Adult")</f>
        <v>Adult</v>
      </c>
      <c r="C685" s="8" t="str">
        <f ca="1">IFERROR(__xludf.DUMMYFUNCTION("""COMPUTED_VALUE"""),"Male")</f>
        <v>Male</v>
      </c>
      <c r="D685" s="8" t="str">
        <f ca="1">IFERROR(__xludf.DUMMYFUNCTION("""COMPUTED_VALUE"""),"No Relation")</f>
        <v>No Relation</v>
      </c>
      <c r="E685" s="8" t="str">
        <f ca="1">IFERROR(__xludf.DUMMYFUNCTION("""COMPUTED_VALUE"""),"Fled/Escaped")</f>
        <v>Fled/Escaped</v>
      </c>
      <c r="F685" s="8" t="str">
        <f ca="1">IFERROR(__xludf.DUMMYFUNCTION("""COMPUTED_VALUE"""),"No")</f>
        <v>No</v>
      </c>
      <c r="G685" s="8" t="str">
        <f ca="1">IFERROR(__xludf.DUMMYFUNCTION("""COMPUTED_VALUE"""),"None")</f>
        <v>None</v>
      </c>
    </row>
    <row r="686" spans="1:7" ht="12.75">
      <c r="A686" s="8" t="str">
        <f ca="1">IFERROR(__xludf.DUMMYFUNCTION("""COMPUTED_VALUE"""),"20200527OHLUC")</f>
        <v>20200527OHLUC</v>
      </c>
      <c r="B686" s="8">
        <f ca="1">IFERROR(__xludf.DUMMYFUNCTION("""COMPUTED_VALUE"""),21)</f>
        <v>21</v>
      </c>
      <c r="C686" s="8" t="str">
        <f ca="1">IFERROR(__xludf.DUMMYFUNCTION("""COMPUTED_VALUE"""),"Male")</f>
        <v>Male</v>
      </c>
      <c r="D686" s="8" t="str">
        <f ca="1">IFERROR(__xludf.DUMMYFUNCTION("""COMPUTED_VALUE"""),"No Relation")</f>
        <v>No Relation</v>
      </c>
      <c r="E686" s="8" t="str">
        <f ca="1">IFERROR(__xludf.DUMMYFUNCTION("""COMPUTED_VALUE"""),"Apprehended/Killed by Other")</f>
        <v>Apprehended/Killed by Other</v>
      </c>
      <c r="F686" s="8" t="str">
        <f ca="1">IFERROR(__xludf.DUMMYFUNCTION("""COMPUTED_VALUE"""),"Yes")</f>
        <v>Yes</v>
      </c>
      <c r="G686" s="8" t="str">
        <f ca="1">IFERROR(__xludf.DUMMYFUNCTION("""COMPUTED_VALUE"""),"Fatal")</f>
        <v>Fatal</v>
      </c>
    </row>
    <row r="687" spans="1:7" ht="12.75">
      <c r="A687" s="8" t="str">
        <f ca="1">IFERROR(__xludf.DUMMYFUNCTION("""COMPUTED_VALUE"""),"20200527OHLUC")</f>
        <v>20200527OHLUC</v>
      </c>
      <c r="B687" s="8" t="str">
        <f ca="1">IFERROR(__xludf.DUMMYFUNCTION("""COMPUTED_VALUE"""),"Adult")</f>
        <v>Adult</v>
      </c>
      <c r="C687" s="8" t="str">
        <f ca="1">IFERROR(__xludf.DUMMYFUNCTION("""COMPUTED_VALUE"""),"Male")</f>
        <v>Male</v>
      </c>
      <c r="D687" s="8" t="str">
        <f ca="1">IFERROR(__xludf.DUMMYFUNCTION("""COMPUTED_VALUE"""),"No Relation")</f>
        <v>No Relation</v>
      </c>
      <c r="E687" s="8" t="str">
        <f ca="1">IFERROR(__xludf.DUMMYFUNCTION("""COMPUTED_VALUE"""),"Surrendered")</f>
        <v>Surrendered</v>
      </c>
      <c r="F687" s="8" t="str">
        <f ca="1">IFERROR(__xludf.DUMMYFUNCTION("""COMPUTED_VALUE"""),"No")</f>
        <v>No</v>
      </c>
      <c r="G687" s="8" t="str">
        <f ca="1">IFERROR(__xludf.DUMMYFUNCTION("""COMPUTED_VALUE"""),"Wounded")</f>
        <v>Wounded</v>
      </c>
    </row>
    <row r="688" spans="1:7" ht="12.75">
      <c r="A688" s="8" t="str">
        <f ca="1">IFERROR(__xludf.DUMMYFUNCTION("""COMPUTED_VALUE"""),"20200525ALORM")</f>
        <v>20200525ALORM</v>
      </c>
      <c r="B688" s="8"/>
      <c r="C688" s="8" t="str">
        <f ca="1">IFERROR(__xludf.DUMMYFUNCTION("""COMPUTED_VALUE"""),"Male")</f>
        <v>Male</v>
      </c>
      <c r="D688" s="8" t="str">
        <f ca="1">IFERROR(__xludf.DUMMYFUNCTION("""COMPUTED_VALUE"""),"No Relation")</f>
        <v>No Relation</v>
      </c>
      <c r="E688" s="8" t="str">
        <f ca="1">IFERROR(__xludf.DUMMYFUNCTION("""COMPUTED_VALUE"""),"Fled/Escaped")</f>
        <v>Fled/Escaped</v>
      </c>
      <c r="F688" s="8" t="str">
        <f ca="1">IFERROR(__xludf.DUMMYFUNCTION("""COMPUTED_VALUE"""),"No")</f>
        <v>No</v>
      </c>
      <c r="G688" s="8" t="str">
        <f ca="1">IFERROR(__xludf.DUMMYFUNCTION("""COMPUTED_VALUE"""),"None")</f>
        <v>None</v>
      </c>
    </row>
    <row r="689" spans="1:7" ht="12.75">
      <c r="A689" s="8" t="str">
        <f ca="1">IFERROR(__xludf.DUMMYFUNCTION("""COMPUTED_VALUE"""),"20200522OHMIC")</f>
        <v>20200522OHMIC</v>
      </c>
      <c r="B689" s="8"/>
      <c r="C689" s="8"/>
      <c r="D689" s="8" t="str">
        <f ca="1">IFERROR(__xludf.DUMMYFUNCTION("""COMPUTED_VALUE"""),"Unknown")</f>
        <v>Unknown</v>
      </c>
      <c r="E689" s="8" t="str">
        <f ca="1">IFERROR(__xludf.DUMMYFUNCTION("""COMPUTED_VALUE"""),"Fled/Escaped")</f>
        <v>Fled/Escaped</v>
      </c>
      <c r="F689" s="8" t="str">
        <f ca="1">IFERROR(__xludf.DUMMYFUNCTION("""COMPUTED_VALUE"""),"No")</f>
        <v>No</v>
      </c>
      <c r="G689" s="8" t="str">
        <f ca="1">IFERROR(__xludf.DUMMYFUNCTION("""COMPUTED_VALUE"""),"None")</f>
        <v>None</v>
      </c>
    </row>
    <row r="690" spans="1:7" ht="12.75">
      <c r="A690" s="8" t="str">
        <f ca="1">IFERROR(__xludf.DUMMYFUNCTION("""COMPUTED_VALUE"""),"20200519VAWEM")</f>
        <v>20200519VAWEM</v>
      </c>
      <c r="B690" s="8">
        <f ca="1">IFERROR(__xludf.DUMMYFUNCTION("""COMPUTED_VALUE"""),18)</f>
        <v>18</v>
      </c>
      <c r="C690" s="8" t="str">
        <f ca="1">IFERROR(__xludf.DUMMYFUNCTION("""COMPUTED_VALUE"""),"Male")</f>
        <v>Male</v>
      </c>
      <c r="D690" s="8" t="str">
        <f ca="1">IFERROR(__xludf.DUMMYFUNCTION("""COMPUTED_VALUE"""),"No Relation")</f>
        <v>No Relation</v>
      </c>
      <c r="E690" s="8" t="str">
        <f ca="1">IFERROR(__xludf.DUMMYFUNCTION("""COMPUTED_VALUE"""),"Fled/Apprehended")</f>
        <v>Fled/Apprehended</v>
      </c>
      <c r="F690" s="8" t="str">
        <f ca="1">IFERROR(__xludf.DUMMYFUNCTION("""COMPUTED_VALUE"""),"No")</f>
        <v>No</v>
      </c>
      <c r="G690" s="8" t="str">
        <f ca="1">IFERROR(__xludf.DUMMYFUNCTION("""COMPUTED_VALUE"""),"None")</f>
        <v>None</v>
      </c>
    </row>
    <row r="691" spans="1:7" ht="12.75">
      <c r="A691" s="8" t="str">
        <f ca="1">IFERROR(__xludf.DUMMYFUNCTION("""COMPUTED_VALUE"""),"20200515NCSTC")</f>
        <v>20200515NCSTC</v>
      </c>
      <c r="B691" s="8" t="str">
        <f ca="1">IFERROR(__xludf.DUMMYFUNCTION("""COMPUTED_VALUE"""),"Adult")</f>
        <v>Adult</v>
      </c>
      <c r="C691" s="8" t="str">
        <f ca="1">IFERROR(__xludf.DUMMYFUNCTION("""COMPUTED_VALUE"""),"Male")</f>
        <v>Male</v>
      </c>
      <c r="D691" s="8" t="str">
        <f ca="1">IFERROR(__xludf.DUMMYFUNCTION("""COMPUTED_VALUE"""),"No Relation")</f>
        <v>No Relation</v>
      </c>
      <c r="E691" s="8" t="str">
        <f ca="1">IFERROR(__xludf.DUMMYFUNCTION("""COMPUTED_VALUE"""),"Fled/Apprehended")</f>
        <v>Fled/Apprehended</v>
      </c>
      <c r="F691" s="8" t="str">
        <f ca="1">IFERROR(__xludf.DUMMYFUNCTION("""COMPUTED_VALUE"""),"No")</f>
        <v>No</v>
      </c>
      <c r="G691" s="8" t="str">
        <f ca="1">IFERROR(__xludf.DUMMYFUNCTION("""COMPUTED_VALUE"""),"None")</f>
        <v>None</v>
      </c>
    </row>
    <row r="692" spans="1:7" ht="12.75">
      <c r="A692" s="8" t="str">
        <f ca="1">IFERROR(__xludf.DUMMYFUNCTION("""COMPUTED_VALUE"""),"20200505CAGOV")</f>
        <v>20200505CAGOV</v>
      </c>
      <c r="B692" s="8"/>
      <c r="C692" s="8"/>
      <c r="D692" s="8" t="str">
        <f ca="1">IFERROR(__xludf.DUMMYFUNCTION("""COMPUTED_VALUE"""),"Unknown")</f>
        <v>Unknown</v>
      </c>
      <c r="E692" s="8" t="str">
        <f ca="1">IFERROR(__xludf.DUMMYFUNCTION("""COMPUTED_VALUE"""),"Fled/Escaped")</f>
        <v>Fled/Escaped</v>
      </c>
      <c r="F692" s="8" t="str">
        <f ca="1">IFERROR(__xludf.DUMMYFUNCTION("""COMPUTED_VALUE"""),"No")</f>
        <v>No</v>
      </c>
      <c r="G692" s="8" t="str">
        <f ca="1">IFERROR(__xludf.DUMMYFUNCTION("""COMPUTED_VALUE"""),"None")</f>
        <v>None</v>
      </c>
    </row>
    <row r="693" spans="1:7" ht="12.75">
      <c r="A693" s="8" t="str">
        <f ca="1">IFERROR(__xludf.DUMMYFUNCTION("""COMPUTED_VALUE"""),"20200419NCABR")</f>
        <v>20200419NCABR</v>
      </c>
      <c r="B693" s="8">
        <f ca="1">IFERROR(__xludf.DUMMYFUNCTION("""COMPUTED_VALUE"""),24)</f>
        <v>24</v>
      </c>
      <c r="C693" s="8" t="str">
        <f ca="1">IFERROR(__xludf.DUMMYFUNCTION("""COMPUTED_VALUE"""),"Male")</f>
        <v>Male</v>
      </c>
      <c r="D693" s="8" t="str">
        <f ca="1">IFERROR(__xludf.DUMMYFUNCTION("""COMPUTED_VALUE"""),"No Relation")</f>
        <v>No Relation</v>
      </c>
      <c r="E693" s="8" t="str">
        <f ca="1">IFERROR(__xludf.DUMMYFUNCTION("""COMPUTED_VALUE"""),"Fled/Apprehended")</f>
        <v>Fled/Apprehended</v>
      </c>
      <c r="F693" s="8" t="str">
        <f ca="1">IFERROR(__xludf.DUMMYFUNCTION("""COMPUTED_VALUE"""),"No")</f>
        <v>No</v>
      </c>
      <c r="G693" s="8" t="str">
        <f ca="1">IFERROR(__xludf.DUMMYFUNCTION("""COMPUTED_VALUE"""),"None")</f>
        <v>None</v>
      </c>
    </row>
    <row r="694" spans="1:7" ht="12.75">
      <c r="A694" s="8" t="str">
        <f ca="1">IFERROR(__xludf.DUMMYFUNCTION("""COMPUTED_VALUE"""),"20200413NEMOO")</f>
        <v>20200413NEMOO</v>
      </c>
      <c r="B694" s="8"/>
      <c r="C694" s="8" t="str">
        <f ca="1">IFERROR(__xludf.DUMMYFUNCTION("""COMPUTED_VALUE"""),"Male")</f>
        <v>Male</v>
      </c>
      <c r="D694" s="8" t="str">
        <f ca="1">IFERROR(__xludf.DUMMYFUNCTION("""COMPUTED_VALUE"""),"No Relation")</f>
        <v>No Relation</v>
      </c>
      <c r="E694" s="8" t="str">
        <f ca="1">IFERROR(__xludf.DUMMYFUNCTION("""COMPUTED_VALUE"""),"Fled/Escaped")</f>
        <v>Fled/Escaped</v>
      </c>
      <c r="F694" s="8" t="str">
        <f ca="1">IFERROR(__xludf.DUMMYFUNCTION("""COMPUTED_VALUE"""),"No")</f>
        <v>No</v>
      </c>
      <c r="G694" s="8" t="str">
        <f ca="1">IFERROR(__xludf.DUMMYFUNCTION("""COMPUTED_VALUE"""),"None")</f>
        <v>None</v>
      </c>
    </row>
    <row r="695" spans="1:7" ht="12.75">
      <c r="A695" s="8" t="str">
        <f ca="1">IFERROR(__xludf.DUMMYFUNCTION("""COMPUTED_VALUE"""),"20200330GANAS")</f>
        <v>20200330GANAS</v>
      </c>
      <c r="B695" s="8"/>
      <c r="C695" s="8"/>
      <c r="D695" s="8" t="str">
        <f ca="1">IFERROR(__xludf.DUMMYFUNCTION("""COMPUTED_VALUE"""),"No Relation")</f>
        <v>No Relation</v>
      </c>
      <c r="E695" s="8" t="str">
        <f ca="1">IFERROR(__xludf.DUMMYFUNCTION("""COMPUTED_VALUE"""),"Fled/Apprehended")</f>
        <v>Fled/Apprehended</v>
      </c>
      <c r="F695" s="8" t="str">
        <f ca="1">IFERROR(__xludf.DUMMYFUNCTION("""COMPUTED_VALUE"""),"No")</f>
        <v>No</v>
      </c>
      <c r="G695" s="8" t="str">
        <f ca="1">IFERROR(__xludf.DUMMYFUNCTION("""COMPUTED_VALUE"""),"None")</f>
        <v>None</v>
      </c>
    </row>
    <row r="696" spans="1:7" ht="12.75">
      <c r="A696" s="8" t="str">
        <f ca="1">IFERROR(__xludf.DUMMYFUNCTION("""COMPUTED_VALUE"""),"20200330GANAS")</f>
        <v>20200330GANAS</v>
      </c>
      <c r="B696" s="8"/>
      <c r="C696" s="8"/>
      <c r="D696" s="8" t="str">
        <f ca="1">IFERROR(__xludf.DUMMYFUNCTION("""COMPUTED_VALUE"""),"No Relation")</f>
        <v>No Relation</v>
      </c>
      <c r="E696" s="8" t="str">
        <f ca="1">IFERROR(__xludf.DUMMYFUNCTION("""COMPUTED_VALUE"""),"Fled/Apprehended")</f>
        <v>Fled/Apprehended</v>
      </c>
      <c r="F696" s="8" t="str">
        <f ca="1">IFERROR(__xludf.DUMMYFUNCTION("""COMPUTED_VALUE"""),"No")</f>
        <v>No</v>
      </c>
      <c r="G696" s="8" t="str">
        <f ca="1">IFERROR(__xludf.DUMMYFUNCTION("""COMPUTED_VALUE"""),"None")</f>
        <v>None</v>
      </c>
    </row>
    <row r="697" spans="1:7" ht="12.75">
      <c r="A697" s="8" t="str">
        <f ca="1">IFERROR(__xludf.DUMMYFUNCTION("""COMPUTED_VALUE"""),"20200324LAROM")</f>
        <v>20200324LAROM</v>
      </c>
      <c r="B697" s="8" t="str">
        <f ca="1">IFERROR(__xludf.DUMMYFUNCTION("""COMPUTED_VALUE"""),"Adult")</f>
        <v>Adult</v>
      </c>
      <c r="C697" s="8" t="str">
        <f ca="1">IFERROR(__xludf.DUMMYFUNCTION("""COMPUTED_VALUE"""),"Male")</f>
        <v>Male</v>
      </c>
      <c r="D697" s="8" t="str">
        <f ca="1">IFERROR(__xludf.DUMMYFUNCTION("""COMPUTED_VALUE"""),"No Relation")</f>
        <v>No Relation</v>
      </c>
      <c r="E697" s="8" t="str">
        <f ca="1">IFERROR(__xludf.DUMMYFUNCTION("""COMPUTED_VALUE"""),"Fled/Apprehended")</f>
        <v>Fled/Apprehended</v>
      </c>
      <c r="F697" s="8" t="str">
        <f ca="1">IFERROR(__xludf.DUMMYFUNCTION("""COMPUTED_VALUE"""),"No")</f>
        <v>No</v>
      </c>
      <c r="G697" s="8" t="str">
        <f ca="1">IFERROR(__xludf.DUMMYFUNCTION("""COMPUTED_VALUE"""),"None")</f>
        <v>None</v>
      </c>
    </row>
    <row r="698" spans="1:7" ht="12.75">
      <c r="A698" s="8" t="str">
        <f ca="1">IFERROR(__xludf.DUMMYFUNCTION("""COMPUTED_VALUE"""),"20200324LAROM")</f>
        <v>20200324LAROM</v>
      </c>
      <c r="B698" s="8">
        <f ca="1">IFERROR(__xludf.DUMMYFUNCTION("""COMPUTED_VALUE"""),26)</f>
        <v>26</v>
      </c>
      <c r="C698" s="8" t="str">
        <f ca="1">IFERROR(__xludf.DUMMYFUNCTION("""COMPUTED_VALUE"""),"Male")</f>
        <v>Male</v>
      </c>
      <c r="D698" s="8" t="str">
        <f ca="1">IFERROR(__xludf.DUMMYFUNCTION("""COMPUTED_VALUE"""),"No Relation")</f>
        <v>No Relation</v>
      </c>
      <c r="E698" s="8" t="str">
        <f ca="1">IFERROR(__xludf.DUMMYFUNCTION("""COMPUTED_VALUE"""),"Fled/Apprehended")</f>
        <v>Fled/Apprehended</v>
      </c>
      <c r="F698" s="8" t="str">
        <f ca="1">IFERROR(__xludf.DUMMYFUNCTION("""COMPUTED_VALUE"""),"No")</f>
        <v>No</v>
      </c>
      <c r="G698" s="8" t="str">
        <f ca="1">IFERROR(__xludf.DUMMYFUNCTION("""COMPUTED_VALUE"""),"None")</f>
        <v>None</v>
      </c>
    </row>
    <row r="699" spans="1:7" ht="12.75">
      <c r="A699" s="8" t="str">
        <f ca="1">IFERROR(__xludf.DUMMYFUNCTION("""COMPUTED_VALUE"""),"20200324LAROM")</f>
        <v>20200324LAROM</v>
      </c>
      <c r="B699" s="8" t="str">
        <f ca="1">IFERROR(__xludf.DUMMYFUNCTION("""COMPUTED_VALUE"""),"Adult")</f>
        <v>Adult</v>
      </c>
      <c r="C699" s="8" t="str">
        <f ca="1">IFERROR(__xludf.DUMMYFUNCTION("""COMPUTED_VALUE"""),"Male")</f>
        <v>Male</v>
      </c>
      <c r="D699" s="8" t="str">
        <f ca="1">IFERROR(__xludf.DUMMYFUNCTION("""COMPUTED_VALUE"""),"No Relation")</f>
        <v>No Relation</v>
      </c>
      <c r="E699" s="8" t="str">
        <f ca="1">IFERROR(__xludf.DUMMYFUNCTION("""COMPUTED_VALUE"""),"Fled/Apprehended")</f>
        <v>Fled/Apprehended</v>
      </c>
      <c r="F699" s="8" t="str">
        <f ca="1">IFERROR(__xludf.DUMMYFUNCTION("""COMPUTED_VALUE"""),"No")</f>
        <v>No</v>
      </c>
      <c r="G699" s="8" t="str">
        <f ca="1">IFERROR(__xludf.DUMMYFUNCTION("""COMPUTED_VALUE"""),"None")</f>
        <v>None</v>
      </c>
    </row>
    <row r="700" spans="1:7" ht="12.75">
      <c r="A700" s="8" t="str">
        <f ca="1">IFERROR(__xludf.DUMMYFUNCTION("""COMPUTED_VALUE"""),"20200318LABOS")</f>
        <v>20200318LABOS</v>
      </c>
      <c r="B700" s="8" t="str">
        <f ca="1">IFERROR(__xludf.DUMMYFUNCTION("""COMPUTED_VALUE"""),"Teen")</f>
        <v>Teen</v>
      </c>
      <c r="C700" s="8" t="str">
        <f ca="1">IFERROR(__xludf.DUMMYFUNCTION("""COMPUTED_VALUE"""),"Male")</f>
        <v>Male</v>
      </c>
      <c r="D700" s="8" t="str">
        <f ca="1">IFERROR(__xludf.DUMMYFUNCTION("""COMPUTED_VALUE"""),"Unknown")</f>
        <v>Unknown</v>
      </c>
      <c r="E700" s="8" t="str">
        <f ca="1">IFERROR(__xludf.DUMMYFUNCTION("""COMPUTED_VALUE"""),"Fled/Escaped")</f>
        <v>Fled/Escaped</v>
      </c>
      <c r="F700" s="8" t="str">
        <f ca="1">IFERROR(__xludf.DUMMYFUNCTION("""COMPUTED_VALUE"""),"No")</f>
        <v>No</v>
      </c>
      <c r="G700" s="8" t="str">
        <f ca="1">IFERROR(__xludf.DUMMYFUNCTION("""COMPUTED_VALUE"""),"None")</f>
        <v>None</v>
      </c>
    </row>
    <row r="701" spans="1:7" ht="12.75">
      <c r="A701" s="8" t="str">
        <f ca="1">IFERROR(__xludf.DUMMYFUNCTION("""COMPUTED_VALUE"""),"20200315TXATH")</f>
        <v>20200315TXATH</v>
      </c>
      <c r="B701" s="8">
        <f ca="1">IFERROR(__xludf.DUMMYFUNCTION("""COMPUTED_VALUE"""),20)</f>
        <v>20</v>
      </c>
      <c r="C701" s="8" t="str">
        <f ca="1">IFERROR(__xludf.DUMMYFUNCTION("""COMPUTED_VALUE"""),"Male")</f>
        <v>Male</v>
      </c>
      <c r="D701" s="8" t="str">
        <f ca="1">IFERROR(__xludf.DUMMYFUNCTION("""COMPUTED_VALUE"""),"Former Student")</f>
        <v>Former Student</v>
      </c>
      <c r="E701" s="8" t="str">
        <f ca="1">IFERROR(__xludf.DUMMYFUNCTION("""COMPUTED_VALUE"""),"Fled/Apprehended")</f>
        <v>Fled/Apprehended</v>
      </c>
      <c r="F701" s="8" t="str">
        <f ca="1">IFERROR(__xludf.DUMMYFUNCTION("""COMPUTED_VALUE"""),"No")</f>
        <v>No</v>
      </c>
      <c r="G701" s="8" t="str">
        <f ca="1">IFERROR(__xludf.DUMMYFUNCTION("""COMPUTED_VALUE"""),"None")</f>
        <v>None</v>
      </c>
    </row>
    <row r="702" spans="1:7" ht="12.75">
      <c r="A702" s="8" t="str">
        <f ca="1">IFERROR(__xludf.DUMMYFUNCTION("""COMPUTED_VALUE"""),"20200313TNPIR")</f>
        <v>20200313TNPIR</v>
      </c>
      <c r="B702" s="8" t="str">
        <f ca="1">IFERROR(__xludf.DUMMYFUNCTION("""COMPUTED_VALUE"""),"Adult")</f>
        <v>Adult</v>
      </c>
      <c r="C702" s="8" t="str">
        <f ca="1">IFERROR(__xludf.DUMMYFUNCTION("""COMPUTED_VALUE"""),"Male")</f>
        <v>Male</v>
      </c>
      <c r="D702" s="8" t="str">
        <f ca="1">IFERROR(__xludf.DUMMYFUNCTION("""COMPUTED_VALUE"""),"Police Officer/SRO")</f>
        <v>Police Officer/SRO</v>
      </c>
      <c r="E702" s="8" t="str">
        <f ca="1">IFERROR(__xludf.DUMMYFUNCTION("""COMPUTED_VALUE"""),"Law Enforcement")</f>
        <v>Law Enforcement</v>
      </c>
      <c r="F702" s="8" t="str">
        <f ca="1">IFERROR(__xludf.DUMMYFUNCTION("""COMPUTED_VALUE"""),"No")</f>
        <v>No</v>
      </c>
      <c r="G702" s="8" t="str">
        <f ca="1">IFERROR(__xludf.DUMMYFUNCTION("""COMPUTED_VALUE"""),"None")</f>
        <v>None</v>
      </c>
    </row>
    <row r="703" spans="1:7" ht="12.75">
      <c r="A703" s="8" t="str">
        <f ca="1">IFERROR(__xludf.DUMMYFUNCTION("""COMPUTED_VALUE"""),"20200310PASHN")</f>
        <v>20200310PASHN</v>
      </c>
      <c r="B703" s="8">
        <f ca="1">IFERROR(__xludf.DUMMYFUNCTION("""COMPUTED_VALUE"""),41)</f>
        <v>41</v>
      </c>
      <c r="C703" s="8" t="str">
        <f ca="1">IFERROR(__xludf.DUMMYFUNCTION("""COMPUTED_VALUE"""),"Male")</f>
        <v>Male</v>
      </c>
      <c r="D703" s="8" t="str">
        <f ca="1">IFERROR(__xludf.DUMMYFUNCTION("""COMPUTED_VALUE"""),"Unknown")</f>
        <v>Unknown</v>
      </c>
      <c r="E703" s="8" t="str">
        <f ca="1">IFERROR(__xludf.DUMMYFUNCTION("""COMPUTED_VALUE"""),"Fled/Apprehended")</f>
        <v>Fled/Apprehended</v>
      </c>
      <c r="F703" s="8" t="str">
        <f ca="1">IFERROR(__xludf.DUMMYFUNCTION("""COMPUTED_VALUE"""),"No")</f>
        <v>No</v>
      </c>
      <c r="G703" s="8" t="str">
        <f ca="1">IFERROR(__xludf.DUMMYFUNCTION("""COMPUTED_VALUE"""),"None")</f>
        <v>None</v>
      </c>
    </row>
    <row r="704" spans="1:7" ht="12.75">
      <c r="A704" s="8" t="str">
        <f ca="1">IFERROR(__xludf.DUMMYFUNCTION("""COMPUTED_VALUE"""),"20200305FLSAW")</f>
        <v>20200305FLSAW</v>
      </c>
      <c r="B704" s="8">
        <f ca="1">IFERROR(__xludf.DUMMYFUNCTION("""COMPUTED_VALUE"""),55)</f>
        <v>55</v>
      </c>
      <c r="C704" s="8" t="str">
        <f ca="1">IFERROR(__xludf.DUMMYFUNCTION("""COMPUTED_VALUE"""),"Male")</f>
        <v>Male</v>
      </c>
      <c r="D704" s="8" t="str">
        <f ca="1">IFERROR(__xludf.DUMMYFUNCTION("""COMPUTED_VALUE"""),"Security Guard")</f>
        <v>Security Guard</v>
      </c>
      <c r="E704" s="8" t="str">
        <f ca="1">IFERROR(__xludf.DUMMYFUNCTION("""COMPUTED_VALUE"""),"Fled/Apprehended")</f>
        <v>Fled/Apprehended</v>
      </c>
      <c r="F704" s="8" t="str">
        <f ca="1">IFERROR(__xludf.DUMMYFUNCTION("""COMPUTED_VALUE"""),"No")</f>
        <v>No</v>
      </c>
      <c r="G704" s="8" t="str">
        <f ca="1">IFERROR(__xludf.DUMMYFUNCTION("""COMPUTED_VALUE"""),"None")</f>
        <v>None</v>
      </c>
    </row>
    <row r="705" spans="1:7" ht="12.75">
      <c r="A705" s="8" t="str">
        <f ca="1">IFERROR(__xludf.DUMMYFUNCTION("""COMPUTED_VALUE"""),"20200302TXNOF")</f>
        <v>20200302TXNOF</v>
      </c>
      <c r="B705" s="8" t="str">
        <f ca="1">IFERROR(__xludf.DUMMYFUNCTION("""COMPUTED_VALUE"""),"Teen")</f>
        <v>Teen</v>
      </c>
      <c r="C705" s="8" t="str">
        <f ca="1">IFERROR(__xludf.DUMMYFUNCTION("""COMPUTED_VALUE"""),"Male")</f>
        <v>Male</v>
      </c>
      <c r="D705" s="8" t="str">
        <f ca="1">IFERROR(__xludf.DUMMYFUNCTION("""COMPUTED_VALUE"""),"Student")</f>
        <v>Student</v>
      </c>
      <c r="E705" s="8" t="str">
        <f ca="1">IFERROR(__xludf.DUMMYFUNCTION("""COMPUTED_VALUE"""),"Apprehended/Killed by LE")</f>
        <v>Apprehended/Killed by LE</v>
      </c>
      <c r="F705" s="8" t="str">
        <f ca="1">IFERROR(__xludf.DUMMYFUNCTION("""COMPUTED_VALUE"""),"No")</f>
        <v>No</v>
      </c>
      <c r="G705" s="8" t="str">
        <f ca="1">IFERROR(__xludf.DUMMYFUNCTION("""COMPUTED_VALUE"""),"None")</f>
        <v>None</v>
      </c>
    </row>
    <row r="706" spans="1:7" ht="12.75">
      <c r="A706" s="8" t="str">
        <f ca="1">IFERROR(__xludf.DUMMYFUNCTION("""COMPUTED_VALUE"""),"20200221NMCEA")</f>
        <v>20200221NMCEA</v>
      </c>
      <c r="B706" s="8"/>
      <c r="C706" s="8"/>
      <c r="D706" s="8" t="str">
        <f ca="1">IFERROR(__xludf.DUMMYFUNCTION("""COMPUTED_VALUE"""),"Unknown")</f>
        <v>Unknown</v>
      </c>
      <c r="E706" s="8" t="str">
        <f ca="1">IFERROR(__xludf.DUMMYFUNCTION("""COMPUTED_VALUE"""),"Fled/Escaped")</f>
        <v>Fled/Escaped</v>
      </c>
      <c r="F706" s="8" t="str">
        <f ca="1">IFERROR(__xludf.DUMMYFUNCTION("""COMPUTED_VALUE"""),"No")</f>
        <v>No</v>
      </c>
      <c r="G706" s="8" t="str">
        <f ca="1">IFERROR(__xludf.DUMMYFUNCTION("""COMPUTED_VALUE"""),"None")</f>
        <v>None</v>
      </c>
    </row>
    <row r="707" spans="1:7" ht="12.75">
      <c r="A707" s="8" t="str">
        <f ca="1">IFERROR(__xludf.DUMMYFUNCTION("""COMPUTED_VALUE"""),"20200215DCDUW")</f>
        <v>20200215DCDUW</v>
      </c>
      <c r="B707" s="8"/>
      <c r="C707" s="8"/>
      <c r="D707" s="8" t="str">
        <f ca="1">IFERROR(__xludf.DUMMYFUNCTION("""COMPUTED_VALUE"""),"Unknown")</f>
        <v>Unknown</v>
      </c>
      <c r="E707" s="8" t="str">
        <f ca="1">IFERROR(__xludf.DUMMYFUNCTION("""COMPUTED_VALUE"""),"Fled/Escaped")</f>
        <v>Fled/Escaped</v>
      </c>
      <c r="F707" s="8" t="str">
        <f ca="1">IFERROR(__xludf.DUMMYFUNCTION("""COMPUTED_VALUE"""),"No")</f>
        <v>No</v>
      </c>
      <c r="G707" s="8" t="str">
        <f ca="1">IFERROR(__xludf.DUMMYFUNCTION("""COMPUTED_VALUE"""),"None")</f>
        <v>None</v>
      </c>
    </row>
    <row r="708" spans="1:7" ht="12.75">
      <c r="A708" s="8" t="str">
        <f ca="1">IFERROR(__xludf.DUMMYFUNCTION("""COMPUTED_VALUE"""),"20200212MOJOF")</f>
        <v>20200212MOJOF</v>
      </c>
      <c r="B708" s="8" t="str">
        <f ca="1">IFERROR(__xludf.DUMMYFUNCTION("""COMPUTED_VALUE"""),"Adult")</f>
        <v>Adult</v>
      </c>
      <c r="C708" s="8" t="str">
        <f ca="1">IFERROR(__xludf.DUMMYFUNCTION("""COMPUTED_VALUE"""),"Male")</f>
        <v>Male</v>
      </c>
      <c r="D708" s="8" t="str">
        <f ca="1">IFERROR(__xludf.DUMMYFUNCTION("""COMPUTED_VALUE"""),"Parent")</f>
        <v>Parent</v>
      </c>
      <c r="E708" s="8" t="str">
        <f ca="1">IFERROR(__xludf.DUMMYFUNCTION("""COMPUTED_VALUE"""),"Fled/Escaped")</f>
        <v>Fled/Escaped</v>
      </c>
      <c r="F708" s="8" t="str">
        <f ca="1">IFERROR(__xludf.DUMMYFUNCTION("""COMPUTED_VALUE"""),"No")</f>
        <v>No</v>
      </c>
      <c r="G708" s="8" t="str">
        <f ca="1">IFERROR(__xludf.DUMMYFUNCTION("""COMPUTED_VALUE"""),"None")</f>
        <v>None</v>
      </c>
    </row>
    <row r="709" spans="1:7" ht="12.75">
      <c r="A709" s="8" t="str">
        <f ca="1">IFERROR(__xludf.DUMMYFUNCTION("""COMPUTED_VALUE"""),"20200205NHSEC")</f>
        <v>20200205NHSEC</v>
      </c>
      <c r="B709" s="8">
        <f ca="1">IFERROR(__xludf.DUMMYFUNCTION("""COMPUTED_VALUE"""),17)</f>
        <v>17</v>
      </c>
      <c r="C709" s="8" t="str">
        <f ca="1">IFERROR(__xludf.DUMMYFUNCTION("""COMPUTED_VALUE"""),"Male")</f>
        <v>Male</v>
      </c>
      <c r="D709" s="8" t="str">
        <f ca="1">IFERROR(__xludf.DUMMYFUNCTION("""COMPUTED_VALUE"""),"Student")</f>
        <v>Student</v>
      </c>
      <c r="E709" s="8" t="str">
        <f ca="1">IFERROR(__xludf.DUMMYFUNCTION("""COMPUTED_VALUE"""),"Suicide")</f>
        <v>Suicide</v>
      </c>
      <c r="F709" s="8" t="str">
        <f ca="1">IFERROR(__xludf.DUMMYFUNCTION("""COMPUTED_VALUE"""),"Yes")</f>
        <v>Yes</v>
      </c>
      <c r="G709" s="8" t="str">
        <f ca="1">IFERROR(__xludf.DUMMYFUNCTION("""COMPUTED_VALUE"""),"Suicide")</f>
        <v>Suicide</v>
      </c>
    </row>
    <row r="710" spans="1:7" ht="12.75">
      <c r="A710" s="8" t="str">
        <f ca="1">IFERROR(__xludf.DUMMYFUNCTION("""COMPUTED_VALUE"""),"20200204LABEA")</f>
        <v>20200204LABEA</v>
      </c>
      <c r="B710" s="8">
        <f ca="1">IFERROR(__xludf.DUMMYFUNCTION("""COMPUTED_VALUE"""),17)</f>
        <v>17</v>
      </c>
      <c r="C710" s="8" t="str">
        <f ca="1">IFERROR(__xludf.DUMMYFUNCTION("""COMPUTED_VALUE"""),"Male")</f>
        <v>Male</v>
      </c>
      <c r="D710" s="8" t="str">
        <f ca="1">IFERROR(__xludf.DUMMYFUNCTION("""COMPUTED_VALUE"""),"Nonstudent Using Athletic Facilities/Attending Game")</f>
        <v>Nonstudent Using Athletic Facilities/Attending Game</v>
      </c>
      <c r="E710" s="8" t="str">
        <f ca="1">IFERROR(__xludf.DUMMYFUNCTION("""COMPUTED_VALUE"""),"Apprehended/Killed by SRO")</f>
        <v>Apprehended/Killed by SRO</v>
      </c>
      <c r="F710" s="8" t="str">
        <f ca="1">IFERROR(__xludf.DUMMYFUNCTION("""COMPUTED_VALUE"""),"No")</f>
        <v>No</v>
      </c>
      <c r="G710" s="8" t="str">
        <f ca="1">IFERROR(__xludf.DUMMYFUNCTION("""COMPUTED_VALUE"""),"None")</f>
        <v>None</v>
      </c>
    </row>
    <row r="711" spans="1:7" ht="12.75">
      <c r="A711" s="8" t="str">
        <f ca="1">IFERROR(__xludf.DUMMYFUNCTION("""COMPUTED_VALUE"""),"20200203FLGEJ")</f>
        <v>20200203FLGEJ</v>
      </c>
      <c r="B711" s="8"/>
      <c r="C711" s="8"/>
      <c r="D711" s="8" t="str">
        <f ca="1">IFERROR(__xludf.DUMMYFUNCTION("""COMPUTED_VALUE"""),"No Relation")</f>
        <v>No Relation</v>
      </c>
      <c r="E711" s="8" t="str">
        <f ca="1">IFERROR(__xludf.DUMMYFUNCTION("""COMPUTED_VALUE"""),"Fled/Escaped")</f>
        <v>Fled/Escaped</v>
      </c>
      <c r="F711" s="8" t="str">
        <f ca="1">IFERROR(__xludf.DUMMYFUNCTION("""COMPUTED_VALUE"""),"No")</f>
        <v>No</v>
      </c>
      <c r="G711" s="8" t="str">
        <f ca="1">IFERROR(__xludf.DUMMYFUNCTION("""COMPUTED_VALUE"""),"None")</f>
        <v>None</v>
      </c>
    </row>
    <row r="712" spans="1:7" ht="12.75">
      <c r="A712" s="8" t="str">
        <f ca="1">IFERROR(__xludf.DUMMYFUNCTION("""COMPUTED_VALUE"""),"20200201TXHIH")</f>
        <v>20200201TXHIH</v>
      </c>
      <c r="B712" s="8" t="str">
        <f ca="1">IFERROR(__xludf.DUMMYFUNCTION("""COMPUTED_VALUE"""),"Adult")</f>
        <v>Adult</v>
      </c>
      <c r="C712" s="8" t="str">
        <f ca="1">IFERROR(__xludf.DUMMYFUNCTION("""COMPUTED_VALUE"""),"Male")</f>
        <v>Male</v>
      </c>
      <c r="D712" s="8" t="str">
        <f ca="1">IFERROR(__xludf.DUMMYFUNCTION("""COMPUTED_VALUE"""),"No Relation")</f>
        <v>No Relation</v>
      </c>
      <c r="E712" s="8" t="str">
        <f ca="1">IFERROR(__xludf.DUMMYFUNCTION("""COMPUTED_VALUE"""),"Fled/Escaped")</f>
        <v>Fled/Escaped</v>
      </c>
      <c r="F712" s="8" t="str">
        <f ca="1">IFERROR(__xludf.DUMMYFUNCTION("""COMPUTED_VALUE"""),"No")</f>
        <v>No</v>
      </c>
      <c r="G712" s="8" t="str">
        <f ca="1">IFERROR(__xludf.DUMMYFUNCTION("""COMPUTED_VALUE"""),"None")</f>
        <v>None</v>
      </c>
    </row>
    <row r="713" spans="1:7" ht="12.75">
      <c r="A713" s="8" t="str">
        <f ca="1">IFERROR(__xludf.DUMMYFUNCTION("""COMPUTED_VALUE"""),"20200131CADEA")</f>
        <v>20200131CADEA</v>
      </c>
      <c r="B713" s="8">
        <f ca="1">IFERROR(__xludf.DUMMYFUNCTION("""COMPUTED_VALUE"""),15)</f>
        <v>15</v>
      </c>
      <c r="C713" s="8" t="str">
        <f ca="1">IFERROR(__xludf.DUMMYFUNCTION("""COMPUTED_VALUE"""),"Male")</f>
        <v>Male</v>
      </c>
      <c r="D713" s="8" t="str">
        <f ca="1">IFERROR(__xludf.DUMMYFUNCTION("""COMPUTED_VALUE"""),"Unknown")</f>
        <v>Unknown</v>
      </c>
      <c r="E713" s="8" t="str">
        <f ca="1">IFERROR(__xludf.DUMMYFUNCTION("""COMPUTED_VALUE"""),"Fled/Apprehended")</f>
        <v>Fled/Apprehended</v>
      </c>
      <c r="F713" s="8" t="str">
        <f ca="1">IFERROR(__xludf.DUMMYFUNCTION("""COMPUTED_VALUE"""),"No")</f>
        <v>No</v>
      </c>
      <c r="G713" s="8" t="str">
        <f ca="1">IFERROR(__xludf.DUMMYFUNCTION("""COMPUTED_VALUE"""),"None")</f>
        <v>None</v>
      </c>
    </row>
    <row r="714" spans="1:7" ht="12.75">
      <c r="A714" s="8" t="str">
        <f ca="1">IFERROR(__xludf.DUMMYFUNCTION("""COMPUTED_VALUE"""),"20200128TXLUL")</f>
        <v>20200128TXLUL</v>
      </c>
      <c r="B714" s="8">
        <f ca="1">IFERROR(__xludf.DUMMYFUNCTION("""COMPUTED_VALUE"""),17)</f>
        <v>17</v>
      </c>
      <c r="C714" s="8" t="str">
        <f ca="1">IFERROR(__xludf.DUMMYFUNCTION("""COMPUTED_VALUE"""),"Male")</f>
        <v>Male</v>
      </c>
      <c r="D714" s="8" t="str">
        <f ca="1">IFERROR(__xludf.DUMMYFUNCTION("""COMPUTED_VALUE"""),"No Relation")</f>
        <v>No Relation</v>
      </c>
      <c r="E714" s="8" t="str">
        <f ca="1">IFERROR(__xludf.DUMMYFUNCTION("""COMPUTED_VALUE"""),"Fled/Apprehended")</f>
        <v>Fled/Apprehended</v>
      </c>
      <c r="F714" s="8" t="str">
        <f ca="1">IFERROR(__xludf.DUMMYFUNCTION("""COMPUTED_VALUE"""),"No")</f>
        <v>No</v>
      </c>
      <c r="G714" s="8" t="str">
        <f ca="1">IFERROR(__xludf.DUMMYFUNCTION("""COMPUTED_VALUE"""),"None")</f>
        <v>None</v>
      </c>
    </row>
    <row r="715" spans="1:7" ht="12.75">
      <c r="A715" s="8" t="str">
        <f ca="1">IFERROR(__xludf.DUMMYFUNCTION("""COMPUTED_VALUE"""),"20200128TNWHM")</f>
        <v>20200128TNWHM</v>
      </c>
      <c r="B715" s="8">
        <f ca="1">IFERROR(__xludf.DUMMYFUNCTION("""COMPUTED_VALUE"""),18)</f>
        <v>18</v>
      </c>
      <c r="C715" s="8" t="str">
        <f ca="1">IFERROR(__xludf.DUMMYFUNCTION("""COMPUTED_VALUE"""),"Male")</f>
        <v>Male</v>
      </c>
      <c r="D715" s="8" t="str">
        <f ca="1">IFERROR(__xludf.DUMMYFUNCTION("""COMPUTED_VALUE"""),"Unknown")</f>
        <v>Unknown</v>
      </c>
      <c r="E715" s="8" t="str">
        <f ca="1">IFERROR(__xludf.DUMMYFUNCTION("""COMPUTED_VALUE"""),"Fled/Escaped")</f>
        <v>Fled/Escaped</v>
      </c>
      <c r="F715" s="8" t="str">
        <f ca="1">IFERROR(__xludf.DUMMYFUNCTION("""COMPUTED_VALUE"""),"No")</f>
        <v>No</v>
      </c>
      <c r="G715" s="8" t="str">
        <f ca="1">IFERROR(__xludf.DUMMYFUNCTION("""COMPUTED_VALUE"""),"None")</f>
        <v>None</v>
      </c>
    </row>
    <row r="716" spans="1:7" ht="12.75">
      <c r="A716" s="8" t="str">
        <f ca="1">IFERROR(__xludf.DUMMYFUNCTION("""COMPUTED_VALUE"""),"20200128NYMAQ")</f>
        <v>20200128NYMAQ</v>
      </c>
      <c r="B716" s="8">
        <f ca="1">IFERROR(__xludf.DUMMYFUNCTION("""COMPUTED_VALUE"""),16)</f>
        <v>16</v>
      </c>
      <c r="C716" s="8" t="str">
        <f ca="1">IFERROR(__xludf.DUMMYFUNCTION("""COMPUTED_VALUE"""),"Male")</f>
        <v>Male</v>
      </c>
      <c r="D716" s="8" t="str">
        <f ca="1">IFERROR(__xludf.DUMMYFUNCTION("""COMPUTED_VALUE"""),"Student")</f>
        <v>Student</v>
      </c>
      <c r="E716" s="8" t="str">
        <f ca="1">IFERROR(__xludf.DUMMYFUNCTION("""COMPUTED_VALUE"""),"Surrendered")</f>
        <v>Surrendered</v>
      </c>
      <c r="F716" s="8" t="str">
        <f ca="1">IFERROR(__xludf.DUMMYFUNCTION("""COMPUTED_VALUE"""),"No")</f>
        <v>No</v>
      </c>
      <c r="G716" s="8" t="str">
        <f ca="1">IFERROR(__xludf.DUMMYFUNCTION("""COMPUTED_VALUE"""),"Wounded")</f>
        <v>Wounded</v>
      </c>
    </row>
    <row r="717" spans="1:7" ht="12.75">
      <c r="A717" s="8" t="str">
        <f ca="1">IFERROR(__xludf.DUMMYFUNCTION("""COMPUTED_VALUE"""),"20200127WAROY")</f>
        <v>20200127WAROY</v>
      </c>
      <c r="B717" s="8">
        <f ca="1">IFERROR(__xludf.DUMMYFUNCTION("""COMPUTED_VALUE"""),18)</f>
        <v>18</v>
      </c>
      <c r="C717" s="8" t="str">
        <f ca="1">IFERROR(__xludf.DUMMYFUNCTION("""COMPUTED_VALUE"""),"Male")</f>
        <v>Male</v>
      </c>
      <c r="D717" s="8" t="str">
        <f ca="1">IFERROR(__xludf.DUMMYFUNCTION("""COMPUTED_VALUE"""),"No Relation")</f>
        <v>No Relation</v>
      </c>
      <c r="E717" s="8" t="str">
        <f ca="1">IFERROR(__xludf.DUMMYFUNCTION("""COMPUTED_VALUE"""),"Fled/Apprehended")</f>
        <v>Fled/Apprehended</v>
      </c>
      <c r="F717" s="8" t="str">
        <f ca="1">IFERROR(__xludf.DUMMYFUNCTION("""COMPUTED_VALUE"""),"No")</f>
        <v>No</v>
      </c>
      <c r="G717" s="8" t="str">
        <f ca="1">IFERROR(__xludf.DUMMYFUNCTION("""COMPUTED_VALUE"""),"None")</f>
        <v>None</v>
      </c>
    </row>
    <row r="718" spans="1:7" ht="12.75">
      <c r="A718" s="8" t="str">
        <f ca="1">IFERROR(__xludf.DUMMYFUNCTION("""COMPUTED_VALUE"""),"20200123CAOXO")</f>
        <v>20200123CAOXO</v>
      </c>
      <c r="B718" s="8"/>
      <c r="C718" s="8"/>
      <c r="D718" s="8" t="str">
        <f ca="1">IFERROR(__xludf.DUMMYFUNCTION("""COMPUTED_VALUE"""),"No Relation")</f>
        <v>No Relation</v>
      </c>
      <c r="E718" s="8" t="str">
        <f ca="1">IFERROR(__xludf.DUMMYFUNCTION("""COMPUTED_VALUE"""),"Fled/Escaped")</f>
        <v>Fled/Escaped</v>
      </c>
      <c r="F718" s="8" t="str">
        <f ca="1">IFERROR(__xludf.DUMMYFUNCTION("""COMPUTED_VALUE"""),"No")</f>
        <v>No</v>
      </c>
      <c r="G718" s="8" t="str">
        <f ca="1">IFERROR(__xludf.DUMMYFUNCTION("""COMPUTED_VALUE"""),"None")</f>
        <v>None</v>
      </c>
    </row>
    <row r="719" spans="1:7" ht="12.75">
      <c r="A719" s="8" t="str">
        <f ca="1">IFERROR(__xludf.DUMMYFUNCTION("""COMPUTED_VALUE"""),"20200121NEPAL")</f>
        <v>20200121NEPAL</v>
      </c>
      <c r="B719" s="8"/>
      <c r="C719" s="8"/>
      <c r="D719" s="8" t="str">
        <f ca="1">IFERROR(__xludf.DUMMYFUNCTION("""COMPUTED_VALUE"""),"Unknown")</f>
        <v>Unknown</v>
      </c>
      <c r="E719" s="8" t="str">
        <f ca="1">IFERROR(__xludf.DUMMYFUNCTION("""COMPUTED_VALUE"""),"Fled/Escaped")</f>
        <v>Fled/Escaped</v>
      </c>
      <c r="F719" s="8" t="str">
        <f ca="1">IFERROR(__xludf.DUMMYFUNCTION("""COMPUTED_VALUE"""),"No")</f>
        <v>No</v>
      </c>
      <c r="G719" s="8" t="str">
        <f ca="1">IFERROR(__xludf.DUMMYFUNCTION("""COMPUTED_VALUE"""),"None")</f>
        <v>None</v>
      </c>
    </row>
    <row r="720" spans="1:7" ht="12.75">
      <c r="A720" s="8" t="str">
        <f ca="1">IFERROR(__xludf.DUMMYFUNCTION("""COMPUTED_VALUE"""),"20200121ILLIC")</f>
        <v>20200121ILLIC</v>
      </c>
      <c r="B720" s="8"/>
      <c r="C720" s="8" t="str">
        <f ca="1">IFERROR(__xludf.DUMMYFUNCTION("""COMPUTED_VALUE"""),"Male")</f>
        <v>Male</v>
      </c>
      <c r="D720" s="8" t="str">
        <f ca="1">IFERROR(__xludf.DUMMYFUNCTION("""COMPUTED_VALUE"""),"Unknown")</f>
        <v>Unknown</v>
      </c>
      <c r="E720" s="8" t="str">
        <f ca="1">IFERROR(__xludf.DUMMYFUNCTION("""COMPUTED_VALUE"""),"Fled/Escaped")</f>
        <v>Fled/Escaped</v>
      </c>
      <c r="F720" s="8" t="str">
        <f ca="1">IFERROR(__xludf.DUMMYFUNCTION("""COMPUTED_VALUE"""),"No")</f>
        <v>No</v>
      </c>
      <c r="G720" s="8" t="str">
        <f ca="1">IFERROR(__xludf.DUMMYFUNCTION("""COMPUTED_VALUE"""),"None")</f>
        <v>None</v>
      </c>
    </row>
    <row r="721" spans="1:7" ht="12.75">
      <c r="A721" s="8" t="str">
        <f ca="1">IFERROR(__xludf.DUMMYFUNCTION("""COMPUTED_VALUE"""),"20200119TXNOF")</f>
        <v>20200119TXNOF</v>
      </c>
      <c r="B721" s="8" t="str">
        <f ca="1">IFERROR(__xludf.DUMMYFUNCTION("""COMPUTED_VALUE"""),"Adult")</f>
        <v>Adult</v>
      </c>
      <c r="C721" s="8" t="str">
        <f ca="1">IFERROR(__xludf.DUMMYFUNCTION("""COMPUTED_VALUE"""),"Male")</f>
        <v>Male</v>
      </c>
      <c r="D721" s="8" t="str">
        <f ca="1">IFERROR(__xludf.DUMMYFUNCTION("""COMPUTED_VALUE"""),"No Relation")</f>
        <v>No Relation</v>
      </c>
      <c r="E721" s="8" t="str">
        <f ca="1">IFERROR(__xludf.DUMMYFUNCTION("""COMPUTED_VALUE"""),"Fled/Escaped")</f>
        <v>Fled/Escaped</v>
      </c>
      <c r="F721" s="8" t="str">
        <f ca="1">IFERROR(__xludf.DUMMYFUNCTION("""COMPUTED_VALUE"""),"No")</f>
        <v>No</v>
      </c>
      <c r="G721" s="8" t="str">
        <f ca="1">IFERROR(__xludf.DUMMYFUNCTION("""COMPUTED_VALUE"""),"None")</f>
        <v>None</v>
      </c>
    </row>
    <row r="722" spans="1:7" ht="12.75">
      <c r="A722" s="8" t="str">
        <f ca="1">IFERROR(__xludf.DUMMYFUNCTION("""COMPUTED_VALUE"""),"20200119TXNOF")</f>
        <v>20200119TXNOF</v>
      </c>
      <c r="B722" s="8" t="str">
        <f ca="1">IFERROR(__xludf.DUMMYFUNCTION("""COMPUTED_VALUE"""),"Adult")</f>
        <v>Adult</v>
      </c>
      <c r="C722" s="8" t="str">
        <f ca="1">IFERROR(__xludf.DUMMYFUNCTION("""COMPUTED_VALUE"""),"Male")</f>
        <v>Male</v>
      </c>
      <c r="D722" s="8" t="str">
        <f ca="1">IFERROR(__xludf.DUMMYFUNCTION("""COMPUTED_VALUE"""),"No Relation")</f>
        <v>No Relation</v>
      </c>
      <c r="E722" s="8" t="str">
        <f ca="1">IFERROR(__xludf.DUMMYFUNCTION("""COMPUTED_VALUE"""),"Fled/Escaped")</f>
        <v>Fled/Escaped</v>
      </c>
      <c r="F722" s="8" t="str">
        <f ca="1">IFERROR(__xludf.DUMMYFUNCTION("""COMPUTED_VALUE"""),"No")</f>
        <v>No</v>
      </c>
      <c r="G722" s="8" t="str">
        <f ca="1">IFERROR(__xludf.DUMMYFUNCTION("""COMPUTED_VALUE"""),"None")</f>
        <v>None</v>
      </c>
    </row>
    <row r="723" spans="1:7" ht="12.75">
      <c r="A723" s="8" t="str">
        <f ca="1">IFERROR(__xludf.DUMMYFUNCTION("""COMPUTED_VALUE"""),"20200117SCCAS")</f>
        <v>20200117SCCAS</v>
      </c>
      <c r="B723" s="8">
        <f ca="1">IFERROR(__xludf.DUMMYFUNCTION("""COMPUTED_VALUE"""),16)</f>
        <v>16</v>
      </c>
      <c r="C723" s="8" t="str">
        <f ca="1">IFERROR(__xludf.DUMMYFUNCTION("""COMPUTED_VALUE"""),"Male")</f>
        <v>Male</v>
      </c>
      <c r="D723" s="8" t="str">
        <f ca="1">IFERROR(__xludf.DUMMYFUNCTION("""COMPUTED_VALUE"""),"Student")</f>
        <v>Student</v>
      </c>
      <c r="E723" s="8" t="str">
        <f ca="1">IFERROR(__xludf.DUMMYFUNCTION("""COMPUTED_VALUE"""),"Suicide")</f>
        <v>Suicide</v>
      </c>
      <c r="F723" s="8" t="str">
        <f ca="1">IFERROR(__xludf.DUMMYFUNCTION("""COMPUTED_VALUE"""),"Yes")</f>
        <v>Yes</v>
      </c>
      <c r="G723" s="8" t="str">
        <f ca="1">IFERROR(__xludf.DUMMYFUNCTION("""COMPUTED_VALUE"""),"Suicide")</f>
        <v>Suicide</v>
      </c>
    </row>
    <row r="724" spans="1:7" ht="12.75">
      <c r="A724" s="8" t="str">
        <f ca="1">IFERROR(__xludf.DUMMYFUNCTION("""COMPUTED_VALUE"""),"20200117MITHH")</f>
        <v>20200117MITHH</v>
      </c>
      <c r="B724" s="8">
        <f ca="1">IFERROR(__xludf.DUMMYFUNCTION("""COMPUTED_VALUE"""),25)</f>
        <v>25</v>
      </c>
      <c r="C724" s="8" t="str">
        <f ca="1">IFERROR(__xludf.DUMMYFUNCTION("""COMPUTED_VALUE"""),"Male")</f>
        <v>Male</v>
      </c>
      <c r="D724" s="8" t="str">
        <f ca="1">IFERROR(__xludf.DUMMYFUNCTION("""COMPUTED_VALUE"""),"Parent")</f>
        <v>Parent</v>
      </c>
      <c r="E724" s="8" t="str">
        <f ca="1">IFERROR(__xludf.DUMMYFUNCTION("""COMPUTED_VALUE"""),"Surrendered")</f>
        <v>Surrendered</v>
      </c>
      <c r="F724" s="8" t="str">
        <f ca="1">IFERROR(__xludf.DUMMYFUNCTION("""COMPUTED_VALUE"""),"No")</f>
        <v>No</v>
      </c>
      <c r="G724" s="8" t="str">
        <f ca="1">IFERROR(__xludf.DUMMYFUNCTION("""COMPUTED_VALUE"""),"None")</f>
        <v>None</v>
      </c>
    </row>
    <row r="725" spans="1:7" ht="12.75">
      <c r="A725" s="8" t="str">
        <f ca="1">IFERROR(__xludf.DUMMYFUNCTION("""COMPUTED_VALUE"""),"20200114TXPOM")</f>
        <v>20200114TXPOM</v>
      </c>
      <c r="B725" s="8">
        <f ca="1">IFERROR(__xludf.DUMMYFUNCTION("""COMPUTED_VALUE"""),17)</f>
        <v>17</v>
      </c>
      <c r="C725" s="8" t="str">
        <f ca="1">IFERROR(__xludf.DUMMYFUNCTION("""COMPUTED_VALUE"""),"Male")</f>
        <v>Male</v>
      </c>
      <c r="D725" s="8" t="str">
        <f ca="1">IFERROR(__xludf.DUMMYFUNCTION("""COMPUTED_VALUE"""),"Nonstudent Using Athletic Facilities/Attending Game")</f>
        <v>Nonstudent Using Athletic Facilities/Attending Game</v>
      </c>
      <c r="E725" s="8" t="str">
        <f ca="1">IFERROR(__xludf.DUMMYFUNCTION("""COMPUTED_VALUE"""),"Fled/Apprehended")</f>
        <v>Fled/Apprehended</v>
      </c>
      <c r="F725" s="8" t="str">
        <f ca="1">IFERROR(__xludf.DUMMYFUNCTION("""COMPUTED_VALUE"""),"No")</f>
        <v>No</v>
      </c>
      <c r="G725" s="8" t="str">
        <f ca="1">IFERROR(__xludf.DUMMYFUNCTION("""COMPUTED_VALUE"""),"None")</f>
        <v>None</v>
      </c>
    </row>
    <row r="726" spans="1:7" ht="12.75">
      <c r="A726" s="8" t="str">
        <f ca="1">IFERROR(__xludf.DUMMYFUNCTION("""COMPUTED_VALUE"""),"20200114TXPOM")</f>
        <v>20200114TXPOM</v>
      </c>
      <c r="B726" s="8">
        <f ca="1">IFERROR(__xludf.DUMMYFUNCTION("""COMPUTED_VALUE"""),17)</f>
        <v>17</v>
      </c>
      <c r="C726" s="8" t="str">
        <f ca="1">IFERROR(__xludf.DUMMYFUNCTION("""COMPUTED_VALUE"""),"Male")</f>
        <v>Male</v>
      </c>
      <c r="D726" s="8" t="str">
        <f ca="1">IFERROR(__xludf.DUMMYFUNCTION("""COMPUTED_VALUE"""),"Nonstudent Using Athletic Facilities/Attending Game")</f>
        <v>Nonstudent Using Athletic Facilities/Attending Game</v>
      </c>
      <c r="E726" s="8" t="str">
        <f ca="1">IFERROR(__xludf.DUMMYFUNCTION("""COMPUTED_VALUE"""),"Fled/Apprehended")</f>
        <v>Fled/Apprehended</v>
      </c>
      <c r="F726" s="8" t="str">
        <f ca="1">IFERROR(__xludf.DUMMYFUNCTION("""COMPUTED_VALUE"""),"No")</f>
        <v>No</v>
      </c>
      <c r="G726" s="8" t="str">
        <f ca="1">IFERROR(__xludf.DUMMYFUNCTION("""COMPUTED_VALUE"""),"None")</f>
        <v>None</v>
      </c>
    </row>
    <row r="727" spans="1:7" ht="12.75">
      <c r="A727" s="8" t="str">
        <f ca="1">IFERROR(__xludf.DUMMYFUNCTION("""COMPUTED_VALUE"""),"20200114TXBEH")</f>
        <v>20200114TXBEH</v>
      </c>
      <c r="B727" s="8">
        <f ca="1">IFERROR(__xludf.DUMMYFUNCTION("""COMPUTED_VALUE"""),16)</f>
        <v>16</v>
      </c>
      <c r="C727" s="8" t="str">
        <f ca="1">IFERROR(__xludf.DUMMYFUNCTION("""COMPUTED_VALUE"""),"Male")</f>
        <v>Male</v>
      </c>
      <c r="D727" s="8" t="str">
        <f ca="1">IFERROR(__xludf.DUMMYFUNCTION("""COMPUTED_VALUE"""),"Student")</f>
        <v>Student</v>
      </c>
      <c r="E727" s="8" t="str">
        <f ca="1">IFERROR(__xludf.DUMMYFUNCTION("""COMPUTED_VALUE"""),"Fled/Apprehended")</f>
        <v>Fled/Apprehended</v>
      </c>
      <c r="F727" s="8" t="str">
        <f ca="1">IFERROR(__xludf.DUMMYFUNCTION("""COMPUTED_VALUE"""),"No")</f>
        <v>No</v>
      </c>
      <c r="G727" s="8" t="str">
        <f ca="1">IFERROR(__xludf.DUMMYFUNCTION("""COMPUTED_VALUE"""),"None")</f>
        <v>None</v>
      </c>
    </row>
    <row r="728" spans="1:7" ht="12.75">
      <c r="A728" s="8" t="str">
        <f ca="1">IFERROR(__xludf.DUMMYFUNCTION("""COMPUTED_VALUE"""),"20200111TXELD")</f>
        <v>20200111TXELD</v>
      </c>
      <c r="B728" s="8">
        <f ca="1">IFERROR(__xludf.DUMMYFUNCTION("""COMPUTED_VALUE"""),15)</f>
        <v>15</v>
      </c>
      <c r="C728" s="8" t="str">
        <f ca="1">IFERROR(__xludf.DUMMYFUNCTION("""COMPUTED_VALUE"""),"Male")</f>
        <v>Male</v>
      </c>
      <c r="D728" s="8" t="str">
        <f ca="1">IFERROR(__xludf.DUMMYFUNCTION("""COMPUTED_VALUE"""),"Unknown")</f>
        <v>Unknown</v>
      </c>
      <c r="E728" s="8" t="str">
        <f ca="1">IFERROR(__xludf.DUMMYFUNCTION("""COMPUTED_VALUE"""),"Surrendered")</f>
        <v>Surrendered</v>
      </c>
      <c r="F728" s="8" t="str">
        <f ca="1">IFERROR(__xludf.DUMMYFUNCTION("""COMPUTED_VALUE"""),"No")</f>
        <v>No</v>
      </c>
      <c r="G728" s="8" t="str">
        <f ca="1">IFERROR(__xludf.DUMMYFUNCTION("""COMPUTED_VALUE"""),"None")</f>
        <v>None</v>
      </c>
    </row>
    <row r="729" spans="1:7" ht="12.75">
      <c r="A729" s="8" t="str">
        <f ca="1">IFERROR(__xludf.DUMMYFUNCTION("""COMPUTED_VALUE"""),"20200110MSMCJ")</f>
        <v>20200110MSMCJ</v>
      </c>
      <c r="B729" s="8">
        <f ca="1">IFERROR(__xludf.DUMMYFUNCTION("""COMPUTED_VALUE"""),13)</f>
        <v>13</v>
      </c>
      <c r="C729" s="8" t="str">
        <f ca="1">IFERROR(__xludf.DUMMYFUNCTION("""COMPUTED_VALUE"""),"Male")</f>
        <v>Male</v>
      </c>
      <c r="D729" s="8" t="str">
        <f ca="1">IFERROR(__xludf.DUMMYFUNCTION("""COMPUTED_VALUE"""),"Student")</f>
        <v>Student</v>
      </c>
      <c r="E729" s="8" t="str">
        <f ca="1">IFERROR(__xludf.DUMMYFUNCTION("""COMPUTED_VALUE"""),"Unknown")</f>
        <v>Unknown</v>
      </c>
      <c r="F729" s="8" t="str">
        <f ca="1">IFERROR(__xludf.DUMMYFUNCTION("""COMPUTED_VALUE"""),"No")</f>
        <v>No</v>
      </c>
      <c r="G729" s="8" t="str">
        <f ca="1">IFERROR(__xludf.DUMMYFUNCTION("""COMPUTED_VALUE"""),"None")</f>
        <v>None</v>
      </c>
    </row>
    <row r="730" spans="1:7" ht="12.75">
      <c r="A730" s="8" t="str">
        <f ca="1">IFERROR(__xludf.DUMMYFUNCTION("""COMPUTED_VALUE"""),"20200108FLGLB")</f>
        <v>20200108FLGLB</v>
      </c>
      <c r="B730" s="8"/>
      <c r="C730" s="8"/>
      <c r="D730" s="8" t="str">
        <f ca="1">IFERROR(__xludf.DUMMYFUNCTION("""COMPUTED_VALUE"""),"Unknown")</f>
        <v>Unknown</v>
      </c>
      <c r="E730" s="8" t="str">
        <f ca="1">IFERROR(__xludf.DUMMYFUNCTION("""COMPUTED_VALUE"""),"Surrendered")</f>
        <v>Surrendered</v>
      </c>
      <c r="F730" s="8" t="str">
        <f ca="1">IFERROR(__xludf.DUMMYFUNCTION("""COMPUTED_VALUE"""),"No")</f>
        <v>No</v>
      </c>
      <c r="G730" s="8" t="str">
        <f ca="1">IFERROR(__xludf.DUMMYFUNCTION("""COMPUTED_VALUE"""),"Wounded")</f>
        <v>Wounded</v>
      </c>
    </row>
    <row r="731" spans="1:7" ht="12.75">
      <c r="A731" s="8" t="str">
        <f ca="1">IFERROR(__xludf.DUMMYFUNCTION("""COMPUTED_VALUE"""),"20200107WASOK")</f>
        <v>20200107WASOK</v>
      </c>
      <c r="B731" s="8">
        <f ca="1">IFERROR(__xludf.DUMMYFUNCTION("""COMPUTED_VALUE"""),16)</f>
        <v>16</v>
      </c>
      <c r="C731" s="8" t="str">
        <f ca="1">IFERROR(__xludf.DUMMYFUNCTION("""COMPUTED_VALUE"""),"Male")</f>
        <v>Male</v>
      </c>
      <c r="D731" s="8" t="str">
        <f ca="1">IFERROR(__xludf.DUMMYFUNCTION("""COMPUTED_VALUE"""),"Student")</f>
        <v>Student</v>
      </c>
      <c r="E731" s="8" t="str">
        <f ca="1">IFERROR(__xludf.DUMMYFUNCTION("""COMPUTED_VALUE"""),"Fled/Apprehended")</f>
        <v>Fled/Apprehended</v>
      </c>
      <c r="F731" s="8" t="str">
        <f ca="1">IFERROR(__xludf.DUMMYFUNCTION("""COMPUTED_VALUE"""),"No")</f>
        <v>No</v>
      </c>
      <c r="G731" s="8" t="str">
        <f ca="1">IFERROR(__xludf.DUMMYFUNCTION("""COMPUTED_VALUE"""),"None")</f>
        <v>None</v>
      </c>
    </row>
    <row r="732" spans="1:7" ht="12.75">
      <c r="A732" s="8" t="str">
        <f ca="1">IFERROR(__xludf.DUMMYFUNCTION("""COMPUTED_VALUE"""),"20200107WASOK")</f>
        <v>20200107WASOK</v>
      </c>
      <c r="B732" s="8">
        <f ca="1">IFERROR(__xludf.DUMMYFUNCTION("""COMPUTED_VALUE"""),16)</f>
        <v>16</v>
      </c>
      <c r="C732" s="8" t="str">
        <f ca="1">IFERROR(__xludf.DUMMYFUNCTION("""COMPUTED_VALUE"""),"Male")</f>
        <v>Male</v>
      </c>
      <c r="D732" s="8" t="str">
        <f ca="1">IFERROR(__xludf.DUMMYFUNCTION("""COMPUTED_VALUE"""),"Student")</f>
        <v>Student</v>
      </c>
      <c r="E732" s="8" t="str">
        <f ca="1">IFERROR(__xludf.DUMMYFUNCTION("""COMPUTED_VALUE"""),"Fled/Apprehended")</f>
        <v>Fled/Apprehended</v>
      </c>
      <c r="F732" s="8" t="str">
        <f ca="1">IFERROR(__xludf.DUMMYFUNCTION("""COMPUTED_VALUE"""),"No")</f>
        <v>No</v>
      </c>
      <c r="G732" s="8" t="str">
        <f ca="1">IFERROR(__xludf.DUMMYFUNCTION("""COMPUTED_VALUE"""),"None")</f>
        <v>None</v>
      </c>
    </row>
    <row r="733" spans="1:7" ht="12.75">
      <c r="A733" s="8" t="str">
        <f ca="1">IFERROR(__xludf.DUMMYFUNCTION("""COMPUTED_VALUE"""),"20191228MOMAS")</f>
        <v>20191228MOMAS</v>
      </c>
      <c r="B733" s="8">
        <f ca="1">IFERROR(__xludf.DUMMYFUNCTION("""COMPUTED_VALUE"""),17)</f>
        <v>17</v>
      </c>
      <c r="C733" s="8" t="str">
        <f ca="1">IFERROR(__xludf.DUMMYFUNCTION("""COMPUTED_VALUE"""),"Male")</f>
        <v>Male</v>
      </c>
      <c r="D733" s="8" t="str">
        <f ca="1">IFERROR(__xludf.DUMMYFUNCTION("""COMPUTED_VALUE"""),"No Relation")</f>
        <v>No Relation</v>
      </c>
      <c r="E733" s="8" t="str">
        <f ca="1">IFERROR(__xludf.DUMMYFUNCTION("""COMPUTED_VALUE"""),"Fled/Apprehended")</f>
        <v>Fled/Apprehended</v>
      </c>
      <c r="F733" s="8" t="str">
        <f ca="1">IFERROR(__xludf.DUMMYFUNCTION("""COMPUTED_VALUE"""),"No")</f>
        <v>No</v>
      </c>
      <c r="G733" s="8" t="str">
        <f ca="1">IFERROR(__xludf.DUMMYFUNCTION("""COMPUTED_VALUE"""),"None")</f>
        <v>None</v>
      </c>
    </row>
    <row r="734" spans="1:7" ht="12.75">
      <c r="A734" s="8" t="str">
        <f ca="1">IFERROR(__xludf.DUMMYFUNCTION("""COMPUTED_VALUE"""),"20191221LAWES")</f>
        <v>20191221LAWES</v>
      </c>
      <c r="B734" s="8">
        <f ca="1">IFERROR(__xludf.DUMMYFUNCTION("""COMPUTED_VALUE"""),34)</f>
        <v>34</v>
      </c>
      <c r="C734" s="8" t="str">
        <f ca="1">IFERROR(__xludf.DUMMYFUNCTION("""COMPUTED_VALUE"""),"Male")</f>
        <v>Male</v>
      </c>
      <c r="D734" s="8" t="str">
        <f ca="1">IFERROR(__xludf.DUMMYFUNCTION("""COMPUTED_VALUE"""),"Nonstudent Using Athletic Facilities/Attending Game")</f>
        <v>Nonstudent Using Athletic Facilities/Attending Game</v>
      </c>
      <c r="E734" s="8" t="str">
        <f ca="1">IFERROR(__xludf.DUMMYFUNCTION("""COMPUTED_VALUE"""),"Fled/Apprehended")</f>
        <v>Fled/Apprehended</v>
      </c>
      <c r="F734" s="8" t="str">
        <f ca="1">IFERROR(__xludf.DUMMYFUNCTION("""COMPUTED_VALUE"""),"No")</f>
        <v>No</v>
      </c>
      <c r="G734" s="8" t="str">
        <f ca="1">IFERROR(__xludf.DUMMYFUNCTION("""COMPUTED_VALUE"""),"None")</f>
        <v>None</v>
      </c>
    </row>
    <row r="735" spans="1:7" ht="12.75">
      <c r="A735" s="8" t="str">
        <f ca="1">IFERROR(__xludf.DUMMYFUNCTION("""COMPUTED_VALUE"""),"20191219FLLEN")</f>
        <v>20191219FLLEN</v>
      </c>
      <c r="B735" s="8">
        <f ca="1">IFERROR(__xludf.DUMMYFUNCTION("""COMPUTED_VALUE"""),50)</f>
        <v>50</v>
      </c>
      <c r="C735" s="8" t="str">
        <f ca="1">IFERROR(__xludf.DUMMYFUNCTION("""COMPUTED_VALUE"""),"Male")</f>
        <v>Male</v>
      </c>
      <c r="D735" s="8" t="str">
        <f ca="1">IFERROR(__xludf.DUMMYFUNCTION("""COMPUTED_VALUE"""),"No Relation")</f>
        <v>No Relation</v>
      </c>
      <c r="E735" s="8" t="str">
        <f ca="1">IFERROR(__xludf.DUMMYFUNCTION("""COMPUTED_VALUE"""),"Fled/Apprehended")</f>
        <v>Fled/Apprehended</v>
      </c>
      <c r="F735" s="8" t="str">
        <f ca="1">IFERROR(__xludf.DUMMYFUNCTION("""COMPUTED_VALUE"""),"No")</f>
        <v>No</v>
      </c>
      <c r="G735" s="8" t="str">
        <f ca="1">IFERROR(__xludf.DUMMYFUNCTION("""COMPUTED_VALUE"""),"None")</f>
        <v>None</v>
      </c>
    </row>
    <row r="736" spans="1:7" ht="12.75">
      <c r="A736" s="8" t="str">
        <f ca="1">IFERROR(__xludf.DUMMYFUNCTION("""COMPUTED_VALUE"""),"20191216CTCAN")</f>
        <v>20191216CTCAN</v>
      </c>
      <c r="B736" s="8" t="str">
        <f ca="1">IFERROR(__xludf.DUMMYFUNCTION("""COMPUTED_VALUE"""),"Adult")</f>
        <v>Adult</v>
      </c>
      <c r="C736" s="8" t="str">
        <f ca="1">IFERROR(__xludf.DUMMYFUNCTION("""COMPUTED_VALUE"""),"Male")</f>
        <v>Male</v>
      </c>
      <c r="D736" s="8" t="str">
        <f ca="1">IFERROR(__xludf.DUMMYFUNCTION("""COMPUTED_VALUE"""),"No Relation")</f>
        <v>No Relation</v>
      </c>
      <c r="E736" s="8" t="str">
        <f ca="1">IFERROR(__xludf.DUMMYFUNCTION("""COMPUTED_VALUE"""),"Fled/Escaped")</f>
        <v>Fled/Escaped</v>
      </c>
      <c r="F736" s="8" t="str">
        <f ca="1">IFERROR(__xludf.DUMMYFUNCTION("""COMPUTED_VALUE"""),"No")</f>
        <v>No</v>
      </c>
      <c r="G736" s="8" t="str">
        <f ca="1">IFERROR(__xludf.DUMMYFUNCTION("""COMPUTED_VALUE"""),"None")</f>
        <v>None</v>
      </c>
    </row>
    <row r="737" spans="1:7" ht="12.75">
      <c r="A737" s="8" t="str">
        <f ca="1">IFERROR(__xludf.DUMMYFUNCTION("""COMPUTED_VALUE"""),"20191213VAMAN")</f>
        <v>20191213VAMAN</v>
      </c>
      <c r="B737" s="8">
        <f ca="1">IFERROR(__xludf.DUMMYFUNCTION("""COMPUTED_VALUE"""),17)</f>
        <v>17</v>
      </c>
      <c r="C737" s="8" t="str">
        <f ca="1">IFERROR(__xludf.DUMMYFUNCTION("""COMPUTED_VALUE"""),"Male")</f>
        <v>Male</v>
      </c>
      <c r="D737" s="8" t="str">
        <f ca="1">IFERROR(__xludf.DUMMYFUNCTION("""COMPUTED_VALUE"""),"Student")</f>
        <v>Student</v>
      </c>
      <c r="E737" s="8" t="str">
        <f ca="1">IFERROR(__xludf.DUMMYFUNCTION("""COMPUTED_VALUE"""),"Surrendered")</f>
        <v>Surrendered</v>
      </c>
      <c r="F737" s="8" t="str">
        <f ca="1">IFERROR(__xludf.DUMMYFUNCTION("""COMPUTED_VALUE"""),"No")</f>
        <v>No</v>
      </c>
      <c r="G737" s="8" t="str">
        <f ca="1">IFERROR(__xludf.DUMMYFUNCTION("""COMPUTED_VALUE"""),"Wounded")</f>
        <v>Wounded</v>
      </c>
    </row>
    <row r="738" spans="1:7" ht="12.75">
      <c r="A738" s="8" t="str">
        <f ca="1">IFERROR(__xludf.DUMMYFUNCTION("""COMPUTED_VALUE"""),"20191211KSCHT")</f>
        <v>20191211KSCHT</v>
      </c>
      <c r="B738" s="8"/>
      <c r="C738" s="8"/>
      <c r="D738" s="8" t="str">
        <f ca="1">IFERROR(__xludf.DUMMYFUNCTION("""COMPUTED_VALUE"""),"Unknown")</f>
        <v>Unknown</v>
      </c>
      <c r="E738" s="8" t="str">
        <f ca="1">IFERROR(__xludf.DUMMYFUNCTION("""COMPUTED_VALUE"""),"Fled/Apprehended")</f>
        <v>Fled/Apprehended</v>
      </c>
      <c r="F738" s="8" t="str">
        <f ca="1">IFERROR(__xludf.DUMMYFUNCTION("""COMPUTED_VALUE"""),"No")</f>
        <v>No</v>
      </c>
      <c r="G738" s="8" t="str">
        <f ca="1">IFERROR(__xludf.DUMMYFUNCTION("""COMPUTED_VALUE"""),"None")</f>
        <v>None</v>
      </c>
    </row>
    <row r="739" spans="1:7" ht="12.75">
      <c r="A739" s="8" t="str">
        <f ca="1">IFERROR(__xludf.DUMMYFUNCTION("""COMPUTED_VALUE"""),"20191211INEVE")</f>
        <v>20191211INEVE</v>
      </c>
      <c r="B739" s="8"/>
      <c r="C739" s="8"/>
      <c r="D739" s="8" t="str">
        <f ca="1">IFERROR(__xludf.DUMMYFUNCTION("""COMPUTED_VALUE"""),"Unknown")</f>
        <v>Unknown</v>
      </c>
      <c r="E739" s="8" t="str">
        <f ca="1">IFERROR(__xludf.DUMMYFUNCTION("""COMPUTED_VALUE"""),"Fled/Escaped")</f>
        <v>Fled/Escaped</v>
      </c>
      <c r="F739" s="8" t="str">
        <f ca="1">IFERROR(__xludf.DUMMYFUNCTION("""COMPUTED_VALUE"""),"No")</f>
        <v>No</v>
      </c>
      <c r="G739" s="8" t="str">
        <f ca="1">IFERROR(__xludf.DUMMYFUNCTION("""COMPUTED_VALUE"""),"None")</f>
        <v>None</v>
      </c>
    </row>
    <row r="740" spans="1:7" ht="12.75">
      <c r="A740" s="8" t="str">
        <f ca="1">IFERROR(__xludf.DUMMYFUNCTION("""COMPUTED_VALUE"""),"20191210NJSAJ")</f>
        <v>20191210NJSAJ</v>
      </c>
      <c r="B740" s="8">
        <f ca="1">IFERROR(__xludf.DUMMYFUNCTION("""COMPUTED_VALUE"""),47)</f>
        <v>47</v>
      </c>
      <c r="C740" s="8" t="str">
        <f ca="1">IFERROR(__xludf.DUMMYFUNCTION("""COMPUTED_VALUE"""),"Male")</f>
        <v>Male</v>
      </c>
      <c r="D740" s="8" t="str">
        <f ca="1">IFERROR(__xludf.DUMMYFUNCTION("""COMPUTED_VALUE"""),"No Relation")</f>
        <v>No Relation</v>
      </c>
      <c r="E740" s="8" t="str">
        <f ca="1">IFERROR(__xludf.DUMMYFUNCTION("""COMPUTED_VALUE"""),"Unknown")</f>
        <v>Unknown</v>
      </c>
      <c r="F740" s="8" t="str">
        <f ca="1">IFERROR(__xludf.DUMMYFUNCTION("""COMPUTED_VALUE"""),"No")</f>
        <v>No</v>
      </c>
      <c r="G740" s="8" t="str">
        <f ca="1">IFERROR(__xludf.DUMMYFUNCTION("""COMPUTED_VALUE"""),"None")</f>
        <v>None</v>
      </c>
    </row>
    <row r="741" spans="1:7" ht="12.75">
      <c r="A741" s="8" t="str">
        <f ca="1">IFERROR(__xludf.DUMMYFUNCTION("""COMPUTED_VALUE"""),"20191210NJSAJ")</f>
        <v>20191210NJSAJ</v>
      </c>
      <c r="B741" s="8">
        <f ca="1">IFERROR(__xludf.DUMMYFUNCTION("""COMPUTED_VALUE"""),50)</f>
        <v>50</v>
      </c>
      <c r="C741" s="8" t="str">
        <f ca="1">IFERROR(__xludf.DUMMYFUNCTION("""COMPUTED_VALUE"""),"Female")</f>
        <v>Female</v>
      </c>
      <c r="D741" s="8" t="str">
        <f ca="1">IFERROR(__xludf.DUMMYFUNCTION("""COMPUTED_VALUE"""),"No Relation")</f>
        <v>No Relation</v>
      </c>
      <c r="E741" s="8" t="str">
        <f ca="1">IFERROR(__xludf.DUMMYFUNCTION("""COMPUTED_VALUE"""),"Unknown")</f>
        <v>Unknown</v>
      </c>
      <c r="F741" s="8" t="str">
        <f ca="1">IFERROR(__xludf.DUMMYFUNCTION("""COMPUTED_VALUE"""),"No")</f>
        <v>No</v>
      </c>
      <c r="G741" s="8" t="str">
        <f ca="1">IFERROR(__xludf.DUMMYFUNCTION("""COMPUTED_VALUE"""),"None")</f>
        <v>None</v>
      </c>
    </row>
    <row r="742" spans="1:7" ht="12.75">
      <c r="A742" s="8" t="str">
        <f ca="1">IFERROR(__xludf.DUMMYFUNCTION("""COMPUTED_VALUE"""),"20191210KSJCK")</f>
        <v>20191210KSJCK</v>
      </c>
      <c r="B742" s="8"/>
      <c r="C742" s="8"/>
      <c r="D742" s="8" t="str">
        <f ca="1">IFERROR(__xludf.DUMMYFUNCTION("""COMPUTED_VALUE"""),"Unknown")</f>
        <v>Unknown</v>
      </c>
      <c r="E742" s="8" t="str">
        <f ca="1">IFERROR(__xludf.DUMMYFUNCTION("""COMPUTED_VALUE"""),"Fled/Escaped")</f>
        <v>Fled/Escaped</v>
      </c>
      <c r="F742" s="8" t="str">
        <f ca="1">IFERROR(__xludf.DUMMYFUNCTION("""COMPUTED_VALUE"""),"No")</f>
        <v>No</v>
      </c>
      <c r="G742" s="8" t="str">
        <f ca="1">IFERROR(__xludf.DUMMYFUNCTION("""COMPUTED_VALUE"""),"None")</f>
        <v>None</v>
      </c>
    </row>
    <row r="743" spans="1:7" ht="12.75">
      <c r="A743" s="8" t="str">
        <f ca="1">IFERROR(__xludf.DUMMYFUNCTION("""COMPUTED_VALUE"""),"20191210ALDED")</f>
        <v>20191210ALDED</v>
      </c>
      <c r="B743" s="8">
        <f ca="1">IFERROR(__xludf.DUMMYFUNCTION("""COMPUTED_VALUE"""),22)</f>
        <v>22</v>
      </c>
      <c r="C743" s="8" t="str">
        <f ca="1">IFERROR(__xludf.DUMMYFUNCTION("""COMPUTED_VALUE"""),"Male")</f>
        <v>Male</v>
      </c>
      <c r="D743" s="8" t="str">
        <f ca="1">IFERROR(__xludf.DUMMYFUNCTION("""COMPUTED_VALUE"""),"Intimate Relationship")</f>
        <v>Intimate Relationship</v>
      </c>
      <c r="E743" s="8" t="str">
        <f ca="1">IFERROR(__xludf.DUMMYFUNCTION("""COMPUTED_VALUE"""),"Fled/Apprehended")</f>
        <v>Fled/Apprehended</v>
      </c>
      <c r="F743" s="8" t="str">
        <f ca="1">IFERROR(__xludf.DUMMYFUNCTION("""COMPUTED_VALUE"""),"No")</f>
        <v>No</v>
      </c>
      <c r="G743" s="8" t="str">
        <f ca="1">IFERROR(__xludf.DUMMYFUNCTION("""COMPUTED_VALUE"""),"None")</f>
        <v>None</v>
      </c>
    </row>
    <row r="744" spans="1:7" ht="12.75">
      <c r="A744" s="8" t="str">
        <f ca="1">IFERROR(__xludf.DUMMYFUNCTION("""COMPUTED_VALUE"""),"20191204NMPIL")</f>
        <v>20191204NMPIL</v>
      </c>
      <c r="B744" s="8" t="str">
        <f ca="1">IFERROR(__xludf.DUMMYFUNCTION("""COMPUTED_VALUE"""),"Adult")</f>
        <v>Adult</v>
      </c>
      <c r="C744" s="8" t="str">
        <f ca="1">IFERROR(__xludf.DUMMYFUNCTION("""COMPUTED_VALUE"""),"Male")</f>
        <v>Male</v>
      </c>
      <c r="D744" s="8" t="str">
        <f ca="1">IFERROR(__xludf.DUMMYFUNCTION("""COMPUTED_VALUE"""),"Police Officer/SRO")</f>
        <v>Police Officer/SRO</v>
      </c>
      <c r="E744" s="8" t="str">
        <f ca="1">IFERROR(__xludf.DUMMYFUNCTION("""COMPUTED_VALUE"""),"Law Enforcement")</f>
        <v>Law Enforcement</v>
      </c>
      <c r="F744" s="8" t="str">
        <f ca="1">IFERROR(__xludf.DUMMYFUNCTION("""COMPUTED_VALUE"""),"No")</f>
        <v>No</v>
      </c>
      <c r="G744" s="8" t="str">
        <f ca="1">IFERROR(__xludf.DUMMYFUNCTION("""COMPUTED_VALUE"""),"None")</f>
        <v>None</v>
      </c>
    </row>
    <row r="745" spans="1:7" ht="12.75">
      <c r="A745" s="8" t="str">
        <f ca="1">IFERROR(__xludf.DUMMYFUNCTION("""COMPUTED_VALUE"""),"20191203WITHM")</f>
        <v>20191203WITHM</v>
      </c>
      <c r="B745" s="8">
        <f ca="1">IFERROR(__xludf.DUMMYFUNCTION("""COMPUTED_VALUE"""),13)</f>
        <v>13</v>
      </c>
      <c r="C745" s="8" t="str">
        <f ca="1">IFERROR(__xludf.DUMMYFUNCTION("""COMPUTED_VALUE"""),"Male")</f>
        <v>Male</v>
      </c>
      <c r="D745" s="8" t="str">
        <f ca="1">IFERROR(__xludf.DUMMYFUNCTION("""COMPUTED_VALUE"""),"Student")</f>
        <v>Student</v>
      </c>
      <c r="E745" s="8" t="str">
        <f ca="1">IFERROR(__xludf.DUMMYFUNCTION("""COMPUTED_VALUE"""),"Fled/Apprehended")</f>
        <v>Fled/Apprehended</v>
      </c>
      <c r="F745" s="8" t="str">
        <f ca="1">IFERROR(__xludf.DUMMYFUNCTION("""COMPUTED_VALUE"""),"No")</f>
        <v>No</v>
      </c>
      <c r="G745" s="8" t="str">
        <f ca="1">IFERROR(__xludf.DUMMYFUNCTION("""COMPUTED_VALUE"""),"None")</f>
        <v>None</v>
      </c>
    </row>
    <row r="746" spans="1:7" ht="12.75">
      <c r="A746" s="8" t="str">
        <f ca="1">IFERROR(__xludf.DUMMYFUNCTION("""COMPUTED_VALUE"""),"20191203WIOSO")</f>
        <v>20191203WIOSO</v>
      </c>
      <c r="B746" s="8" t="str">
        <f ca="1">IFERROR(__xludf.DUMMYFUNCTION("""COMPUTED_VALUE"""),"Adult")</f>
        <v>Adult</v>
      </c>
      <c r="C746" s="8" t="str">
        <f ca="1">IFERROR(__xludf.DUMMYFUNCTION("""COMPUTED_VALUE"""),"Male")</f>
        <v>Male</v>
      </c>
      <c r="D746" s="8" t="str">
        <f ca="1">IFERROR(__xludf.DUMMYFUNCTION("""COMPUTED_VALUE"""),"Police Officer/SRO")</f>
        <v>Police Officer/SRO</v>
      </c>
      <c r="E746" s="8" t="str">
        <f ca="1">IFERROR(__xludf.DUMMYFUNCTION("""COMPUTED_VALUE"""),"Law Enforcement")</f>
        <v>Law Enforcement</v>
      </c>
      <c r="F746" s="8" t="str">
        <f ca="1">IFERROR(__xludf.DUMMYFUNCTION("""COMPUTED_VALUE"""),"No")</f>
        <v>No</v>
      </c>
      <c r="G746" s="8" t="str">
        <f ca="1">IFERROR(__xludf.DUMMYFUNCTION("""COMPUTED_VALUE"""),"Wounded")</f>
        <v>Wounded</v>
      </c>
    </row>
    <row r="747" spans="1:7" ht="12.75">
      <c r="A747" s="8" t="str">
        <f ca="1">IFERROR(__xludf.DUMMYFUNCTION("""COMPUTED_VALUE"""),"20191202WIWAW")</f>
        <v>20191202WIWAW</v>
      </c>
      <c r="B747" s="8">
        <f ca="1">IFERROR(__xludf.DUMMYFUNCTION("""COMPUTED_VALUE"""),17)</f>
        <v>17</v>
      </c>
      <c r="C747" s="8" t="str">
        <f ca="1">IFERROR(__xludf.DUMMYFUNCTION("""COMPUTED_VALUE"""),"Male")</f>
        <v>Male</v>
      </c>
      <c r="D747" s="8" t="str">
        <f ca="1">IFERROR(__xludf.DUMMYFUNCTION("""COMPUTED_VALUE"""),"Student")</f>
        <v>Student</v>
      </c>
      <c r="E747" s="8" t="str">
        <f ca="1">IFERROR(__xludf.DUMMYFUNCTION("""COMPUTED_VALUE"""),"Apprehended/Killed by SRO")</f>
        <v>Apprehended/Killed by SRO</v>
      </c>
      <c r="F747" s="8" t="str">
        <f ca="1">IFERROR(__xludf.DUMMYFUNCTION("""COMPUTED_VALUE"""),"No")</f>
        <v>No</v>
      </c>
      <c r="G747" s="8" t="str">
        <f ca="1">IFERROR(__xludf.DUMMYFUNCTION("""COMPUTED_VALUE"""),"Wounded")</f>
        <v>Wounded</v>
      </c>
    </row>
    <row r="748" spans="1:7" ht="12.75">
      <c r="A748" s="8" t="str">
        <f ca="1">IFERROR(__xludf.DUMMYFUNCTION("""COMPUTED_VALUE"""),"20191201ALMOM")</f>
        <v>20191201ALMOM</v>
      </c>
      <c r="B748" s="8">
        <f ca="1">IFERROR(__xludf.DUMMYFUNCTION("""COMPUTED_VALUE"""),31)</f>
        <v>31</v>
      </c>
      <c r="C748" s="8" t="str">
        <f ca="1">IFERROR(__xludf.DUMMYFUNCTION("""COMPUTED_VALUE"""),"Male")</f>
        <v>Male</v>
      </c>
      <c r="D748" s="8" t="str">
        <f ca="1">IFERROR(__xludf.DUMMYFUNCTION("""COMPUTED_VALUE"""),"No Relation")</f>
        <v>No Relation</v>
      </c>
      <c r="E748" s="8" t="str">
        <f ca="1">IFERROR(__xludf.DUMMYFUNCTION("""COMPUTED_VALUE"""),"Fled/Apprehended")</f>
        <v>Fled/Apprehended</v>
      </c>
      <c r="F748" s="8" t="str">
        <f ca="1">IFERROR(__xludf.DUMMYFUNCTION("""COMPUTED_VALUE"""),"No")</f>
        <v>No</v>
      </c>
      <c r="G748" s="8" t="str">
        <f ca="1">IFERROR(__xludf.DUMMYFUNCTION("""COMPUTED_VALUE"""),"None")</f>
        <v>None</v>
      </c>
    </row>
    <row r="749" spans="1:7" ht="12.75">
      <c r="A749" s="8" t="str">
        <f ca="1">IFERROR(__xludf.DUMMYFUNCTION("""COMPUTED_VALUE"""),"20191126WASAV")</f>
        <v>20191126WASAV</v>
      </c>
      <c r="B749" s="8">
        <f ca="1">IFERROR(__xludf.DUMMYFUNCTION("""COMPUTED_VALUE"""),38)</f>
        <v>38</v>
      </c>
      <c r="C749" s="8" t="str">
        <f ca="1">IFERROR(__xludf.DUMMYFUNCTION("""COMPUTED_VALUE"""),"Male")</f>
        <v>Male</v>
      </c>
      <c r="D749" s="8" t="str">
        <f ca="1">IFERROR(__xludf.DUMMYFUNCTION("""COMPUTED_VALUE"""),"Parent")</f>
        <v>Parent</v>
      </c>
      <c r="E749" s="8" t="str">
        <f ca="1">IFERROR(__xludf.DUMMYFUNCTION("""COMPUTED_VALUE"""),"Fled/Apprehended")</f>
        <v>Fled/Apprehended</v>
      </c>
      <c r="F749" s="8" t="str">
        <f ca="1">IFERROR(__xludf.DUMMYFUNCTION("""COMPUTED_VALUE"""),"Yes")</f>
        <v>Yes</v>
      </c>
      <c r="G749" s="8" t="str">
        <f ca="1">IFERROR(__xludf.DUMMYFUNCTION("""COMPUTED_VALUE"""),"Suicide")</f>
        <v>Suicide</v>
      </c>
    </row>
    <row r="750" spans="1:7" ht="12.75">
      <c r="A750" s="8" t="str">
        <f ca="1">IFERROR(__xludf.DUMMYFUNCTION("""COMPUTED_VALUE"""),"20191125ILCAC")</f>
        <v>20191125ILCAC</v>
      </c>
      <c r="B750" s="8"/>
      <c r="C750" s="8" t="str">
        <f ca="1">IFERROR(__xludf.DUMMYFUNCTION("""COMPUTED_VALUE"""),"Male")</f>
        <v>Male</v>
      </c>
      <c r="D750" s="8" t="str">
        <f ca="1">IFERROR(__xludf.DUMMYFUNCTION("""COMPUTED_VALUE"""),"No Relation")</f>
        <v>No Relation</v>
      </c>
      <c r="E750" s="8" t="str">
        <f ca="1">IFERROR(__xludf.DUMMYFUNCTION("""COMPUTED_VALUE"""),"Fled/Escaped")</f>
        <v>Fled/Escaped</v>
      </c>
      <c r="F750" s="8" t="str">
        <f ca="1">IFERROR(__xludf.DUMMYFUNCTION("""COMPUTED_VALUE"""),"No")</f>
        <v>No</v>
      </c>
      <c r="G750" s="8" t="str">
        <f ca="1">IFERROR(__xludf.DUMMYFUNCTION("""COMPUTED_VALUE"""),"None")</f>
        <v>None</v>
      </c>
    </row>
    <row r="751" spans="1:7" ht="12.75">
      <c r="A751" s="8" t="str">
        <f ca="1">IFERROR(__xludf.DUMMYFUNCTION("""COMPUTED_VALUE"""),"20191124CASEU")</f>
        <v>20191124CASEU</v>
      </c>
      <c r="B751" s="8">
        <f ca="1">IFERROR(__xludf.DUMMYFUNCTION("""COMPUTED_VALUE"""),18)</f>
        <v>18</v>
      </c>
      <c r="C751" s="8" t="str">
        <f ca="1">IFERROR(__xludf.DUMMYFUNCTION("""COMPUTED_VALUE"""),"Male")</f>
        <v>Male</v>
      </c>
      <c r="D751" s="8" t="str">
        <f ca="1">IFERROR(__xludf.DUMMYFUNCTION("""COMPUTED_VALUE"""),"No Relation")</f>
        <v>No Relation</v>
      </c>
      <c r="E751" s="8" t="str">
        <f ca="1">IFERROR(__xludf.DUMMYFUNCTION("""COMPUTED_VALUE"""),"Fled/Apprehended")</f>
        <v>Fled/Apprehended</v>
      </c>
      <c r="F751" s="8" t="str">
        <f ca="1">IFERROR(__xludf.DUMMYFUNCTION("""COMPUTED_VALUE"""),"No")</f>
        <v>No</v>
      </c>
      <c r="G751" s="8" t="str">
        <f ca="1">IFERROR(__xludf.DUMMYFUNCTION("""COMPUTED_VALUE"""),"None")</f>
        <v>None</v>
      </c>
    </row>
    <row r="752" spans="1:7" ht="12.75">
      <c r="A752" s="8" t="str">
        <f ca="1">IFERROR(__xludf.DUMMYFUNCTION("""COMPUTED_VALUE"""),"20191124CASEU")</f>
        <v>20191124CASEU</v>
      </c>
      <c r="B752" s="8">
        <f ca="1">IFERROR(__xludf.DUMMYFUNCTION("""COMPUTED_VALUE"""),17)</f>
        <v>17</v>
      </c>
      <c r="C752" s="8" t="str">
        <f ca="1">IFERROR(__xludf.DUMMYFUNCTION("""COMPUTED_VALUE"""),"Male")</f>
        <v>Male</v>
      </c>
      <c r="D752" s="8" t="str">
        <f ca="1">IFERROR(__xludf.DUMMYFUNCTION("""COMPUTED_VALUE"""),"No Relation")</f>
        <v>No Relation</v>
      </c>
      <c r="E752" s="8" t="str">
        <f ca="1">IFERROR(__xludf.DUMMYFUNCTION("""COMPUTED_VALUE"""),"Fled/Apprehended")</f>
        <v>Fled/Apprehended</v>
      </c>
      <c r="F752" s="8" t="str">
        <f ca="1">IFERROR(__xludf.DUMMYFUNCTION("""COMPUTED_VALUE"""),"No")</f>
        <v>No</v>
      </c>
      <c r="G752" s="8" t="str">
        <f ca="1">IFERROR(__xludf.DUMMYFUNCTION("""COMPUTED_VALUE"""),"None")</f>
        <v>None</v>
      </c>
    </row>
    <row r="753" spans="1:7" ht="12.75">
      <c r="A753" s="8" t="str">
        <f ca="1">IFERROR(__xludf.DUMMYFUNCTION("""COMPUTED_VALUE"""),"20191124CASEU")</f>
        <v>20191124CASEU</v>
      </c>
      <c r="B753" s="8">
        <f ca="1">IFERROR(__xludf.DUMMYFUNCTION("""COMPUTED_VALUE"""),20)</f>
        <v>20</v>
      </c>
      <c r="C753" s="8" t="str">
        <f ca="1">IFERROR(__xludf.DUMMYFUNCTION("""COMPUTED_VALUE"""),"Male")</f>
        <v>Male</v>
      </c>
      <c r="D753" s="8" t="str">
        <f ca="1">IFERROR(__xludf.DUMMYFUNCTION("""COMPUTED_VALUE"""),"No Relation")</f>
        <v>No Relation</v>
      </c>
      <c r="E753" s="8" t="str">
        <f ca="1">IFERROR(__xludf.DUMMYFUNCTION("""COMPUTED_VALUE"""),"Fled/Apprehended")</f>
        <v>Fled/Apprehended</v>
      </c>
      <c r="F753" s="8" t="str">
        <f ca="1">IFERROR(__xludf.DUMMYFUNCTION("""COMPUTED_VALUE"""),"No")</f>
        <v>No</v>
      </c>
      <c r="G753" s="8" t="str">
        <f ca="1">IFERROR(__xludf.DUMMYFUNCTION("""COMPUTED_VALUE"""),"None")</f>
        <v>None</v>
      </c>
    </row>
    <row r="754" spans="1:7" ht="12.75">
      <c r="A754" s="8" t="str">
        <f ca="1">IFERROR(__xludf.DUMMYFUNCTION("""COMPUTED_VALUE"""),"20191121ILRIO")</f>
        <v>20191121ILRIO</v>
      </c>
      <c r="B754" s="8">
        <f ca="1">IFERROR(__xludf.DUMMYFUNCTION("""COMPUTED_VALUE"""),19)</f>
        <v>19</v>
      </c>
      <c r="C754" s="8" t="str">
        <f ca="1">IFERROR(__xludf.DUMMYFUNCTION("""COMPUTED_VALUE"""),"Male")</f>
        <v>Male</v>
      </c>
      <c r="D754" s="8" t="str">
        <f ca="1">IFERROR(__xludf.DUMMYFUNCTION("""COMPUTED_VALUE"""),"Student")</f>
        <v>Student</v>
      </c>
      <c r="E754" s="8" t="str">
        <f ca="1">IFERROR(__xludf.DUMMYFUNCTION("""COMPUTED_VALUE"""),"Fled/Apprehended")</f>
        <v>Fled/Apprehended</v>
      </c>
      <c r="F754" s="8" t="str">
        <f ca="1">IFERROR(__xludf.DUMMYFUNCTION("""COMPUTED_VALUE"""),"No")</f>
        <v>No</v>
      </c>
      <c r="G754" s="8" t="str">
        <f ca="1">IFERROR(__xludf.DUMMYFUNCTION("""COMPUTED_VALUE"""),"None")</f>
        <v>None</v>
      </c>
    </row>
    <row r="755" spans="1:7" ht="12.75">
      <c r="A755" s="8" t="str">
        <f ca="1">IFERROR(__xludf.DUMMYFUNCTION("""COMPUTED_VALUE"""),"20191115NJPLP")</f>
        <v>20191115NJPLP</v>
      </c>
      <c r="B755" s="8">
        <f ca="1">IFERROR(__xludf.DUMMYFUNCTION("""COMPUTED_VALUE"""),31)</f>
        <v>31</v>
      </c>
      <c r="C755" s="8" t="str">
        <f ca="1">IFERROR(__xludf.DUMMYFUNCTION("""COMPUTED_VALUE"""),"Male")</f>
        <v>Male</v>
      </c>
      <c r="D755" s="8" t="str">
        <f ca="1">IFERROR(__xludf.DUMMYFUNCTION("""COMPUTED_VALUE"""),"Nonstudent Using Athletic Facilities/Attending Game")</f>
        <v>Nonstudent Using Athletic Facilities/Attending Game</v>
      </c>
      <c r="E755" s="8" t="str">
        <f ca="1">IFERROR(__xludf.DUMMYFUNCTION("""COMPUTED_VALUE"""),"Fled/Apprehended")</f>
        <v>Fled/Apprehended</v>
      </c>
      <c r="F755" s="8" t="str">
        <f ca="1">IFERROR(__xludf.DUMMYFUNCTION("""COMPUTED_VALUE"""),"No")</f>
        <v>No</v>
      </c>
      <c r="G755" s="8" t="str">
        <f ca="1">IFERROR(__xludf.DUMMYFUNCTION("""COMPUTED_VALUE"""),"None")</f>
        <v>None</v>
      </c>
    </row>
    <row r="756" spans="1:7" ht="12.75">
      <c r="A756" s="8" t="str">
        <f ca="1">IFERROR(__xludf.DUMMYFUNCTION("""COMPUTED_VALUE"""),"20191115NJPLP")</f>
        <v>20191115NJPLP</v>
      </c>
      <c r="B756" s="8">
        <f ca="1">IFERROR(__xludf.DUMMYFUNCTION("""COMPUTED_VALUE"""),28)</f>
        <v>28</v>
      </c>
      <c r="C756" s="8" t="str">
        <f ca="1">IFERROR(__xludf.DUMMYFUNCTION("""COMPUTED_VALUE"""),"Male")</f>
        <v>Male</v>
      </c>
      <c r="D756" s="8" t="str">
        <f ca="1">IFERROR(__xludf.DUMMYFUNCTION("""COMPUTED_VALUE"""),"Nonstudent Using Athletic Facilities/Attending Game")</f>
        <v>Nonstudent Using Athletic Facilities/Attending Game</v>
      </c>
      <c r="E756" s="8" t="str">
        <f ca="1">IFERROR(__xludf.DUMMYFUNCTION("""COMPUTED_VALUE"""),"Fled/Apprehended")</f>
        <v>Fled/Apprehended</v>
      </c>
      <c r="F756" s="8" t="str">
        <f ca="1">IFERROR(__xludf.DUMMYFUNCTION("""COMPUTED_VALUE"""),"No")</f>
        <v>No</v>
      </c>
      <c r="G756" s="8" t="str">
        <f ca="1">IFERROR(__xludf.DUMMYFUNCTION("""COMPUTED_VALUE"""),"None")</f>
        <v>None</v>
      </c>
    </row>
    <row r="757" spans="1:7" ht="12.75">
      <c r="A757" s="8" t="str">
        <f ca="1">IFERROR(__xludf.DUMMYFUNCTION("""COMPUTED_VALUE"""),"20191114CASAS")</f>
        <v>20191114CASAS</v>
      </c>
      <c r="B757" s="8">
        <f ca="1">IFERROR(__xludf.DUMMYFUNCTION("""COMPUTED_VALUE"""),16)</f>
        <v>16</v>
      </c>
      <c r="C757" s="8" t="str">
        <f ca="1">IFERROR(__xludf.DUMMYFUNCTION("""COMPUTED_VALUE"""),"Male")</f>
        <v>Male</v>
      </c>
      <c r="D757" s="8" t="str">
        <f ca="1">IFERROR(__xludf.DUMMYFUNCTION("""COMPUTED_VALUE"""),"Student")</f>
        <v>Student</v>
      </c>
      <c r="E757" s="8" t="str">
        <f ca="1">IFERROR(__xludf.DUMMYFUNCTION("""COMPUTED_VALUE"""),"Suicide")</f>
        <v>Suicide</v>
      </c>
      <c r="F757" s="8" t="str">
        <f ca="1">IFERROR(__xludf.DUMMYFUNCTION("""COMPUTED_VALUE"""),"Yes")</f>
        <v>Yes</v>
      </c>
      <c r="G757" s="8" t="str">
        <f ca="1">IFERROR(__xludf.DUMMYFUNCTION("""COMPUTED_VALUE"""),"Suicide")</f>
        <v>Suicide</v>
      </c>
    </row>
    <row r="758" spans="1:7" ht="12.75">
      <c r="A758" s="8" t="str">
        <f ca="1">IFERROR(__xludf.DUMMYFUNCTION("""COMPUTED_VALUE"""),"20191113CAESL")</f>
        <v>20191113CAESL</v>
      </c>
      <c r="B758" s="8" t="str">
        <f ca="1">IFERROR(__xludf.DUMMYFUNCTION("""COMPUTED_VALUE"""),"Adult")</f>
        <v>Adult</v>
      </c>
      <c r="C758" s="8"/>
      <c r="D758" s="8" t="str">
        <f ca="1">IFERROR(__xludf.DUMMYFUNCTION("""COMPUTED_VALUE"""),"Police Officer/SRO")</f>
        <v>Police Officer/SRO</v>
      </c>
      <c r="E758" s="8" t="str">
        <f ca="1">IFERROR(__xludf.DUMMYFUNCTION("""COMPUTED_VALUE"""),"Law Enforcement")</f>
        <v>Law Enforcement</v>
      </c>
      <c r="F758" s="8" t="str">
        <f ca="1">IFERROR(__xludf.DUMMYFUNCTION("""COMPUTED_VALUE"""),"No")</f>
        <v>No</v>
      </c>
      <c r="G758" s="8" t="str">
        <f ca="1">IFERROR(__xludf.DUMMYFUNCTION("""COMPUTED_VALUE"""),"None")</f>
        <v>None</v>
      </c>
    </row>
    <row r="759" spans="1:7" ht="12.75">
      <c r="A759" s="8" t="str">
        <f ca="1">IFERROR(__xludf.DUMMYFUNCTION("""COMPUTED_VALUE"""),"20191111MDACB")</f>
        <v>20191111MDACB</v>
      </c>
      <c r="B759" s="8"/>
      <c r="C759" s="8" t="str">
        <f ca="1">IFERROR(__xludf.DUMMYFUNCTION("""COMPUTED_VALUE"""),"Male")</f>
        <v>Male</v>
      </c>
      <c r="D759" s="8" t="str">
        <f ca="1">IFERROR(__xludf.DUMMYFUNCTION("""COMPUTED_VALUE"""),"Unknown")</f>
        <v>Unknown</v>
      </c>
      <c r="E759" s="8" t="str">
        <f ca="1">IFERROR(__xludf.DUMMYFUNCTION("""COMPUTED_VALUE"""),"Fled/Escaped")</f>
        <v>Fled/Escaped</v>
      </c>
      <c r="F759" s="8" t="str">
        <f ca="1">IFERROR(__xludf.DUMMYFUNCTION("""COMPUTED_VALUE"""),"No")</f>
        <v>No</v>
      </c>
      <c r="G759" s="8" t="str">
        <f ca="1">IFERROR(__xludf.DUMMYFUNCTION("""COMPUTED_VALUE"""),"None")</f>
        <v>None</v>
      </c>
    </row>
    <row r="760" spans="1:7" ht="12.75">
      <c r="A760" s="8" t="str">
        <f ca="1">IFERROR(__xludf.DUMMYFUNCTION("""COMPUTED_VALUE"""),"20191108TXROD")</f>
        <v>20191108TXROD</v>
      </c>
      <c r="B760" s="8"/>
      <c r="C760" s="8" t="str">
        <f ca="1">IFERROR(__xludf.DUMMYFUNCTION("""COMPUTED_VALUE"""),"Male")</f>
        <v>Male</v>
      </c>
      <c r="D760" s="8" t="str">
        <f ca="1">IFERROR(__xludf.DUMMYFUNCTION("""COMPUTED_VALUE"""),"Unknown")</f>
        <v>Unknown</v>
      </c>
      <c r="E760" s="8" t="str">
        <f ca="1">IFERROR(__xludf.DUMMYFUNCTION("""COMPUTED_VALUE"""),"Fled/Escaped")</f>
        <v>Fled/Escaped</v>
      </c>
      <c r="F760" s="8" t="str">
        <f ca="1">IFERROR(__xludf.DUMMYFUNCTION("""COMPUTED_VALUE"""),"No")</f>
        <v>No</v>
      </c>
      <c r="G760" s="8" t="str">
        <f ca="1">IFERROR(__xludf.DUMMYFUNCTION("""COMPUTED_VALUE"""),"None")</f>
        <v>None</v>
      </c>
    </row>
    <row r="761" spans="1:7" ht="12.75">
      <c r="A761" s="8" t="str">
        <f ca="1">IFERROR(__xludf.DUMMYFUNCTION("""COMPUTED_VALUE"""),"20191108CAEDS")</f>
        <v>20191108CAEDS</v>
      </c>
      <c r="B761" s="8"/>
      <c r="C761" s="8"/>
      <c r="D761" s="8" t="str">
        <f ca="1">IFERROR(__xludf.DUMMYFUNCTION("""COMPUTED_VALUE"""),"Unknown")</f>
        <v>Unknown</v>
      </c>
      <c r="E761" s="8" t="str">
        <f ca="1">IFERROR(__xludf.DUMMYFUNCTION("""COMPUTED_VALUE"""),"Fled/Escaped")</f>
        <v>Fled/Escaped</v>
      </c>
      <c r="F761" s="8" t="str">
        <f ca="1">IFERROR(__xludf.DUMMYFUNCTION("""COMPUTED_VALUE"""),"No")</f>
        <v>No</v>
      </c>
      <c r="G761" s="8" t="str">
        <f ca="1">IFERROR(__xludf.DUMMYFUNCTION("""COMPUTED_VALUE"""),"None")</f>
        <v>None</v>
      </c>
    </row>
    <row r="762" spans="1:7" ht="12.75">
      <c r="A762" s="8" t="str">
        <f ca="1">IFERROR(__xludf.DUMMYFUNCTION("""COMPUTED_VALUE"""),"20191029NYNEN")</f>
        <v>20191029NYNEN</v>
      </c>
      <c r="B762" s="8"/>
      <c r="C762" s="8" t="str">
        <f ca="1">IFERROR(__xludf.DUMMYFUNCTION("""COMPUTED_VALUE"""),"Male")</f>
        <v>Male</v>
      </c>
      <c r="D762" s="8" t="str">
        <f ca="1">IFERROR(__xludf.DUMMYFUNCTION("""COMPUTED_VALUE"""),"Student")</f>
        <v>Student</v>
      </c>
      <c r="E762" s="8" t="str">
        <f ca="1">IFERROR(__xludf.DUMMYFUNCTION("""COMPUTED_VALUE"""),"Fled/Escaped")</f>
        <v>Fled/Escaped</v>
      </c>
      <c r="F762" s="8" t="str">
        <f ca="1">IFERROR(__xludf.DUMMYFUNCTION("""COMPUTED_VALUE"""),"No")</f>
        <v>No</v>
      </c>
      <c r="G762" s="8" t="str">
        <f ca="1">IFERROR(__xludf.DUMMYFUNCTION("""COMPUTED_VALUE"""),"None")</f>
        <v>None</v>
      </c>
    </row>
    <row r="763" spans="1:7" ht="12.75">
      <c r="A763" s="8" t="str">
        <f ca="1">IFERROR(__xludf.DUMMYFUNCTION("""COMPUTED_VALUE"""),"20191027MDLAL")</f>
        <v>20191027MDLAL</v>
      </c>
      <c r="B763" s="8">
        <f ca="1">IFERROR(__xludf.DUMMYFUNCTION("""COMPUTED_VALUE"""),34)</f>
        <v>34</v>
      </c>
      <c r="C763" s="8" t="str">
        <f ca="1">IFERROR(__xludf.DUMMYFUNCTION("""COMPUTED_VALUE"""),"Male")</f>
        <v>Male</v>
      </c>
      <c r="D763" s="8" t="str">
        <f ca="1">IFERROR(__xludf.DUMMYFUNCTION("""COMPUTED_VALUE"""),"No Relation")</f>
        <v>No Relation</v>
      </c>
      <c r="E763" s="8" t="str">
        <f ca="1">IFERROR(__xludf.DUMMYFUNCTION("""COMPUTED_VALUE"""),"Fled/Apprehended")</f>
        <v>Fled/Apprehended</v>
      </c>
      <c r="F763" s="8" t="str">
        <f ca="1">IFERROR(__xludf.DUMMYFUNCTION("""COMPUTED_VALUE"""),"No")</f>
        <v>No</v>
      </c>
      <c r="G763" s="8" t="str">
        <f ca="1">IFERROR(__xludf.DUMMYFUNCTION("""COMPUTED_VALUE"""),"None")</f>
        <v>None</v>
      </c>
    </row>
    <row r="764" spans="1:7" ht="12.75">
      <c r="A764" s="8" t="str">
        <f ca="1">IFERROR(__xludf.DUMMYFUNCTION("""COMPUTED_VALUE"""),"20191022NJBRB")</f>
        <v>20191022NJBRB</v>
      </c>
      <c r="B764" s="8">
        <f ca="1">IFERROR(__xludf.DUMMYFUNCTION("""COMPUTED_VALUE"""),17)</f>
        <v>17</v>
      </c>
      <c r="C764" s="8" t="str">
        <f ca="1">IFERROR(__xludf.DUMMYFUNCTION("""COMPUTED_VALUE"""),"Male")</f>
        <v>Male</v>
      </c>
      <c r="D764" s="8" t="str">
        <f ca="1">IFERROR(__xludf.DUMMYFUNCTION("""COMPUTED_VALUE"""),"Student")</f>
        <v>Student</v>
      </c>
      <c r="E764" s="8" t="str">
        <f ca="1">IFERROR(__xludf.DUMMYFUNCTION("""COMPUTED_VALUE"""),"Fled/Apprehended")</f>
        <v>Fled/Apprehended</v>
      </c>
      <c r="F764" s="8" t="str">
        <f ca="1">IFERROR(__xludf.DUMMYFUNCTION("""COMPUTED_VALUE"""),"No")</f>
        <v>No</v>
      </c>
      <c r="G764" s="8" t="str">
        <f ca="1">IFERROR(__xludf.DUMMYFUNCTION("""COMPUTED_VALUE"""),"None")</f>
        <v>None</v>
      </c>
    </row>
    <row r="765" spans="1:7" ht="12.75">
      <c r="A765" s="8" t="str">
        <f ca="1">IFERROR(__xludf.DUMMYFUNCTION("""COMPUTED_VALUE"""),"20191022CARIS")</f>
        <v>20191022CARIS</v>
      </c>
      <c r="B765" s="8">
        <f ca="1">IFERROR(__xludf.DUMMYFUNCTION("""COMPUTED_VALUE"""),17)</f>
        <v>17</v>
      </c>
      <c r="C765" s="8" t="str">
        <f ca="1">IFERROR(__xludf.DUMMYFUNCTION("""COMPUTED_VALUE"""),"Male")</f>
        <v>Male</v>
      </c>
      <c r="D765" s="8" t="str">
        <f ca="1">IFERROR(__xludf.DUMMYFUNCTION("""COMPUTED_VALUE"""),"Student")</f>
        <v>Student</v>
      </c>
      <c r="E765" s="8" t="str">
        <f ca="1">IFERROR(__xludf.DUMMYFUNCTION("""COMPUTED_VALUE"""),"Fled/Apprehended")</f>
        <v>Fled/Apprehended</v>
      </c>
      <c r="F765" s="8" t="str">
        <f ca="1">IFERROR(__xludf.DUMMYFUNCTION("""COMPUTED_VALUE"""),"No")</f>
        <v>No</v>
      </c>
      <c r="G765" s="8" t="str">
        <f ca="1">IFERROR(__xludf.DUMMYFUNCTION("""COMPUTED_VALUE"""),"None")</f>
        <v>None</v>
      </c>
    </row>
    <row r="766" spans="1:7" ht="12.75">
      <c r="A766" s="8" t="str">
        <f ca="1">IFERROR(__xludf.DUMMYFUNCTION("""COMPUTED_VALUE"""),"20191018OHWOT")</f>
        <v>20191018OHWOT</v>
      </c>
      <c r="B766" s="8"/>
      <c r="C766" s="8"/>
      <c r="D766" s="8" t="str">
        <f ca="1">IFERROR(__xludf.DUMMYFUNCTION("""COMPUTED_VALUE"""),"Unknown")</f>
        <v>Unknown</v>
      </c>
      <c r="E766" s="8" t="str">
        <f ca="1">IFERROR(__xludf.DUMMYFUNCTION("""COMPUTED_VALUE"""),"Fled/Escaped")</f>
        <v>Fled/Escaped</v>
      </c>
      <c r="F766" s="8" t="str">
        <f ca="1">IFERROR(__xludf.DUMMYFUNCTION("""COMPUTED_VALUE"""),"No")</f>
        <v>No</v>
      </c>
      <c r="G766" s="8" t="str">
        <f ca="1">IFERROR(__xludf.DUMMYFUNCTION("""COMPUTED_VALUE"""),"None")</f>
        <v>None</v>
      </c>
    </row>
    <row r="767" spans="1:7" ht="12.75">
      <c r="A767" s="8" t="str">
        <f ca="1">IFERROR(__xludf.DUMMYFUNCTION("""COMPUTED_VALUE"""),"20191018GACRS")</f>
        <v>20191018GACRS</v>
      </c>
      <c r="B767" s="8">
        <f ca="1">IFERROR(__xludf.DUMMYFUNCTION("""COMPUTED_VALUE"""),19)</f>
        <v>19</v>
      </c>
      <c r="C767" s="8"/>
      <c r="D767" s="8" t="str">
        <f ca="1">IFERROR(__xludf.DUMMYFUNCTION("""COMPUTED_VALUE"""),"Unknown")</f>
        <v>Unknown</v>
      </c>
      <c r="E767" s="8" t="str">
        <f ca="1">IFERROR(__xludf.DUMMYFUNCTION("""COMPUTED_VALUE"""),"Fled/Escaped")</f>
        <v>Fled/Escaped</v>
      </c>
      <c r="F767" s="8" t="str">
        <f ca="1">IFERROR(__xludf.DUMMYFUNCTION("""COMPUTED_VALUE"""),"No")</f>
        <v>No</v>
      </c>
      <c r="G767" s="8" t="str">
        <f ca="1">IFERROR(__xludf.DUMMYFUNCTION("""COMPUTED_VALUE"""),"None")</f>
        <v>None</v>
      </c>
    </row>
    <row r="768" spans="1:7" ht="12.75">
      <c r="A768" s="8" t="str">
        <f ca="1">IFERROR(__xludf.DUMMYFUNCTION("""COMPUTED_VALUE"""),"20191015LAGEN")</f>
        <v>20191015LAGEN</v>
      </c>
      <c r="B768" s="8"/>
      <c r="C768" s="8" t="str">
        <f ca="1">IFERROR(__xludf.DUMMYFUNCTION("""COMPUTED_VALUE"""),"Male")</f>
        <v>Male</v>
      </c>
      <c r="D768" s="8" t="str">
        <f ca="1">IFERROR(__xludf.DUMMYFUNCTION("""COMPUTED_VALUE"""),"Unknown")</f>
        <v>Unknown</v>
      </c>
      <c r="E768" s="8" t="str">
        <f ca="1">IFERROR(__xludf.DUMMYFUNCTION("""COMPUTED_VALUE"""),"Fled/Escaped")</f>
        <v>Fled/Escaped</v>
      </c>
      <c r="F768" s="8" t="str">
        <f ca="1">IFERROR(__xludf.DUMMYFUNCTION("""COMPUTED_VALUE"""),"No")</f>
        <v>No</v>
      </c>
      <c r="G768" s="8" t="str">
        <f ca="1">IFERROR(__xludf.DUMMYFUNCTION("""COMPUTED_VALUE"""),"None")</f>
        <v>None</v>
      </c>
    </row>
    <row r="769" spans="1:7" ht="12.75">
      <c r="A769" s="8" t="str">
        <f ca="1">IFERROR(__xludf.DUMMYFUNCTION("""COMPUTED_VALUE"""),"20191011LARAR")</f>
        <v>20191011LARAR</v>
      </c>
      <c r="B769" s="8">
        <f ca="1">IFERROR(__xludf.DUMMYFUNCTION("""COMPUTED_VALUE"""),15)</f>
        <v>15</v>
      </c>
      <c r="C769" s="8" t="str">
        <f ca="1">IFERROR(__xludf.DUMMYFUNCTION("""COMPUTED_VALUE"""),"Male")</f>
        <v>Male</v>
      </c>
      <c r="D769" s="8" t="str">
        <f ca="1">IFERROR(__xludf.DUMMYFUNCTION("""COMPUTED_VALUE"""),"Unknown")</f>
        <v>Unknown</v>
      </c>
      <c r="E769" s="8" t="str">
        <f ca="1">IFERROR(__xludf.DUMMYFUNCTION("""COMPUTED_VALUE"""),"Fled/Apprehended")</f>
        <v>Fled/Apprehended</v>
      </c>
      <c r="F769" s="8" t="str">
        <f ca="1">IFERROR(__xludf.DUMMYFUNCTION("""COMPUTED_VALUE"""),"No")</f>
        <v>No</v>
      </c>
      <c r="G769" s="8" t="str">
        <f ca="1">IFERROR(__xludf.DUMMYFUNCTION("""COMPUTED_VALUE"""),"None")</f>
        <v>None</v>
      </c>
    </row>
    <row r="770" spans="1:7" ht="12.75">
      <c r="A770" s="8" t="str">
        <f ca="1">IFERROR(__xludf.DUMMYFUNCTION("""COMPUTED_VALUE"""),"20191009MAGRL")</f>
        <v>20191009MAGRL</v>
      </c>
      <c r="B770" s="8"/>
      <c r="C770" s="8" t="str">
        <f ca="1">IFERROR(__xludf.DUMMYFUNCTION("""COMPUTED_VALUE"""),"Male")</f>
        <v>Male</v>
      </c>
      <c r="D770" s="8" t="str">
        <f ca="1">IFERROR(__xludf.DUMMYFUNCTION("""COMPUTED_VALUE"""),"Unknown")</f>
        <v>Unknown</v>
      </c>
      <c r="E770" s="8" t="str">
        <f ca="1">IFERROR(__xludf.DUMMYFUNCTION("""COMPUTED_VALUE"""),"Fled/Apprehended")</f>
        <v>Fled/Apprehended</v>
      </c>
      <c r="F770" s="8" t="str">
        <f ca="1">IFERROR(__xludf.DUMMYFUNCTION("""COMPUTED_VALUE"""),"No")</f>
        <v>No</v>
      </c>
      <c r="G770" s="8" t="str">
        <f ca="1">IFERROR(__xludf.DUMMYFUNCTION("""COMPUTED_VALUE"""),"None")</f>
        <v>None</v>
      </c>
    </row>
    <row r="771" spans="1:7" ht="12.75">
      <c r="A771" s="8" t="str">
        <f ca="1">IFERROR(__xludf.DUMMYFUNCTION("""COMPUTED_VALUE"""),"20191009MAGRL")</f>
        <v>20191009MAGRL</v>
      </c>
      <c r="B771" s="8"/>
      <c r="C771" s="8" t="str">
        <f ca="1">IFERROR(__xludf.DUMMYFUNCTION("""COMPUTED_VALUE"""),"Male")</f>
        <v>Male</v>
      </c>
      <c r="D771" s="8" t="str">
        <f ca="1">IFERROR(__xludf.DUMMYFUNCTION("""COMPUTED_VALUE"""),"Unknown")</f>
        <v>Unknown</v>
      </c>
      <c r="E771" s="8" t="str">
        <f ca="1">IFERROR(__xludf.DUMMYFUNCTION("""COMPUTED_VALUE"""),"Fled/Apprehended")</f>
        <v>Fled/Apprehended</v>
      </c>
      <c r="F771" s="8" t="str">
        <f ca="1">IFERROR(__xludf.DUMMYFUNCTION("""COMPUTED_VALUE"""),"No")</f>
        <v>No</v>
      </c>
      <c r="G771" s="8" t="str">
        <f ca="1">IFERROR(__xludf.DUMMYFUNCTION("""COMPUTED_VALUE"""),"None")</f>
        <v>None</v>
      </c>
    </row>
    <row r="772" spans="1:7" ht="12.75">
      <c r="A772" s="8" t="str">
        <f ca="1">IFERROR(__xludf.DUMMYFUNCTION("""COMPUTED_VALUE"""),"20191008TXWEH")</f>
        <v>20191008TXWEH</v>
      </c>
      <c r="B772" s="8"/>
      <c r="C772" s="8"/>
      <c r="D772" s="8" t="str">
        <f ca="1">IFERROR(__xludf.DUMMYFUNCTION("""COMPUTED_VALUE"""),"Student")</f>
        <v>Student</v>
      </c>
      <c r="E772" s="8" t="str">
        <f ca="1">IFERROR(__xludf.DUMMYFUNCTION("""COMPUTED_VALUE"""),"Unknown")</f>
        <v>Unknown</v>
      </c>
      <c r="F772" s="8" t="str">
        <f ca="1">IFERROR(__xludf.DUMMYFUNCTION("""COMPUTED_VALUE"""),"No")</f>
        <v>No</v>
      </c>
      <c r="G772" s="8" t="str">
        <f ca="1">IFERROR(__xludf.DUMMYFUNCTION("""COMPUTED_VALUE"""),"None")</f>
        <v>None</v>
      </c>
    </row>
    <row r="773" spans="1:7" ht="12.75">
      <c r="A773" s="8" t="str">
        <f ca="1">IFERROR(__xludf.DUMMYFUNCTION("""COMPUTED_VALUE"""),"20191008COSHS")</f>
        <v>20191008COSHS</v>
      </c>
      <c r="B773" s="8">
        <f ca="1">IFERROR(__xludf.DUMMYFUNCTION("""COMPUTED_VALUE"""),16)</f>
        <v>16</v>
      </c>
      <c r="C773" s="8" t="str">
        <f ca="1">IFERROR(__xludf.DUMMYFUNCTION("""COMPUTED_VALUE"""),"Male")</f>
        <v>Male</v>
      </c>
      <c r="D773" s="8" t="str">
        <f ca="1">IFERROR(__xludf.DUMMYFUNCTION("""COMPUTED_VALUE"""),"Rival School Student")</f>
        <v>Rival School Student</v>
      </c>
      <c r="E773" s="8" t="str">
        <f ca="1">IFERROR(__xludf.DUMMYFUNCTION("""COMPUTED_VALUE"""),"Fled/Apprehended")</f>
        <v>Fled/Apprehended</v>
      </c>
      <c r="F773" s="8" t="str">
        <f ca="1">IFERROR(__xludf.DUMMYFUNCTION("""COMPUTED_VALUE"""),"No")</f>
        <v>No</v>
      </c>
      <c r="G773" s="8" t="str">
        <f ca="1">IFERROR(__xludf.DUMMYFUNCTION("""COMPUTED_VALUE"""),"None")</f>
        <v>None</v>
      </c>
    </row>
    <row r="774" spans="1:7" ht="12.75">
      <c r="A774" s="8" t="str">
        <f ca="1">IFERROR(__xludf.DUMMYFUNCTION("""COMPUTED_VALUE"""),"20191002GASOA")</f>
        <v>20191002GASOA</v>
      </c>
      <c r="B774" s="8" t="str">
        <f ca="1">IFERROR(__xludf.DUMMYFUNCTION("""COMPUTED_VALUE"""),"Adult")</f>
        <v>Adult</v>
      </c>
      <c r="C774" s="8" t="str">
        <f ca="1">IFERROR(__xludf.DUMMYFUNCTION("""COMPUTED_VALUE"""),"Male")</f>
        <v>Male</v>
      </c>
      <c r="D774" s="8" t="str">
        <f ca="1">IFERROR(__xludf.DUMMYFUNCTION("""COMPUTED_VALUE"""),"Nonstudent Using Athletic Facilities/Attending Game")</f>
        <v>Nonstudent Using Athletic Facilities/Attending Game</v>
      </c>
      <c r="E774" s="8" t="str">
        <f ca="1">IFERROR(__xludf.DUMMYFUNCTION("""COMPUTED_VALUE"""),"Subdued by Students/Staff/Other")</f>
        <v>Subdued by Students/Staff/Other</v>
      </c>
      <c r="F774" s="8" t="str">
        <f ca="1">IFERROR(__xludf.DUMMYFUNCTION("""COMPUTED_VALUE"""),"No")</f>
        <v>No</v>
      </c>
      <c r="G774" s="8" t="str">
        <f ca="1">IFERROR(__xludf.DUMMYFUNCTION("""COMPUTED_VALUE"""),"None")</f>
        <v>None</v>
      </c>
    </row>
    <row r="775" spans="1:7" ht="12.75">
      <c r="A775" s="8" t="str">
        <f ca="1">IFERROR(__xludf.DUMMYFUNCTION("""COMPUTED_VALUE"""),"20190927NCZEC")</f>
        <v>20190927NCZEC</v>
      </c>
      <c r="B775" s="8"/>
      <c r="C775" s="8"/>
      <c r="D775" s="8" t="str">
        <f ca="1">IFERROR(__xludf.DUMMYFUNCTION("""COMPUTED_VALUE"""),"Unknown")</f>
        <v>Unknown</v>
      </c>
      <c r="E775" s="8" t="str">
        <f ca="1">IFERROR(__xludf.DUMMYFUNCTION("""COMPUTED_VALUE"""),"Fled/Escaped")</f>
        <v>Fled/Escaped</v>
      </c>
      <c r="F775" s="8" t="str">
        <f ca="1">IFERROR(__xludf.DUMMYFUNCTION("""COMPUTED_VALUE"""),"No")</f>
        <v>No</v>
      </c>
      <c r="G775" s="8" t="str">
        <f ca="1">IFERROR(__xludf.DUMMYFUNCTION("""COMPUTED_VALUE"""),"None")</f>
        <v>None</v>
      </c>
    </row>
    <row r="776" spans="1:7" ht="12.75">
      <c r="A776" s="8" t="str">
        <f ca="1">IFERROR(__xludf.DUMMYFUNCTION("""COMPUTED_VALUE"""),"20190927CADER")</f>
        <v>20190927CADER</v>
      </c>
      <c r="B776" s="8">
        <f ca="1">IFERROR(__xludf.DUMMYFUNCTION("""COMPUTED_VALUE"""),17)</f>
        <v>17</v>
      </c>
      <c r="C776" s="8" t="str">
        <f ca="1">IFERROR(__xludf.DUMMYFUNCTION("""COMPUTED_VALUE"""),"Male")</f>
        <v>Male</v>
      </c>
      <c r="D776" s="8" t="str">
        <f ca="1">IFERROR(__xludf.DUMMYFUNCTION("""COMPUTED_VALUE"""),"Student")</f>
        <v>Student</v>
      </c>
      <c r="E776" s="8" t="str">
        <f ca="1">IFERROR(__xludf.DUMMYFUNCTION("""COMPUTED_VALUE"""),"Fled/Apprehended")</f>
        <v>Fled/Apprehended</v>
      </c>
      <c r="F776" s="8" t="str">
        <f ca="1">IFERROR(__xludf.DUMMYFUNCTION("""COMPUTED_VALUE"""),"No")</f>
        <v>No</v>
      </c>
      <c r="G776" s="8" t="str">
        <f ca="1">IFERROR(__xludf.DUMMYFUNCTION("""COMPUTED_VALUE"""),"None")</f>
        <v>None</v>
      </c>
    </row>
    <row r="777" spans="1:7" ht="12.75">
      <c r="A777" s="8" t="str">
        <f ca="1">IFERROR(__xludf.DUMMYFUNCTION("""COMPUTED_VALUE"""),"20190927CADER")</f>
        <v>20190927CADER</v>
      </c>
      <c r="B777" s="8" t="str">
        <f ca="1">IFERROR(__xludf.DUMMYFUNCTION("""COMPUTED_VALUE"""),"Teen")</f>
        <v>Teen</v>
      </c>
      <c r="C777" s="8" t="str">
        <f ca="1">IFERROR(__xludf.DUMMYFUNCTION("""COMPUTED_VALUE"""),"Male")</f>
        <v>Male</v>
      </c>
      <c r="D777" s="8" t="str">
        <f ca="1">IFERROR(__xludf.DUMMYFUNCTION("""COMPUTED_VALUE"""),"Student")</f>
        <v>Student</v>
      </c>
      <c r="E777" s="8" t="str">
        <f ca="1">IFERROR(__xludf.DUMMYFUNCTION("""COMPUTED_VALUE"""),"Fled/Apprehended")</f>
        <v>Fled/Apprehended</v>
      </c>
      <c r="F777" s="8" t="str">
        <f ca="1">IFERROR(__xludf.DUMMYFUNCTION("""COMPUTED_VALUE"""),"No")</f>
        <v>No</v>
      </c>
      <c r="G777" s="8" t="str">
        <f ca="1">IFERROR(__xludf.DUMMYFUNCTION("""COMPUTED_VALUE"""),"None")</f>
        <v>None</v>
      </c>
    </row>
    <row r="778" spans="1:7" ht="12.75">
      <c r="A778" s="8" t="str">
        <f ca="1">IFERROR(__xludf.DUMMYFUNCTION("""COMPUTED_VALUE"""),"20190920PASIP")</f>
        <v>20190920PASIP</v>
      </c>
      <c r="B778" s="8"/>
      <c r="C778" s="8" t="str">
        <f ca="1">IFERROR(__xludf.DUMMYFUNCTION("""COMPUTED_VALUE"""),"Male")</f>
        <v>Male</v>
      </c>
      <c r="D778" s="8" t="str">
        <f ca="1">IFERROR(__xludf.DUMMYFUNCTION("""COMPUTED_VALUE"""),"Unknown")</f>
        <v>Unknown</v>
      </c>
      <c r="E778" s="8" t="str">
        <f ca="1">IFERROR(__xludf.DUMMYFUNCTION("""COMPUTED_VALUE"""),"Fled/Escaped")</f>
        <v>Fled/Escaped</v>
      </c>
      <c r="F778" s="8" t="str">
        <f ca="1">IFERROR(__xludf.DUMMYFUNCTION("""COMPUTED_VALUE"""),"No")</f>
        <v>No</v>
      </c>
      <c r="G778" s="8" t="str">
        <f ca="1">IFERROR(__xludf.DUMMYFUNCTION("""COMPUTED_VALUE"""),"None")</f>
        <v>None</v>
      </c>
    </row>
    <row r="779" spans="1:7" ht="12.75">
      <c r="A779" s="8" t="str">
        <f ca="1">IFERROR(__xludf.DUMMYFUNCTION("""COMPUTED_VALUE"""),"20190918MNFOC")</f>
        <v>20190918MNFOC</v>
      </c>
      <c r="B779" s="8">
        <f ca="1">IFERROR(__xludf.DUMMYFUNCTION("""COMPUTED_VALUE"""),28)</f>
        <v>28</v>
      </c>
      <c r="C779" s="8" t="str">
        <f ca="1">IFERROR(__xludf.DUMMYFUNCTION("""COMPUTED_VALUE"""),"Male")</f>
        <v>Male</v>
      </c>
      <c r="D779" s="8" t="str">
        <f ca="1">IFERROR(__xludf.DUMMYFUNCTION("""COMPUTED_VALUE"""),"Nonstudent Using Athletic Facilities/Attending Game")</f>
        <v>Nonstudent Using Athletic Facilities/Attending Game</v>
      </c>
      <c r="E779" s="8" t="str">
        <f ca="1">IFERROR(__xludf.DUMMYFUNCTION("""COMPUTED_VALUE"""),"Apprehended/Killed by Other")</f>
        <v>Apprehended/Killed by Other</v>
      </c>
      <c r="F779" s="8" t="str">
        <f ca="1">IFERROR(__xludf.DUMMYFUNCTION("""COMPUTED_VALUE"""),"No")</f>
        <v>No</v>
      </c>
      <c r="G779" s="8" t="str">
        <f ca="1">IFERROR(__xludf.DUMMYFUNCTION("""COMPUTED_VALUE"""),"None")</f>
        <v>None</v>
      </c>
    </row>
    <row r="780" spans="1:7" ht="12.75">
      <c r="A780" s="8" t="str">
        <f ca="1">IFERROR(__xludf.DUMMYFUNCTION("""COMPUTED_VALUE"""),"20190916VAPHH")</f>
        <v>20190916VAPHH</v>
      </c>
      <c r="B780" s="8"/>
      <c r="C780" s="8" t="str">
        <f ca="1">IFERROR(__xludf.DUMMYFUNCTION("""COMPUTED_VALUE"""),"Male")</f>
        <v>Male</v>
      </c>
      <c r="D780" s="8" t="str">
        <f ca="1">IFERROR(__xludf.DUMMYFUNCTION("""COMPUTED_VALUE"""),"No Relation")</f>
        <v>No Relation</v>
      </c>
      <c r="E780" s="8" t="str">
        <f ca="1">IFERROR(__xludf.DUMMYFUNCTION("""COMPUTED_VALUE"""),"Fled/Apprehended")</f>
        <v>Fled/Apprehended</v>
      </c>
      <c r="F780" s="8" t="str">
        <f ca="1">IFERROR(__xludf.DUMMYFUNCTION("""COMPUTED_VALUE"""),"No")</f>
        <v>No</v>
      </c>
      <c r="G780" s="8" t="str">
        <f ca="1">IFERROR(__xludf.DUMMYFUNCTION("""COMPUTED_VALUE"""),"None")</f>
        <v>None</v>
      </c>
    </row>
    <row r="781" spans="1:7" ht="12.75">
      <c r="A781" s="8" t="str">
        <f ca="1">IFERROR(__xludf.DUMMYFUNCTION("""COMPUTED_VALUE"""),"20190916ILILK")</f>
        <v>20190916ILILK</v>
      </c>
      <c r="B781" s="8"/>
      <c r="C781" s="8" t="str">
        <f ca="1">IFERROR(__xludf.DUMMYFUNCTION("""COMPUTED_VALUE"""),"Male")</f>
        <v>Male</v>
      </c>
      <c r="D781" s="8" t="str">
        <f ca="1">IFERROR(__xludf.DUMMYFUNCTION("""COMPUTED_VALUE"""),"No Relation")</f>
        <v>No Relation</v>
      </c>
      <c r="E781" s="8" t="str">
        <f ca="1">IFERROR(__xludf.DUMMYFUNCTION("""COMPUTED_VALUE"""),"Fled/Escaped")</f>
        <v>Fled/Escaped</v>
      </c>
      <c r="F781" s="8" t="str">
        <f ca="1">IFERROR(__xludf.DUMMYFUNCTION("""COMPUTED_VALUE"""),"No")</f>
        <v>No</v>
      </c>
      <c r="G781" s="8" t="str">
        <f ca="1">IFERROR(__xludf.DUMMYFUNCTION("""COMPUTED_VALUE"""),"None")</f>
        <v>None</v>
      </c>
    </row>
    <row r="782" spans="1:7" ht="12.75">
      <c r="A782" s="8" t="str">
        <f ca="1">IFERROR(__xludf.DUMMYFUNCTION("""COMPUTED_VALUE"""),"20190914TXEAF")</f>
        <v>20190914TXEAF</v>
      </c>
      <c r="B782" s="8" t="str">
        <f ca="1">IFERROR(__xludf.DUMMYFUNCTION("""COMPUTED_VALUE"""),"Adult")</f>
        <v>Adult</v>
      </c>
      <c r="C782" s="8" t="str">
        <f ca="1">IFERROR(__xludf.DUMMYFUNCTION("""COMPUTED_VALUE"""),"Male")</f>
        <v>Male</v>
      </c>
      <c r="D782" s="8" t="str">
        <f ca="1">IFERROR(__xludf.DUMMYFUNCTION("""COMPUTED_VALUE"""),"Relative")</f>
        <v>Relative</v>
      </c>
      <c r="E782" s="8" t="str">
        <f ca="1">IFERROR(__xludf.DUMMYFUNCTION("""COMPUTED_VALUE"""),"Fled/Escaped")</f>
        <v>Fled/Escaped</v>
      </c>
      <c r="F782" s="8" t="str">
        <f ca="1">IFERROR(__xludf.DUMMYFUNCTION("""COMPUTED_VALUE"""),"No")</f>
        <v>No</v>
      </c>
      <c r="G782" s="8" t="str">
        <f ca="1">IFERROR(__xludf.DUMMYFUNCTION("""COMPUTED_VALUE"""),"None")</f>
        <v>None</v>
      </c>
    </row>
    <row r="783" spans="1:7" ht="12.75">
      <c r="A783" s="8" t="str">
        <f ca="1">IFERROR(__xludf.DUMMYFUNCTION("""COMPUTED_VALUE"""),"20190913VAETN")</f>
        <v>20190913VAETN</v>
      </c>
      <c r="B783" s="8"/>
      <c r="C783" s="8"/>
      <c r="D783" s="8" t="str">
        <f ca="1">IFERROR(__xludf.DUMMYFUNCTION("""COMPUTED_VALUE"""),"Unknown")</f>
        <v>Unknown</v>
      </c>
      <c r="E783" s="8" t="str">
        <f ca="1">IFERROR(__xludf.DUMMYFUNCTION("""COMPUTED_VALUE"""),"Fled/Escaped")</f>
        <v>Fled/Escaped</v>
      </c>
      <c r="F783" s="8" t="str">
        <f ca="1">IFERROR(__xludf.DUMMYFUNCTION("""COMPUTED_VALUE"""),"No")</f>
        <v>No</v>
      </c>
      <c r="G783" s="8" t="str">
        <f ca="1">IFERROR(__xludf.DUMMYFUNCTION("""COMPUTED_VALUE"""),"None")</f>
        <v>None</v>
      </c>
    </row>
    <row r="784" spans="1:7" ht="12.75">
      <c r="A784" s="8" t="str">
        <f ca="1">IFERROR(__xludf.DUMMYFUNCTION("""COMPUTED_VALUE"""),"20190913UTGRW")</f>
        <v>20190913UTGRW</v>
      </c>
      <c r="B784" s="8"/>
      <c r="C784" s="8" t="str">
        <f ca="1">IFERROR(__xludf.DUMMYFUNCTION("""COMPUTED_VALUE"""),"Male")</f>
        <v>Male</v>
      </c>
      <c r="D784" s="8" t="str">
        <f ca="1">IFERROR(__xludf.DUMMYFUNCTION("""COMPUTED_VALUE"""),"No Relation")</f>
        <v>No Relation</v>
      </c>
      <c r="E784" s="8" t="str">
        <f ca="1">IFERROR(__xludf.DUMMYFUNCTION("""COMPUTED_VALUE"""),"Fled/Apprehended")</f>
        <v>Fled/Apprehended</v>
      </c>
      <c r="F784" s="8" t="str">
        <f ca="1">IFERROR(__xludf.DUMMYFUNCTION("""COMPUTED_VALUE"""),"No")</f>
        <v>No</v>
      </c>
      <c r="G784" s="8" t="str">
        <f ca="1">IFERROR(__xludf.DUMMYFUNCTION("""COMPUTED_VALUE"""),"None")</f>
        <v>None</v>
      </c>
    </row>
    <row r="785" spans="1:7" ht="12.75">
      <c r="A785" s="8" t="str">
        <f ca="1">IFERROR(__xludf.DUMMYFUNCTION("""COMPUTED_VALUE"""),"20190912KSMAM")</f>
        <v>20190912KSMAM</v>
      </c>
      <c r="B785" s="8" t="str">
        <f ca="1">IFERROR(__xludf.DUMMYFUNCTION("""COMPUTED_VALUE"""),"Adult")</f>
        <v>Adult</v>
      </c>
      <c r="C785" s="8" t="str">
        <f ca="1">IFERROR(__xludf.DUMMYFUNCTION("""COMPUTED_VALUE"""),"Male")</f>
        <v>Male</v>
      </c>
      <c r="D785" s="8" t="str">
        <f ca="1">IFERROR(__xludf.DUMMYFUNCTION("""COMPUTED_VALUE"""),"No Relation")</f>
        <v>No Relation</v>
      </c>
      <c r="E785" s="8" t="str">
        <f ca="1">IFERROR(__xludf.DUMMYFUNCTION("""COMPUTED_VALUE"""),"Fled/Escaped")</f>
        <v>Fled/Escaped</v>
      </c>
      <c r="F785" s="8" t="str">
        <f ca="1">IFERROR(__xludf.DUMMYFUNCTION("""COMPUTED_VALUE"""),"No")</f>
        <v>No</v>
      </c>
      <c r="G785" s="8" t="str">
        <f ca="1">IFERROR(__xludf.DUMMYFUNCTION("""COMPUTED_VALUE"""),"None")</f>
        <v>None</v>
      </c>
    </row>
    <row r="786" spans="1:7" ht="12.75">
      <c r="A786" s="8" t="str">
        <f ca="1">IFERROR(__xludf.DUMMYFUNCTION("""COMPUTED_VALUE"""),"20190910SCSOA")</f>
        <v>20190910SCSOA</v>
      </c>
      <c r="B786" s="8" t="str">
        <f ca="1">IFERROR(__xludf.DUMMYFUNCTION("""COMPUTED_VALUE"""),"Teen")</f>
        <v>Teen</v>
      </c>
      <c r="C786" s="8" t="str">
        <f ca="1">IFERROR(__xludf.DUMMYFUNCTION("""COMPUTED_VALUE"""),"Male")</f>
        <v>Male</v>
      </c>
      <c r="D786" s="8" t="str">
        <f ca="1">IFERROR(__xludf.DUMMYFUNCTION("""COMPUTED_VALUE"""),"Unknown")</f>
        <v>Unknown</v>
      </c>
      <c r="E786" s="8" t="str">
        <f ca="1">IFERROR(__xludf.DUMMYFUNCTION("""COMPUTED_VALUE"""),"Fled/Escaped")</f>
        <v>Fled/Escaped</v>
      </c>
      <c r="F786" s="8" t="str">
        <f ca="1">IFERROR(__xludf.DUMMYFUNCTION("""COMPUTED_VALUE"""),"No")</f>
        <v>No</v>
      </c>
      <c r="G786" s="8" t="str">
        <f ca="1">IFERROR(__xludf.DUMMYFUNCTION("""COMPUTED_VALUE"""),"None")</f>
        <v>None</v>
      </c>
    </row>
    <row r="787" spans="1:7" ht="12.75">
      <c r="A787" s="8" t="str">
        <f ca="1">IFERROR(__xludf.DUMMYFUNCTION("""COMPUTED_VALUE"""),"20190906PAWEM")</f>
        <v>20190906PAWEM</v>
      </c>
      <c r="B787" s="8"/>
      <c r="C787" s="8"/>
      <c r="D787" s="8" t="str">
        <f ca="1">IFERROR(__xludf.DUMMYFUNCTION("""COMPUTED_VALUE"""),"Unknown")</f>
        <v>Unknown</v>
      </c>
      <c r="E787" s="8" t="str">
        <f ca="1">IFERROR(__xludf.DUMMYFUNCTION("""COMPUTED_VALUE"""),"Fled/Escaped")</f>
        <v>Fled/Escaped</v>
      </c>
      <c r="F787" s="8" t="str">
        <f ca="1">IFERROR(__xludf.DUMMYFUNCTION("""COMPUTED_VALUE"""),"No")</f>
        <v>No</v>
      </c>
      <c r="G787" s="8" t="str">
        <f ca="1">IFERROR(__xludf.DUMMYFUNCTION("""COMPUTED_VALUE"""),"None")</f>
        <v>None</v>
      </c>
    </row>
    <row r="788" spans="1:7" ht="12.75">
      <c r="A788" s="8" t="str">
        <f ca="1">IFERROR(__xludf.DUMMYFUNCTION("""COMPUTED_VALUE"""),"20190906PAMCJ")</f>
        <v>20190906PAMCJ</v>
      </c>
      <c r="B788" s="8">
        <f ca="1">IFERROR(__xludf.DUMMYFUNCTION("""COMPUTED_VALUE"""),40)</f>
        <v>40</v>
      </c>
      <c r="C788" s="8" t="str">
        <f ca="1">IFERROR(__xludf.DUMMYFUNCTION("""COMPUTED_VALUE"""),"Male")</f>
        <v>Male</v>
      </c>
      <c r="D788" s="8" t="str">
        <f ca="1">IFERROR(__xludf.DUMMYFUNCTION("""COMPUTED_VALUE"""),"Unknown")</f>
        <v>Unknown</v>
      </c>
      <c r="E788" s="8" t="str">
        <f ca="1">IFERROR(__xludf.DUMMYFUNCTION("""COMPUTED_VALUE"""),"Fled/Apprehended")</f>
        <v>Fled/Apprehended</v>
      </c>
      <c r="F788" s="8" t="str">
        <f ca="1">IFERROR(__xludf.DUMMYFUNCTION("""COMPUTED_VALUE"""),"No")</f>
        <v>No</v>
      </c>
      <c r="G788" s="8" t="str">
        <f ca="1">IFERROR(__xludf.DUMMYFUNCTION("""COMPUTED_VALUE"""),"None")</f>
        <v>None</v>
      </c>
    </row>
    <row r="789" spans="1:7" ht="12.75">
      <c r="A789" s="8" t="str">
        <f ca="1">IFERROR(__xludf.DUMMYFUNCTION("""COMPUTED_VALUE"""),"20190906ALCEC")</f>
        <v>20190906ALCEC</v>
      </c>
      <c r="B789" s="8"/>
      <c r="C789" s="8"/>
      <c r="D789" s="8" t="str">
        <f ca="1">IFERROR(__xludf.DUMMYFUNCTION("""COMPUTED_VALUE"""),"Unknown")</f>
        <v>Unknown</v>
      </c>
      <c r="E789" s="8" t="str">
        <f ca="1">IFERROR(__xludf.DUMMYFUNCTION("""COMPUTED_VALUE"""),"Fled/Escaped")</f>
        <v>Fled/Escaped</v>
      </c>
      <c r="F789" s="8" t="str">
        <f ca="1">IFERROR(__xludf.DUMMYFUNCTION("""COMPUTED_VALUE"""),"No")</f>
        <v>No</v>
      </c>
      <c r="G789" s="8" t="str">
        <f ca="1">IFERROR(__xludf.DUMMYFUNCTION("""COMPUTED_VALUE"""),"None")</f>
        <v>None</v>
      </c>
    </row>
    <row r="790" spans="1:7" ht="12.75">
      <c r="A790" s="8" t="str">
        <f ca="1">IFERROR(__xludf.DUMMYFUNCTION("""COMPUTED_VALUE"""),"20190902MDNOB")</f>
        <v>20190902MDNOB</v>
      </c>
      <c r="B790" s="8"/>
      <c r="C790" s="8"/>
      <c r="D790" s="8" t="str">
        <f ca="1">IFERROR(__xludf.DUMMYFUNCTION("""COMPUTED_VALUE"""),"No Relation")</f>
        <v>No Relation</v>
      </c>
      <c r="E790" s="8" t="str">
        <f ca="1">IFERROR(__xludf.DUMMYFUNCTION("""COMPUTED_VALUE"""),"Fled/Escaped")</f>
        <v>Fled/Escaped</v>
      </c>
      <c r="F790" s="8" t="str">
        <f ca="1">IFERROR(__xludf.DUMMYFUNCTION("""COMPUTED_VALUE"""),"No")</f>
        <v>No</v>
      </c>
      <c r="G790" s="8" t="str">
        <f ca="1">IFERROR(__xludf.DUMMYFUNCTION("""COMPUTED_VALUE"""),"None")</f>
        <v>None</v>
      </c>
    </row>
    <row r="791" spans="1:7" ht="12.75">
      <c r="A791" s="8" t="str">
        <f ca="1">IFERROR(__xludf.DUMMYFUNCTION("""COMPUTED_VALUE"""),"20190830OHCET")</f>
        <v>20190830OHCET</v>
      </c>
      <c r="B791" s="8"/>
      <c r="C791" s="8" t="str">
        <f ca="1">IFERROR(__xludf.DUMMYFUNCTION("""COMPUTED_VALUE"""),"Male")</f>
        <v>Male</v>
      </c>
      <c r="D791" s="8" t="str">
        <f ca="1">IFERROR(__xludf.DUMMYFUNCTION("""COMPUTED_VALUE"""),"Nonstudent Using Athletic Facilities/Attending Game")</f>
        <v>Nonstudent Using Athletic Facilities/Attending Game</v>
      </c>
      <c r="E791" s="8" t="str">
        <f ca="1">IFERROR(__xludf.DUMMYFUNCTION("""COMPUTED_VALUE"""),"Fled/Escaped")</f>
        <v>Fled/Escaped</v>
      </c>
      <c r="F791" s="8" t="str">
        <f ca="1">IFERROR(__xludf.DUMMYFUNCTION("""COMPUTED_VALUE"""),"No")</f>
        <v>No</v>
      </c>
      <c r="G791" s="8" t="str">
        <f ca="1">IFERROR(__xludf.DUMMYFUNCTION("""COMPUTED_VALUE"""),"None")</f>
        <v>None</v>
      </c>
    </row>
    <row r="792" spans="1:7" ht="12.75">
      <c r="A792" s="8" t="str">
        <f ca="1">IFERROR(__xludf.DUMMYFUNCTION("""COMPUTED_VALUE"""),"20190830NCKIK")</f>
        <v>20190830NCKIK</v>
      </c>
      <c r="B792" s="8">
        <f ca="1">IFERROR(__xludf.DUMMYFUNCTION("""COMPUTED_VALUE"""),17)</f>
        <v>17</v>
      </c>
      <c r="C792" s="8" t="str">
        <f ca="1">IFERROR(__xludf.DUMMYFUNCTION("""COMPUTED_VALUE"""),"Male")</f>
        <v>Male</v>
      </c>
      <c r="D792" s="8" t="str">
        <f ca="1">IFERROR(__xludf.DUMMYFUNCTION("""COMPUTED_VALUE"""),"Nonstudent Using Athletic Facilities/Attending Game")</f>
        <v>Nonstudent Using Athletic Facilities/Attending Game</v>
      </c>
      <c r="E792" s="8" t="str">
        <f ca="1">IFERROR(__xludf.DUMMYFUNCTION("""COMPUTED_VALUE"""),"Fled/Apprehended")</f>
        <v>Fled/Apprehended</v>
      </c>
      <c r="F792" s="8" t="str">
        <f ca="1">IFERROR(__xludf.DUMMYFUNCTION("""COMPUTED_VALUE"""),"No")</f>
        <v>No</v>
      </c>
      <c r="G792" s="8" t="str">
        <f ca="1">IFERROR(__xludf.DUMMYFUNCTION("""COMPUTED_VALUE"""),"None")</f>
        <v>None</v>
      </c>
    </row>
    <row r="793" spans="1:7" ht="12.75">
      <c r="A793" s="8" t="str">
        <f ca="1">IFERROR(__xludf.DUMMYFUNCTION("""COMPUTED_VALUE"""),"20190830ALLAM")</f>
        <v>20190830ALLAM</v>
      </c>
      <c r="B793" s="8">
        <f ca="1">IFERROR(__xludf.DUMMYFUNCTION("""COMPUTED_VALUE"""),17)</f>
        <v>17</v>
      </c>
      <c r="C793" s="8" t="str">
        <f ca="1">IFERROR(__xludf.DUMMYFUNCTION("""COMPUTED_VALUE"""),"Male")</f>
        <v>Male</v>
      </c>
      <c r="D793" s="8" t="str">
        <f ca="1">IFERROR(__xludf.DUMMYFUNCTION("""COMPUTED_VALUE"""),"Student")</f>
        <v>Student</v>
      </c>
      <c r="E793" s="8" t="str">
        <f ca="1">IFERROR(__xludf.DUMMYFUNCTION("""COMPUTED_VALUE"""),"Fled/Apprehended")</f>
        <v>Fled/Apprehended</v>
      </c>
      <c r="F793" s="8" t="str">
        <f ca="1">IFERROR(__xludf.DUMMYFUNCTION("""COMPUTED_VALUE"""),"No")</f>
        <v>No</v>
      </c>
      <c r="G793" s="8" t="str">
        <f ca="1">IFERROR(__xludf.DUMMYFUNCTION("""COMPUTED_VALUE"""),"None")</f>
        <v>None</v>
      </c>
    </row>
    <row r="794" spans="1:7" ht="12.75">
      <c r="A794" s="8" t="str">
        <f ca="1">IFERROR(__xludf.DUMMYFUNCTION("""COMPUTED_VALUE"""),"20190827NYROR")</f>
        <v>20190827NYROR</v>
      </c>
      <c r="B794" s="8" t="str">
        <f ca="1">IFERROR(__xludf.DUMMYFUNCTION("""COMPUTED_VALUE"""),"Adult")</f>
        <v>Adult</v>
      </c>
      <c r="C794" s="8" t="str">
        <f ca="1">IFERROR(__xludf.DUMMYFUNCTION("""COMPUTED_VALUE"""),"Male")</f>
        <v>Male</v>
      </c>
      <c r="D794" s="8" t="str">
        <f ca="1">IFERROR(__xludf.DUMMYFUNCTION("""COMPUTED_VALUE"""),"Unknown")</f>
        <v>Unknown</v>
      </c>
      <c r="E794" s="8" t="str">
        <f ca="1">IFERROR(__xludf.DUMMYFUNCTION("""COMPUTED_VALUE"""),"Fled/Escaped")</f>
        <v>Fled/Escaped</v>
      </c>
      <c r="F794" s="8" t="str">
        <f ca="1">IFERROR(__xludf.DUMMYFUNCTION("""COMPUTED_VALUE"""),"No")</f>
        <v>No</v>
      </c>
      <c r="G794" s="8" t="str">
        <f ca="1">IFERROR(__xludf.DUMMYFUNCTION("""COMPUTED_VALUE"""),"None")</f>
        <v>None</v>
      </c>
    </row>
    <row r="795" spans="1:7" ht="12.75">
      <c r="A795" s="8" t="str">
        <f ca="1">IFERROR(__xludf.DUMMYFUNCTION("""COMPUTED_VALUE"""),"20190827CAHOL")</f>
        <v>20190827CAHOL</v>
      </c>
      <c r="B795" s="8"/>
      <c r="C795" s="8"/>
      <c r="D795" s="8" t="str">
        <f ca="1">IFERROR(__xludf.DUMMYFUNCTION("""COMPUTED_VALUE"""),"Unknown")</f>
        <v>Unknown</v>
      </c>
      <c r="E795" s="8" t="str">
        <f ca="1">IFERROR(__xludf.DUMMYFUNCTION("""COMPUTED_VALUE"""),"Fled/Escaped")</f>
        <v>Fled/Escaped</v>
      </c>
      <c r="F795" s="8" t="str">
        <f ca="1">IFERROR(__xludf.DUMMYFUNCTION("""COMPUTED_VALUE"""),"No")</f>
        <v>No</v>
      </c>
      <c r="G795" s="8" t="str">
        <f ca="1">IFERROR(__xludf.DUMMYFUNCTION("""COMPUTED_VALUE"""),"None")</f>
        <v>None</v>
      </c>
    </row>
    <row r="796" spans="1:7" ht="12.75">
      <c r="A796" s="8" t="str">
        <f ca="1">IFERROR(__xludf.DUMMYFUNCTION("""COMPUTED_VALUE"""),"20190824PAWIP")</f>
        <v>20190824PAWIP</v>
      </c>
      <c r="B796" s="8"/>
      <c r="C796" s="8" t="str">
        <f ca="1">IFERROR(__xludf.DUMMYFUNCTION("""COMPUTED_VALUE"""),"Male")</f>
        <v>Male</v>
      </c>
      <c r="D796" s="8" t="str">
        <f ca="1">IFERROR(__xludf.DUMMYFUNCTION("""COMPUTED_VALUE"""),"No Relation")</f>
        <v>No Relation</v>
      </c>
      <c r="E796" s="8" t="str">
        <f ca="1">IFERROR(__xludf.DUMMYFUNCTION("""COMPUTED_VALUE"""),"Fled/Escaped")</f>
        <v>Fled/Escaped</v>
      </c>
      <c r="F796" s="8" t="str">
        <f ca="1">IFERROR(__xludf.DUMMYFUNCTION("""COMPUTED_VALUE"""),"No")</f>
        <v>No</v>
      </c>
      <c r="G796" s="8" t="str">
        <f ca="1">IFERROR(__xludf.DUMMYFUNCTION("""COMPUTED_VALUE"""),"None")</f>
        <v>None</v>
      </c>
    </row>
    <row r="797" spans="1:7" ht="12.75">
      <c r="A797" s="8" t="str">
        <f ca="1">IFERROR(__xludf.DUMMYFUNCTION("""COMPUTED_VALUE"""),"20190823MOROS")</f>
        <v>20190823MOROS</v>
      </c>
      <c r="B797" s="8"/>
      <c r="C797" s="8"/>
      <c r="D797" s="8" t="str">
        <f ca="1">IFERROR(__xludf.DUMMYFUNCTION("""COMPUTED_VALUE"""),"Unknown")</f>
        <v>Unknown</v>
      </c>
      <c r="E797" s="8" t="str">
        <f ca="1">IFERROR(__xludf.DUMMYFUNCTION("""COMPUTED_VALUE"""),"Fled/Escaped")</f>
        <v>Fled/Escaped</v>
      </c>
      <c r="F797" s="8" t="str">
        <f ca="1">IFERROR(__xludf.DUMMYFUNCTION("""COMPUTED_VALUE"""),"No")</f>
        <v>No</v>
      </c>
      <c r="G797" s="8" t="str">
        <f ca="1">IFERROR(__xludf.DUMMYFUNCTION("""COMPUTED_VALUE"""),"None")</f>
        <v>None</v>
      </c>
    </row>
    <row r="798" spans="1:7" ht="12.75">
      <c r="A798" s="8" t="str">
        <f ca="1">IFERROR(__xludf.DUMMYFUNCTION("""COMPUTED_VALUE"""),"20190823MOPAS")</f>
        <v>20190823MOPAS</v>
      </c>
      <c r="B798" s="8"/>
      <c r="C798" s="8" t="str">
        <f ca="1">IFERROR(__xludf.DUMMYFUNCTION("""COMPUTED_VALUE"""),"Male")</f>
        <v>Male</v>
      </c>
      <c r="D798" s="8" t="str">
        <f ca="1">IFERROR(__xludf.DUMMYFUNCTION("""COMPUTED_VALUE"""),"Unknown")</f>
        <v>Unknown</v>
      </c>
      <c r="E798" s="8" t="str">
        <f ca="1">IFERROR(__xludf.DUMMYFUNCTION("""COMPUTED_VALUE"""),"Fled/Escaped")</f>
        <v>Fled/Escaped</v>
      </c>
      <c r="F798" s="8" t="str">
        <f ca="1">IFERROR(__xludf.DUMMYFUNCTION("""COMPUTED_VALUE"""),"No")</f>
        <v>No</v>
      </c>
      <c r="G798" s="8" t="str">
        <f ca="1">IFERROR(__xludf.DUMMYFUNCTION("""COMPUTED_VALUE"""),"None")</f>
        <v>None</v>
      </c>
    </row>
    <row r="799" spans="1:7" ht="12.75">
      <c r="A799" s="8" t="str">
        <f ca="1">IFERROR(__xludf.DUMMYFUNCTION("""COMPUTED_VALUE"""),"20190823GAPEC")</f>
        <v>20190823GAPEC</v>
      </c>
      <c r="B799" s="8">
        <f ca="1">IFERROR(__xludf.DUMMYFUNCTION("""COMPUTED_VALUE"""),15)</f>
        <v>15</v>
      </c>
      <c r="C799" s="8" t="str">
        <f ca="1">IFERROR(__xludf.DUMMYFUNCTION("""COMPUTED_VALUE"""),"Male")</f>
        <v>Male</v>
      </c>
      <c r="D799" s="8" t="str">
        <f ca="1">IFERROR(__xludf.DUMMYFUNCTION("""COMPUTED_VALUE"""),"Unknown")</f>
        <v>Unknown</v>
      </c>
      <c r="E799" s="8" t="str">
        <f ca="1">IFERROR(__xludf.DUMMYFUNCTION("""COMPUTED_VALUE"""),"Unknown")</f>
        <v>Unknown</v>
      </c>
      <c r="F799" s="8" t="str">
        <f ca="1">IFERROR(__xludf.DUMMYFUNCTION("""COMPUTED_VALUE"""),"No")</f>
        <v>No</v>
      </c>
      <c r="G799" s="8" t="str">
        <f ca="1">IFERROR(__xludf.DUMMYFUNCTION("""COMPUTED_VALUE"""),"None")</f>
        <v>None</v>
      </c>
    </row>
    <row r="800" spans="1:7" ht="12.75">
      <c r="A800" s="8" t="str">
        <f ca="1">IFERROR(__xludf.DUMMYFUNCTION("""COMPUTED_VALUE"""),"20190820PASAC")</f>
        <v>20190820PASAC</v>
      </c>
      <c r="B800" s="8" t="str">
        <f ca="1">IFERROR(__xludf.DUMMYFUNCTION("""COMPUTED_VALUE"""),"Adult")</f>
        <v>Adult</v>
      </c>
      <c r="C800" s="8" t="str">
        <f ca="1">IFERROR(__xludf.DUMMYFUNCTION("""COMPUTED_VALUE"""),"Male")</f>
        <v>Male</v>
      </c>
      <c r="D800" s="8" t="str">
        <f ca="1">IFERROR(__xludf.DUMMYFUNCTION("""COMPUTED_VALUE"""),"Parent")</f>
        <v>Parent</v>
      </c>
      <c r="E800" s="8" t="str">
        <f ca="1">IFERROR(__xludf.DUMMYFUNCTION("""COMPUTED_VALUE"""),"Surrendered")</f>
        <v>Surrendered</v>
      </c>
      <c r="F800" s="8" t="str">
        <f ca="1">IFERROR(__xludf.DUMMYFUNCTION("""COMPUTED_VALUE"""),"No")</f>
        <v>No</v>
      </c>
      <c r="G800" s="8" t="str">
        <f ca="1">IFERROR(__xludf.DUMMYFUNCTION("""COMPUTED_VALUE"""),"Wounded")</f>
        <v>Wounded</v>
      </c>
    </row>
    <row r="801" spans="1:7" ht="12.75">
      <c r="A801" s="8" t="str">
        <f ca="1">IFERROR(__xludf.DUMMYFUNCTION("""COMPUTED_VALUE"""),"20190817GALAA")</f>
        <v>20190817GALAA</v>
      </c>
      <c r="B801" s="8">
        <f ca="1">IFERROR(__xludf.DUMMYFUNCTION("""COMPUTED_VALUE"""),15)</f>
        <v>15</v>
      </c>
      <c r="C801" s="8" t="str">
        <f ca="1">IFERROR(__xludf.DUMMYFUNCTION("""COMPUTED_VALUE"""),"Male")</f>
        <v>Male</v>
      </c>
      <c r="D801" s="8" t="str">
        <f ca="1">IFERROR(__xludf.DUMMYFUNCTION("""COMPUTED_VALUE"""),"Student")</f>
        <v>Student</v>
      </c>
      <c r="E801" s="8" t="str">
        <f ca="1">IFERROR(__xludf.DUMMYFUNCTION("""COMPUTED_VALUE"""),"Fled/Apprehended")</f>
        <v>Fled/Apprehended</v>
      </c>
      <c r="F801" s="8" t="str">
        <f ca="1">IFERROR(__xludf.DUMMYFUNCTION("""COMPUTED_VALUE"""),"No")</f>
        <v>No</v>
      </c>
      <c r="G801" s="8" t="str">
        <f ca="1">IFERROR(__xludf.DUMMYFUNCTION("""COMPUTED_VALUE"""),"None")</f>
        <v>None</v>
      </c>
    </row>
    <row r="802" spans="1:7" ht="12.75">
      <c r="A802" s="8" t="str">
        <f ca="1">IFERROR(__xludf.DUMMYFUNCTION("""COMPUTED_VALUE"""),"20190815TNEAN")</f>
        <v>20190815TNEAN</v>
      </c>
      <c r="B802" s="8">
        <f ca="1">IFERROR(__xludf.DUMMYFUNCTION("""COMPUTED_VALUE"""),15)</f>
        <v>15</v>
      </c>
      <c r="C802" s="8" t="str">
        <f ca="1">IFERROR(__xludf.DUMMYFUNCTION("""COMPUTED_VALUE"""),"Male")</f>
        <v>Male</v>
      </c>
      <c r="D802" s="8" t="str">
        <f ca="1">IFERROR(__xludf.DUMMYFUNCTION("""COMPUTED_VALUE"""),"Rival School Student")</f>
        <v>Rival School Student</v>
      </c>
      <c r="E802" s="8" t="str">
        <f ca="1">IFERROR(__xludf.DUMMYFUNCTION("""COMPUTED_VALUE"""),"Fled/Apprehended")</f>
        <v>Fled/Apprehended</v>
      </c>
      <c r="F802" s="8" t="str">
        <f ca="1">IFERROR(__xludf.DUMMYFUNCTION("""COMPUTED_VALUE"""),"No")</f>
        <v>No</v>
      </c>
      <c r="G802" s="8" t="str">
        <f ca="1">IFERROR(__xludf.DUMMYFUNCTION("""COMPUTED_VALUE"""),"None")</f>
        <v>None</v>
      </c>
    </row>
    <row r="803" spans="1:7" ht="12.75">
      <c r="A803" s="8" t="str">
        <f ca="1">IFERROR(__xludf.DUMMYFUNCTION("""COMPUTED_VALUE"""),"20190809NJWEN")</f>
        <v>20190809NJWEN</v>
      </c>
      <c r="B803" s="8">
        <f ca="1">IFERROR(__xludf.DUMMYFUNCTION("""COMPUTED_VALUE"""),16)</f>
        <v>16</v>
      </c>
      <c r="C803" s="8" t="str">
        <f ca="1">IFERROR(__xludf.DUMMYFUNCTION("""COMPUTED_VALUE"""),"Male")</f>
        <v>Male</v>
      </c>
      <c r="D803" s="8" t="str">
        <f ca="1">IFERROR(__xludf.DUMMYFUNCTION("""COMPUTED_VALUE"""),"No Relation")</f>
        <v>No Relation</v>
      </c>
      <c r="E803" s="8" t="str">
        <f ca="1">IFERROR(__xludf.DUMMYFUNCTION("""COMPUTED_VALUE"""),"Fled/Apprehended")</f>
        <v>Fled/Apprehended</v>
      </c>
      <c r="F803" s="8" t="str">
        <f ca="1">IFERROR(__xludf.DUMMYFUNCTION("""COMPUTED_VALUE"""),"No")</f>
        <v>No</v>
      </c>
      <c r="G803" s="8" t="str">
        <f ca="1">IFERROR(__xludf.DUMMYFUNCTION("""COMPUTED_VALUE"""),"None")</f>
        <v>None</v>
      </c>
    </row>
    <row r="804" spans="1:7" ht="12.75">
      <c r="A804" s="8" t="str">
        <f ca="1">IFERROR(__xludf.DUMMYFUNCTION("""COMPUTED_VALUE"""),"20190808ALBLM")</f>
        <v>20190808ALBLM</v>
      </c>
      <c r="B804" s="8">
        <f ca="1">IFERROR(__xludf.DUMMYFUNCTION("""COMPUTED_VALUE"""),38)</f>
        <v>38</v>
      </c>
      <c r="C804" s="8" t="str">
        <f ca="1">IFERROR(__xludf.DUMMYFUNCTION("""COMPUTED_VALUE"""),"Male")</f>
        <v>Male</v>
      </c>
      <c r="D804" s="8" t="str">
        <f ca="1">IFERROR(__xludf.DUMMYFUNCTION("""COMPUTED_VALUE"""),"Parent")</f>
        <v>Parent</v>
      </c>
      <c r="E804" s="8" t="str">
        <f ca="1">IFERROR(__xludf.DUMMYFUNCTION("""COMPUTED_VALUE"""),"Surrendered")</f>
        <v>Surrendered</v>
      </c>
      <c r="F804" s="8" t="str">
        <f ca="1">IFERROR(__xludf.DUMMYFUNCTION("""COMPUTED_VALUE"""),"No")</f>
        <v>No</v>
      </c>
      <c r="G804" s="8" t="str">
        <f ca="1">IFERROR(__xludf.DUMMYFUNCTION("""COMPUTED_VALUE"""),"None")</f>
        <v>None</v>
      </c>
    </row>
    <row r="805" spans="1:7" ht="12.75">
      <c r="A805" s="8" t="str">
        <f ca="1">IFERROR(__xludf.DUMMYFUNCTION("""COMPUTED_VALUE"""),"20190719CAMOS")</f>
        <v>20190719CAMOS</v>
      </c>
      <c r="B805" s="8" t="str">
        <f ca="1">IFERROR(__xludf.DUMMYFUNCTION("""COMPUTED_VALUE"""),"Teen")</f>
        <v>Teen</v>
      </c>
      <c r="C805" s="8" t="str">
        <f ca="1">IFERROR(__xludf.DUMMYFUNCTION("""COMPUTED_VALUE"""),"Male")</f>
        <v>Male</v>
      </c>
      <c r="D805" s="8" t="str">
        <f ca="1">IFERROR(__xludf.DUMMYFUNCTION("""COMPUTED_VALUE"""),"Unknown")</f>
        <v>Unknown</v>
      </c>
      <c r="E805" s="8" t="str">
        <f ca="1">IFERROR(__xludf.DUMMYFUNCTION("""COMPUTED_VALUE"""),"Fled/Escaped")</f>
        <v>Fled/Escaped</v>
      </c>
      <c r="F805" s="8" t="str">
        <f ca="1">IFERROR(__xludf.DUMMYFUNCTION("""COMPUTED_VALUE"""),"No")</f>
        <v>No</v>
      </c>
      <c r="G805" s="8" t="str">
        <f ca="1">IFERROR(__xludf.DUMMYFUNCTION("""COMPUTED_VALUE"""),"None")</f>
        <v>None</v>
      </c>
    </row>
    <row r="806" spans="1:7" ht="12.75">
      <c r="A806" s="8" t="str">
        <f ca="1">IFERROR(__xludf.DUMMYFUNCTION("""COMPUTED_VALUE"""),"20190711CTBUH")</f>
        <v>20190711CTBUH</v>
      </c>
      <c r="B806" s="8">
        <f ca="1">IFERROR(__xludf.DUMMYFUNCTION("""COMPUTED_VALUE"""),23)</f>
        <v>23</v>
      </c>
      <c r="C806" s="8" t="str">
        <f ca="1">IFERROR(__xludf.DUMMYFUNCTION("""COMPUTED_VALUE"""),"Female")</f>
        <v>Female</v>
      </c>
      <c r="D806" s="8" t="str">
        <f ca="1">IFERROR(__xludf.DUMMYFUNCTION("""COMPUTED_VALUE"""),"No Relation")</f>
        <v>No Relation</v>
      </c>
      <c r="E806" s="8" t="str">
        <f ca="1">IFERROR(__xludf.DUMMYFUNCTION("""COMPUTED_VALUE"""),"Fled/Apprehended")</f>
        <v>Fled/Apprehended</v>
      </c>
      <c r="F806" s="8" t="str">
        <f ca="1">IFERROR(__xludf.DUMMYFUNCTION("""COMPUTED_VALUE"""),"No")</f>
        <v>No</v>
      </c>
      <c r="G806" s="8" t="str">
        <f ca="1">IFERROR(__xludf.DUMMYFUNCTION("""COMPUTED_VALUE"""),"None")</f>
        <v>None</v>
      </c>
    </row>
    <row r="807" spans="1:7" ht="12.75">
      <c r="A807" s="8" t="str">
        <f ca="1">IFERROR(__xludf.DUMMYFUNCTION("""COMPUTED_VALUE"""),"20190702AKWIA")</f>
        <v>20190702AKWIA</v>
      </c>
      <c r="B807" s="8">
        <f ca="1">IFERROR(__xludf.DUMMYFUNCTION("""COMPUTED_VALUE"""),22)</f>
        <v>22</v>
      </c>
      <c r="C807" s="8" t="str">
        <f ca="1">IFERROR(__xludf.DUMMYFUNCTION("""COMPUTED_VALUE"""),"Male")</f>
        <v>Male</v>
      </c>
      <c r="D807" s="8" t="str">
        <f ca="1">IFERROR(__xludf.DUMMYFUNCTION("""COMPUTED_VALUE"""),"Nonstudent Using Athletic Facilities/Attending Game")</f>
        <v>Nonstudent Using Athletic Facilities/Attending Game</v>
      </c>
      <c r="E807" s="8" t="str">
        <f ca="1">IFERROR(__xludf.DUMMYFUNCTION("""COMPUTED_VALUE"""),"Fled/Apprehended")</f>
        <v>Fled/Apprehended</v>
      </c>
      <c r="F807" s="8" t="str">
        <f ca="1">IFERROR(__xludf.DUMMYFUNCTION("""COMPUTED_VALUE"""),"No")</f>
        <v>No</v>
      </c>
      <c r="G807" s="8" t="str">
        <f ca="1">IFERROR(__xludf.DUMMYFUNCTION("""COMPUTED_VALUE"""),"None")</f>
        <v>None</v>
      </c>
    </row>
    <row r="808" spans="1:7" ht="12.75">
      <c r="A808" s="8" t="str">
        <f ca="1">IFERROR(__xludf.DUMMYFUNCTION("""COMPUTED_VALUE"""),"20190701NYSCN")</f>
        <v>20190701NYSCN</v>
      </c>
      <c r="B808" s="8" t="str">
        <f ca="1">IFERROR(__xludf.DUMMYFUNCTION("""COMPUTED_VALUE"""),"Adult")</f>
        <v>Adult</v>
      </c>
      <c r="C808" s="8" t="str">
        <f ca="1">IFERROR(__xludf.DUMMYFUNCTION("""COMPUTED_VALUE"""),"Male")</f>
        <v>Male</v>
      </c>
      <c r="D808" s="8" t="str">
        <f ca="1">IFERROR(__xludf.DUMMYFUNCTION("""COMPUTED_VALUE"""),"No Relation")</f>
        <v>No Relation</v>
      </c>
      <c r="E808" s="8" t="str">
        <f ca="1">IFERROR(__xludf.DUMMYFUNCTION("""COMPUTED_VALUE"""),"Fled/Escaped")</f>
        <v>Fled/Escaped</v>
      </c>
      <c r="F808" s="8" t="str">
        <f ca="1">IFERROR(__xludf.DUMMYFUNCTION("""COMPUTED_VALUE"""),"No")</f>
        <v>No</v>
      </c>
      <c r="G808" s="8" t="str">
        <f ca="1">IFERROR(__xludf.DUMMYFUNCTION("""COMPUTED_VALUE"""),"None")</f>
        <v>None</v>
      </c>
    </row>
    <row r="809" spans="1:7" ht="12.75">
      <c r="A809" s="8" t="str">
        <f ca="1">IFERROR(__xludf.DUMMYFUNCTION("""COMPUTED_VALUE"""),"20190629COJAC")</f>
        <v>20190629COJAC</v>
      </c>
      <c r="B809" s="8"/>
      <c r="C809" s="8" t="str">
        <f ca="1">IFERROR(__xludf.DUMMYFUNCTION("""COMPUTED_VALUE"""),"Male")</f>
        <v>Male</v>
      </c>
      <c r="D809" s="8" t="str">
        <f ca="1">IFERROR(__xludf.DUMMYFUNCTION("""COMPUTED_VALUE"""),"No Relation")</f>
        <v>No Relation</v>
      </c>
      <c r="E809" s="8" t="str">
        <f ca="1">IFERROR(__xludf.DUMMYFUNCTION("""COMPUTED_VALUE"""),"Fled/Escaped")</f>
        <v>Fled/Escaped</v>
      </c>
      <c r="F809" s="8" t="str">
        <f ca="1">IFERROR(__xludf.DUMMYFUNCTION("""COMPUTED_VALUE"""),"No")</f>
        <v>No</v>
      </c>
      <c r="G809" s="8" t="str">
        <f ca="1">IFERROR(__xludf.DUMMYFUNCTION("""COMPUTED_VALUE"""),"None")</f>
        <v>None</v>
      </c>
    </row>
    <row r="810" spans="1:7" ht="12.75">
      <c r="A810" s="8" t="str">
        <f ca="1">IFERROR(__xludf.DUMMYFUNCTION("""COMPUTED_VALUE"""),"20190621MICAF")</f>
        <v>20190621MICAF</v>
      </c>
      <c r="B810" s="8"/>
      <c r="C810" s="8"/>
      <c r="D810" s="8" t="str">
        <f ca="1">IFERROR(__xludf.DUMMYFUNCTION("""COMPUTED_VALUE"""),"Unknown")</f>
        <v>Unknown</v>
      </c>
      <c r="E810" s="8" t="str">
        <f ca="1">IFERROR(__xludf.DUMMYFUNCTION("""COMPUTED_VALUE"""),"Fled/Escaped")</f>
        <v>Fled/Escaped</v>
      </c>
      <c r="F810" s="8" t="str">
        <f ca="1">IFERROR(__xludf.DUMMYFUNCTION("""COMPUTED_VALUE"""),"No")</f>
        <v>No</v>
      </c>
      <c r="G810" s="8" t="str">
        <f ca="1">IFERROR(__xludf.DUMMYFUNCTION("""COMPUTED_VALUE"""),"None")</f>
        <v>None</v>
      </c>
    </row>
    <row r="811" spans="1:7" ht="12.75">
      <c r="A811" s="8" t="str">
        <f ca="1">IFERROR(__xludf.DUMMYFUNCTION("""COMPUTED_VALUE"""),"20190613NJTAW")</f>
        <v>20190613NJTAW</v>
      </c>
      <c r="B811" s="8">
        <f ca="1">IFERROR(__xludf.DUMMYFUNCTION("""COMPUTED_VALUE"""),46)</f>
        <v>46</v>
      </c>
      <c r="C811" s="8" t="str">
        <f ca="1">IFERROR(__xludf.DUMMYFUNCTION("""COMPUTED_VALUE"""),"Male")</f>
        <v>Male</v>
      </c>
      <c r="D811" s="8" t="str">
        <f ca="1">IFERROR(__xludf.DUMMYFUNCTION("""COMPUTED_VALUE"""),"Unknown")</f>
        <v>Unknown</v>
      </c>
      <c r="E811" s="8" t="str">
        <f ca="1">IFERROR(__xludf.DUMMYFUNCTION("""COMPUTED_VALUE"""),"Surrendered")</f>
        <v>Surrendered</v>
      </c>
      <c r="F811" s="8" t="str">
        <f ca="1">IFERROR(__xludf.DUMMYFUNCTION("""COMPUTED_VALUE"""),"No")</f>
        <v>No</v>
      </c>
      <c r="G811" s="8" t="str">
        <f ca="1">IFERROR(__xludf.DUMMYFUNCTION("""COMPUTED_VALUE"""),"None")</f>
        <v>None</v>
      </c>
    </row>
    <row r="812" spans="1:7" ht="12.75">
      <c r="A812" s="8" t="str">
        <f ca="1">IFERROR(__xludf.DUMMYFUNCTION("""COMPUTED_VALUE"""),"20190612PAJEE")</f>
        <v>20190612PAJEE</v>
      </c>
      <c r="B812" s="8">
        <f ca="1">IFERROR(__xludf.DUMMYFUNCTION("""COMPUTED_VALUE"""),16)</f>
        <v>16</v>
      </c>
      <c r="C812" s="8" t="str">
        <f ca="1">IFERROR(__xludf.DUMMYFUNCTION("""COMPUTED_VALUE"""),"Male")</f>
        <v>Male</v>
      </c>
      <c r="D812" s="8" t="str">
        <f ca="1">IFERROR(__xludf.DUMMYFUNCTION("""COMPUTED_VALUE"""),"No Relation")</f>
        <v>No Relation</v>
      </c>
      <c r="E812" s="8" t="str">
        <f ca="1">IFERROR(__xludf.DUMMYFUNCTION("""COMPUTED_VALUE"""),"Fled/Apprehended")</f>
        <v>Fled/Apprehended</v>
      </c>
      <c r="F812" s="8" t="str">
        <f ca="1">IFERROR(__xludf.DUMMYFUNCTION("""COMPUTED_VALUE"""),"No")</f>
        <v>No</v>
      </c>
      <c r="G812" s="8" t="str">
        <f ca="1">IFERROR(__xludf.DUMMYFUNCTION("""COMPUTED_VALUE"""),"None")</f>
        <v>None</v>
      </c>
    </row>
    <row r="813" spans="1:7" ht="12.75">
      <c r="A813" s="8" t="str">
        <f ca="1">IFERROR(__xludf.DUMMYFUNCTION("""COMPUTED_VALUE"""),"20190612PAJEE")</f>
        <v>20190612PAJEE</v>
      </c>
      <c r="B813" s="8">
        <f ca="1">IFERROR(__xludf.DUMMYFUNCTION("""COMPUTED_VALUE"""),18)</f>
        <v>18</v>
      </c>
      <c r="C813" s="8" t="str">
        <f ca="1">IFERROR(__xludf.DUMMYFUNCTION("""COMPUTED_VALUE"""),"Female")</f>
        <v>Female</v>
      </c>
      <c r="D813" s="8" t="str">
        <f ca="1">IFERROR(__xludf.DUMMYFUNCTION("""COMPUTED_VALUE"""),"Intimate Relationship")</f>
        <v>Intimate Relationship</v>
      </c>
      <c r="E813" s="8" t="str">
        <f ca="1">IFERROR(__xludf.DUMMYFUNCTION("""COMPUTED_VALUE"""),"Fled/Apprehended")</f>
        <v>Fled/Apprehended</v>
      </c>
      <c r="F813" s="8" t="str">
        <f ca="1">IFERROR(__xludf.DUMMYFUNCTION("""COMPUTED_VALUE"""),"No")</f>
        <v>No</v>
      </c>
      <c r="G813" s="8" t="str">
        <f ca="1">IFERROR(__xludf.DUMMYFUNCTION("""COMPUTED_VALUE"""),"None")</f>
        <v>None</v>
      </c>
    </row>
    <row r="814" spans="1:7" ht="12.75">
      <c r="A814" s="8" t="str">
        <f ca="1">IFERROR(__xludf.DUMMYFUNCTION("""COMPUTED_VALUE"""),"20190612DCHEW")</f>
        <v>20190612DCHEW</v>
      </c>
      <c r="B814" s="8"/>
      <c r="C814" s="8"/>
      <c r="D814" s="8" t="str">
        <f ca="1">IFERROR(__xludf.DUMMYFUNCTION("""COMPUTED_VALUE"""),"No Relation")</f>
        <v>No Relation</v>
      </c>
      <c r="E814" s="8" t="str">
        <f ca="1">IFERROR(__xludf.DUMMYFUNCTION("""COMPUTED_VALUE"""),"Fled/Escaped")</f>
        <v>Fled/Escaped</v>
      </c>
      <c r="F814" s="8" t="str">
        <f ca="1">IFERROR(__xludf.DUMMYFUNCTION("""COMPUTED_VALUE"""),"No")</f>
        <v>No</v>
      </c>
      <c r="G814" s="8" t="str">
        <f ca="1">IFERROR(__xludf.DUMMYFUNCTION("""COMPUTED_VALUE"""),"None")</f>
        <v>None</v>
      </c>
    </row>
    <row r="815" spans="1:7" ht="12.75">
      <c r="A815" s="8" t="str">
        <f ca="1">IFERROR(__xludf.DUMMYFUNCTION("""COMPUTED_VALUE"""),"20190610ILMEW")</f>
        <v>20190610ILMEW</v>
      </c>
      <c r="B815" s="8">
        <f ca="1">IFERROR(__xludf.DUMMYFUNCTION("""COMPUTED_VALUE"""),15)</f>
        <v>15</v>
      </c>
      <c r="C815" s="8" t="str">
        <f ca="1">IFERROR(__xludf.DUMMYFUNCTION("""COMPUTED_VALUE"""),"Male")</f>
        <v>Male</v>
      </c>
      <c r="D815" s="8" t="str">
        <f ca="1">IFERROR(__xludf.DUMMYFUNCTION("""COMPUTED_VALUE"""),"No Relation")</f>
        <v>No Relation</v>
      </c>
      <c r="E815" s="8" t="str">
        <f ca="1">IFERROR(__xludf.DUMMYFUNCTION("""COMPUTED_VALUE"""),"Fled/Apprehended")</f>
        <v>Fled/Apprehended</v>
      </c>
      <c r="F815" s="8" t="str">
        <f ca="1">IFERROR(__xludf.DUMMYFUNCTION("""COMPUTED_VALUE"""),"No")</f>
        <v>No</v>
      </c>
      <c r="G815" s="8" t="str">
        <f ca="1">IFERROR(__xludf.DUMMYFUNCTION("""COMPUTED_VALUE"""),"None")</f>
        <v>None</v>
      </c>
    </row>
    <row r="816" spans="1:7" ht="12.75">
      <c r="A816" s="8" t="str">
        <f ca="1">IFERROR(__xludf.DUMMYFUNCTION("""COMPUTED_VALUE"""),"20190610ILMEW")</f>
        <v>20190610ILMEW</v>
      </c>
      <c r="B816" s="8">
        <f ca="1">IFERROR(__xludf.DUMMYFUNCTION("""COMPUTED_VALUE"""),27)</f>
        <v>27</v>
      </c>
      <c r="C816" s="8" t="str">
        <f ca="1">IFERROR(__xludf.DUMMYFUNCTION("""COMPUTED_VALUE"""),"Male")</f>
        <v>Male</v>
      </c>
      <c r="D816" s="8" t="str">
        <f ca="1">IFERROR(__xludf.DUMMYFUNCTION("""COMPUTED_VALUE"""),"No Relation")</f>
        <v>No Relation</v>
      </c>
      <c r="E816" s="8" t="str">
        <f ca="1">IFERROR(__xludf.DUMMYFUNCTION("""COMPUTED_VALUE"""),"Fled/Apprehended")</f>
        <v>Fled/Apprehended</v>
      </c>
      <c r="F816" s="8" t="str">
        <f ca="1">IFERROR(__xludf.DUMMYFUNCTION("""COMPUTED_VALUE"""),"No")</f>
        <v>No</v>
      </c>
      <c r="G816" s="8" t="str">
        <f ca="1">IFERROR(__xludf.DUMMYFUNCTION("""COMPUTED_VALUE"""),"None")</f>
        <v>None</v>
      </c>
    </row>
    <row r="817" spans="1:7" ht="12.75">
      <c r="A817" s="8" t="str">
        <f ca="1">IFERROR(__xludf.DUMMYFUNCTION("""COMPUTED_VALUE"""),"20190606ILGEC")</f>
        <v>20190606ILGEC</v>
      </c>
      <c r="B817" s="8"/>
      <c r="C817" s="8"/>
      <c r="D817" s="8" t="str">
        <f ca="1">IFERROR(__xludf.DUMMYFUNCTION("""COMPUTED_VALUE"""),"Nonstudent Using Athletic Facilities/Attending Game")</f>
        <v>Nonstudent Using Athletic Facilities/Attending Game</v>
      </c>
      <c r="E817" s="8" t="str">
        <f ca="1">IFERROR(__xludf.DUMMYFUNCTION("""COMPUTED_VALUE"""),"Fled/Escaped")</f>
        <v>Fled/Escaped</v>
      </c>
      <c r="F817" s="8" t="str">
        <f ca="1">IFERROR(__xludf.DUMMYFUNCTION("""COMPUTED_VALUE"""),"No")</f>
        <v>No</v>
      </c>
      <c r="G817" s="8" t="str">
        <f ca="1">IFERROR(__xludf.DUMMYFUNCTION("""COMPUTED_VALUE"""),"None")</f>
        <v>None</v>
      </c>
    </row>
    <row r="818" spans="1:7" ht="12.75">
      <c r="A818" s="8" t="str">
        <f ca="1">IFERROR(__xludf.DUMMYFUNCTION("""COMPUTED_VALUE"""),"20190530DCHEW")</f>
        <v>20190530DCHEW</v>
      </c>
      <c r="B818" s="8"/>
      <c r="C818" s="8"/>
      <c r="D818" s="8" t="str">
        <f ca="1">IFERROR(__xludf.DUMMYFUNCTION("""COMPUTED_VALUE"""),"No Relation")</f>
        <v>No Relation</v>
      </c>
      <c r="E818" s="8" t="str">
        <f ca="1">IFERROR(__xludf.DUMMYFUNCTION("""COMPUTED_VALUE"""),"Fled/Escaped")</f>
        <v>Fled/Escaped</v>
      </c>
      <c r="F818" s="8" t="str">
        <f ca="1">IFERROR(__xludf.DUMMYFUNCTION("""COMPUTED_VALUE"""),"No")</f>
        <v>No</v>
      </c>
      <c r="G818" s="8" t="str">
        <f ca="1">IFERROR(__xludf.DUMMYFUNCTION("""COMPUTED_VALUE"""),"None")</f>
        <v>None</v>
      </c>
    </row>
    <row r="819" spans="1:7" ht="12.75">
      <c r="A819" s="8" t="str">
        <f ca="1">IFERROR(__xludf.DUMMYFUNCTION("""COMPUTED_VALUE"""),"20190522OHSAC")</f>
        <v>20190522OHSAC</v>
      </c>
      <c r="B819" s="8">
        <f ca="1">IFERROR(__xludf.DUMMYFUNCTION("""COMPUTED_VALUE"""),13)</f>
        <v>13</v>
      </c>
      <c r="C819" s="8" t="str">
        <f ca="1">IFERROR(__xludf.DUMMYFUNCTION("""COMPUTED_VALUE"""),"Male")</f>
        <v>Male</v>
      </c>
      <c r="D819" s="8" t="str">
        <f ca="1">IFERROR(__xludf.DUMMYFUNCTION("""COMPUTED_VALUE"""),"No Relation")</f>
        <v>No Relation</v>
      </c>
      <c r="E819" s="8" t="str">
        <f ca="1">IFERROR(__xludf.DUMMYFUNCTION("""COMPUTED_VALUE"""),"Fled/Apprehended")</f>
        <v>Fled/Apprehended</v>
      </c>
      <c r="F819" s="8" t="str">
        <f ca="1">IFERROR(__xludf.DUMMYFUNCTION("""COMPUTED_VALUE"""),"No")</f>
        <v>No</v>
      </c>
      <c r="G819" s="8" t="str">
        <f ca="1">IFERROR(__xludf.DUMMYFUNCTION("""COMPUTED_VALUE"""),"None")</f>
        <v>None</v>
      </c>
    </row>
    <row r="820" spans="1:7" ht="12.75">
      <c r="A820" s="8" t="str">
        <f ca="1">IFERROR(__xludf.DUMMYFUNCTION("""COMPUTED_VALUE"""),"20190517ORPAP")</f>
        <v>20190517ORPAP</v>
      </c>
      <c r="B820" s="8">
        <f ca="1">IFERROR(__xludf.DUMMYFUNCTION("""COMPUTED_VALUE"""),18)</f>
        <v>18</v>
      </c>
      <c r="C820" s="8" t="str">
        <f ca="1">IFERROR(__xludf.DUMMYFUNCTION("""COMPUTED_VALUE"""),"Male")</f>
        <v>Male</v>
      </c>
      <c r="D820" s="8" t="str">
        <f ca="1">IFERROR(__xludf.DUMMYFUNCTION("""COMPUTED_VALUE"""),"Student")</f>
        <v>Student</v>
      </c>
      <c r="E820" s="8" t="str">
        <f ca="1">IFERROR(__xludf.DUMMYFUNCTION("""COMPUTED_VALUE"""),"Subdued by Students/Staff/Other")</f>
        <v>Subdued by Students/Staff/Other</v>
      </c>
      <c r="F820" s="8" t="str">
        <f ca="1">IFERROR(__xludf.DUMMYFUNCTION("""COMPUTED_VALUE"""),"No")</f>
        <v>No</v>
      </c>
      <c r="G820" s="8" t="str">
        <f ca="1">IFERROR(__xludf.DUMMYFUNCTION("""COMPUTED_VALUE"""),"None")</f>
        <v>None</v>
      </c>
    </row>
    <row r="821" spans="1:7" ht="12.75">
      <c r="A821" s="8" t="str">
        <f ca="1">IFERROR(__xludf.DUMMYFUNCTION("""COMPUTED_VALUE"""),"20190517FLTEJ")</f>
        <v>20190517FLTEJ</v>
      </c>
      <c r="B821" s="8">
        <f ca="1">IFERROR(__xludf.DUMMYFUNCTION("""COMPUTED_VALUE"""),19)</f>
        <v>19</v>
      </c>
      <c r="C821" s="8" t="str">
        <f ca="1">IFERROR(__xludf.DUMMYFUNCTION("""COMPUTED_VALUE"""),"Male")</f>
        <v>Male</v>
      </c>
      <c r="D821" s="8" t="str">
        <f ca="1">IFERROR(__xludf.DUMMYFUNCTION("""COMPUTED_VALUE"""),"Unknown")</f>
        <v>Unknown</v>
      </c>
      <c r="E821" s="8" t="str">
        <f ca="1">IFERROR(__xludf.DUMMYFUNCTION("""COMPUTED_VALUE"""),"Fled/Apprehended")</f>
        <v>Fled/Apprehended</v>
      </c>
      <c r="F821" s="8" t="str">
        <f ca="1">IFERROR(__xludf.DUMMYFUNCTION("""COMPUTED_VALUE"""),"No")</f>
        <v>No</v>
      </c>
      <c r="G821" s="8" t="str">
        <f ca="1">IFERROR(__xludf.DUMMYFUNCTION("""COMPUTED_VALUE"""),"None")</f>
        <v>None</v>
      </c>
    </row>
    <row r="822" spans="1:7" ht="12.75">
      <c r="A822" s="8" t="str">
        <f ca="1">IFERROR(__xludf.DUMMYFUNCTION("""COMPUTED_VALUE"""),"20190508ILSEC")</f>
        <v>20190508ILSEC</v>
      </c>
      <c r="B822" s="8">
        <f ca="1">IFERROR(__xludf.DUMMYFUNCTION("""COMPUTED_VALUE"""),18)</f>
        <v>18</v>
      </c>
      <c r="C822" s="8" t="str">
        <f ca="1">IFERROR(__xludf.DUMMYFUNCTION("""COMPUTED_VALUE"""),"Male")</f>
        <v>Male</v>
      </c>
      <c r="D822" s="8" t="str">
        <f ca="1">IFERROR(__xludf.DUMMYFUNCTION("""COMPUTED_VALUE"""),"No Relation")</f>
        <v>No Relation</v>
      </c>
      <c r="E822" s="8" t="str">
        <f ca="1">IFERROR(__xludf.DUMMYFUNCTION("""COMPUTED_VALUE"""),"Fled/Apprehended")</f>
        <v>Fled/Apprehended</v>
      </c>
      <c r="F822" s="8" t="str">
        <f ca="1">IFERROR(__xludf.DUMMYFUNCTION("""COMPUTED_VALUE"""),"No")</f>
        <v>No</v>
      </c>
      <c r="G822" s="8" t="str">
        <f ca="1">IFERROR(__xludf.DUMMYFUNCTION("""COMPUTED_VALUE"""),"None")</f>
        <v>None</v>
      </c>
    </row>
    <row r="823" spans="1:7" ht="12.75">
      <c r="A823" s="8" t="str">
        <f ca="1">IFERROR(__xludf.DUMMYFUNCTION("""COMPUTED_VALUE"""),"20190507COSTH")</f>
        <v>20190507COSTH</v>
      </c>
      <c r="B823" s="8">
        <f ca="1">IFERROR(__xludf.DUMMYFUNCTION("""COMPUTED_VALUE"""),18)</f>
        <v>18</v>
      </c>
      <c r="C823" s="8" t="str">
        <f ca="1">IFERROR(__xludf.DUMMYFUNCTION("""COMPUTED_VALUE"""),"Male")</f>
        <v>Male</v>
      </c>
      <c r="D823" s="8" t="str">
        <f ca="1">IFERROR(__xludf.DUMMYFUNCTION("""COMPUTED_VALUE"""),"Student")</f>
        <v>Student</v>
      </c>
      <c r="E823" s="8" t="str">
        <f ca="1">IFERROR(__xludf.DUMMYFUNCTION("""COMPUTED_VALUE"""),"Apprehended/Killed by LE")</f>
        <v>Apprehended/Killed by LE</v>
      </c>
      <c r="F823" s="8" t="str">
        <f ca="1">IFERROR(__xludf.DUMMYFUNCTION("""COMPUTED_VALUE"""),"No")</f>
        <v>No</v>
      </c>
      <c r="G823" s="8" t="str">
        <f ca="1">IFERROR(__xludf.DUMMYFUNCTION("""COMPUTED_VALUE"""),"None")</f>
        <v>None</v>
      </c>
    </row>
    <row r="824" spans="1:7" ht="12.75">
      <c r="A824" s="8" t="str">
        <f ca="1">IFERROR(__xludf.DUMMYFUNCTION("""COMPUTED_VALUE"""),"20190507COSTH")</f>
        <v>20190507COSTH</v>
      </c>
      <c r="B824" s="8">
        <f ca="1">IFERROR(__xludf.DUMMYFUNCTION("""COMPUTED_VALUE"""),16)</f>
        <v>16</v>
      </c>
      <c r="C824" s="8" t="str">
        <f ca="1">IFERROR(__xludf.DUMMYFUNCTION("""COMPUTED_VALUE"""),"Transgender")</f>
        <v>Transgender</v>
      </c>
      <c r="D824" s="8" t="str">
        <f ca="1">IFERROR(__xludf.DUMMYFUNCTION("""COMPUTED_VALUE"""),"Student")</f>
        <v>Student</v>
      </c>
      <c r="E824" s="8" t="str">
        <f ca="1">IFERROR(__xludf.DUMMYFUNCTION("""COMPUTED_VALUE"""),"Apprehended/Killed by LE")</f>
        <v>Apprehended/Killed by LE</v>
      </c>
      <c r="F824" s="8" t="str">
        <f ca="1">IFERROR(__xludf.DUMMYFUNCTION("""COMPUTED_VALUE"""),"No")</f>
        <v>No</v>
      </c>
      <c r="G824" s="8" t="str">
        <f ca="1">IFERROR(__xludf.DUMMYFUNCTION("""COMPUTED_VALUE"""),"None")</f>
        <v>None</v>
      </c>
    </row>
    <row r="825" spans="1:7" ht="12.75">
      <c r="A825" s="8" t="str">
        <f ca="1">IFERROR(__xludf.DUMMYFUNCTION("""COMPUTED_VALUE"""),"20190430VACDW")</f>
        <v>20190430VACDW</v>
      </c>
      <c r="B825" s="8">
        <f ca="1">IFERROR(__xludf.DUMMYFUNCTION("""COMPUTED_VALUE"""),16)</f>
        <v>16</v>
      </c>
      <c r="C825" s="8" t="str">
        <f ca="1">IFERROR(__xludf.DUMMYFUNCTION("""COMPUTED_VALUE"""),"Male")</f>
        <v>Male</v>
      </c>
      <c r="D825" s="8" t="str">
        <f ca="1">IFERROR(__xludf.DUMMYFUNCTION("""COMPUTED_VALUE"""),"Student")</f>
        <v>Student</v>
      </c>
      <c r="E825" s="8" t="str">
        <f ca="1">IFERROR(__xludf.DUMMYFUNCTION("""COMPUTED_VALUE"""),"Apprehended/Killed by SRO")</f>
        <v>Apprehended/Killed by SRO</v>
      </c>
      <c r="F825" s="8" t="str">
        <f ca="1">IFERROR(__xludf.DUMMYFUNCTION("""COMPUTED_VALUE"""),"No")</f>
        <v>No</v>
      </c>
      <c r="G825" s="8" t="str">
        <f ca="1">IFERROR(__xludf.DUMMYFUNCTION("""COMPUTED_VALUE"""),"None")</f>
        <v>None</v>
      </c>
    </row>
    <row r="826" spans="1:7" ht="12.75">
      <c r="A826" s="8" t="str">
        <f ca="1">IFERROR(__xludf.DUMMYFUNCTION("""COMPUTED_VALUE"""),"20190430FLWEW")</f>
        <v>20190430FLWEW</v>
      </c>
      <c r="B826" s="8" t="str">
        <f ca="1">IFERROR(__xludf.DUMMYFUNCTION("""COMPUTED_VALUE"""),"Adult")</f>
        <v>Adult</v>
      </c>
      <c r="C826" s="8"/>
      <c r="D826" s="8" t="str">
        <f ca="1">IFERROR(__xludf.DUMMYFUNCTION("""COMPUTED_VALUE"""),"Police Officer/SRO")</f>
        <v>Police Officer/SRO</v>
      </c>
      <c r="E826" s="8" t="str">
        <f ca="1">IFERROR(__xludf.DUMMYFUNCTION("""COMPUTED_VALUE"""),"Law Enforcement")</f>
        <v>Law Enforcement</v>
      </c>
      <c r="F826" s="8" t="str">
        <f ca="1">IFERROR(__xludf.DUMMYFUNCTION("""COMPUTED_VALUE"""),"No")</f>
        <v>No</v>
      </c>
      <c r="G826" s="8" t="str">
        <f ca="1">IFERROR(__xludf.DUMMYFUNCTION("""COMPUTED_VALUE"""),"None")</f>
        <v>None</v>
      </c>
    </row>
    <row r="827" spans="1:7" ht="12.75">
      <c r="A827" s="8" t="str">
        <f ca="1">IFERROR(__xludf.DUMMYFUNCTION("""COMPUTED_VALUE"""),"20190426GACRF")</f>
        <v>20190426GACRF</v>
      </c>
      <c r="B827" s="8" t="str">
        <f ca="1">IFERROR(__xludf.DUMMYFUNCTION("""COMPUTED_VALUE"""),"Adult")</f>
        <v>Adult</v>
      </c>
      <c r="C827" s="8"/>
      <c r="D827" s="8" t="str">
        <f ca="1">IFERROR(__xludf.DUMMYFUNCTION("""COMPUTED_VALUE"""),"Parent")</f>
        <v>Parent</v>
      </c>
      <c r="E827" s="8" t="str">
        <f ca="1">IFERROR(__xludf.DUMMYFUNCTION("""COMPUTED_VALUE"""),"Fled/Escaped")</f>
        <v>Fled/Escaped</v>
      </c>
      <c r="F827" s="8" t="str">
        <f ca="1">IFERROR(__xludf.DUMMYFUNCTION("""COMPUTED_VALUE"""),"No")</f>
        <v>No</v>
      </c>
      <c r="G827" s="8" t="str">
        <f ca="1">IFERROR(__xludf.DUMMYFUNCTION("""COMPUTED_VALUE"""),"None")</f>
        <v>None</v>
      </c>
    </row>
    <row r="828" spans="1:7" ht="12.75">
      <c r="A828" s="8" t="str">
        <f ca="1">IFERROR(__xludf.DUMMYFUNCTION("""COMPUTED_VALUE"""),"20190425GAWYS")</f>
        <v>20190425GAWYS</v>
      </c>
      <c r="B828" s="8"/>
      <c r="C828" s="8"/>
      <c r="D828" s="8" t="str">
        <f ca="1">IFERROR(__xludf.DUMMYFUNCTION("""COMPUTED_VALUE"""),"Unknown")</f>
        <v>Unknown</v>
      </c>
      <c r="E828" s="8" t="str">
        <f ca="1">IFERROR(__xludf.DUMMYFUNCTION("""COMPUTED_VALUE"""),"Fled/Escaped")</f>
        <v>Fled/Escaped</v>
      </c>
      <c r="F828" s="8" t="str">
        <f ca="1">IFERROR(__xludf.DUMMYFUNCTION("""COMPUTED_VALUE"""),"No")</f>
        <v>No</v>
      </c>
      <c r="G828" s="8" t="str">
        <f ca="1">IFERROR(__xludf.DUMMYFUNCTION("""COMPUTED_VALUE"""),"None")</f>
        <v>None</v>
      </c>
    </row>
    <row r="829" spans="1:7" ht="12.75">
      <c r="A829" s="8" t="str">
        <f ca="1">IFERROR(__xludf.DUMMYFUNCTION("""COMPUTED_VALUE"""),"20190424ARCOC")</f>
        <v>20190424ARCOC</v>
      </c>
      <c r="B829" s="8">
        <f ca="1">IFERROR(__xludf.DUMMYFUNCTION("""COMPUTED_VALUE"""),14)</f>
        <v>14</v>
      </c>
      <c r="C829" s="8" t="str">
        <f ca="1">IFERROR(__xludf.DUMMYFUNCTION("""COMPUTED_VALUE"""),"Male")</f>
        <v>Male</v>
      </c>
      <c r="D829" s="8" t="str">
        <f ca="1">IFERROR(__xludf.DUMMYFUNCTION("""COMPUTED_VALUE"""),"Student")</f>
        <v>Student</v>
      </c>
      <c r="E829" s="8" t="str">
        <f ca="1">IFERROR(__xludf.DUMMYFUNCTION("""COMPUTED_VALUE"""),"Suicide")</f>
        <v>Suicide</v>
      </c>
      <c r="F829" s="8" t="str">
        <f ca="1">IFERROR(__xludf.DUMMYFUNCTION("""COMPUTED_VALUE"""),"Yes")</f>
        <v>Yes</v>
      </c>
      <c r="G829" s="8" t="str">
        <f ca="1">IFERROR(__xludf.DUMMYFUNCTION("""COMPUTED_VALUE"""),"Suicide")</f>
        <v>Suicide</v>
      </c>
    </row>
    <row r="830" spans="1:7" ht="12.75">
      <c r="A830" s="8" t="str">
        <f ca="1">IFERROR(__xludf.DUMMYFUNCTION("""COMPUTED_VALUE"""),"20190417ILWAL")</f>
        <v>20190417ILWAL</v>
      </c>
      <c r="B830" s="8" t="str">
        <f ca="1">IFERROR(__xludf.DUMMYFUNCTION("""COMPUTED_VALUE"""),"Teen")</f>
        <v>Teen</v>
      </c>
      <c r="C830" s="8" t="str">
        <f ca="1">IFERROR(__xludf.DUMMYFUNCTION("""COMPUTED_VALUE"""),"Male")</f>
        <v>Male</v>
      </c>
      <c r="D830" s="8" t="str">
        <f ca="1">IFERROR(__xludf.DUMMYFUNCTION("""COMPUTED_VALUE"""),"Student")</f>
        <v>Student</v>
      </c>
      <c r="E830" s="8" t="str">
        <f ca="1">IFERROR(__xludf.DUMMYFUNCTION("""COMPUTED_VALUE"""),"Suicide")</f>
        <v>Suicide</v>
      </c>
      <c r="F830" s="8" t="str">
        <f ca="1">IFERROR(__xludf.DUMMYFUNCTION("""COMPUTED_VALUE"""),"Yes")</f>
        <v>Yes</v>
      </c>
      <c r="G830" s="8" t="str">
        <f ca="1">IFERROR(__xludf.DUMMYFUNCTION("""COMPUTED_VALUE"""),"Suicide")</f>
        <v>Suicide</v>
      </c>
    </row>
    <row r="831" spans="1:7" ht="12.75">
      <c r="A831" s="8" t="str">
        <f ca="1">IFERROR(__xludf.DUMMYFUNCTION("""COMPUTED_VALUE"""),"20190410TXROH")</f>
        <v>20190410TXROH</v>
      </c>
      <c r="B831" s="8"/>
      <c r="C831" s="8" t="str">
        <f ca="1">IFERROR(__xludf.DUMMYFUNCTION("""COMPUTED_VALUE"""),"Male")</f>
        <v>Male</v>
      </c>
      <c r="D831" s="8" t="str">
        <f ca="1">IFERROR(__xludf.DUMMYFUNCTION("""COMPUTED_VALUE"""),"No Relation")</f>
        <v>No Relation</v>
      </c>
      <c r="E831" s="8" t="str">
        <f ca="1">IFERROR(__xludf.DUMMYFUNCTION("""COMPUTED_VALUE"""),"Fled/Escaped")</f>
        <v>Fled/Escaped</v>
      </c>
      <c r="F831" s="8" t="str">
        <f ca="1">IFERROR(__xludf.DUMMYFUNCTION("""COMPUTED_VALUE"""),"No")</f>
        <v>No</v>
      </c>
      <c r="G831" s="8" t="str">
        <f ca="1">IFERROR(__xludf.DUMMYFUNCTION("""COMPUTED_VALUE"""),"None")</f>
        <v>None</v>
      </c>
    </row>
    <row r="832" spans="1:7" ht="12.75">
      <c r="A832" s="8" t="str">
        <f ca="1">IFERROR(__xludf.DUMMYFUNCTION("""COMPUTED_VALUE"""),"20190410TXROH")</f>
        <v>20190410TXROH</v>
      </c>
      <c r="B832" s="8"/>
      <c r="C832" s="8" t="str">
        <f ca="1">IFERROR(__xludf.DUMMYFUNCTION("""COMPUTED_VALUE"""),"Male")</f>
        <v>Male</v>
      </c>
      <c r="D832" s="8" t="str">
        <f ca="1">IFERROR(__xludf.DUMMYFUNCTION("""COMPUTED_VALUE"""),"No Relation")</f>
        <v>No Relation</v>
      </c>
      <c r="E832" s="8" t="str">
        <f ca="1">IFERROR(__xludf.DUMMYFUNCTION("""COMPUTED_VALUE"""),"Fled/Escaped")</f>
        <v>Fled/Escaped</v>
      </c>
      <c r="F832" s="8" t="str">
        <f ca="1">IFERROR(__xludf.DUMMYFUNCTION("""COMPUTED_VALUE"""),"No")</f>
        <v>No</v>
      </c>
      <c r="G832" s="8" t="str">
        <f ca="1">IFERROR(__xludf.DUMMYFUNCTION("""COMPUTED_VALUE"""),"None")</f>
        <v>None</v>
      </c>
    </row>
    <row r="833" spans="1:7" ht="12.75">
      <c r="A833" s="8" t="str">
        <f ca="1">IFERROR(__xludf.DUMMYFUNCTION("""COMPUTED_VALUE"""),"20190407MAHOL")</f>
        <v>20190407MAHOL</v>
      </c>
      <c r="B833" s="8"/>
      <c r="C833" s="8"/>
      <c r="D833" s="8" t="str">
        <f ca="1">IFERROR(__xludf.DUMMYFUNCTION("""COMPUTED_VALUE"""),"Unknown")</f>
        <v>Unknown</v>
      </c>
      <c r="E833" s="8" t="str">
        <f ca="1">IFERROR(__xludf.DUMMYFUNCTION("""COMPUTED_VALUE"""),"Fled/Escaped")</f>
        <v>Fled/Escaped</v>
      </c>
      <c r="F833" s="8" t="str">
        <f ca="1">IFERROR(__xludf.DUMMYFUNCTION("""COMPUTED_VALUE"""),"No")</f>
        <v>No</v>
      </c>
      <c r="G833" s="8" t="str">
        <f ca="1">IFERROR(__xludf.DUMMYFUNCTION("""COMPUTED_VALUE"""),"None")</f>
        <v>None</v>
      </c>
    </row>
    <row r="834" spans="1:7" ht="12.75">
      <c r="A834" s="8" t="str">
        <f ca="1">IFERROR(__xludf.DUMMYFUNCTION("""COMPUTED_VALUE"""),"20190405WISTM")</f>
        <v>20190405WISTM</v>
      </c>
      <c r="B834" s="8">
        <f ca="1">IFERROR(__xludf.DUMMYFUNCTION("""COMPUTED_VALUE"""),59)</f>
        <v>59</v>
      </c>
      <c r="C834" s="8" t="str">
        <f ca="1">IFERROR(__xludf.DUMMYFUNCTION("""COMPUTED_VALUE"""),"Male")</f>
        <v>Male</v>
      </c>
      <c r="D834" s="8" t="str">
        <f ca="1">IFERROR(__xludf.DUMMYFUNCTION("""COMPUTED_VALUE"""),"Other Staff")</f>
        <v>Other Staff</v>
      </c>
      <c r="E834" s="8" t="str">
        <f ca="1">IFERROR(__xludf.DUMMYFUNCTION("""COMPUTED_VALUE"""),"Unknown")</f>
        <v>Unknown</v>
      </c>
      <c r="F834" s="8" t="str">
        <f ca="1">IFERROR(__xludf.DUMMYFUNCTION("""COMPUTED_VALUE"""),"No")</f>
        <v>No</v>
      </c>
      <c r="G834" s="8" t="str">
        <f ca="1">IFERROR(__xludf.DUMMYFUNCTION("""COMPUTED_VALUE"""),"None")</f>
        <v>None</v>
      </c>
    </row>
    <row r="835" spans="1:7" ht="12.75">
      <c r="A835" s="8" t="str">
        <f ca="1">IFERROR(__xludf.DUMMYFUNCTION("""COMPUTED_VALUE"""),"20190403FLSAJ")</f>
        <v>20190403FLSAJ</v>
      </c>
      <c r="B835" s="8"/>
      <c r="C835" s="8"/>
      <c r="D835" s="8" t="str">
        <f ca="1">IFERROR(__xludf.DUMMYFUNCTION("""COMPUTED_VALUE"""),"No Relation")</f>
        <v>No Relation</v>
      </c>
      <c r="E835" s="8" t="str">
        <f ca="1">IFERROR(__xludf.DUMMYFUNCTION("""COMPUTED_VALUE"""),"Fled/Escaped")</f>
        <v>Fled/Escaped</v>
      </c>
      <c r="F835" s="8" t="str">
        <f ca="1">IFERROR(__xludf.DUMMYFUNCTION("""COMPUTED_VALUE"""),"No")</f>
        <v>No</v>
      </c>
      <c r="G835" s="8" t="str">
        <f ca="1">IFERROR(__xludf.DUMMYFUNCTION("""COMPUTED_VALUE"""),"None")</f>
        <v>None</v>
      </c>
    </row>
    <row r="836" spans="1:7" ht="12.75">
      <c r="A836" s="8" t="str">
        <f ca="1">IFERROR(__xludf.DUMMYFUNCTION("""COMPUTED_VALUE"""),"20190403COAUA")</f>
        <v>20190403COAUA</v>
      </c>
      <c r="B836" s="8">
        <f ca="1">IFERROR(__xludf.DUMMYFUNCTION("""COMPUTED_VALUE"""),30)</f>
        <v>30</v>
      </c>
      <c r="C836" s="8" t="str">
        <f ca="1">IFERROR(__xludf.DUMMYFUNCTION("""COMPUTED_VALUE"""),"Male")</f>
        <v>Male</v>
      </c>
      <c r="D836" s="8" t="str">
        <f ca="1">IFERROR(__xludf.DUMMYFUNCTION("""COMPUTED_VALUE"""),"Other Staff")</f>
        <v>Other Staff</v>
      </c>
      <c r="E836" s="8" t="str">
        <f ca="1">IFERROR(__xludf.DUMMYFUNCTION("""COMPUTED_VALUE"""),"Fled/Apprehended")</f>
        <v>Fled/Apprehended</v>
      </c>
      <c r="F836" s="8" t="str">
        <f ca="1">IFERROR(__xludf.DUMMYFUNCTION("""COMPUTED_VALUE"""),"No")</f>
        <v>No</v>
      </c>
      <c r="G836" s="8" t="str">
        <f ca="1">IFERROR(__xludf.DUMMYFUNCTION("""COMPUTED_VALUE"""),"None")</f>
        <v>None</v>
      </c>
    </row>
    <row r="837" spans="1:7" ht="12.75">
      <c r="A837" s="8" t="str">
        <f ca="1">IFERROR(__xludf.DUMMYFUNCTION("""COMPUTED_VALUE"""),"20190401ARPRP")</f>
        <v>20190401ARPRP</v>
      </c>
      <c r="B837" s="8">
        <f ca="1">IFERROR(__xludf.DUMMYFUNCTION("""COMPUTED_VALUE"""),14)</f>
        <v>14</v>
      </c>
      <c r="C837" s="8" t="str">
        <f ca="1">IFERROR(__xludf.DUMMYFUNCTION("""COMPUTED_VALUE"""),"Male")</f>
        <v>Male</v>
      </c>
      <c r="D837" s="8" t="str">
        <f ca="1">IFERROR(__xludf.DUMMYFUNCTION("""COMPUTED_VALUE"""),"Student")</f>
        <v>Student</v>
      </c>
      <c r="E837" s="8" t="str">
        <f ca="1">IFERROR(__xludf.DUMMYFUNCTION("""COMPUTED_VALUE"""),"Apprehended/Killed by SRO")</f>
        <v>Apprehended/Killed by SRO</v>
      </c>
      <c r="F837" s="8" t="str">
        <f ca="1">IFERROR(__xludf.DUMMYFUNCTION("""COMPUTED_VALUE"""),"No")</f>
        <v>No</v>
      </c>
      <c r="G837" s="8" t="str">
        <f ca="1">IFERROR(__xludf.DUMMYFUNCTION("""COMPUTED_VALUE"""),"None")</f>
        <v>None</v>
      </c>
    </row>
    <row r="838" spans="1:7" ht="12.75">
      <c r="A838" s="8" t="str">
        <f ca="1">IFERROR(__xludf.DUMMYFUNCTION("""COMPUTED_VALUE"""),"20190327MSSVH")</f>
        <v>20190327MSSVH</v>
      </c>
      <c r="B838" s="8"/>
      <c r="C838" s="8"/>
      <c r="D838" s="8" t="str">
        <f ca="1">IFERROR(__xludf.DUMMYFUNCTION("""COMPUTED_VALUE"""),"Unknown")</f>
        <v>Unknown</v>
      </c>
      <c r="E838" s="8" t="str">
        <f ca="1">IFERROR(__xludf.DUMMYFUNCTION("""COMPUTED_VALUE"""),"Fled/Escaped")</f>
        <v>Fled/Escaped</v>
      </c>
      <c r="F838" s="8" t="str">
        <f ca="1">IFERROR(__xludf.DUMMYFUNCTION("""COMPUTED_VALUE"""),"No")</f>
        <v>No</v>
      </c>
      <c r="G838" s="8" t="str">
        <f ca="1">IFERROR(__xludf.DUMMYFUNCTION("""COMPUTED_VALUE"""),"None")</f>
        <v>None</v>
      </c>
    </row>
    <row r="839" spans="1:7" ht="12.75">
      <c r="A839" s="8" t="str">
        <f ca="1">IFERROR(__xludf.DUMMYFUNCTION("""COMPUTED_VALUE"""),"20190327FLMAJ")</f>
        <v>20190327FLMAJ</v>
      </c>
      <c r="B839" s="8"/>
      <c r="C839" s="8"/>
      <c r="D839" s="8"/>
      <c r="E839" s="8" t="str">
        <f ca="1">IFERROR(__xludf.DUMMYFUNCTION("""COMPUTED_VALUE"""),"Fled/Escaped")</f>
        <v>Fled/Escaped</v>
      </c>
      <c r="F839" s="8" t="str">
        <f ca="1">IFERROR(__xludf.DUMMYFUNCTION("""COMPUTED_VALUE"""),"No")</f>
        <v>No</v>
      </c>
      <c r="G839" s="8" t="str">
        <f ca="1">IFERROR(__xludf.DUMMYFUNCTION("""COMPUTED_VALUE"""),"None")</f>
        <v>None</v>
      </c>
    </row>
    <row r="840" spans="1:7" ht="12.75">
      <c r="A840" s="8" t="str">
        <f ca="1">IFERROR(__xludf.DUMMYFUNCTION("""COMPUTED_VALUE"""),"20190322ALBLB")</f>
        <v>20190322ALBLB</v>
      </c>
      <c r="B840" s="8">
        <f ca="1">IFERROR(__xludf.DUMMYFUNCTION("""COMPUTED_VALUE"""),74)</f>
        <v>74</v>
      </c>
      <c r="C840" s="8" t="str">
        <f ca="1">IFERROR(__xludf.DUMMYFUNCTION("""COMPUTED_VALUE"""),"Male")</f>
        <v>Male</v>
      </c>
      <c r="D840" s="8" t="str">
        <f ca="1">IFERROR(__xludf.DUMMYFUNCTION("""COMPUTED_VALUE"""),"Teacher")</f>
        <v>Teacher</v>
      </c>
      <c r="E840" s="8" t="str">
        <f ca="1">IFERROR(__xludf.DUMMYFUNCTION("""COMPUTED_VALUE"""),"Surrendered")</f>
        <v>Surrendered</v>
      </c>
      <c r="F840" s="8" t="str">
        <f ca="1">IFERROR(__xludf.DUMMYFUNCTION("""COMPUTED_VALUE"""),"No")</f>
        <v>No</v>
      </c>
      <c r="G840" s="8" t="str">
        <f ca="1">IFERROR(__xludf.DUMMYFUNCTION("""COMPUTED_VALUE"""),"Wounded")</f>
        <v>Wounded</v>
      </c>
    </row>
    <row r="841" spans="1:7" ht="12.75">
      <c r="A841" s="8" t="str">
        <f ca="1">IFERROR(__xludf.DUMMYFUNCTION("""COMPUTED_VALUE"""),"20190313FLLAO")</f>
        <v>20190313FLLAO</v>
      </c>
      <c r="B841" s="8">
        <f ca="1">IFERROR(__xludf.DUMMYFUNCTION("""COMPUTED_VALUE"""),17)</f>
        <v>17</v>
      </c>
      <c r="C841" s="8" t="str">
        <f ca="1">IFERROR(__xludf.DUMMYFUNCTION("""COMPUTED_VALUE"""),"Female")</f>
        <v>Female</v>
      </c>
      <c r="D841" s="8" t="str">
        <f ca="1">IFERROR(__xludf.DUMMYFUNCTION("""COMPUTED_VALUE"""),"Student")</f>
        <v>Student</v>
      </c>
      <c r="E841" s="8" t="str">
        <f ca="1">IFERROR(__xludf.DUMMYFUNCTION("""COMPUTED_VALUE"""),"Suicide")</f>
        <v>Suicide</v>
      </c>
      <c r="F841" s="8" t="str">
        <f ca="1">IFERROR(__xludf.DUMMYFUNCTION("""COMPUTED_VALUE"""),"Yes")</f>
        <v>Yes</v>
      </c>
      <c r="G841" s="8" t="str">
        <f ca="1">IFERROR(__xludf.DUMMYFUNCTION("""COMPUTED_VALUE"""),"Suicide")</f>
        <v>Suicide</v>
      </c>
    </row>
    <row r="842" spans="1:7" ht="12.75">
      <c r="A842" s="8" t="str">
        <f ca="1">IFERROR(__xludf.DUMMYFUNCTION("""COMPUTED_VALUE"""),"20190301KSHIM")</f>
        <v>20190301KSHIM</v>
      </c>
      <c r="B842" s="8">
        <f ca="1">IFERROR(__xludf.DUMMYFUNCTION("""COMPUTED_VALUE"""),26)</f>
        <v>26</v>
      </c>
      <c r="C842" s="8" t="str">
        <f ca="1">IFERROR(__xludf.DUMMYFUNCTION("""COMPUTED_VALUE"""),"Male")</f>
        <v>Male</v>
      </c>
      <c r="D842" s="8" t="str">
        <f ca="1">IFERROR(__xludf.DUMMYFUNCTION("""COMPUTED_VALUE"""),"No Relation")</f>
        <v>No Relation</v>
      </c>
      <c r="E842" s="8" t="str">
        <f ca="1">IFERROR(__xludf.DUMMYFUNCTION("""COMPUTED_VALUE"""),"Apprehended/Killed by LE")</f>
        <v>Apprehended/Killed by LE</v>
      </c>
      <c r="F842" s="8" t="str">
        <f ca="1">IFERROR(__xludf.DUMMYFUNCTION("""COMPUTED_VALUE"""),"No")</f>
        <v>No</v>
      </c>
      <c r="G842" s="8" t="str">
        <f ca="1">IFERROR(__xludf.DUMMYFUNCTION("""COMPUTED_VALUE"""),"Wounded")</f>
        <v>Wounded</v>
      </c>
    </row>
    <row r="843" spans="1:7" ht="12.75">
      <c r="A843" s="8" t="str">
        <f ca="1">IFERROR(__xludf.DUMMYFUNCTION("""COMPUTED_VALUE"""),"20190226ALROM")</f>
        <v>20190226ALROM</v>
      </c>
      <c r="B843" s="8" t="str">
        <f ca="1">IFERROR(__xludf.DUMMYFUNCTION("""COMPUTED_VALUE"""),"Teen")</f>
        <v>Teen</v>
      </c>
      <c r="C843" s="8" t="str">
        <f ca="1">IFERROR(__xludf.DUMMYFUNCTION("""COMPUTED_VALUE"""),"Male")</f>
        <v>Male</v>
      </c>
      <c r="D843" s="8" t="str">
        <f ca="1">IFERROR(__xludf.DUMMYFUNCTION("""COMPUTED_VALUE"""),"Student")</f>
        <v>Student</v>
      </c>
      <c r="E843" s="8" t="str">
        <f ca="1">IFERROR(__xludf.DUMMYFUNCTION("""COMPUTED_VALUE"""),"Fled/Apprehended")</f>
        <v>Fled/Apprehended</v>
      </c>
      <c r="F843" s="8" t="str">
        <f ca="1">IFERROR(__xludf.DUMMYFUNCTION("""COMPUTED_VALUE"""),"No")</f>
        <v>No</v>
      </c>
      <c r="G843" s="8" t="str">
        <f ca="1">IFERROR(__xludf.DUMMYFUNCTION("""COMPUTED_VALUE"""),"None")</f>
        <v>None</v>
      </c>
    </row>
    <row r="844" spans="1:7" ht="12.75">
      <c r="A844" s="8" t="str">
        <f ca="1">IFERROR(__xludf.DUMMYFUNCTION("""COMPUTED_VALUE"""),"20190217COEAA")</f>
        <v>20190217COEAA</v>
      </c>
      <c r="B844" s="8">
        <f ca="1">IFERROR(__xludf.DUMMYFUNCTION("""COMPUTED_VALUE"""),31)</f>
        <v>31</v>
      </c>
      <c r="C844" s="8" t="str">
        <f ca="1">IFERROR(__xludf.DUMMYFUNCTION("""COMPUTED_VALUE"""),"Male")</f>
        <v>Male</v>
      </c>
      <c r="D844" s="8" t="str">
        <f ca="1">IFERROR(__xludf.DUMMYFUNCTION("""COMPUTED_VALUE"""),"Other Staff")</f>
        <v>Other Staff</v>
      </c>
      <c r="E844" s="8" t="str">
        <f ca="1">IFERROR(__xludf.DUMMYFUNCTION("""COMPUTED_VALUE"""),"Surrendered")</f>
        <v>Surrendered</v>
      </c>
      <c r="F844" s="8" t="str">
        <f ca="1">IFERROR(__xludf.DUMMYFUNCTION("""COMPUTED_VALUE"""),"No")</f>
        <v>No</v>
      </c>
      <c r="G844" s="8" t="str">
        <f ca="1">IFERROR(__xludf.DUMMYFUNCTION("""COMPUTED_VALUE"""),"None")</f>
        <v>None</v>
      </c>
    </row>
    <row r="845" spans="1:7" ht="12.75">
      <c r="A845" s="8" t="str">
        <f ca="1">IFERROR(__xludf.DUMMYFUNCTION("""COMPUTED_VALUE"""),"20190214NMV.R")</f>
        <v>20190214NMV.R</v>
      </c>
      <c r="B845" s="8">
        <f ca="1">IFERROR(__xludf.DUMMYFUNCTION("""COMPUTED_VALUE"""),16)</f>
        <v>16</v>
      </c>
      <c r="C845" s="8" t="str">
        <f ca="1">IFERROR(__xludf.DUMMYFUNCTION("""COMPUTED_VALUE"""),"Male")</f>
        <v>Male</v>
      </c>
      <c r="D845" s="8" t="str">
        <f ca="1">IFERROR(__xludf.DUMMYFUNCTION("""COMPUTED_VALUE"""),"Student")</f>
        <v>Student</v>
      </c>
      <c r="E845" s="8" t="str">
        <f ca="1">IFERROR(__xludf.DUMMYFUNCTION("""COMPUTED_VALUE"""),"Fled/Apprehended")</f>
        <v>Fled/Apprehended</v>
      </c>
      <c r="F845" s="8" t="str">
        <f ca="1">IFERROR(__xludf.DUMMYFUNCTION("""COMPUTED_VALUE"""),"No")</f>
        <v>No</v>
      </c>
      <c r="G845" s="8" t="str">
        <f ca="1">IFERROR(__xludf.DUMMYFUNCTION("""COMPUTED_VALUE"""),"None")</f>
        <v>None</v>
      </c>
    </row>
    <row r="846" spans="1:7" ht="12.75">
      <c r="A846" s="8" t="str">
        <f ca="1">IFERROR(__xludf.DUMMYFUNCTION("""COMPUTED_VALUE"""),"20190212MOCEK")</f>
        <v>20190212MOCEK</v>
      </c>
      <c r="B846" s="8">
        <f ca="1">IFERROR(__xludf.DUMMYFUNCTION("""COMPUTED_VALUE"""),21)</f>
        <v>21</v>
      </c>
      <c r="C846" s="8" t="str">
        <f ca="1">IFERROR(__xludf.DUMMYFUNCTION("""COMPUTED_VALUE"""),"Female")</f>
        <v>Female</v>
      </c>
      <c r="D846" s="8" t="str">
        <f ca="1">IFERROR(__xludf.DUMMYFUNCTION("""COMPUTED_VALUE"""),"Nonstudent Using Athletic Facilities/Attending Game")</f>
        <v>Nonstudent Using Athletic Facilities/Attending Game</v>
      </c>
      <c r="E846" s="8" t="str">
        <f ca="1">IFERROR(__xludf.DUMMYFUNCTION("""COMPUTED_VALUE"""),"Fled/Apprehended")</f>
        <v>Fled/Apprehended</v>
      </c>
      <c r="F846" s="8" t="str">
        <f ca="1">IFERROR(__xludf.DUMMYFUNCTION("""COMPUTED_VALUE"""),"No")</f>
        <v>No</v>
      </c>
      <c r="G846" s="8" t="str">
        <f ca="1">IFERROR(__xludf.DUMMYFUNCTION("""COMPUTED_VALUE"""),"None")</f>
        <v>None</v>
      </c>
    </row>
    <row r="847" spans="1:7" ht="12.75">
      <c r="A847" s="8" t="str">
        <f ca="1">IFERROR(__xludf.DUMMYFUNCTION("""COMPUTED_VALUE"""),"20190208MDFRB")</f>
        <v>20190208MDFRB</v>
      </c>
      <c r="B847" s="8">
        <f ca="1">IFERROR(__xludf.DUMMYFUNCTION("""COMPUTED_VALUE"""),25)</f>
        <v>25</v>
      </c>
      <c r="C847" s="8" t="str">
        <f ca="1">IFERROR(__xludf.DUMMYFUNCTION("""COMPUTED_VALUE"""),"Male")</f>
        <v>Male</v>
      </c>
      <c r="D847" s="8" t="str">
        <f ca="1">IFERROR(__xludf.DUMMYFUNCTION("""COMPUTED_VALUE"""),"No Relation")</f>
        <v>No Relation</v>
      </c>
      <c r="E847" s="8" t="str">
        <f ca="1">IFERROR(__xludf.DUMMYFUNCTION("""COMPUTED_VALUE"""),"Apprehended/Killed by LE")</f>
        <v>Apprehended/Killed by LE</v>
      </c>
      <c r="F847" s="8" t="str">
        <f ca="1">IFERROR(__xludf.DUMMYFUNCTION("""COMPUTED_VALUE"""),"No")</f>
        <v>No</v>
      </c>
      <c r="G847" s="8" t="str">
        <f ca="1">IFERROR(__xludf.DUMMYFUNCTION("""COMPUTED_VALUE"""),"None")</f>
        <v>None</v>
      </c>
    </row>
    <row r="848" spans="1:7" ht="12.75">
      <c r="A848" s="8" t="str">
        <f ca="1">IFERROR(__xludf.DUMMYFUNCTION("""COMPUTED_VALUE"""),"20190205MNMIM")</f>
        <v>20190205MNMIM</v>
      </c>
      <c r="B848" s="8">
        <f ca="1">IFERROR(__xludf.DUMMYFUNCTION("""COMPUTED_VALUE"""),31)</f>
        <v>31</v>
      </c>
      <c r="C848" s="8" t="str">
        <f ca="1">IFERROR(__xludf.DUMMYFUNCTION("""COMPUTED_VALUE"""),"Male")</f>
        <v>Male</v>
      </c>
      <c r="D848" s="8" t="str">
        <f ca="1">IFERROR(__xludf.DUMMYFUNCTION("""COMPUTED_VALUE"""),"No Relation")</f>
        <v>No Relation</v>
      </c>
      <c r="E848" s="8" t="str">
        <f ca="1">IFERROR(__xludf.DUMMYFUNCTION("""COMPUTED_VALUE"""),"Apprehended/Killed by LE")</f>
        <v>Apprehended/Killed by LE</v>
      </c>
      <c r="F848" s="8" t="str">
        <f ca="1">IFERROR(__xludf.DUMMYFUNCTION("""COMPUTED_VALUE"""),"No")</f>
        <v>No</v>
      </c>
      <c r="G848" s="8" t="str">
        <f ca="1">IFERROR(__xludf.DUMMYFUNCTION("""COMPUTED_VALUE"""),"None")</f>
        <v>None</v>
      </c>
    </row>
    <row r="849" spans="1:7" ht="12.75">
      <c r="A849" s="8" t="str">
        <f ca="1">IFERROR(__xludf.DUMMYFUNCTION("""COMPUTED_VALUE"""),"20190131TXATA")</f>
        <v>20190131TXATA</v>
      </c>
      <c r="B849" s="8">
        <f ca="1">IFERROR(__xludf.DUMMYFUNCTION("""COMPUTED_VALUE"""),16)</f>
        <v>16</v>
      </c>
      <c r="C849" s="8" t="str">
        <f ca="1">IFERROR(__xludf.DUMMYFUNCTION("""COMPUTED_VALUE"""),"Male")</f>
        <v>Male</v>
      </c>
      <c r="D849" s="8" t="str">
        <f ca="1">IFERROR(__xludf.DUMMYFUNCTION("""COMPUTED_VALUE"""),"Student")</f>
        <v>Student</v>
      </c>
      <c r="E849" s="8" t="str">
        <f ca="1">IFERROR(__xludf.DUMMYFUNCTION("""COMPUTED_VALUE"""),"Fled/Escaped")</f>
        <v>Fled/Escaped</v>
      </c>
      <c r="F849" s="8" t="str">
        <f ca="1">IFERROR(__xludf.DUMMYFUNCTION("""COMPUTED_VALUE"""),"No")</f>
        <v>No</v>
      </c>
      <c r="G849" s="8" t="str">
        <f ca="1">IFERROR(__xludf.DUMMYFUNCTION("""COMPUTED_VALUE"""),"None")</f>
        <v>None</v>
      </c>
    </row>
    <row r="850" spans="1:7" ht="12.75">
      <c r="A850" s="8" t="str">
        <f ca="1">IFERROR(__xludf.DUMMYFUNCTION("""COMPUTED_VALUE"""),"20190131TNMAM")</f>
        <v>20190131TNMAM</v>
      </c>
      <c r="B850" s="8"/>
      <c r="C850" s="8"/>
      <c r="D850" s="8" t="str">
        <f ca="1">IFERROR(__xludf.DUMMYFUNCTION("""COMPUTED_VALUE"""),"Unknown")</f>
        <v>Unknown</v>
      </c>
      <c r="E850" s="8" t="str">
        <f ca="1">IFERROR(__xludf.DUMMYFUNCTION("""COMPUTED_VALUE"""),"Fled/Escaped")</f>
        <v>Fled/Escaped</v>
      </c>
      <c r="F850" s="8" t="str">
        <f ca="1">IFERROR(__xludf.DUMMYFUNCTION("""COMPUTED_VALUE"""),"No")</f>
        <v>No</v>
      </c>
      <c r="G850" s="8" t="str">
        <f ca="1">IFERROR(__xludf.DUMMYFUNCTION("""COMPUTED_VALUE"""),"None")</f>
        <v>None</v>
      </c>
    </row>
    <row r="851" spans="1:7" ht="12.75">
      <c r="A851" s="8" t="str">
        <f ca="1">IFERROR(__xludf.DUMMYFUNCTION("""COMPUTED_VALUE"""),"20190130GAMIL")</f>
        <v>20190130GAMIL</v>
      </c>
      <c r="B851" s="8">
        <f ca="1">IFERROR(__xludf.DUMMYFUNCTION("""COMPUTED_VALUE"""),16)</f>
        <v>16</v>
      </c>
      <c r="C851" s="8" t="str">
        <f ca="1">IFERROR(__xludf.DUMMYFUNCTION("""COMPUTED_VALUE"""),"Male")</f>
        <v>Male</v>
      </c>
      <c r="D851" s="8" t="str">
        <f ca="1">IFERROR(__xludf.DUMMYFUNCTION("""COMPUTED_VALUE"""),"No Relation")</f>
        <v>No Relation</v>
      </c>
      <c r="E851" s="8" t="str">
        <f ca="1">IFERROR(__xludf.DUMMYFUNCTION("""COMPUTED_VALUE"""),"Fled/Escaped")</f>
        <v>Fled/Escaped</v>
      </c>
      <c r="F851" s="8" t="str">
        <f ca="1">IFERROR(__xludf.DUMMYFUNCTION("""COMPUTED_VALUE"""),"No")</f>
        <v>No</v>
      </c>
      <c r="G851" s="8" t="str">
        <f ca="1">IFERROR(__xludf.DUMMYFUNCTION("""COMPUTED_VALUE"""),"None")</f>
        <v>None</v>
      </c>
    </row>
    <row r="852" spans="1:7" ht="12.75">
      <c r="A852" s="8" t="str">
        <f ca="1">IFERROR(__xludf.DUMMYFUNCTION("""COMPUTED_VALUE"""),"20190127NVRER")</f>
        <v>20190127NVRER</v>
      </c>
      <c r="B852" s="8">
        <f ca="1">IFERROR(__xludf.DUMMYFUNCTION("""COMPUTED_VALUE"""),35)</f>
        <v>35</v>
      </c>
      <c r="C852" s="8" t="str">
        <f ca="1">IFERROR(__xludf.DUMMYFUNCTION("""COMPUTED_VALUE"""),"Male")</f>
        <v>Male</v>
      </c>
      <c r="D852" s="8" t="str">
        <f ca="1">IFERROR(__xludf.DUMMYFUNCTION("""COMPUTED_VALUE"""),"No Relation")</f>
        <v>No Relation</v>
      </c>
      <c r="E852" s="8" t="str">
        <f ca="1">IFERROR(__xludf.DUMMYFUNCTION("""COMPUTED_VALUE"""),"Apprehended/Killed by LE")</f>
        <v>Apprehended/Killed by LE</v>
      </c>
      <c r="F852" s="8" t="str">
        <f ca="1">IFERROR(__xludf.DUMMYFUNCTION("""COMPUTED_VALUE"""),"No")</f>
        <v>No</v>
      </c>
      <c r="G852" s="8" t="str">
        <f ca="1">IFERROR(__xludf.DUMMYFUNCTION("""COMPUTED_VALUE"""),"Wounded")</f>
        <v>Wounded</v>
      </c>
    </row>
    <row r="853" spans="1:7" ht="12.75">
      <c r="A853" s="8" t="str">
        <f ca="1">IFERROR(__xludf.DUMMYFUNCTION("""COMPUTED_VALUE"""),"20190125TNMAM")</f>
        <v>20190125TNMAM</v>
      </c>
      <c r="B853" s="8">
        <f ca="1">IFERROR(__xludf.DUMMYFUNCTION("""COMPUTED_VALUE"""),16)</f>
        <v>16</v>
      </c>
      <c r="C853" s="8" t="str">
        <f ca="1">IFERROR(__xludf.DUMMYFUNCTION("""COMPUTED_VALUE"""),"Male")</f>
        <v>Male</v>
      </c>
      <c r="D853" s="8" t="str">
        <f ca="1">IFERROR(__xludf.DUMMYFUNCTION("""COMPUTED_VALUE"""),"Unknown")</f>
        <v>Unknown</v>
      </c>
      <c r="E853" s="8" t="str">
        <f ca="1">IFERROR(__xludf.DUMMYFUNCTION("""COMPUTED_VALUE"""),"Fled/Apprehended")</f>
        <v>Fled/Apprehended</v>
      </c>
      <c r="F853" s="8" t="str">
        <f ca="1">IFERROR(__xludf.DUMMYFUNCTION("""COMPUTED_VALUE"""),"No")</f>
        <v>No</v>
      </c>
      <c r="G853" s="8" t="str">
        <f ca="1">IFERROR(__xludf.DUMMYFUNCTION("""COMPUTED_VALUE"""),"None")</f>
        <v>None</v>
      </c>
    </row>
    <row r="854" spans="1:7" ht="12.75">
      <c r="A854" s="8" t="str">
        <f ca="1">IFERROR(__xludf.DUMMYFUNCTION("""COMPUTED_VALUE"""),"20190125TNMAM")</f>
        <v>20190125TNMAM</v>
      </c>
      <c r="B854" s="8">
        <f ca="1">IFERROR(__xludf.DUMMYFUNCTION("""COMPUTED_VALUE"""),16)</f>
        <v>16</v>
      </c>
      <c r="C854" s="8" t="str">
        <f ca="1">IFERROR(__xludf.DUMMYFUNCTION("""COMPUTED_VALUE"""),"Male")</f>
        <v>Male</v>
      </c>
      <c r="D854" s="8" t="str">
        <f ca="1">IFERROR(__xludf.DUMMYFUNCTION("""COMPUTED_VALUE"""),"Unknown")</f>
        <v>Unknown</v>
      </c>
      <c r="E854" s="8" t="str">
        <f ca="1">IFERROR(__xludf.DUMMYFUNCTION("""COMPUTED_VALUE"""),"Fled/Apprehended")</f>
        <v>Fled/Apprehended</v>
      </c>
      <c r="F854" s="8" t="str">
        <f ca="1">IFERROR(__xludf.DUMMYFUNCTION("""COMPUTED_VALUE"""),"No")</f>
        <v>No</v>
      </c>
      <c r="G854" s="8" t="str">
        <f ca="1">IFERROR(__xludf.DUMMYFUNCTION("""COMPUTED_VALUE"""),"None")</f>
        <v>None</v>
      </c>
    </row>
    <row r="855" spans="1:7" ht="12.75">
      <c r="A855" s="8" t="str">
        <f ca="1">IFERROR(__xludf.DUMMYFUNCTION("""COMPUTED_VALUE"""),"20190125ALDAM")</f>
        <v>20190125ALDAM</v>
      </c>
      <c r="B855" s="8">
        <f ca="1">IFERROR(__xludf.DUMMYFUNCTION("""COMPUTED_VALUE"""),15)</f>
        <v>15</v>
      </c>
      <c r="C855" s="8" t="str">
        <f ca="1">IFERROR(__xludf.DUMMYFUNCTION("""COMPUTED_VALUE"""),"Male")</f>
        <v>Male</v>
      </c>
      <c r="D855" s="8" t="str">
        <f ca="1">IFERROR(__xludf.DUMMYFUNCTION("""COMPUTED_VALUE"""),"Student")</f>
        <v>Student</v>
      </c>
      <c r="E855" s="8" t="str">
        <f ca="1">IFERROR(__xludf.DUMMYFUNCTION("""COMPUTED_VALUE"""),"Fled/Escaped")</f>
        <v>Fled/Escaped</v>
      </c>
      <c r="F855" s="8" t="str">
        <f ca="1">IFERROR(__xludf.DUMMYFUNCTION("""COMPUTED_VALUE"""),"No")</f>
        <v>No</v>
      </c>
      <c r="G855" s="8" t="str">
        <f ca="1">IFERROR(__xludf.DUMMYFUNCTION("""COMPUTED_VALUE"""),"None")</f>
        <v>None</v>
      </c>
    </row>
    <row r="856" spans="1:7" ht="12.75">
      <c r="A856" s="8" t="str">
        <f ca="1">IFERROR(__xludf.DUMMYFUNCTION("""COMPUTED_VALUE"""),"20190123LASOS")</f>
        <v>20190123LASOS</v>
      </c>
      <c r="B856" s="8" t="str">
        <f ca="1">IFERROR(__xludf.DUMMYFUNCTION("""COMPUTED_VALUE"""),"Adult")</f>
        <v>Adult</v>
      </c>
      <c r="C856" s="8"/>
      <c r="D856" s="8" t="str">
        <f ca="1">IFERROR(__xludf.DUMMYFUNCTION("""COMPUTED_VALUE"""),"No Relation")</f>
        <v>No Relation</v>
      </c>
      <c r="E856" s="8" t="str">
        <f ca="1">IFERROR(__xludf.DUMMYFUNCTION("""COMPUTED_VALUE"""),"Fled/Escaped")</f>
        <v>Fled/Escaped</v>
      </c>
      <c r="F856" s="8" t="str">
        <f ca="1">IFERROR(__xludf.DUMMYFUNCTION("""COMPUTED_VALUE"""),"No")</f>
        <v>No</v>
      </c>
      <c r="G856" s="8" t="str">
        <f ca="1">IFERROR(__xludf.DUMMYFUNCTION("""COMPUTED_VALUE"""),"None")</f>
        <v>None</v>
      </c>
    </row>
    <row r="857" spans="1:7" ht="12.75">
      <c r="A857" s="8" t="str">
        <f ca="1">IFERROR(__xludf.DUMMYFUNCTION("""COMPUTED_VALUE"""),"20190119KSLAO")</f>
        <v>20190119KSLAO</v>
      </c>
      <c r="B857" s="8"/>
      <c r="C857" s="8" t="str">
        <f ca="1">IFERROR(__xludf.DUMMYFUNCTION("""COMPUTED_VALUE"""),"Male")</f>
        <v>Male</v>
      </c>
      <c r="D857" s="8" t="str">
        <f ca="1">IFERROR(__xludf.DUMMYFUNCTION("""COMPUTED_VALUE"""),"No Relation")</f>
        <v>No Relation</v>
      </c>
      <c r="E857" s="8" t="str">
        <f ca="1">IFERROR(__xludf.DUMMYFUNCTION("""COMPUTED_VALUE"""),"Fled/Escaped")</f>
        <v>Fled/Escaped</v>
      </c>
      <c r="F857" s="8" t="str">
        <f ca="1">IFERROR(__xludf.DUMMYFUNCTION("""COMPUTED_VALUE"""),"No")</f>
        <v>No</v>
      </c>
      <c r="G857" s="8" t="str">
        <f ca="1">IFERROR(__xludf.DUMMYFUNCTION("""COMPUTED_VALUE"""),"None")</f>
        <v>None</v>
      </c>
    </row>
    <row r="858" spans="1:7" ht="12.75">
      <c r="A858" s="8" t="str">
        <f ca="1">IFERROR(__xludf.DUMMYFUNCTION("""COMPUTED_VALUE"""),"20190118NCSHD")</f>
        <v>20190118NCSHD</v>
      </c>
      <c r="B858" s="8"/>
      <c r="C858" s="8" t="str">
        <f ca="1">IFERROR(__xludf.DUMMYFUNCTION("""COMPUTED_VALUE"""),"Male")</f>
        <v>Male</v>
      </c>
      <c r="D858" s="8" t="str">
        <f ca="1">IFERROR(__xludf.DUMMYFUNCTION("""COMPUTED_VALUE"""),"No Relation")</f>
        <v>No Relation</v>
      </c>
      <c r="E858" s="8" t="str">
        <f ca="1">IFERROR(__xludf.DUMMYFUNCTION("""COMPUTED_VALUE"""),"Fled/Escaped")</f>
        <v>Fled/Escaped</v>
      </c>
      <c r="F858" s="8" t="str">
        <f ca="1">IFERROR(__xludf.DUMMYFUNCTION("""COMPUTED_VALUE"""),"No")</f>
        <v>No</v>
      </c>
      <c r="G858" s="8" t="str">
        <f ca="1">IFERROR(__xludf.DUMMYFUNCTION("""COMPUTED_VALUE"""),"None")</f>
        <v>None</v>
      </c>
    </row>
    <row r="859" spans="1:7" ht="12.75">
      <c r="A859" s="8" t="str">
        <f ca="1">IFERROR(__xludf.DUMMYFUNCTION("""COMPUTED_VALUE"""),"20190118MOHAS")</f>
        <v>20190118MOHAS</v>
      </c>
      <c r="B859" s="8"/>
      <c r="C859" s="8" t="str">
        <f ca="1">IFERROR(__xludf.DUMMYFUNCTION("""COMPUTED_VALUE"""),"Male")</f>
        <v>Male</v>
      </c>
      <c r="D859" s="8" t="str">
        <f ca="1">IFERROR(__xludf.DUMMYFUNCTION("""COMPUTED_VALUE"""),"Unknown")</f>
        <v>Unknown</v>
      </c>
      <c r="E859" s="8" t="str">
        <f ca="1">IFERROR(__xludf.DUMMYFUNCTION("""COMPUTED_VALUE"""),"Fled/Escaped")</f>
        <v>Fled/Escaped</v>
      </c>
      <c r="F859" s="8" t="str">
        <f ca="1">IFERROR(__xludf.DUMMYFUNCTION("""COMPUTED_VALUE"""),"No")</f>
        <v>No</v>
      </c>
      <c r="G859" s="8" t="str">
        <f ca="1">IFERROR(__xludf.DUMMYFUNCTION("""COMPUTED_VALUE"""),"None")</f>
        <v>None</v>
      </c>
    </row>
    <row r="860" spans="1:7" ht="12.75">
      <c r="A860" s="8" t="str">
        <f ca="1">IFERROR(__xludf.DUMMYFUNCTION("""COMPUTED_VALUE"""),"20190118ALCET")</f>
        <v>20190118ALCET</v>
      </c>
      <c r="B860" s="8">
        <f ca="1">IFERROR(__xludf.DUMMYFUNCTION("""COMPUTED_VALUE"""),19)</f>
        <v>19</v>
      </c>
      <c r="C860" s="8" t="str">
        <f ca="1">IFERROR(__xludf.DUMMYFUNCTION("""COMPUTED_VALUE"""),"Male")</f>
        <v>Male</v>
      </c>
      <c r="D860" s="8" t="str">
        <f ca="1">IFERROR(__xludf.DUMMYFUNCTION("""COMPUTED_VALUE"""),"No Relation")</f>
        <v>No Relation</v>
      </c>
      <c r="E860" s="8" t="str">
        <f ca="1">IFERROR(__xludf.DUMMYFUNCTION("""COMPUTED_VALUE"""),"Fled/Apprehended")</f>
        <v>Fled/Apprehended</v>
      </c>
      <c r="F860" s="8" t="str">
        <f ca="1">IFERROR(__xludf.DUMMYFUNCTION("""COMPUTED_VALUE"""),"No")</f>
        <v>No</v>
      </c>
      <c r="G860" s="8" t="str">
        <f ca="1">IFERROR(__xludf.DUMMYFUNCTION("""COMPUTED_VALUE"""),"None")</f>
        <v>None</v>
      </c>
    </row>
    <row r="861" spans="1:7" ht="12.75">
      <c r="A861" s="8" t="str">
        <f ca="1">IFERROR(__xludf.DUMMYFUNCTION("""COMPUTED_VALUE"""),"20190111ORCAE")</f>
        <v>20190111ORCAE</v>
      </c>
      <c r="B861" s="8">
        <f ca="1">IFERROR(__xludf.DUMMYFUNCTION("""COMPUTED_VALUE"""),30)</f>
        <v>30</v>
      </c>
      <c r="C861" s="8" t="str">
        <f ca="1">IFERROR(__xludf.DUMMYFUNCTION("""COMPUTED_VALUE"""),"Male")</f>
        <v>Male</v>
      </c>
      <c r="D861" s="8" t="str">
        <f ca="1">IFERROR(__xludf.DUMMYFUNCTION("""COMPUTED_VALUE"""),"Parent")</f>
        <v>Parent</v>
      </c>
      <c r="E861" s="8" t="str">
        <f ca="1">IFERROR(__xludf.DUMMYFUNCTION("""COMPUTED_VALUE"""),"Apprehended/Killed by LE")</f>
        <v>Apprehended/Killed by LE</v>
      </c>
      <c r="F861" s="8" t="str">
        <f ca="1">IFERROR(__xludf.DUMMYFUNCTION("""COMPUTED_VALUE"""),"No")</f>
        <v>No</v>
      </c>
      <c r="G861" s="8" t="str">
        <f ca="1">IFERROR(__xludf.DUMMYFUNCTION("""COMPUTED_VALUE"""),"None")</f>
        <v>None</v>
      </c>
    </row>
    <row r="862" spans="1:7" ht="12.75">
      <c r="A862" s="8" t="str">
        <f ca="1">IFERROR(__xludf.DUMMYFUNCTION("""COMPUTED_VALUE"""),"20190107CACEB")</f>
        <v>20190107CACEB</v>
      </c>
      <c r="B862" s="8"/>
      <c r="C862" s="8"/>
      <c r="D862" s="8" t="str">
        <f ca="1">IFERROR(__xludf.DUMMYFUNCTION("""COMPUTED_VALUE"""),"Unknown")</f>
        <v>Unknown</v>
      </c>
      <c r="E862" s="8" t="str">
        <f ca="1">IFERROR(__xludf.DUMMYFUNCTION("""COMPUTED_VALUE"""),"Fled/Escaped")</f>
        <v>Fled/Escaped</v>
      </c>
      <c r="F862" s="8" t="str">
        <f ca="1">IFERROR(__xludf.DUMMYFUNCTION("""COMPUTED_VALUE"""),"No")</f>
        <v>No</v>
      </c>
      <c r="G862" s="8" t="str">
        <f ca="1">IFERROR(__xludf.DUMMYFUNCTION("""COMPUTED_VALUE"""),"None")</f>
        <v>None</v>
      </c>
    </row>
    <row r="863" spans="1:7" ht="12.75">
      <c r="A863" s="8" t="str">
        <f ca="1">IFERROR(__xludf.DUMMYFUNCTION("""COMPUTED_VALUE"""),"20181218DEAIG")</f>
        <v>20181218DEAIG</v>
      </c>
      <c r="B863" s="8"/>
      <c r="C863" s="8"/>
      <c r="D863" s="8" t="str">
        <f ca="1">IFERROR(__xludf.DUMMYFUNCTION("""COMPUTED_VALUE"""),"Unknown")</f>
        <v>Unknown</v>
      </c>
      <c r="E863" s="8" t="str">
        <f ca="1">IFERROR(__xludf.DUMMYFUNCTION("""COMPUTED_VALUE"""),"Fled/Escaped")</f>
        <v>Fled/Escaped</v>
      </c>
      <c r="F863" s="8" t="str">
        <f ca="1">IFERROR(__xludf.DUMMYFUNCTION("""COMPUTED_VALUE"""),"No")</f>
        <v>No</v>
      </c>
      <c r="G863" s="8" t="str">
        <f ca="1">IFERROR(__xludf.DUMMYFUNCTION("""COMPUTED_VALUE"""),"None")</f>
        <v>None</v>
      </c>
    </row>
    <row r="864" spans="1:7" ht="12.75">
      <c r="A864" s="8" t="str">
        <f ca="1">IFERROR(__xludf.DUMMYFUNCTION("""COMPUTED_VALUE"""),"20181214MOWIK")</f>
        <v>20181214MOWIK</v>
      </c>
      <c r="B864" s="8" t="str">
        <f ca="1">IFERROR(__xludf.DUMMYFUNCTION("""COMPUTED_VALUE"""),"Teen")</f>
        <v>Teen</v>
      </c>
      <c r="C864" s="8" t="str">
        <f ca="1">IFERROR(__xludf.DUMMYFUNCTION("""COMPUTED_VALUE"""),"Male")</f>
        <v>Male</v>
      </c>
      <c r="D864" s="8" t="str">
        <f ca="1">IFERROR(__xludf.DUMMYFUNCTION("""COMPUTED_VALUE"""),"Student")</f>
        <v>Student</v>
      </c>
      <c r="E864" s="8" t="str">
        <f ca="1">IFERROR(__xludf.DUMMYFUNCTION("""COMPUTED_VALUE"""),"Fled/Escaped")</f>
        <v>Fled/Escaped</v>
      </c>
      <c r="F864" s="8" t="str">
        <f ca="1">IFERROR(__xludf.DUMMYFUNCTION("""COMPUTED_VALUE"""),"No")</f>
        <v>No</v>
      </c>
      <c r="G864" s="8" t="str">
        <f ca="1">IFERROR(__xludf.DUMMYFUNCTION("""COMPUTED_VALUE"""),"None")</f>
        <v>None</v>
      </c>
    </row>
    <row r="865" spans="1:7" ht="12.75">
      <c r="A865" s="8" t="str">
        <f ca="1">IFERROR(__xludf.DUMMYFUNCTION("""COMPUTED_VALUE"""),"20181213INDER")</f>
        <v>20181213INDER</v>
      </c>
      <c r="B865" s="8">
        <f ca="1">IFERROR(__xludf.DUMMYFUNCTION("""COMPUTED_VALUE"""),14)</f>
        <v>14</v>
      </c>
      <c r="C865" s="8" t="str">
        <f ca="1">IFERROR(__xludf.DUMMYFUNCTION("""COMPUTED_VALUE"""),"Male")</f>
        <v>Male</v>
      </c>
      <c r="D865" s="8" t="str">
        <f ca="1">IFERROR(__xludf.DUMMYFUNCTION("""COMPUTED_VALUE"""),"Former Student")</f>
        <v>Former Student</v>
      </c>
      <c r="E865" s="8" t="str">
        <f ca="1">IFERROR(__xludf.DUMMYFUNCTION("""COMPUTED_VALUE"""),"Suicide")</f>
        <v>Suicide</v>
      </c>
      <c r="F865" s="8" t="str">
        <f ca="1">IFERROR(__xludf.DUMMYFUNCTION("""COMPUTED_VALUE"""),"Yes")</f>
        <v>Yes</v>
      </c>
      <c r="G865" s="8" t="str">
        <f ca="1">IFERROR(__xludf.DUMMYFUNCTION("""COMPUTED_VALUE"""),"Suicide")</f>
        <v>Suicide</v>
      </c>
    </row>
    <row r="866" spans="1:7" ht="12.75">
      <c r="A866" s="8" t="str">
        <f ca="1">IFERROR(__xludf.DUMMYFUNCTION("""COMPUTED_VALUE"""),"20181211KYCAC")</f>
        <v>20181211KYCAC</v>
      </c>
      <c r="B866" s="8"/>
      <c r="C866" s="8"/>
      <c r="D866" s="8" t="str">
        <f ca="1">IFERROR(__xludf.DUMMYFUNCTION("""COMPUTED_VALUE"""),"No Relation")</f>
        <v>No Relation</v>
      </c>
      <c r="E866" s="8" t="str">
        <f ca="1">IFERROR(__xludf.DUMMYFUNCTION("""COMPUTED_VALUE"""),"Fled/Escaped")</f>
        <v>Fled/Escaped</v>
      </c>
      <c r="F866" s="8" t="str">
        <f ca="1">IFERROR(__xludf.DUMMYFUNCTION("""COMPUTED_VALUE"""),"No")</f>
        <v>No</v>
      </c>
      <c r="G866" s="8" t="str">
        <f ca="1">IFERROR(__xludf.DUMMYFUNCTION("""COMPUTED_VALUE"""),"None")</f>
        <v>None</v>
      </c>
    </row>
    <row r="867" spans="1:7" ht="12.75">
      <c r="A867" s="8" t="str">
        <f ca="1">IFERROR(__xludf.DUMMYFUNCTION("""COMPUTED_VALUE"""),"20181210NYJEJ")</f>
        <v>20181210NYJEJ</v>
      </c>
      <c r="B867" s="8">
        <f ca="1">IFERROR(__xludf.DUMMYFUNCTION("""COMPUTED_VALUE"""),17)</f>
        <v>17</v>
      </c>
      <c r="C867" s="8" t="str">
        <f ca="1">IFERROR(__xludf.DUMMYFUNCTION("""COMPUTED_VALUE"""),"Male")</f>
        <v>Male</v>
      </c>
      <c r="D867" s="8" t="str">
        <f ca="1">IFERROR(__xludf.DUMMYFUNCTION("""COMPUTED_VALUE"""),"Student")</f>
        <v>Student</v>
      </c>
      <c r="E867" s="8" t="str">
        <f ca="1">IFERROR(__xludf.DUMMYFUNCTION("""COMPUTED_VALUE"""),"Suicide")</f>
        <v>Suicide</v>
      </c>
      <c r="F867" s="8" t="str">
        <f ca="1">IFERROR(__xludf.DUMMYFUNCTION("""COMPUTED_VALUE"""),"Yes")</f>
        <v>Yes</v>
      </c>
      <c r="G867" s="8" t="str">
        <f ca="1">IFERROR(__xludf.DUMMYFUNCTION("""COMPUTED_VALUE"""),"Suicide")</f>
        <v>Suicide</v>
      </c>
    </row>
    <row r="868" spans="1:7" ht="12.75">
      <c r="A868" s="8" t="str">
        <f ca="1">IFERROR(__xludf.DUMMYFUNCTION("""COMPUTED_VALUE"""),"20181128PASTP")</f>
        <v>20181128PASTP</v>
      </c>
      <c r="B868" s="8"/>
      <c r="C868" s="8"/>
      <c r="D868" s="8" t="str">
        <f ca="1">IFERROR(__xludf.DUMMYFUNCTION("""COMPUTED_VALUE"""),"Unknown")</f>
        <v>Unknown</v>
      </c>
      <c r="E868" s="8" t="str">
        <f ca="1">IFERROR(__xludf.DUMMYFUNCTION("""COMPUTED_VALUE"""),"Fled/Escaped")</f>
        <v>Fled/Escaped</v>
      </c>
      <c r="F868" s="8" t="str">
        <f ca="1">IFERROR(__xludf.DUMMYFUNCTION("""COMPUTED_VALUE"""),"No")</f>
        <v>No</v>
      </c>
      <c r="G868" s="8" t="str">
        <f ca="1">IFERROR(__xludf.DUMMYFUNCTION("""COMPUTED_VALUE"""),"None")</f>
        <v>None</v>
      </c>
    </row>
    <row r="869" spans="1:7" ht="12.75">
      <c r="A869" s="8" t="str">
        <f ca="1">IFERROR(__xludf.DUMMYFUNCTION("""COMPUTED_VALUE"""),"20181124OHAFC")</f>
        <v>20181124OHAFC</v>
      </c>
      <c r="B869" s="8" t="str">
        <f ca="1">IFERROR(__xludf.DUMMYFUNCTION("""COMPUTED_VALUE"""),"Adult")</f>
        <v>Adult</v>
      </c>
      <c r="C869" s="8" t="str">
        <f ca="1">IFERROR(__xludf.DUMMYFUNCTION("""COMPUTED_VALUE"""),"Male")</f>
        <v>Male</v>
      </c>
      <c r="D869" s="8" t="str">
        <f ca="1">IFERROR(__xludf.DUMMYFUNCTION("""COMPUTED_VALUE"""),"No Relation")</f>
        <v>No Relation</v>
      </c>
      <c r="E869" s="8" t="str">
        <f ca="1">IFERROR(__xludf.DUMMYFUNCTION("""COMPUTED_VALUE"""),"Fled/Escaped")</f>
        <v>Fled/Escaped</v>
      </c>
      <c r="F869" s="8" t="str">
        <f ca="1">IFERROR(__xludf.DUMMYFUNCTION("""COMPUTED_VALUE"""),"No")</f>
        <v>No</v>
      </c>
      <c r="G869" s="8" t="str">
        <f ca="1">IFERROR(__xludf.DUMMYFUNCTION("""COMPUTED_VALUE"""),"None")</f>
        <v>None</v>
      </c>
    </row>
    <row r="870" spans="1:7" ht="12.75">
      <c r="A870" s="8" t="str">
        <f ca="1">IFERROR(__xludf.DUMMYFUNCTION("""COMPUTED_VALUE"""),"20181122WAMOD")</f>
        <v>20181122WAMOD</v>
      </c>
      <c r="B870" s="8" t="str">
        <f ca="1">IFERROR(__xludf.DUMMYFUNCTION("""COMPUTED_VALUE"""),"Adult")</f>
        <v>Adult</v>
      </c>
      <c r="C870" s="8" t="str">
        <f ca="1">IFERROR(__xludf.DUMMYFUNCTION("""COMPUTED_VALUE"""),"Male")</f>
        <v>Male</v>
      </c>
      <c r="D870" s="8" t="str">
        <f ca="1">IFERROR(__xludf.DUMMYFUNCTION("""COMPUTED_VALUE"""),"Nonstudent Using Athletic Facilities/Attending Game")</f>
        <v>Nonstudent Using Athletic Facilities/Attending Game</v>
      </c>
      <c r="E870" s="8" t="str">
        <f ca="1">IFERROR(__xludf.DUMMYFUNCTION("""COMPUTED_VALUE"""),"Fled/Escaped")</f>
        <v>Fled/Escaped</v>
      </c>
      <c r="F870" s="8" t="str">
        <f ca="1">IFERROR(__xludf.DUMMYFUNCTION("""COMPUTED_VALUE"""),"No")</f>
        <v>No</v>
      </c>
      <c r="G870" s="8" t="str">
        <f ca="1">IFERROR(__xludf.DUMMYFUNCTION("""COMPUTED_VALUE"""),"None")</f>
        <v>None</v>
      </c>
    </row>
    <row r="871" spans="1:7" ht="12.75">
      <c r="A871" s="8" t="str">
        <f ca="1">IFERROR(__xludf.DUMMYFUNCTION("""COMPUTED_VALUE"""),"20181122TXSKD")</f>
        <v>20181122TXSKD</v>
      </c>
      <c r="B871" s="8" t="str">
        <f ca="1">IFERROR(__xludf.DUMMYFUNCTION("""COMPUTED_VALUE"""),"Teen")</f>
        <v>Teen</v>
      </c>
      <c r="C871" s="8" t="str">
        <f ca="1">IFERROR(__xludf.DUMMYFUNCTION("""COMPUTED_VALUE"""),"Male")</f>
        <v>Male</v>
      </c>
      <c r="D871" s="8" t="str">
        <f ca="1">IFERROR(__xludf.DUMMYFUNCTION("""COMPUTED_VALUE"""),"Unknown")</f>
        <v>Unknown</v>
      </c>
      <c r="E871" s="8" t="str">
        <f ca="1">IFERROR(__xludf.DUMMYFUNCTION("""COMPUTED_VALUE"""),"Fled/Escaped")</f>
        <v>Fled/Escaped</v>
      </c>
      <c r="F871" s="8" t="str">
        <f ca="1">IFERROR(__xludf.DUMMYFUNCTION("""COMPUTED_VALUE"""),"No")</f>
        <v>No</v>
      </c>
      <c r="G871" s="8" t="str">
        <f ca="1">IFERROR(__xludf.DUMMYFUNCTION("""COMPUTED_VALUE"""),"None")</f>
        <v>None</v>
      </c>
    </row>
    <row r="872" spans="1:7" ht="12.75">
      <c r="A872" s="8" t="str">
        <f ca="1">IFERROR(__xludf.DUMMYFUNCTION("""COMPUTED_VALUE"""),"20181121MIPEP")</f>
        <v>20181121MIPEP</v>
      </c>
      <c r="B872" s="8">
        <f ca="1">IFERROR(__xludf.DUMMYFUNCTION("""COMPUTED_VALUE"""),22)</f>
        <v>22</v>
      </c>
      <c r="C872" s="8" t="str">
        <f ca="1">IFERROR(__xludf.DUMMYFUNCTION("""COMPUTED_VALUE"""),"Male")</f>
        <v>Male</v>
      </c>
      <c r="D872" s="8" t="str">
        <f ca="1">IFERROR(__xludf.DUMMYFUNCTION("""COMPUTED_VALUE"""),"No Relation")</f>
        <v>No Relation</v>
      </c>
      <c r="E872" s="8" t="str">
        <f ca="1">IFERROR(__xludf.DUMMYFUNCTION("""COMPUTED_VALUE"""),"Fled/Apprehended")</f>
        <v>Fled/Apprehended</v>
      </c>
      <c r="F872" s="8" t="str">
        <f ca="1">IFERROR(__xludf.DUMMYFUNCTION("""COMPUTED_VALUE"""),"No")</f>
        <v>No</v>
      </c>
      <c r="G872" s="8" t="str">
        <f ca="1">IFERROR(__xludf.DUMMYFUNCTION("""COMPUTED_VALUE"""),"None")</f>
        <v>None</v>
      </c>
    </row>
    <row r="873" spans="1:7" ht="12.75">
      <c r="A873" s="8" t="str">
        <f ca="1">IFERROR(__xludf.DUMMYFUNCTION("""COMPUTED_VALUE"""),"20181120VASIP")</f>
        <v>20181120VASIP</v>
      </c>
      <c r="B873" s="8">
        <f ca="1">IFERROR(__xludf.DUMMYFUNCTION("""COMPUTED_VALUE"""),29)</f>
        <v>29</v>
      </c>
      <c r="C873" s="8" t="str">
        <f ca="1">IFERROR(__xludf.DUMMYFUNCTION("""COMPUTED_VALUE"""),"Male")</f>
        <v>Male</v>
      </c>
      <c r="D873" s="8" t="str">
        <f ca="1">IFERROR(__xludf.DUMMYFUNCTION("""COMPUTED_VALUE"""),"Parent")</f>
        <v>Parent</v>
      </c>
      <c r="E873" s="8" t="str">
        <f ca="1">IFERROR(__xludf.DUMMYFUNCTION("""COMPUTED_VALUE"""),"Fled/Apprehended")</f>
        <v>Fled/Apprehended</v>
      </c>
      <c r="F873" s="8" t="str">
        <f ca="1">IFERROR(__xludf.DUMMYFUNCTION("""COMPUTED_VALUE"""),"No")</f>
        <v>No</v>
      </c>
      <c r="G873" s="8" t="str">
        <f ca="1">IFERROR(__xludf.DUMMYFUNCTION("""COMPUTED_VALUE"""),"None")</f>
        <v>None</v>
      </c>
    </row>
    <row r="874" spans="1:7" ht="12.75">
      <c r="A874" s="8" t="str">
        <f ca="1">IFERROR(__xludf.DUMMYFUNCTION("""COMPUTED_VALUE"""),"20181112MDEAE")</f>
        <v>20181112MDEAE</v>
      </c>
      <c r="B874" s="8"/>
      <c r="C874" s="8" t="str">
        <f ca="1">IFERROR(__xludf.DUMMYFUNCTION("""COMPUTED_VALUE"""),"Male")</f>
        <v>Male</v>
      </c>
      <c r="D874" s="8" t="str">
        <f ca="1">IFERROR(__xludf.DUMMYFUNCTION("""COMPUTED_VALUE"""),"Police Officer/SRO")</f>
        <v>Police Officer/SRO</v>
      </c>
      <c r="E874" s="8" t="str">
        <f ca="1">IFERROR(__xludf.DUMMYFUNCTION("""COMPUTED_VALUE"""),"Suicide")</f>
        <v>Suicide</v>
      </c>
      <c r="F874" s="8" t="str">
        <f ca="1">IFERROR(__xludf.DUMMYFUNCTION("""COMPUTED_VALUE"""),"Yes")</f>
        <v>Yes</v>
      </c>
      <c r="G874" s="8" t="str">
        <f ca="1">IFERROR(__xludf.DUMMYFUNCTION("""COMPUTED_VALUE"""),"Suicide")</f>
        <v>Suicide</v>
      </c>
    </row>
    <row r="875" spans="1:7" ht="12.75">
      <c r="A875" s="8" t="str">
        <f ca="1">IFERROR(__xludf.DUMMYFUNCTION("""COMPUTED_VALUE"""),"20181109GAGAM")</f>
        <v>20181109GAGAM</v>
      </c>
      <c r="B875" s="8" t="str">
        <f ca="1">IFERROR(__xludf.DUMMYFUNCTION("""COMPUTED_VALUE"""),"Teen")</f>
        <v>Teen</v>
      </c>
      <c r="C875" s="8" t="str">
        <f ca="1">IFERROR(__xludf.DUMMYFUNCTION("""COMPUTED_VALUE"""),"Male")</f>
        <v>Male</v>
      </c>
      <c r="D875" s="8" t="str">
        <f ca="1">IFERROR(__xludf.DUMMYFUNCTION("""COMPUTED_VALUE"""),"Student")</f>
        <v>Student</v>
      </c>
      <c r="E875" s="8" t="str">
        <f ca="1">IFERROR(__xludf.DUMMYFUNCTION("""COMPUTED_VALUE"""),"Fled/Apprehended")</f>
        <v>Fled/Apprehended</v>
      </c>
      <c r="F875" s="8" t="str">
        <f ca="1">IFERROR(__xludf.DUMMYFUNCTION("""COMPUTED_VALUE"""),"No")</f>
        <v>No</v>
      </c>
      <c r="G875" s="8" t="str">
        <f ca="1">IFERROR(__xludf.DUMMYFUNCTION("""COMPUTED_VALUE"""),"None")</f>
        <v>None</v>
      </c>
    </row>
    <row r="876" spans="1:7" ht="12.75">
      <c r="A876" s="8" t="str">
        <f ca="1">IFERROR(__xludf.DUMMYFUNCTION("""COMPUTED_VALUE"""),"20181108CACLS")</f>
        <v>20181108CACLS</v>
      </c>
      <c r="B876" s="8">
        <f ca="1">IFERROR(__xludf.DUMMYFUNCTION("""COMPUTED_VALUE"""),29)</f>
        <v>29</v>
      </c>
      <c r="C876" s="8" t="str">
        <f ca="1">IFERROR(__xludf.DUMMYFUNCTION("""COMPUTED_VALUE"""),"Male")</f>
        <v>Male</v>
      </c>
      <c r="D876" s="8" t="str">
        <f ca="1">IFERROR(__xludf.DUMMYFUNCTION("""COMPUTED_VALUE"""),"No Relation")</f>
        <v>No Relation</v>
      </c>
      <c r="E876" s="8" t="str">
        <f ca="1">IFERROR(__xludf.DUMMYFUNCTION("""COMPUTED_VALUE"""),"Fled/Apprehended")</f>
        <v>Fled/Apprehended</v>
      </c>
      <c r="F876" s="8" t="str">
        <f ca="1">IFERROR(__xludf.DUMMYFUNCTION("""COMPUTED_VALUE"""),"No")</f>
        <v>No</v>
      </c>
      <c r="G876" s="8" t="str">
        <f ca="1">IFERROR(__xludf.DUMMYFUNCTION("""COMPUTED_VALUE"""),"None")</f>
        <v>None</v>
      </c>
    </row>
    <row r="877" spans="1:7" ht="12.75">
      <c r="A877" s="8" t="str">
        <f ca="1">IFERROR(__xludf.DUMMYFUNCTION("""COMPUTED_VALUE"""),"20181108CACLS")</f>
        <v>20181108CACLS</v>
      </c>
      <c r="B877" s="8">
        <f ca="1">IFERROR(__xludf.DUMMYFUNCTION("""COMPUTED_VALUE"""),29)</f>
        <v>29</v>
      </c>
      <c r="C877" s="8" t="str">
        <f ca="1">IFERROR(__xludf.DUMMYFUNCTION("""COMPUTED_VALUE"""),"Male")</f>
        <v>Male</v>
      </c>
      <c r="D877" s="8" t="str">
        <f ca="1">IFERROR(__xludf.DUMMYFUNCTION("""COMPUTED_VALUE"""),"No Relation")</f>
        <v>No Relation</v>
      </c>
      <c r="E877" s="8" t="str">
        <f ca="1">IFERROR(__xludf.DUMMYFUNCTION("""COMPUTED_VALUE"""),"Fled/Apprehended")</f>
        <v>Fled/Apprehended</v>
      </c>
      <c r="F877" s="8" t="str">
        <f ca="1">IFERROR(__xludf.DUMMYFUNCTION("""COMPUTED_VALUE"""),"No")</f>
        <v>No</v>
      </c>
      <c r="G877" s="8" t="str">
        <f ca="1">IFERROR(__xludf.DUMMYFUNCTION("""COMPUTED_VALUE"""),"None")</f>
        <v>None</v>
      </c>
    </row>
    <row r="878" spans="1:7" ht="12.75">
      <c r="A878" s="8" t="str">
        <f ca="1">IFERROR(__xludf.DUMMYFUNCTION("""COMPUTED_VALUE"""),"20181105SCACC")</f>
        <v>20181105SCACC</v>
      </c>
      <c r="B878" s="8">
        <f ca="1">IFERROR(__xludf.DUMMYFUNCTION("""COMPUTED_VALUE"""),12)</f>
        <v>12</v>
      </c>
      <c r="C878" s="8" t="str">
        <f ca="1">IFERROR(__xludf.DUMMYFUNCTION("""COMPUTED_VALUE"""),"Male")</f>
        <v>Male</v>
      </c>
      <c r="D878" s="8" t="str">
        <f ca="1">IFERROR(__xludf.DUMMYFUNCTION("""COMPUTED_VALUE"""),"Student")</f>
        <v>Student</v>
      </c>
      <c r="E878" s="8" t="str">
        <f ca="1">IFERROR(__xludf.DUMMYFUNCTION("""COMPUTED_VALUE"""),"Apprehended/Killed by LE")</f>
        <v>Apprehended/Killed by LE</v>
      </c>
      <c r="F878" s="8" t="str">
        <f ca="1">IFERROR(__xludf.DUMMYFUNCTION("""COMPUTED_VALUE"""),"No")</f>
        <v>No</v>
      </c>
      <c r="G878" s="8" t="str">
        <f ca="1">IFERROR(__xludf.DUMMYFUNCTION("""COMPUTED_VALUE"""),"None")</f>
        <v>None</v>
      </c>
    </row>
    <row r="879" spans="1:7" ht="12.75">
      <c r="A879" s="8" t="str">
        <f ca="1">IFERROR(__xludf.DUMMYFUNCTION("""COMPUTED_VALUE"""),"20181104KYCRL")</f>
        <v>20181104KYCRL</v>
      </c>
      <c r="B879" s="8" t="str">
        <f ca="1">IFERROR(__xludf.DUMMYFUNCTION("""COMPUTED_VALUE"""),"Adult")</f>
        <v>Adult</v>
      </c>
      <c r="C879" s="8" t="str">
        <f ca="1">IFERROR(__xludf.DUMMYFUNCTION("""COMPUTED_VALUE"""),"Male")</f>
        <v>Male</v>
      </c>
      <c r="D879" s="8" t="str">
        <f ca="1">IFERROR(__xludf.DUMMYFUNCTION("""COMPUTED_VALUE"""),"Unknown")</f>
        <v>Unknown</v>
      </c>
      <c r="E879" s="8" t="str">
        <f ca="1">IFERROR(__xludf.DUMMYFUNCTION("""COMPUTED_VALUE"""),"Fled/Escaped")</f>
        <v>Fled/Escaped</v>
      </c>
      <c r="F879" s="8" t="str">
        <f ca="1">IFERROR(__xludf.DUMMYFUNCTION("""COMPUTED_VALUE"""),"No")</f>
        <v>No</v>
      </c>
      <c r="G879" s="8" t="str">
        <f ca="1">IFERROR(__xludf.DUMMYFUNCTION("""COMPUTED_VALUE"""),"None")</f>
        <v>None</v>
      </c>
    </row>
    <row r="880" spans="1:7" ht="12.75">
      <c r="A880" s="8" t="str">
        <f ca="1">IFERROR(__xludf.DUMMYFUNCTION("""COMPUTED_VALUE"""),"20181029NCBUM")</f>
        <v>20181029NCBUM</v>
      </c>
      <c r="B880" s="8">
        <f ca="1">IFERROR(__xludf.DUMMYFUNCTION("""COMPUTED_VALUE"""),16)</f>
        <v>16</v>
      </c>
      <c r="C880" s="8" t="str">
        <f ca="1">IFERROR(__xludf.DUMMYFUNCTION("""COMPUTED_VALUE"""),"Male")</f>
        <v>Male</v>
      </c>
      <c r="D880" s="8" t="str">
        <f ca="1">IFERROR(__xludf.DUMMYFUNCTION("""COMPUTED_VALUE"""),"Student")</f>
        <v>Student</v>
      </c>
      <c r="E880" s="8" t="str">
        <f ca="1">IFERROR(__xludf.DUMMYFUNCTION("""COMPUTED_VALUE"""),"Surrendered")</f>
        <v>Surrendered</v>
      </c>
      <c r="F880" s="8" t="str">
        <f ca="1">IFERROR(__xludf.DUMMYFUNCTION("""COMPUTED_VALUE"""),"No")</f>
        <v>No</v>
      </c>
      <c r="G880" s="8" t="str">
        <f ca="1">IFERROR(__xludf.DUMMYFUNCTION("""COMPUTED_VALUE"""),"None")</f>
        <v>None</v>
      </c>
    </row>
    <row r="881" spans="1:7" ht="12.75">
      <c r="A881" s="8" t="str">
        <f ca="1">IFERROR(__xludf.DUMMYFUNCTION("""COMPUTED_VALUE"""),"20181026FLSAO")</f>
        <v>20181026FLSAO</v>
      </c>
      <c r="B881" s="8">
        <f ca="1">IFERROR(__xludf.DUMMYFUNCTION("""COMPUTED_VALUE"""),16)</f>
        <v>16</v>
      </c>
      <c r="C881" s="8" t="str">
        <f ca="1">IFERROR(__xludf.DUMMYFUNCTION("""COMPUTED_VALUE"""),"Male")</f>
        <v>Male</v>
      </c>
      <c r="D881" s="8" t="str">
        <f ca="1">IFERROR(__xludf.DUMMYFUNCTION("""COMPUTED_VALUE"""),"No Relation")</f>
        <v>No Relation</v>
      </c>
      <c r="E881" s="8" t="str">
        <f ca="1">IFERROR(__xludf.DUMMYFUNCTION("""COMPUTED_VALUE"""),"Fled/Apprehended")</f>
        <v>Fled/Apprehended</v>
      </c>
      <c r="F881" s="8" t="str">
        <f ca="1">IFERROR(__xludf.DUMMYFUNCTION("""COMPUTED_VALUE"""),"No")</f>
        <v>No</v>
      </c>
      <c r="G881" s="8" t="str">
        <f ca="1">IFERROR(__xludf.DUMMYFUNCTION("""COMPUTED_VALUE"""),"None")</f>
        <v>None</v>
      </c>
    </row>
    <row r="882" spans="1:7" ht="12.75">
      <c r="A882" s="8" t="str">
        <f ca="1">IFERROR(__xludf.DUMMYFUNCTION("""COMPUTED_VALUE"""),"20181025MICOD")</f>
        <v>20181025MICOD</v>
      </c>
      <c r="B882" s="8"/>
      <c r="C882" s="8"/>
      <c r="D882" s="8" t="str">
        <f ca="1">IFERROR(__xludf.DUMMYFUNCTION("""COMPUTED_VALUE"""),"Unknown")</f>
        <v>Unknown</v>
      </c>
      <c r="E882" s="8" t="str">
        <f ca="1">IFERROR(__xludf.DUMMYFUNCTION("""COMPUTED_VALUE"""),"Fled/Escaped")</f>
        <v>Fled/Escaped</v>
      </c>
      <c r="F882" s="8" t="str">
        <f ca="1">IFERROR(__xludf.DUMMYFUNCTION("""COMPUTED_VALUE"""),"No")</f>
        <v>No</v>
      </c>
      <c r="G882" s="8" t="str">
        <f ca="1">IFERROR(__xludf.DUMMYFUNCTION("""COMPUTED_VALUE"""),"None")</f>
        <v>None</v>
      </c>
    </row>
    <row r="883" spans="1:7" ht="12.75">
      <c r="A883" s="8" t="str">
        <f ca="1">IFERROR(__xludf.DUMMYFUNCTION("""COMPUTED_VALUE"""),"20181023NHGOM")</f>
        <v>20181023NHGOM</v>
      </c>
      <c r="B883" s="8"/>
      <c r="C883" s="8" t="str">
        <f ca="1">IFERROR(__xludf.DUMMYFUNCTION("""COMPUTED_VALUE"""),"Male")</f>
        <v>Male</v>
      </c>
      <c r="D883" s="8" t="str">
        <f ca="1">IFERROR(__xludf.DUMMYFUNCTION("""COMPUTED_VALUE"""),"Unknown")</f>
        <v>Unknown</v>
      </c>
      <c r="E883" s="8" t="str">
        <f ca="1">IFERROR(__xludf.DUMMYFUNCTION("""COMPUTED_VALUE"""),"Fled/Escaped")</f>
        <v>Fled/Escaped</v>
      </c>
      <c r="F883" s="8" t="str">
        <f ca="1">IFERROR(__xludf.DUMMYFUNCTION("""COMPUTED_VALUE"""),"No")</f>
        <v>No</v>
      </c>
      <c r="G883" s="8" t="str">
        <f ca="1">IFERROR(__xludf.DUMMYFUNCTION("""COMPUTED_VALUE"""),"None")</f>
        <v>None</v>
      </c>
    </row>
    <row r="884" spans="1:7" ht="12.75">
      <c r="A884" s="8" t="str">
        <f ca="1">IFERROR(__xludf.DUMMYFUNCTION("""COMPUTED_VALUE"""),"20181022CTDUB")</f>
        <v>20181022CTDUB</v>
      </c>
      <c r="B884" s="8">
        <f ca="1">IFERROR(__xludf.DUMMYFUNCTION("""COMPUTED_VALUE"""),18)</f>
        <v>18</v>
      </c>
      <c r="C884" s="8" t="str">
        <f ca="1">IFERROR(__xludf.DUMMYFUNCTION("""COMPUTED_VALUE"""),"Male")</f>
        <v>Male</v>
      </c>
      <c r="D884" s="8" t="str">
        <f ca="1">IFERROR(__xludf.DUMMYFUNCTION("""COMPUTED_VALUE"""),"No Relation")</f>
        <v>No Relation</v>
      </c>
      <c r="E884" s="8" t="str">
        <f ca="1">IFERROR(__xludf.DUMMYFUNCTION("""COMPUTED_VALUE"""),"Fled/Apprehended")</f>
        <v>Fled/Apprehended</v>
      </c>
      <c r="F884" s="8" t="str">
        <f ca="1">IFERROR(__xludf.DUMMYFUNCTION("""COMPUTED_VALUE"""),"No")</f>
        <v>No</v>
      </c>
      <c r="G884" s="8" t="str">
        <f ca="1">IFERROR(__xludf.DUMMYFUNCTION("""COMPUTED_VALUE"""),"None")</f>
        <v>None</v>
      </c>
    </row>
    <row r="885" spans="1:7" ht="12.75">
      <c r="A885" s="8" t="str">
        <f ca="1">IFERROR(__xludf.DUMMYFUNCTION("""COMPUTED_VALUE"""),"20181020GASHS")</f>
        <v>20181020GASHS</v>
      </c>
      <c r="B885" s="8">
        <f ca="1">IFERROR(__xludf.DUMMYFUNCTION("""COMPUTED_VALUE"""),18)</f>
        <v>18</v>
      </c>
      <c r="C885" s="8" t="str">
        <f ca="1">IFERROR(__xludf.DUMMYFUNCTION("""COMPUTED_VALUE"""),"Male")</f>
        <v>Male</v>
      </c>
      <c r="D885" s="8" t="str">
        <f ca="1">IFERROR(__xludf.DUMMYFUNCTION("""COMPUTED_VALUE"""),"No Relation")</f>
        <v>No Relation</v>
      </c>
      <c r="E885" s="8" t="str">
        <f ca="1">IFERROR(__xludf.DUMMYFUNCTION("""COMPUTED_VALUE"""),"Fled/Apprehended")</f>
        <v>Fled/Apprehended</v>
      </c>
      <c r="F885" s="8" t="str">
        <f ca="1">IFERROR(__xludf.DUMMYFUNCTION("""COMPUTED_VALUE"""),"No")</f>
        <v>No</v>
      </c>
      <c r="G885" s="8" t="str">
        <f ca="1">IFERROR(__xludf.DUMMYFUNCTION("""COMPUTED_VALUE"""),"None")</f>
        <v>None</v>
      </c>
    </row>
    <row r="886" spans="1:7" ht="12.75">
      <c r="A886" s="8" t="str">
        <f ca="1">IFERROR(__xludf.DUMMYFUNCTION("""COMPUTED_VALUE"""),"20181013TNMCN")</f>
        <v>20181013TNMCN</v>
      </c>
      <c r="B886" s="8"/>
      <c r="C886" s="8" t="str">
        <f ca="1">IFERROR(__xludf.DUMMYFUNCTION("""COMPUTED_VALUE"""),"Male")</f>
        <v>Male</v>
      </c>
      <c r="D886" s="8" t="str">
        <f ca="1">IFERROR(__xludf.DUMMYFUNCTION("""COMPUTED_VALUE"""),"Unknown")</f>
        <v>Unknown</v>
      </c>
      <c r="E886" s="8" t="str">
        <f ca="1">IFERROR(__xludf.DUMMYFUNCTION("""COMPUTED_VALUE"""),"Fled/Escaped")</f>
        <v>Fled/Escaped</v>
      </c>
      <c r="F886" s="8" t="str">
        <f ca="1">IFERROR(__xludf.DUMMYFUNCTION("""COMPUTED_VALUE"""),"No")</f>
        <v>No</v>
      </c>
      <c r="G886" s="8" t="str">
        <f ca="1">IFERROR(__xludf.DUMMYFUNCTION("""COMPUTED_VALUE"""),"None")</f>
        <v>None</v>
      </c>
    </row>
    <row r="887" spans="1:7" ht="12.75">
      <c r="A887" s="8" t="str">
        <f ca="1">IFERROR(__xludf.DUMMYFUNCTION("""COMPUTED_VALUE"""),"20181012MIBAB")</f>
        <v>20181012MIBAB</v>
      </c>
      <c r="B887" s="8"/>
      <c r="C887" s="8"/>
      <c r="D887" s="8" t="str">
        <f ca="1">IFERROR(__xludf.DUMMYFUNCTION("""COMPUTED_VALUE"""),"Unknown")</f>
        <v>Unknown</v>
      </c>
      <c r="E887" s="8" t="str">
        <f ca="1">IFERROR(__xludf.DUMMYFUNCTION("""COMPUTED_VALUE"""),"Fled/Escaped")</f>
        <v>Fled/Escaped</v>
      </c>
      <c r="F887" s="8" t="str">
        <f ca="1">IFERROR(__xludf.DUMMYFUNCTION("""COMPUTED_VALUE"""),"No")</f>
        <v>No</v>
      </c>
      <c r="G887" s="8" t="str">
        <f ca="1">IFERROR(__xludf.DUMMYFUNCTION("""COMPUTED_VALUE"""),"None")</f>
        <v>None</v>
      </c>
    </row>
    <row r="888" spans="1:7" ht="12.75">
      <c r="A888" s="8" t="str">
        <f ca="1">IFERROR(__xludf.DUMMYFUNCTION("""COMPUTED_VALUE"""),"20181007VAVAH")</f>
        <v>20181007VAVAH</v>
      </c>
      <c r="B888" s="8"/>
      <c r="C888" s="8" t="str">
        <f ca="1">IFERROR(__xludf.DUMMYFUNCTION("""COMPUTED_VALUE"""),"Male")</f>
        <v>Male</v>
      </c>
      <c r="D888" s="8" t="str">
        <f ca="1">IFERROR(__xludf.DUMMYFUNCTION("""COMPUTED_VALUE"""),"Unknown")</f>
        <v>Unknown</v>
      </c>
      <c r="E888" s="8" t="str">
        <f ca="1">IFERROR(__xludf.DUMMYFUNCTION("""COMPUTED_VALUE"""),"Fled/Escaped")</f>
        <v>Fled/Escaped</v>
      </c>
      <c r="F888" s="8" t="str">
        <f ca="1">IFERROR(__xludf.DUMMYFUNCTION("""COMPUTED_VALUE"""),"No")</f>
        <v>No</v>
      </c>
      <c r="G888" s="8" t="str">
        <f ca="1">IFERROR(__xludf.DUMMYFUNCTION("""COMPUTED_VALUE"""),"None")</f>
        <v>None</v>
      </c>
    </row>
    <row r="889" spans="1:7" ht="12.75">
      <c r="A889" s="8" t="str">
        <f ca="1">IFERROR(__xludf.DUMMYFUNCTION("""COMPUTED_VALUE"""),"20181005VALAN")</f>
        <v>20181005VALAN</v>
      </c>
      <c r="B889" s="8"/>
      <c r="C889" s="8" t="str">
        <f ca="1">IFERROR(__xludf.DUMMYFUNCTION("""COMPUTED_VALUE"""),"Male")</f>
        <v>Male</v>
      </c>
      <c r="D889" s="8" t="str">
        <f ca="1">IFERROR(__xludf.DUMMYFUNCTION("""COMPUTED_VALUE"""),"Unknown")</f>
        <v>Unknown</v>
      </c>
      <c r="E889" s="8" t="str">
        <f ca="1">IFERROR(__xludf.DUMMYFUNCTION("""COMPUTED_VALUE"""),"Fled/Escaped")</f>
        <v>Fled/Escaped</v>
      </c>
      <c r="F889" s="8" t="str">
        <f ca="1">IFERROR(__xludf.DUMMYFUNCTION("""COMPUTED_VALUE"""),"No")</f>
        <v>No</v>
      </c>
      <c r="G889" s="8" t="str">
        <f ca="1">IFERROR(__xludf.DUMMYFUNCTION("""COMPUTED_VALUE"""),"None")</f>
        <v>None</v>
      </c>
    </row>
    <row r="890" spans="1:7" ht="12.75">
      <c r="A890" s="8" t="str">
        <f ca="1">IFERROR(__xludf.DUMMYFUNCTION("""COMPUTED_VALUE"""),"20181005TNHAB")</f>
        <v>20181005TNHAB</v>
      </c>
      <c r="B890" s="8">
        <f ca="1">IFERROR(__xludf.DUMMYFUNCTION("""COMPUTED_VALUE"""),16)</f>
        <v>16</v>
      </c>
      <c r="C890" s="8" t="str">
        <f ca="1">IFERROR(__xludf.DUMMYFUNCTION("""COMPUTED_VALUE"""),"Male")</f>
        <v>Male</v>
      </c>
      <c r="D890" s="8" t="str">
        <f ca="1">IFERROR(__xludf.DUMMYFUNCTION("""COMPUTED_VALUE"""),"Unknown")</f>
        <v>Unknown</v>
      </c>
      <c r="E890" s="8" t="str">
        <f ca="1">IFERROR(__xludf.DUMMYFUNCTION("""COMPUTED_VALUE"""),"Subdued by Students/Staff/Other")</f>
        <v>Subdued by Students/Staff/Other</v>
      </c>
      <c r="F890" s="8" t="str">
        <f ca="1">IFERROR(__xludf.DUMMYFUNCTION("""COMPUTED_VALUE"""),"No")</f>
        <v>No</v>
      </c>
      <c r="G890" s="8" t="str">
        <f ca="1">IFERROR(__xludf.DUMMYFUNCTION("""COMPUTED_VALUE"""),"None")</f>
        <v>None</v>
      </c>
    </row>
    <row r="891" spans="1:7" ht="12.75">
      <c r="A891" s="8" t="str">
        <f ca="1">IFERROR(__xludf.DUMMYFUNCTION("""COMPUTED_VALUE"""),"20181004ORJAP")</f>
        <v>20181004ORJAP</v>
      </c>
      <c r="B891" s="8" t="str">
        <f ca="1">IFERROR(__xludf.DUMMYFUNCTION("""COMPUTED_VALUE"""),"Adult")</f>
        <v>Adult</v>
      </c>
      <c r="C891" s="8" t="str">
        <f ca="1">IFERROR(__xludf.DUMMYFUNCTION("""COMPUTED_VALUE"""),"Female")</f>
        <v>Female</v>
      </c>
      <c r="D891" s="8" t="str">
        <f ca="1">IFERROR(__xludf.DUMMYFUNCTION("""COMPUTED_VALUE"""),"Parent")</f>
        <v>Parent</v>
      </c>
      <c r="E891" s="8" t="str">
        <f ca="1">IFERROR(__xludf.DUMMYFUNCTION("""COMPUTED_VALUE"""),"Fled/Escaped")</f>
        <v>Fled/Escaped</v>
      </c>
      <c r="F891" s="8" t="str">
        <f ca="1">IFERROR(__xludf.DUMMYFUNCTION("""COMPUTED_VALUE"""),"No")</f>
        <v>No</v>
      </c>
      <c r="G891" s="8" t="str">
        <f ca="1">IFERROR(__xludf.DUMMYFUNCTION("""COMPUTED_VALUE"""),"None")</f>
        <v>None</v>
      </c>
    </row>
    <row r="892" spans="1:7" ht="12.75">
      <c r="A892" s="8" t="str">
        <f ca="1">IFERROR(__xludf.DUMMYFUNCTION("""COMPUTED_VALUE"""),"20181003AKDEA")</f>
        <v>20181003AKDEA</v>
      </c>
      <c r="B892" s="8">
        <f ca="1">IFERROR(__xludf.DUMMYFUNCTION("""COMPUTED_VALUE"""),26)</f>
        <v>26</v>
      </c>
      <c r="C892" s="8" t="str">
        <f ca="1">IFERROR(__xludf.DUMMYFUNCTION("""COMPUTED_VALUE"""),"Male")</f>
        <v>Male</v>
      </c>
      <c r="D892" s="8" t="str">
        <f ca="1">IFERROR(__xludf.DUMMYFUNCTION("""COMPUTED_VALUE"""),"Relative")</f>
        <v>Relative</v>
      </c>
      <c r="E892" s="8" t="str">
        <f ca="1">IFERROR(__xludf.DUMMYFUNCTION("""COMPUTED_VALUE"""),"Fled/Apprehended")</f>
        <v>Fled/Apprehended</v>
      </c>
      <c r="F892" s="8" t="str">
        <f ca="1">IFERROR(__xludf.DUMMYFUNCTION("""COMPUTED_VALUE"""),"No")</f>
        <v>No</v>
      </c>
      <c r="G892" s="8" t="str">
        <f ca="1">IFERROR(__xludf.DUMMYFUNCTION("""COMPUTED_VALUE"""),"None")</f>
        <v>None</v>
      </c>
    </row>
    <row r="893" spans="1:7" ht="12.75">
      <c r="A893" s="8" t="str">
        <f ca="1">IFERROR(__xludf.DUMMYFUNCTION("""COMPUTED_VALUE"""),"20181002ARCHL")</f>
        <v>20181002ARCHL</v>
      </c>
      <c r="B893" s="8"/>
      <c r="C893" s="8"/>
      <c r="D893" s="8" t="str">
        <f ca="1">IFERROR(__xludf.DUMMYFUNCTION("""COMPUTED_VALUE"""),"Unknown")</f>
        <v>Unknown</v>
      </c>
      <c r="E893" s="8" t="str">
        <f ca="1">IFERROR(__xludf.DUMMYFUNCTION("""COMPUTED_VALUE"""),"Fled/Escaped")</f>
        <v>Fled/Escaped</v>
      </c>
      <c r="F893" s="8" t="str">
        <f ca="1">IFERROR(__xludf.DUMMYFUNCTION("""COMPUTED_VALUE"""),"No")</f>
        <v>No</v>
      </c>
      <c r="G893" s="8" t="str">
        <f ca="1">IFERROR(__xludf.DUMMYFUNCTION("""COMPUTED_VALUE"""),"None")</f>
        <v>None</v>
      </c>
    </row>
    <row r="894" spans="1:7" ht="12.75">
      <c r="A894" s="8" t="str">
        <f ca="1">IFERROR(__xludf.DUMMYFUNCTION("""COMPUTED_VALUE"""),"20180928SDCHC")</f>
        <v>20180928SDCHC</v>
      </c>
      <c r="B894" s="8">
        <f ca="1">IFERROR(__xludf.DUMMYFUNCTION("""COMPUTED_VALUE"""),20)</f>
        <v>20</v>
      </c>
      <c r="C894" s="8" t="str">
        <f ca="1">IFERROR(__xludf.DUMMYFUNCTION("""COMPUTED_VALUE"""),"Male")</f>
        <v>Male</v>
      </c>
      <c r="D894" s="8" t="str">
        <f ca="1">IFERROR(__xludf.DUMMYFUNCTION("""COMPUTED_VALUE"""),"No Relation")</f>
        <v>No Relation</v>
      </c>
      <c r="E894" s="8" t="str">
        <f ca="1">IFERROR(__xludf.DUMMYFUNCTION("""COMPUTED_VALUE"""),"Attempted Suicide")</f>
        <v>Attempted Suicide</v>
      </c>
      <c r="F894" s="8" t="str">
        <f ca="1">IFERROR(__xludf.DUMMYFUNCTION("""COMPUTED_VALUE"""),"No")</f>
        <v>No</v>
      </c>
      <c r="G894" s="8" t="str">
        <f ca="1">IFERROR(__xludf.DUMMYFUNCTION("""COMPUTED_VALUE"""),"Wounded")</f>
        <v>Wounded</v>
      </c>
    </row>
    <row r="895" spans="1:7" ht="12.75">
      <c r="A895" s="8" t="str">
        <f ca="1">IFERROR(__xludf.DUMMYFUNCTION("""COMPUTED_VALUE"""),"20180927TXHEC")</f>
        <v>20180927TXHEC</v>
      </c>
      <c r="B895" s="8">
        <f ca="1">IFERROR(__xludf.DUMMYFUNCTION("""COMPUTED_VALUE"""),47)</f>
        <v>47</v>
      </c>
      <c r="C895" s="8" t="str">
        <f ca="1">IFERROR(__xludf.DUMMYFUNCTION("""COMPUTED_VALUE"""),"Male")</f>
        <v>Male</v>
      </c>
      <c r="D895" s="8" t="str">
        <f ca="1">IFERROR(__xludf.DUMMYFUNCTION("""COMPUTED_VALUE"""),"Nonstudent Using Athletic Facilities/Attending Game")</f>
        <v>Nonstudent Using Athletic Facilities/Attending Game</v>
      </c>
      <c r="E895" s="8" t="str">
        <f ca="1">IFERROR(__xludf.DUMMYFUNCTION("""COMPUTED_VALUE"""),"Apprehended/Killed by LE")</f>
        <v>Apprehended/Killed by LE</v>
      </c>
      <c r="F895" s="8" t="str">
        <f ca="1">IFERROR(__xludf.DUMMYFUNCTION("""COMPUTED_VALUE"""),"No")</f>
        <v>No</v>
      </c>
      <c r="G895" s="8" t="str">
        <f ca="1">IFERROR(__xludf.DUMMYFUNCTION("""COMPUTED_VALUE"""),"None")</f>
        <v>None</v>
      </c>
    </row>
    <row r="896" spans="1:7" ht="12.75">
      <c r="A896" s="8" t="str">
        <f ca="1">IFERROR(__xludf.DUMMYFUNCTION("""COMPUTED_VALUE"""),"20180926MDMAB")</f>
        <v>20180926MDMAB</v>
      </c>
      <c r="B896" s="8" t="str">
        <f ca="1">IFERROR(__xludf.DUMMYFUNCTION("""COMPUTED_VALUE"""),"Teen")</f>
        <v>Teen</v>
      </c>
      <c r="C896" s="8" t="str">
        <f ca="1">IFERROR(__xludf.DUMMYFUNCTION("""COMPUTED_VALUE"""),"Male")</f>
        <v>Male</v>
      </c>
      <c r="D896" s="8" t="str">
        <f ca="1">IFERROR(__xludf.DUMMYFUNCTION("""COMPUTED_VALUE"""),"Student")</f>
        <v>Student</v>
      </c>
      <c r="E896" s="8" t="str">
        <f ca="1">IFERROR(__xludf.DUMMYFUNCTION("""COMPUTED_VALUE"""),"Unknown")</f>
        <v>Unknown</v>
      </c>
      <c r="F896" s="8" t="str">
        <f ca="1">IFERROR(__xludf.DUMMYFUNCTION("""COMPUTED_VALUE"""),"No")</f>
        <v>No</v>
      </c>
      <c r="G896" s="8" t="str">
        <f ca="1">IFERROR(__xludf.DUMMYFUNCTION("""COMPUTED_VALUE"""),"None")</f>
        <v>None</v>
      </c>
    </row>
    <row r="897" spans="1:7" ht="12.75">
      <c r="A897" s="8" t="str">
        <f ca="1">IFERROR(__xludf.DUMMYFUNCTION("""COMPUTED_VALUE"""),"20180924PACEP")</f>
        <v>20180924PACEP</v>
      </c>
      <c r="B897" s="8"/>
      <c r="C897" s="8" t="str">
        <f ca="1">IFERROR(__xludf.DUMMYFUNCTION("""COMPUTED_VALUE"""),"Male")</f>
        <v>Male</v>
      </c>
      <c r="D897" s="8" t="str">
        <f ca="1">IFERROR(__xludf.DUMMYFUNCTION("""COMPUTED_VALUE"""),"Unknown")</f>
        <v>Unknown</v>
      </c>
      <c r="E897" s="8" t="str">
        <f ca="1">IFERROR(__xludf.DUMMYFUNCTION("""COMPUTED_VALUE"""),"Fled/Escaped")</f>
        <v>Fled/Escaped</v>
      </c>
      <c r="F897" s="8" t="str">
        <f ca="1">IFERROR(__xludf.DUMMYFUNCTION("""COMPUTED_VALUE"""),"No")</f>
        <v>No</v>
      </c>
      <c r="G897" s="8" t="str">
        <f ca="1">IFERROR(__xludf.DUMMYFUNCTION("""COMPUTED_VALUE"""),"None")</f>
        <v>None</v>
      </c>
    </row>
    <row r="898" spans="1:7" ht="12.75">
      <c r="A898" s="8" t="str">
        <f ca="1">IFERROR(__xludf.DUMMYFUNCTION("""COMPUTED_VALUE"""),"20180924PACEP")</f>
        <v>20180924PACEP</v>
      </c>
      <c r="B898" s="8"/>
      <c r="C898" s="8" t="str">
        <f ca="1">IFERROR(__xludf.DUMMYFUNCTION("""COMPUTED_VALUE"""),"Male")</f>
        <v>Male</v>
      </c>
      <c r="D898" s="8" t="str">
        <f ca="1">IFERROR(__xludf.DUMMYFUNCTION("""COMPUTED_VALUE"""),"Unknown")</f>
        <v>Unknown</v>
      </c>
      <c r="E898" s="8" t="str">
        <f ca="1">IFERROR(__xludf.DUMMYFUNCTION("""COMPUTED_VALUE"""),"Fled/Escaped")</f>
        <v>Fled/Escaped</v>
      </c>
      <c r="F898" s="8" t="str">
        <f ca="1">IFERROR(__xludf.DUMMYFUNCTION("""COMPUTED_VALUE"""),"No")</f>
        <v>No</v>
      </c>
      <c r="G898" s="8" t="str">
        <f ca="1">IFERROR(__xludf.DUMMYFUNCTION("""COMPUTED_VALUE"""),"None")</f>
        <v>None</v>
      </c>
    </row>
    <row r="899" spans="1:7" ht="12.75">
      <c r="A899" s="8" t="str">
        <f ca="1">IFERROR(__xludf.DUMMYFUNCTION("""COMPUTED_VALUE"""),"20180924NCLAC")</f>
        <v>20180924NCLAC</v>
      </c>
      <c r="B899" s="8"/>
      <c r="C899" s="8" t="str">
        <f ca="1">IFERROR(__xludf.DUMMYFUNCTION("""COMPUTED_VALUE"""),"Male")</f>
        <v>Male</v>
      </c>
      <c r="D899" s="8" t="str">
        <f ca="1">IFERROR(__xludf.DUMMYFUNCTION("""COMPUTED_VALUE"""),"Unknown")</f>
        <v>Unknown</v>
      </c>
      <c r="E899" s="8" t="str">
        <f ca="1">IFERROR(__xludf.DUMMYFUNCTION("""COMPUTED_VALUE"""),"Fled/Escaped")</f>
        <v>Fled/Escaped</v>
      </c>
      <c r="F899" s="8" t="str">
        <f ca="1">IFERROR(__xludf.DUMMYFUNCTION("""COMPUTED_VALUE"""),"No")</f>
        <v>No</v>
      </c>
      <c r="G899" s="8" t="str">
        <f ca="1">IFERROR(__xludf.DUMMYFUNCTION("""COMPUTED_VALUE"""),"None")</f>
        <v>None</v>
      </c>
    </row>
    <row r="900" spans="1:7" ht="12.75">
      <c r="A900" s="8" t="str">
        <f ca="1">IFERROR(__xludf.DUMMYFUNCTION("""COMPUTED_VALUE"""),"20180924GAAPB")</f>
        <v>20180924GAAPB</v>
      </c>
      <c r="B900" s="8" t="str">
        <f ca="1">IFERROR(__xludf.DUMMYFUNCTION("""COMPUTED_VALUE"""),"Teen")</f>
        <v>Teen</v>
      </c>
      <c r="C900" s="8" t="str">
        <f ca="1">IFERROR(__xludf.DUMMYFUNCTION("""COMPUTED_VALUE"""),"Male")</f>
        <v>Male</v>
      </c>
      <c r="D900" s="8" t="str">
        <f ca="1">IFERROR(__xludf.DUMMYFUNCTION("""COMPUTED_VALUE"""),"Student")</f>
        <v>Student</v>
      </c>
      <c r="E900" s="8" t="str">
        <f ca="1">IFERROR(__xludf.DUMMYFUNCTION("""COMPUTED_VALUE"""),"Suicide")</f>
        <v>Suicide</v>
      </c>
      <c r="F900" s="8" t="str">
        <f ca="1">IFERROR(__xludf.DUMMYFUNCTION("""COMPUTED_VALUE"""),"Yes")</f>
        <v>Yes</v>
      </c>
      <c r="G900" s="8" t="str">
        <f ca="1">IFERROR(__xludf.DUMMYFUNCTION("""COMPUTED_VALUE"""),"Suicide")</f>
        <v>Suicide</v>
      </c>
    </row>
    <row r="901" spans="1:7" ht="12.75">
      <c r="A901" s="8" t="str">
        <f ca="1">IFERROR(__xludf.DUMMYFUNCTION("""COMPUTED_VALUE"""),"20180920CAPOP")</f>
        <v>20180920CAPOP</v>
      </c>
      <c r="B901" s="8" t="str">
        <f ca="1">IFERROR(__xludf.DUMMYFUNCTION("""COMPUTED_VALUE"""),"Adult")</f>
        <v>Adult</v>
      </c>
      <c r="C901" s="8" t="str">
        <f ca="1">IFERROR(__xludf.DUMMYFUNCTION("""COMPUTED_VALUE"""),"Male")</f>
        <v>Male</v>
      </c>
      <c r="D901" s="8" t="str">
        <f ca="1">IFERROR(__xludf.DUMMYFUNCTION("""COMPUTED_VALUE"""),"Unknown")</f>
        <v>Unknown</v>
      </c>
      <c r="E901" s="8" t="str">
        <f ca="1">IFERROR(__xludf.DUMMYFUNCTION("""COMPUTED_VALUE"""),"Suicide")</f>
        <v>Suicide</v>
      </c>
      <c r="F901" s="8" t="str">
        <f ca="1">IFERROR(__xludf.DUMMYFUNCTION("""COMPUTED_VALUE"""),"Yes")</f>
        <v>Yes</v>
      </c>
      <c r="G901" s="8" t="str">
        <f ca="1">IFERROR(__xludf.DUMMYFUNCTION("""COMPUTED_VALUE"""),"Suicide")</f>
        <v>Suicide</v>
      </c>
    </row>
    <row r="902" spans="1:7" ht="12.75">
      <c r="A902" s="8" t="str">
        <f ca="1">IFERROR(__xludf.DUMMYFUNCTION("""COMPUTED_VALUE"""),"20180920CACHL")</f>
        <v>20180920CACHL</v>
      </c>
      <c r="B902" s="8">
        <f ca="1">IFERROR(__xludf.DUMMYFUNCTION("""COMPUTED_VALUE"""),18)</f>
        <v>18</v>
      </c>
      <c r="C902" s="8" t="str">
        <f ca="1">IFERROR(__xludf.DUMMYFUNCTION("""COMPUTED_VALUE"""),"Male")</f>
        <v>Male</v>
      </c>
      <c r="D902" s="8" t="str">
        <f ca="1">IFERROR(__xludf.DUMMYFUNCTION("""COMPUTED_VALUE"""),"Unknown")</f>
        <v>Unknown</v>
      </c>
      <c r="E902" s="8" t="str">
        <f ca="1">IFERROR(__xludf.DUMMYFUNCTION("""COMPUTED_VALUE"""),"Fled/Apprehended")</f>
        <v>Fled/Apprehended</v>
      </c>
      <c r="F902" s="8" t="str">
        <f ca="1">IFERROR(__xludf.DUMMYFUNCTION("""COMPUTED_VALUE"""),"No")</f>
        <v>No</v>
      </c>
      <c r="G902" s="8" t="str">
        <f ca="1">IFERROR(__xludf.DUMMYFUNCTION("""COMPUTED_VALUE"""),"None")</f>
        <v>None</v>
      </c>
    </row>
    <row r="903" spans="1:7" ht="12.75">
      <c r="A903" s="8" t="str">
        <f ca="1">IFERROR(__xludf.DUMMYFUNCTION("""COMPUTED_VALUE"""),"20180920CACHL")</f>
        <v>20180920CACHL</v>
      </c>
      <c r="B903" s="8">
        <f ca="1">IFERROR(__xludf.DUMMYFUNCTION("""COMPUTED_VALUE"""),20)</f>
        <v>20</v>
      </c>
      <c r="C903" s="8" t="str">
        <f ca="1">IFERROR(__xludf.DUMMYFUNCTION("""COMPUTED_VALUE"""),"Male")</f>
        <v>Male</v>
      </c>
      <c r="D903" s="8" t="str">
        <f ca="1">IFERROR(__xludf.DUMMYFUNCTION("""COMPUTED_VALUE"""),"Unknown")</f>
        <v>Unknown</v>
      </c>
      <c r="E903" s="8" t="str">
        <f ca="1">IFERROR(__xludf.DUMMYFUNCTION("""COMPUTED_VALUE"""),"Fled/Apprehended")</f>
        <v>Fled/Apprehended</v>
      </c>
      <c r="F903" s="8" t="str">
        <f ca="1">IFERROR(__xludf.DUMMYFUNCTION("""COMPUTED_VALUE"""),"No")</f>
        <v>No</v>
      </c>
      <c r="G903" s="8" t="str">
        <f ca="1">IFERROR(__xludf.DUMMYFUNCTION("""COMPUTED_VALUE"""),"None")</f>
        <v>None</v>
      </c>
    </row>
    <row r="904" spans="1:7" ht="12.75">
      <c r="A904" s="8" t="str">
        <f ca="1">IFERROR(__xludf.DUMMYFUNCTION("""COMPUTED_VALUE"""),"20180917ALBLH")</f>
        <v>20180917ALBLH</v>
      </c>
      <c r="B904" s="8">
        <f ca="1">IFERROR(__xludf.DUMMYFUNCTION("""COMPUTED_VALUE"""),7)</f>
        <v>7</v>
      </c>
      <c r="C904" s="8" t="str">
        <f ca="1">IFERROR(__xludf.DUMMYFUNCTION("""COMPUTED_VALUE"""),"Male")</f>
        <v>Male</v>
      </c>
      <c r="D904" s="8" t="str">
        <f ca="1">IFERROR(__xludf.DUMMYFUNCTION("""COMPUTED_VALUE"""),"Student")</f>
        <v>Student</v>
      </c>
      <c r="E904" s="8" t="str">
        <f ca="1">IFERROR(__xludf.DUMMYFUNCTION("""COMPUTED_VALUE"""),"Unknown")</f>
        <v>Unknown</v>
      </c>
      <c r="F904" s="8" t="str">
        <f ca="1">IFERROR(__xludf.DUMMYFUNCTION("""COMPUTED_VALUE"""),"No")</f>
        <v>No</v>
      </c>
      <c r="G904" s="8" t="str">
        <f ca="1">IFERROR(__xludf.DUMMYFUNCTION("""COMPUTED_VALUE"""),"None")</f>
        <v>None</v>
      </c>
    </row>
    <row r="905" spans="1:7" ht="12.75">
      <c r="A905" s="8" t="str">
        <f ca="1">IFERROR(__xludf.DUMMYFUNCTION("""COMPUTED_VALUE"""),"20180914WAMAE")</f>
        <v>20180914WAMAE</v>
      </c>
      <c r="B905" s="8"/>
      <c r="C905" s="8"/>
      <c r="D905" s="8" t="str">
        <f ca="1">IFERROR(__xludf.DUMMYFUNCTION("""COMPUTED_VALUE"""),"Unknown")</f>
        <v>Unknown</v>
      </c>
      <c r="E905" s="8" t="str">
        <f ca="1">IFERROR(__xludf.DUMMYFUNCTION("""COMPUTED_VALUE"""),"Fled/Escaped")</f>
        <v>Fled/Escaped</v>
      </c>
      <c r="F905" s="8" t="str">
        <f ca="1">IFERROR(__xludf.DUMMYFUNCTION("""COMPUTED_VALUE"""),"No")</f>
        <v>No</v>
      </c>
      <c r="G905" s="8" t="str">
        <f ca="1">IFERROR(__xludf.DUMMYFUNCTION("""COMPUTED_VALUE"""),"None")</f>
        <v>None</v>
      </c>
    </row>
    <row r="906" spans="1:7" ht="12.75">
      <c r="A906" s="8" t="str">
        <f ca="1">IFERROR(__xludf.DUMMYFUNCTION("""COMPUTED_VALUE"""),"20180914FLBOB")</f>
        <v>20180914FLBOB</v>
      </c>
      <c r="B906" s="8" t="str">
        <f ca="1">IFERROR(__xludf.DUMMYFUNCTION("""COMPUTED_VALUE"""),"Teen")</f>
        <v>Teen</v>
      </c>
      <c r="C906" s="8" t="str">
        <f ca="1">IFERROR(__xludf.DUMMYFUNCTION("""COMPUTED_VALUE"""),"Male")</f>
        <v>Male</v>
      </c>
      <c r="D906" s="8" t="str">
        <f ca="1">IFERROR(__xludf.DUMMYFUNCTION("""COMPUTED_VALUE"""),"Student")</f>
        <v>Student</v>
      </c>
      <c r="E906" s="8" t="str">
        <f ca="1">IFERROR(__xludf.DUMMYFUNCTION("""COMPUTED_VALUE"""),"Apprehended/Killed by LE")</f>
        <v>Apprehended/Killed by LE</v>
      </c>
      <c r="F906" s="8" t="str">
        <f ca="1">IFERROR(__xludf.DUMMYFUNCTION("""COMPUTED_VALUE"""),"No")</f>
        <v>No</v>
      </c>
      <c r="G906" s="8" t="str">
        <f ca="1">IFERROR(__xludf.DUMMYFUNCTION("""COMPUTED_VALUE"""),"None")</f>
        <v>None</v>
      </c>
    </row>
    <row r="907" spans="1:7" ht="12.75">
      <c r="A907" s="8" t="str">
        <f ca="1">IFERROR(__xludf.DUMMYFUNCTION("""COMPUTED_VALUE"""),"20180911NVCAL")</f>
        <v>20180911NVCAL</v>
      </c>
      <c r="B907" s="8">
        <f ca="1">IFERROR(__xludf.DUMMYFUNCTION("""COMPUTED_VALUE"""),16)</f>
        <v>16</v>
      </c>
      <c r="C907" s="8" t="str">
        <f ca="1">IFERROR(__xludf.DUMMYFUNCTION("""COMPUTED_VALUE"""),"Male")</f>
        <v>Male</v>
      </c>
      <c r="D907" s="8" t="str">
        <f ca="1">IFERROR(__xludf.DUMMYFUNCTION("""COMPUTED_VALUE"""),"Rival School Student")</f>
        <v>Rival School Student</v>
      </c>
      <c r="E907" s="8" t="str">
        <f ca="1">IFERROR(__xludf.DUMMYFUNCTION("""COMPUTED_VALUE"""),"Fled/Escaped")</f>
        <v>Fled/Escaped</v>
      </c>
      <c r="F907" s="8" t="str">
        <f ca="1">IFERROR(__xludf.DUMMYFUNCTION("""COMPUTED_VALUE"""),"No")</f>
        <v>No</v>
      </c>
      <c r="G907" s="8" t="str">
        <f ca="1">IFERROR(__xludf.DUMMYFUNCTION("""COMPUTED_VALUE"""),"None")</f>
        <v>None</v>
      </c>
    </row>
    <row r="908" spans="1:7" ht="12.75">
      <c r="A908" s="8" t="str">
        <f ca="1">IFERROR(__xludf.DUMMYFUNCTION("""COMPUTED_VALUE"""),"20180910TNFAM")</f>
        <v>20180910TNFAM</v>
      </c>
      <c r="B908" s="8">
        <f ca="1">IFERROR(__xludf.DUMMYFUNCTION("""COMPUTED_VALUE"""),23)</f>
        <v>23</v>
      </c>
      <c r="C908" s="8" t="str">
        <f ca="1">IFERROR(__xludf.DUMMYFUNCTION("""COMPUTED_VALUE"""),"Male")</f>
        <v>Male</v>
      </c>
      <c r="D908" s="8" t="str">
        <f ca="1">IFERROR(__xludf.DUMMYFUNCTION("""COMPUTED_VALUE"""),"No Relation")</f>
        <v>No Relation</v>
      </c>
      <c r="E908" s="8" t="str">
        <f ca="1">IFERROR(__xludf.DUMMYFUNCTION("""COMPUTED_VALUE"""),"Fled/Apprehended")</f>
        <v>Fled/Apprehended</v>
      </c>
      <c r="F908" s="8" t="str">
        <f ca="1">IFERROR(__xludf.DUMMYFUNCTION("""COMPUTED_VALUE"""),"No")</f>
        <v>No</v>
      </c>
      <c r="G908" s="8" t="str">
        <f ca="1">IFERROR(__xludf.DUMMYFUNCTION("""COMPUTED_VALUE"""),"None")</f>
        <v>None</v>
      </c>
    </row>
    <row r="909" spans="1:7" ht="12.75">
      <c r="A909" s="8" t="str">
        <f ca="1">IFERROR(__xludf.DUMMYFUNCTION("""COMPUTED_VALUE"""),"20180910ILCHC")</f>
        <v>20180910ILCHC</v>
      </c>
      <c r="B909" s="8"/>
      <c r="C909" s="8" t="str">
        <f ca="1">IFERROR(__xludf.DUMMYFUNCTION("""COMPUTED_VALUE"""),"Male")</f>
        <v>Male</v>
      </c>
      <c r="D909" s="8" t="str">
        <f ca="1">IFERROR(__xludf.DUMMYFUNCTION("""COMPUTED_VALUE"""),"Unknown")</f>
        <v>Unknown</v>
      </c>
      <c r="E909" s="8" t="str">
        <f ca="1">IFERROR(__xludf.DUMMYFUNCTION("""COMPUTED_VALUE"""),"Fled/Escaped")</f>
        <v>Fled/Escaped</v>
      </c>
      <c r="F909" s="8" t="str">
        <f ca="1">IFERROR(__xludf.DUMMYFUNCTION("""COMPUTED_VALUE"""),"No")</f>
        <v>No</v>
      </c>
      <c r="G909" s="8" t="str">
        <f ca="1">IFERROR(__xludf.DUMMYFUNCTION("""COMPUTED_VALUE"""),"None")</f>
        <v>None</v>
      </c>
    </row>
    <row r="910" spans="1:7" ht="12.75">
      <c r="A910" s="8" t="str">
        <f ca="1">IFERROR(__xludf.DUMMYFUNCTION("""COMPUTED_VALUE"""),"20180909CAGIG")</f>
        <v>20180909CAGIG</v>
      </c>
      <c r="B910" s="8" t="str">
        <f ca="1">IFERROR(__xludf.DUMMYFUNCTION("""COMPUTED_VALUE"""),"Adult")</f>
        <v>Adult</v>
      </c>
      <c r="C910" s="8"/>
      <c r="D910" s="8" t="str">
        <f ca="1">IFERROR(__xludf.DUMMYFUNCTION("""COMPUTED_VALUE"""),"Police Officer/SRO")</f>
        <v>Police Officer/SRO</v>
      </c>
      <c r="E910" s="8" t="str">
        <f ca="1">IFERROR(__xludf.DUMMYFUNCTION("""COMPUTED_VALUE"""),"Law Enforcement")</f>
        <v>Law Enforcement</v>
      </c>
      <c r="F910" s="8" t="str">
        <f ca="1">IFERROR(__xludf.DUMMYFUNCTION("""COMPUTED_VALUE"""),"No")</f>
        <v>No</v>
      </c>
      <c r="G910" s="8" t="str">
        <f ca="1">IFERROR(__xludf.DUMMYFUNCTION("""COMPUTED_VALUE"""),"None")</f>
        <v>None</v>
      </c>
    </row>
    <row r="911" spans="1:7" ht="12.75">
      <c r="A911" s="8" t="str">
        <f ca="1">IFERROR(__xludf.DUMMYFUNCTION("""COMPUTED_VALUE"""),"20180907IAHED")</f>
        <v>20180907IAHED</v>
      </c>
      <c r="B911" s="8"/>
      <c r="C911" s="8"/>
      <c r="D911" s="8" t="str">
        <f ca="1">IFERROR(__xludf.DUMMYFUNCTION("""COMPUTED_VALUE"""),"Unknown")</f>
        <v>Unknown</v>
      </c>
      <c r="E911" s="8" t="str">
        <f ca="1">IFERROR(__xludf.DUMMYFUNCTION("""COMPUTED_VALUE"""),"Fled/Escaped")</f>
        <v>Fled/Escaped</v>
      </c>
      <c r="F911" s="8" t="str">
        <f ca="1">IFERROR(__xludf.DUMMYFUNCTION("""COMPUTED_VALUE"""),"No")</f>
        <v>No</v>
      </c>
      <c r="G911" s="8" t="str">
        <f ca="1">IFERROR(__xludf.DUMMYFUNCTION("""COMPUTED_VALUE"""),"None")</f>
        <v>None</v>
      </c>
    </row>
    <row r="912" spans="1:7" ht="12.75">
      <c r="A912" s="8" t="str">
        <f ca="1">IFERROR(__xludf.DUMMYFUNCTION("""COMPUTED_VALUE"""),"20180905RIPRP")</f>
        <v>20180905RIPRP</v>
      </c>
      <c r="B912" s="8">
        <f ca="1">IFERROR(__xludf.DUMMYFUNCTION("""COMPUTED_VALUE"""),16)</f>
        <v>16</v>
      </c>
      <c r="C912" s="8" t="str">
        <f ca="1">IFERROR(__xludf.DUMMYFUNCTION("""COMPUTED_VALUE"""),"Male")</f>
        <v>Male</v>
      </c>
      <c r="D912" s="8" t="str">
        <f ca="1">IFERROR(__xludf.DUMMYFUNCTION("""COMPUTED_VALUE"""),"Rival School Student")</f>
        <v>Rival School Student</v>
      </c>
      <c r="E912" s="8" t="str">
        <f ca="1">IFERROR(__xludf.DUMMYFUNCTION("""COMPUTED_VALUE"""),"Fled/Apprehended")</f>
        <v>Fled/Apprehended</v>
      </c>
      <c r="F912" s="8" t="str">
        <f ca="1">IFERROR(__xludf.DUMMYFUNCTION("""COMPUTED_VALUE"""),"No")</f>
        <v>No</v>
      </c>
      <c r="G912" s="8" t="str">
        <f ca="1">IFERROR(__xludf.DUMMYFUNCTION("""COMPUTED_VALUE"""),"Wounded")</f>
        <v>Wounded</v>
      </c>
    </row>
    <row r="913" spans="1:7" ht="12.75">
      <c r="A913" s="8" t="str">
        <f ca="1">IFERROR(__xludf.DUMMYFUNCTION("""COMPUTED_VALUE"""),"20180903NYLUN")</f>
        <v>20180903NYLUN</v>
      </c>
      <c r="B913" s="8"/>
      <c r="C913" s="8" t="str">
        <f ca="1">IFERROR(__xludf.DUMMYFUNCTION("""COMPUTED_VALUE"""),"Male")</f>
        <v>Male</v>
      </c>
      <c r="D913" s="8" t="str">
        <f ca="1">IFERROR(__xludf.DUMMYFUNCTION("""COMPUTED_VALUE"""),"Unknown")</f>
        <v>Unknown</v>
      </c>
      <c r="E913" s="8" t="str">
        <f ca="1">IFERROR(__xludf.DUMMYFUNCTION("""COMPUTED_VALUE"""),"Fled/Escaped")</f>
        <v>Fled/Escaped</v>
      </c>
      <c r="F913" s="8" t="str">
        <f ca="1">IFERROR(__xludf.DUMMYFUNCTION("""COMPUTED_VALUE"""),"No")</f>
        <v>No</v>
      </c>
      <c r="G913" s="8" t="str">
        <f ca="1">IFERROR(__xludf.DUMMYFUNCTION("""COMPUTED_VALUE"""),"None")</f>
        <v>None</v>
      </c>
    </row>
    <row r="914" spans="1:7" ht="12.75">
      <c r="A914" s="8" t="str">
        <f ca="1">IFERROR(__xludf.DUMMYFUNCTION("""COMPUTED_VALUE"""),"20180831IANOE")</f>
        <v>20180831IANOE</v>
      </c>
      <c r="B914" s="8">
        <f ca="1">IFERROR(__xludf.DUMMYFUNCTION("""COMPUTED_VALUE"""),12)</f>
        <v>12</v>
      </c>
      <c r="C914" s="8" t="str">
        <f ca="1">IFERROR(__xludf.DUMMYFUNCTION("""COMPUTED_VALUE"""),"Male")</f>
        <v>Male</v>
      </c>
      <c r="D914" s="8" t="str">
        <f ca="1">IFERROR(__xludf.DUMMYFUNCTION("""COMPUTED_VALUE"""),"Student")</f>
        <v>Student</v>
      </c>
      <c r="E914" s="8" t="str">
        <f ca="1">IFERROR(__xludf.DUMMYFUNCTION("""COMPUTED_VALUE"""),"Subdued by Students/Staff/Other")</f>
        <v>Subdued by Students/Staff/Other</v>
      </c>
      <c r="F914" s="8" t="str">
        <f ca="1">IFERROR(__xludf.DUMMYFUNCTION("""COMPUTED_VALUE"""),"No")</f>
        <v>No</v>
      </c>
      <c r="G914" s="8" t="str">
        <f ca="1">IFERROR(__xludf.DUMMYFUNCTION("""COMPUTED_VALUE"""),"None")</f>
        <v>None</v>
      </c>
    </row>
    <row r="915" spans="1:7" ht="12.75">
      <c r="A915" s="8" t="str">
        <f ca="1">IFERROR(__xludf.DUMMYFUNCTION("""COMPUTED_VALUE"""),"20180831CABAS")</f>
        <v>20180831CABAS</v>
      </c>
      <c r="B915" s="8" t="str">
        <f ca="1">IFERROR(__xludf.DUMMYFUNCTION("""COMPUTED_VALUE"""),"Teen")</f>
        <v>Teen</v>
      </c>
      <c r="C915" s="8" t="str">
        <f ca="1">IFERROR(__xludf.DUMMYFUNCTION("""COMPUTED_VALUE"""),"Male")</f>
        <v>Male</v>
      </c>
      <c r="D915" s="8" t="str">
        <f ca="1">IFERROR(__xludf.DUMMYFUNCTION("""COMPUTED_VALUE"""),"Student")</f>
        <v>Student</v>
      </c>
      <c r="E915" s="8" t="str">
        <f ca="1">IFERROR(__xludf.DUMMYFUNCTION("""COMPUTED_VALUE"""),"Fled/Apprehended")</f>
        <v>Fled/Apprehended</v>
      </c>
      <c r="F915" s="8" t="str">
        <f ca="1">IFERROR(__xludf.DUMMYFUNCTION("""COMPUTED_VALUE"""),"No")</f>
        <v>No</v>
      </c>
      <c r="G915" s="8" t="str">
        <f ca="1">IFERROR(__xludf.DUMMYFUNCTION("""COMPUTED_VALUE"""),"None")</f>
        <v>None</v>
      </c>
    </row>
    <row r="916" spans="1:7" ht="12.75">
      <c r="A916" s="8" t="str">
        <f ca="1">IFERROR(__xludf.DUMMYFUNCTION("""COMPUTED_VALUE"""),"20180830NCVIC")</f>
        <v>20180830NCVIC</v>
      </c>
      <c r="B916" s="8">
        <f ca="1">IFERROR(__xludf.DUMMYFUNCTION("""COMPUTED_VALUE"""),34)</f>
        <v>34</v>
      </c>
      <c r="C916" s="8" t="str">
        <f ca="1">IFERROR(__xludf.DUMMYFUNCTION("""COMPUTED_VALUE"""),"Male")</f>
        <v>Male</v>
      </c>
      <c r="D916" s="8" t="str">
        <f ca="1">IFERROR(__xludf.DUMMYFUNCTION("""COMPUTED_VALUE"""),"Intimate Relationship")</f>
        <v>Intimate Relationship</v>
      </c>
      <c r="E916" s="8" t="str">
        <f ca="1">IFERROR(__xludf.DUMMYFUNCTION("""COMPUTED_VALUE"""),"Fled/Apprehended")</f>
        <v>Fled/Apprehended</v>
      </c>
      <c r="F916" s="8" t="str">
        <f ca="1">IFERROR(__xludf.DUMMYFUNCTION("""COMPUTED_VALUE"""),"No")</f>
        <v>No</v>
      </c>
      <c r="G916" s="8" t="str">
        <f ca="1">IFERROR(__xludf.DUMMYFUNCTION("""COMPUTED_VALUE"""),"None")</f>
        <v>None</v>
      </c>
    </row>
    <row r="917" spans="1:7" ht="12.75">
      <c r="A917" s="8" t="str">
        <f ca="1">IFERROR(__xludf.DUMMYFUNCTION("""COMPUTED_VALUE"""),"20180830MIOTG")</f>
        <v>20180830MIOTG</v>
      </c>
      <c r="B917" s="8"/>
      <c r="C917" s="8" t="str">
        <f ca="1">IFERROR(__xludf.DUMMYFUNCTION("""COMPUTED_VALUE"""),"Male")</f>
        <v>Male</v>
      </c>
      <c r="D917" s="8" t="str">
        <f ca="1">IFERROR(__xludf.DUMMYFUNCTION("""COMPUTED_VALUE"""),"Unknown")</f>
        <v>Unknown</v>
      </c>
      <c r="E917" s="8" t="str">
        <f ca="1">IFERROR(__xludf.DUMMYFUNCTION("""COMPUTED_VALUE"""),"Fled/Escaped")</f>
        <v>Fled/Escaped</v>
      </c>
      <c r="F917" s="8" t="str">
        <f ca="1">IFERROR(__xludf.DUMMYFUNCTION("""COMPUTED_VALUE"""),"No")</f>
        <v>No</v>
      </c>
      <c r="G917" s="8" t="str">
        <f ca="1">IFERROR(__xludf.DUMMYFUNCTION("""COMPUTED_VALUE"""),"None")</f>
        <v>None</v>
      </c>
    </row>
    <row r="918" spans="1:7" ht="12.75">
      <c r="A918" s="8" t="str">
        <f ca="1">IFERROR(__xludf.DUMMYFUNCTION("""COMPUTED_VALUE"""),"20180829DETOD")</f>
        <v>20180829DETOD</v>
      </c>
      <c r="B918" s="8">
        <f ca="1">IFERROR(__xludf.DUMMYFUNCTION("""COMPUTED_VALUE"""),53)</f>
        <v>53</v>
      </c>
      <c r="C918" s="8" t="str">
        <f ca="1">IFERROR(__xludf.DUMMYFUNCTION("""COMPUTED_VALUE"""),"Male")</f>
        <v>Male</v>
      </c>
      <c r="D918" s="8" t="str">
        <f ca="1">IFERROR(__xludf.DUMMYFUNCTION("""COMPUTED_VALUE"""),"Other Staff")</f>
        <v>Other Staff</v>
      </c>
      <c r="E918" s="8" t="str">
        <f ca="1">IFERROR(__xludf.DUMMYFUNCTION("""COMPUTED_VALUE"""),"Fled/Apprehended")</f>
        <v>Fled/Apprehended</v>
      </c>
      <c r="F918" s="8" t="str">
        <f ca="1">IFERROR(__xludf.DUMMYFUNCTION("""COMPUTED_VALUE"""),"No")</f>
        <v>No</v>
      </c>
      <c r="G918" s="8" t="str">
        <f ca="1">IFERROR(__xludf.DUMMYFUNCTION("""COMPUTED_VALUE"""),"None")</f>
        <v>None</v>
      </c>
    </row>
    <row r="919" spans="1:7" ht="12.75">
      <c r="A919" s="8" t="str">
        <f ca="1">IFERROR(__xludf.DUMMYFUNCTION("""COMPUTED_VALUE"""),"20180828COCOD")</f>
        <v>20180828COCOD</v>
      </c>
      <c r="B919" s="8">
        <f ca="1">IFERROR(__xludf.DUMMYFUNCTION("""COMPUTED_VALUE"""),14)</f>
        <v>14</v>
      </c>
      <c r="C919" s="8" t="str">
        <f ca="1">IFERROR(__xludf.DUMMYFUNCTION("""COMPUTED_VALUE"""),"Male")</f>
        <v>Male</v>
      </c>
      <c r="D919" s="8" t="str">
        <f ca="1">IFERROR(__xludf.DUMMYFUNCTION("""COMPUTED_VALUE"""),"Student")</f>
        <v>Student</v>
      </c>
      <c r="E919" s="8" t="str">
        <f ca="1">IFERROR(__xludf.DUMMYFUNCTION("""COMPUTED_VALUE"""),"Fled/Apprehended")</f>
        <v>Fled/Apprehended</v>
      </c>
      <c r="F919" s="8" t="str">
        <f ca="1">IFERROR(__xludf.DUMMYFUNCTION("""COMPUTED_VALUE"""),"No")</f>
        <v>No</v>
      </c>
      <c r="G919" s="8" t="str">
        <f ca="1">IFERROR(__xludf.DUMMYFUNCTION("""COMPUTED_VALUE"""),"None")</f>
        <v>None</v>
      </c>
    </row>
    <row r="920" spans="1:7" ht="12.75">
      <c r="A920" s="8" t="str">
        <f ca="1">IFERROR(__xludf.DUMMYFUNCTION("""COMPUTED_VALUE"""),"20180824ILMEC")</f>
        <v>20180824ILMEC</v>
      </c>
      <c r="B920" s="8"/>
      <c r="C920" s="8" t="str">
        <f ca="1">IFERROR(__xludf.DUMMYFUNCTION("""COMPUTED_VALUE"""),"Male")</f>
        <v>Male</v>
      </c>
      <c r="D920" s="8" t="str">
        <f ca="1">IFERROR(__xludf.DUMMYFUNCTION("""COMPUTED_VALUE"""),"Unknown")</f>
        <v>Unknown</v>
      </c>
      <c r="E920" s="8" t="str">
        <f ca="1">IFERROR(__xludf.DUMMYFUNCTION("""COMPUTED_VALUE"""),"Fled/Escaped")</f>
        <v>Fled/Escaped</v>
      </c>
      <c r="F920" s="8" t="str">
        <f ca="1">IFERROR(__xludf.DUMMYFUNCTION("""COMPUTED_VALUE"""),"No")</f>
        <v>No</v>
      </c>
      <c r="G920" s="8" t="str">
        <f ca="1">IFERROR(__xludf.DUMMYFUNCTION("""COMPUTED_VALUE"""),"None")</f>
        <v>None</v>
      </c>
    </row>
    <row r="921" spans="1:7" ht="12.75">
      <c r="A921" s="8" t="str">
        <f ca="1">IFERROR(__xludf.DUMMYFUNCTION("""COMPUTED_VALUE"""),"20180824FLRAJ")</f>
        <v>20180824FLRAJ</v>
      </c>
      <c r="B921" s="8">
        <f ca="1">IFERROR(__xludf.DUMMYFUNCTION("""COMPUTED_VALUE"""),16)</f>
        <v>16</v>
      </c>
      <c r="C921" s="8" t="str">
        <f ca="1">IFERROR(__xludf.DUMMYFUNCTION("""COMPUTED_VALUE"""),"Male")</f>
        <v>Male</v>
      </c>
      <c r="D921" s="8" t="str">
        <f ca="1">IFERROR(__xludf.DUMMYFUNCTION("""COMPUTED_VALUE"""),"Unknown")</f>
        <v>Unknown</v>
      </c>
      <c r="E921" s="8" t="str">
        <f ca="1">IFERROR(__xludf.DUMMYFUNCTION("""COMPUTED_VALUE"""),"Fled/Apprehended")</f>
        <v>Fled/Apprehended</v>
      </c>
      <c r="F921" s="8" t="str">
        <f ca="1">IFERROR(__xludf.DUMMYFUNCTION("""COMPUTED_VALUE"""),"No")</f>
        <v>No</v>
      </c>
      <c r="G921" s="8" t="str">
        <f ca="1">IFERROR(__xludf.DUMMYFUNCTION("""COMPUTED_VALUE"""),"None")</f>
        <v>None</v>
      </c>
    </row>
    <row r="922" spans="1:7" ht="12.75">
      <c r="A922" s="8" t="str">
        <f ca="1">IFERROR(__xludf.DUMMYFUNCTION("""COMPUTED_VALUE"""),"20180823ALALM")</f>
        <v>20180823ALALM</v>
      </c>
      <c r="B922" s="8"/>
      <c r="C922" s="8"/>
      <c r="D922" s="8" t="str">
        <f ca="1">IFERROR(__xludf.DUMMYFUNCTION("""COMPUTED_VALUE"""),"Unknown")</f>
        <v>Unknown</v>
      </c>
      <c r="E922" s="8" t="str">
        <f ca="1">IFERROR(__xludf.DUMMYFUNCTION("""COMPUTED_VALUE"""),"Fled/Escaped")</f>
        <v>Fled/Escaped</v>
      </c>
      <c r="F922" s="8" t="str">
        <f ca="1">IFERROR(__xludf.DUMMYFUNCTION("""COMPUTED_VALUE"""),"No")</f>
        <v>No</v>
      </c>
      <c r="G922" s="8" t="str">
        <f ca="1">IFERROR(__xludf.DUMMYFUNCTION("""COMPUTED_VALUE"""),"None")</f>
        <v>None</v>
      </c>
    </row>
    <row r="923" spans="1:7" ht="12.75">
      <c r="A923" s="8" t="str">
        <f ca="1">IFERROR(__xludf.DUMMYFUNCTION("""COMPUTED_VALUE"""),"20180817FLPAW")</f>
        <v>20180817FLPAW</v>
      </c>
      <c r="B923" s="8"/>
      <c r="C923" s="8"/>
      <c r="D923" s="8" t="str">
        <f ca="1">IFERROR(__xludf.DUMMYFUNCTION("""COMPUTED_VALUE"""),"Unknown")</f>
        <v>Unknown</v>
      </c>
      <c r="E923" s="8" t="str">
        <f ca="1">IFERROR(__xludf.DUMMYFUNCTION("""COMPUTED_VALUE"""),"Fled/Escaped")</f>
        <v>Fled/Escaped</v>
      </c>
      <c r="F923" s="8" t="str">
        <f ca="1">IFERROR(__xludf.DUMMYFUNCTION("""COMPUTED_VALUE"""),"No")</f>
        <v>No</v>
      </c>
      <c r="G923" s="8" t="str">
        <f ca="1">IFERROR(__xludf.DUMMYFUNCTION("""COMPUTED_VALUE"""),"None")</f>
        <v>None</v>
      </c>
    </row>
    <row r="924" spans="1:7" ht="12.75">
      <c r="A924" s="8" t="str">
        <f ca="1">IFERROR(__xludf.DUMMYFUNCTION("""COMPUTED_VALUE"""),"20180811TNANN")</f>
        <v>20180811TNANN</v>
      </c>
      <c r="B924" s="8">
        <f ca="1">IFERROR(__xludf.DUMMYFUNCTION("""COMPUTED_VALUE"""),30)</f>
        <v>30</v>
      </c>
      <c r="C924" s="8" t="str">
        <f ca="1">IFERROR(__xludf.DUMMYFUNCTION("""COMPUTED_VALUE"""),"Male")</f>
        <v>Male</v>
      </c>
      <c r="D924" s="8" t="str">
        <f ca="1">IFERROR(__xludf.DUMMYFUNCTION("""COMPUTED_VALUE"""),"Parent")</f>
        <v>Parent</v>
      </c>
      <c r="E924" s="8" t="str">
        <f ca="1">IFERROR(__xludf.DUMMYFUNCTION("""COMPUTED_VALUE"""),"Fled/Apprehended")</f>
        <v>Fled/Apprehended</v>
      </c>
      <c r="F924" s="8" t="str">
        <f ca="1">IFERROR(__xludf.DUMMYFUNCTION("""COMPUTED_VALUE"""),"No")</f>
        <v>No</v>
      </c>
      <c r="G924" s="8" t="str">
        <f ca="1">IFERROR(__xludf.DUMMYFUNCTION("""COMPUTED_VALUE"""),"None")</f>
        <v>None</v>
      </c>
    </row>
    <row r="925" spans="1:7" ht="12.75">
      <c r="A925" s="8" t="str">
        <f ca="1">IFERROR(__xludf.DUMMYFUNCTION("""COMPUTED_VALUE"""),"20180809NJLAM")</f>
        <v>20180809NJLAM</v>
      </c>
      <c r="B925" s="8"/>
      <c r="C925" s="8" t="str">
        <f ca="1">IFERROR(__xludf.DUMMYFUNCTION("""COMPUTED_VALUE"""),"Male")</f>
        <v>Male</v>
      </c>
      <c r="D925" s="8" t="str">
        <f ca="1">IFERROR(__xludf.DUMMYFUNCTION("""COMPUTED_VALUE"""),"Unknown")</f>
        <v>Unknown</v>
      </c>
      <c r="E925" s="8" t="str">
        <f ca="1">IFERROR(__xludf.DUMMYFUNCTION("""COMPUTED_VALUE"""),"Fled/Escaped")</f>
        <v>Fled/Escaped</v>
      </c>
      <c r="F925" s="8" t="str">
        <f ca="1">IFERROR(__xludf.DUMMYFUNCTION("""COMPUTED_VALUE"""),"No")</f>
        <v>No</v>
      </c>
      <c r="G925" s="8" t="str">
        <f ca="1">IFERROR(__xludf.DUMMYFUNCTION("""COMPUTED_VALUE"""),"None")</f>
        <v>None</v>
      </c>
    </row>
    <row r="926" spans="1:7" ht="12.75">
      <c r="A926" s="8" t="str">
        <f ca="1">IFERROR(__xludf.DUMMYFUNCTION("""COMPUTED_VALUE"""),"20180804MDEDE")</f>
        <v>20180804MDEDE</v>
      </c>
      <c r="B926" s="8"/>
      <c r="C926" s="8"/>
      <c r="D926" s="8" t="str">
        <f ca="1">IFERROR(__xludf.DUMMYFUNCTION("""COMPUTED_VALUE"""),"Unknown")</f>
        <v>Unknown</v>
      </c>
      <c r="E926" s="8" t="str">
        <f ca="1">IFERROR(__xludf.DUMMYFUNCTION("""COMPUTED_VALUE"""),"Fled/Escaped")</f>
        <v>Fled/Escaped</v>
      </c>
      <c r="F926" s="8" t="str">
        <f ca="1">IFERROR(__xludf.DUMMYFUNCTION("""COMPUTED_VALUE"""),"No")</f>
        <v>No</v>
      </c>
      <c r="G926" s="8" t="str">
        <f ca="1">IFERROR(__xludf.DUMMYFUNCTION("""COMPUTED_VALUE"""),"None")</f>
        <v>None</v>
      </c>
    </row>
    <row r="927" spans="1:7" ht="12.75">
      <c r="A927" s="8" t="str">
        <f ca="1">IFERROR(__xludf.DUMMYFUNCTION("""COMPUTED_VALUE"""),"20180803IALIO")</f>
        <v>20180803IALIO</v>
      </c>
      <c r="B927" s="8">
        <f ca="1">IFERROR(__xludf.DUMMYFUNCTION("""COMPUTED_VALUE"""),32)</f>
        <v>32</v>
      </c>
      <c r="C927" s="8" t="str">
        <f ca="1">IFERROR(__xludf.DUMMYFUNCTION("""COMPUTED_VALUE"""),"Male")</f>
        <v>Male</v>
      </c>
      <c r="D927" s="8" t="str">
        <f ca="1">IFERROR(__xludf.DUMMYFUNCTION("""COMPUTED_VALUE"""),"No Relation")</f>
        <v>No Relation</v>
      </c>
      <c r="E927" s="8" t="str">
        <f ca="1">IFERROR(__xludf.DUMMYFUNCTION("""COMPUTED_VALUE"""),"Fled/Apprehended")</f>
        <v>Fled/Apprehended</v>
      </c>
      <c r="F927" s="8" t="str">
        <f ca="1">IFERROR(__xludf.DUMMYFUNCTION("""COMPUTED_VALUE"""),"No")</f>
        <v>No</v>
      </c>
      <c r="G927" s="8" t="str">
        <f ca="1">IFERROR(__xludf.DUMMYFUNCTION("""COMPUTED_VALUE"""),"Wounded")</f>
        <v>Wounded</v>
      </c>
    </row>
    <row r="928" spans="1:7" ht="12.75">
      <c r="A928" s="8" t="str">
        <f ca="1">IFERROR(__xludf.DUMMYFUNCTION("""COMPUTED_VALUE"""),"20180803IALIO")</f>
        <v>20180803IALIO</v>
      </c>
      <c r="B928" s="8">
        <f ca="1">IFERROR(__xludf.DUMMYFUNCTION("""COMPUTED_VALUE"""),23)</f>
        <v>23</v>
      </c>
      <c r="C928" s="8" t="str">
        <f ca="1">IFERROR(__xludf.DUMMYFUNCTION("""COMPUTED_VALUE"""),"Male")</f>
        <v>Male</v>
      </c>
      <c r="D928" s="8" t="str">
        <f ca="1">IFERROR(__xludf.DUMMYFUNCTION("""COMPUTED_VALUE"""),"No Relation")</f>
        <v>No Relation</v>
      </c>
      <c r="E928" s="8" t="str">
        <f ca="1">IFERROR(__xludf.DUMMYFUNCTION("""COMPUTED_VALUE"""),"Fled/Apprehended")</f>
        <v>Fled/Apprehended</v>
      </c>
      <c r="F928" s="8" t="str">
        <f ca="1">IFERROR(__xludf.DUMMYFUNCTION("""COMPUTED_VALUE"""),"No")</f>
        <v>No</v>
      </c>
      <c r="G928" s="8" t="str">
        <f ca="1">IFERROR(__xludf.DUMMYFUNCTION("""COMPUTED_VALUE"""),"None")</f>
        <v>None</v>
      </c>
    </row>
    <row r="929" spans="1:7" ht="12.75">
      <c r="A929" s="8" t="str">
        <f ca="1">IFERROR(__xludf.DUMMYFUNCTION("""COMPUTED_VALUE"""),"20180803IALIO")</f>
        <v>20180803IALIO</v>
      </c>
      <c r="B929" s="8" t="str">
        <f ca="1">IFERROR(__xludf.DUMMYFUNCTION("""COMPUTED_VALUE"""),"Adult")</f>
        <v>Adult</v>
      </c>
      <c r="C929" s="8" t="str">
        <f ca="1">IFERROR(__xludf.DUMMYFUNCTION("""COMPUTED_VALUE"""),"Male")</f>
        <v>Male</v>
      </c>
      <c r="D929" s="8" t="str">
        <f ca="1">IFERROR(__xludf.DUMMYFUNCTION("""COMPUTED_VALUE"""),"No Relation")</f>
        <v>No Relation</v>
      </c>
      <c r="E929" s="8" t="str">
        <f ca="1">IFERROR(__xludf.DUMMYFUNCTION("""COMPUTED_VALUE"""),"Apprehended/Killed by LE")</f>
        <v>Apprehended/Killed by LE</v>
      </c>
      <c r="F929" s="8" t="str">
        <f ca="1">IFERROR(__xludf.DUMMYFUNCTION("""COMPUTED_VALUE"""),"Yes")</f>
        <v>Yes</v>
      </c>
      <c r="G929" s="8" t="str">
        <f ca="1">IFERROR(__xludf.DUMMYFUNCTION("""COMPUTED_VALUE"""),"Fatal")</f>
        <v>Fatal</v>
      </c>
    </row>
    <row r="930" spans="1:7" ht="12.75">
      <c r="A930" s="8" t="str">
        <f ca="1">IFERROR(__xludf.DUMMYFUNCTION("""COMPUTED_VALUE"""),"20180719WAWEY")</f>
        <v>20180719WAWEY</v>
      </c>
      <c r="B930" s="8"/>
      <c r="C930" s="8"/>
      <c r="D930" s="8" t="str">
        <f ca="1">IFERROR(__xludf.DUMMYFUNCTION("""COMPUTED_VALUE"""),"Unknown")</f>
        <v>Unknown</v>
      </c>
      <c r="E930" s="8" t="str">
        <f ca="1">IFERROR(__xludf.DUMMYFUNCTION("""COMPUTED_VALUE"""),"Fled/Escaped")</f>
        <v>Fled/Escaped</v>
      </c>
      <c r="F930" s="8" t="str">
        <f ca="1">IFERROR(__xludf.DUMMYFUNCTION("""COMPUTED_VALUE"""),"No")</f>
        <v>No</v>
      </c>
      <c r="G930" s="8" t="str">
        <f ca="1">IFERROR(__xludf.DUMMYFUNCTION("""COMPUTED_VALUE"""),"None")</f>
        <v>None</v>
      </c>
    </row>
    <row r="931" spans="1:7" ht="12.75">
      <c r="A931" s="8" t="str">
        <f ca="1">IFERROR(__xludf.DUMMYFUNCTION("""COMPUTED_VALUE"""),"20180717WVHUH")</f>
        <v>20180717WVHUH</v>
      </c>
      <c r="B931" s="8" t="str">
        <f ca="1">IFERROR(__xludf.DUMMYFUNCTION("""COMPUTED_VALUE"""),"Adult")</f>
        <v>Adult</v>
      </c>
      <c r="C931" s="8" t="str">
        <f ca="1">IFERROR(__xludf.DUMMYFUNCTION("""COMPUTED_VALUE"""),"Male")</f>
        <v>Male</v>
      </c>
      <c r="D931" s="8" t="str">
        <f ca="1">IFERROR(__xludf.DUMMYFUNCTION("""COMPUTED_VALUE"""),"Unknown")</f>
        <v>Unknown</v>
      </c>
      <c r="E931" s="8" t="str">
        <f ca="1">IFERROR(__xludf.DUMMYFUNCTION("""COMPUTED_VALUE"""),"Unknown")</f>
        <v>Unknown</v>
      </c>
      <c r="F931" s="8" t="str">
        <f ca="1">IFERROR(__xludf.DUMMYFUNCTION("""COMPUTED_VALUE"""),"No")</f>
        <v>No</v>
      </c>
      <c r="G931" s="8" t="str">
        <f ca="1">IFERROR(__xludf.DUMMYFUNCTION("""COMPUTED_VALUE"""),"None")</f>
        <v>None</v>
      </c>
    </row>
    <row r="932" spans="1:7" ht="12.75">
      <c r="A932" s="8" t="str">
        <f ca="1">IFERROR(__xludf.DUMMYFUNCTION("""COMPUTED_VALUE"""),"20180711OHMIM")</f>
        <v>20180711OHMIM</v>
      </c>
      <c r="B932" s="8" t="str">
        <f ca="1">IFERROR(__xludf.DUMMYFUNCTION("""COMPUTED_VALUE"""),"Teen")</f>
        <v>Teen</v>
      </c>
      <c r="C932" s="8"/>
      <c r="D932" s="8" t="str">
        <f ca="1">IFERROR(__xludf.DUMMYFUNCTION("""COMPUTED_VALUE"""),"Unknown")</f>
        <v>Unknown</v>
      </c>
      <c r="E932" s="8" t="str">
        <f ca="1">IFERROR(__xludf.DUMMYFUNCTION("""COMPUTED_VALUE"""),"Fled/Apprehended")</f>
        <v>Fled/Apprehended</v>
      </c>
      <c r="F932" s="8" t="str">
        <f ca="1">IFERROR(__xludf.DUMMYFUNCTION("""COMPUTED_VALUE"""),"No")</f>
        <v>No</v>
      </c>
      <c r="G932" s="8" t="str">
        <f ca="1">IFERROR(__xludf.DUMMYFUNCTION("""COMPUTED_VALUE"""),"None")</f>
        <v>None</v>
      </c>
    </row>
    <row r="933" spans="1:7" ht="12.75">
      <c r="A933" s="8" t="str">
        <f ca="1">IFERROR(__xludf.DUMMYFUNCTION("""COMPUTED_VALUE"""),"20180703KSSUO")</f>
        <v>20180703KSSUO</v>
      </c>
      <c r="B933" s="8">
        <f ca="1">IFERROR(__xludf.DUMMYFUNCTION("""COMPUTED_VALUE"""),32)</f>
        <v>32</v>
      </c>
      <c r="C933" s="8" t="str">
        <f ca="1">IFERROR(__xludf.DUMMYFUNCTION("""COMPUTED_VALUE"""),"Male")</f>
        <v>Male</v>
      </c>
      <c r="D933" s="8" t="str">
        <f ca="1">IFERROR(__xludf.DUMMYFUNCTION("""COMPUTED_VALUE"""),"Other Staff")</f>
        <v>Other Staff</v>
      </c>
      <c r="E933" s="8" t="str">
        <f ca="1">IFERROR(__xludf.DUMMYFUNCTION("""COMPUTED_VALUE"""),"Fled/Apprehended")</f>
        <v>Fled/Apprehended</v>
      </c>
      <c r="F933" s="8" t="str">
        <f ca="1">IFERROR(__xludf.DUMMYFUNCTION("""COMPUTED_VALUE"""),"No")</f>
        <v>No</v>
      </c>
      <c r="G933" s="8" t="str">
        <f ca="1">IFERROR(__xludf.DUMMYFUNCTION("""COMPUTED_VALUE"""),"None")</f>
        <v>None</v>
      </c>
    </row>
    <row r="934" spans="1:7" ht="12.75">
      <c r="A934" s="8" t="str">
        <f ca="1">IFERROR(__xludf.DUMMYFUNCTION("""COMPUTED_VALUE"""),"20180701TNRAM")</f>
        <v>20180701TNRAM</v>
      </c>
      <c r="B934" s="8"/>
      <c r="C934" s="8"/>
      <c r="D934" s="8" t="str">
        <f ca="1">IFERROR(__xludf.DUMMYFUNCTION("""COMPUTED_VALUE"""),"Unknown")</f>
        <v>Unknown</v>
      </c>
      <c r="E934" s="8" t="str">
        <f ca="1">IFERROR(__xludf.DUMMYFUNCTION("""COMPUTED_VALUE"""),"Fled/Escaped")</f>
        <v>Fled/Escaped</v>
      </c>
      <c r="F934" s="8" t="str">
        <f ca="1">IFERROR(__xludf.DUMMYFUNCTION("""COMPUTED_VALUE"""),"No")</f>
        <v>No</v>
      </c>
      <c r="G934" s="8" t="str">
        <f ca="1">IFERROR(__xludf.DUMMYFUNCTION("""COMPUTED_VALUE"""),"None")</f>
        <v>None</v>
      </c>
    </row>
    <row r="935" spans="1:7" ht="12.75">
      <c r="A935" s="8" t="str">
        <f ca="1">IFERROR(__xludf.DUMMYFUNCTION("""COMPUTED_VALUE"""),"20180625OHFUS")</f>
        <v>20180625OHFUS</v>
      </c>
      <c r="B935" s="8">
        <f ca="1">IFERROR(__xludf.DUMMYFUNCTION("""COMPUTED_VALUE"""),14)</f>
        <v>14</v>
      </c>
      <c r="C935" s="8" t="str">
        <f ca="1">IFERROR(__xludf.DUMMYFUNCTION("""COMPUTED_VALUE"""),"Male")</f>
        <v>Male</v>
      </c>
      <c r="D935" s="8" t="str">
        <f ca="1">IFERROR(__xludf.DUMMYFUNCTION("""COMPUTED_VALUE"""),"Unknown")</f>
        <v>Unknown</v>
      </c>
      <c r="E935" s="8" t="str">
        <f ca="1">IFERROR(__xludf.DUMMYFUNCTION("""COMPUTED_VALUE"""),"Fled/Apprehended")</f>
        <v>Fled/Apprehended</v>
      </c>
      <c r="F935" s="8" t="str">
        <f ca="1">IFERROR(__xludf.DUMMYFUNCTION("""COMPUTED_VALUE"""),"No")</f>
        <v>No</v>
      </c>
      <c r="G935" s="8" t="str">
        <f ca="1">IFERROR(__xludf.DUMMYFUNCTION("""COMPUTED_VALUE"""),"None")</f>
        <v>None</v>
      </c>
    </row>
    <row r="936" spans="1:7" ht="12.75">
      <c r="A936" s="8" t="str">
        <f ca="1">IFERROR(__xludf.DUMMYFUNCTION("""COMPUTED_VALUE"""),"20180625OHFUS")</f>
        <v>20180625OHFUS</v>
      </c>
      <c r="B936" s="8">
        <f ca="1">IFERROR(__xludf.DUMMYFUNCTION("""COMPUTED_VALUE"""),16)</f>
        <v>16</v>
      </c>
      <c r="C936" s="8" t="str">
        <f ca="1">IFERROR(__xludf.DUMMYFUNCTION("""COMPUTED_VALUE"""),"Male")</f>
        <v>Male</v>
      </c>
      <c r="D936" s="8" t="str">
        <f ca="1">IFERROR(__xludf.DUMMYFUNCTION("""COMPUTED_VALUE"""),"Unknown")</f>
        <v>Unknown</v>
      </c>
      <c r="E936" s="8" t="str">
        <f ca="1">IFERROR(__xludf.DUMMYFUNCTION("""COMPUTED_VALUE"""),"Fled/Apprehended")</f>
        <v>Fled/Apprehended</v>
      </c>
      <c r="F936" s="8" t="str">
        <f ca="1">IFERROR(__xludf.DUMMYFUNCTION("""COMPUTED_VALUE"""),"No")</f>
        <v>No</v>
      </c>
      <c r="G936" s="8" t="str">
        <f ca="1">IFERROR(__xludf.DUMMYFUNCTION("""COMPUTED_VALUE"""),"None")</f>
        <v>None</v>
      </c>
    </row>
    <row r="937" spans="1:7" ht="12.75">
      <c r="A937" s="8" t="str">
        <f ca="1">IFERROR(__xludf.DUMMYFUNCTION("""COMPUTED_VALUE"""),"20180624MTSEM")</f>
        <v>20180624MTSEM</v>
      </c>
      <c r="B937" s="8">
        <f ca="1">IFERROR(__xludf.DUMMYFUNCTION("""COMPUTED_VALUE"""),17)</f>
        <v>17</v>
      </c>
      <c r="C937" s="8" t="str">
        <f ca="1">IFERROR(__xludf.DUMMYFUNCTION("""COMPUTED_VALUE"""),"Male")</f>
        <v>Male</v>
      </c>
      <c r="D937" s="8" t="str">
        <f ca="1">IFERROR(__xludf.DUMMYFUNCTION("""COMPUTED_VALUE"""),"Unknown")</f>
        <v>Unknown</v>
      </c>
      <c r="E937" s="8" t="str">
        <f ca="1">IFERROR(__xludf.DUMMYFUNCTION("""COMPUTED_VALUE"""),"Fled/Apprehended")</f>
        <v>Fled/Apprehended</v>
      </c>
      <c r="F937" s="8" t="str">
        <f ca="1">IFERROR(__xludf.DUMMYFUNCTION("""COMPUTED_VALUE"""),"No")</f>
        <v>No</v>
      </c>
      <c r="G937" s="8" t="str">
        <f ca="1">IFERROR(__xludf.DUMMYFUNCTION("""COMPUTED_VALUE"""),"None")</f>
        <v>None</v>
      </c>
    </row>
    <row r="938" spans="1:7" ht="12.75">
      <c r="A938" s="8" t="str">
        <f ca="1">IFERROR(__xludf.DUMMYFUNCTION("""COMPUTED_VALUE"""),"20180621TXSKD")</f>
        <v>20180621TXSKD</v>
      </c>
      <c r="B938" s="8"/>
      <c r="C938" s="8"/>
      <c r="D938" s="8" t="str">
        <f ca="1">IFERROR(__xludf.DUMMYFUNCTION("""COMPUTED_VALUE"""),"Unknown")</f>
        <v>Unknown</v>
      </c>
      <c r="E938" s="8" t="str">
        <f ca="1">IFERROR(__xludf.DUMMYFUNCTION("""COMPUTED_VALUE"""),"Fled/Escaped")</f>
        <v>Fled/Escaped</v>
      </c>
      <c r="F938" s="8" t="str">
        <f ca="1">IFERROR(__xludf.DUMMYFUNCTION("""COMPUTED_VALUE"""),"No")</f>
        <v>No</v>
      </c>
      <c r="G938" s="8" t="str">
        <f ca="1">IFERROR(__xludf.DUMMYFUNCTION("""COMPUTED_VALUE"""),"None")</f>
        <v>None</v>
      </c>
    </row>
    <row r="939" spans="1:7" ht="12.75">
      <c r="A939" s="8" t="str">
        <f ca="1">IFERROR(__xludf.DUMMYFUNCTION("""COMPUTED_VALUE"""),"20180617ORGRP")</f>
        <v>20180617ORGRP</v>
      </c>
      <c r="B939" s="8"/>
      <c r="C939" s="8"/>
      <c r="D939" s="8" t="str">
        <f ca="1">IFERROR(__xludf.DUMMYFUNCTION("""COMPUTED_VALUE"""),"Unknown")</f>
        <v>Unknown</v>
      </c>
      <c r="E939" s="8" t="str">
        <f ca="1">IFERROR(__xludf.DUMMYFUNCTION("""COMPUTED_VALUE"""),"Fled/Escaped")</f>
        <v>Fled/Escaped</v>
      </c>
      <c r="F939" s="8" t="str">
        <f ca="1">IFERROR(__xludf.DUMMYFUNCTION("""COMPUTED_VALUE"""),"No")</f>
        <v>No</v>
      </c>
      <c r="G939" s="8" t="str">
        <f ca="1">IFERROR(__xludf.DUMMYFUNCTION("""COMPUTED_VALUE"""),"None")</f>
        <v>None</v>
      </c>
    </row>
    <row r="940" spans="1:7" ht="12.75">
      <c r="A940" s="8" t="str">
        <f ca="1">IFERROR(__xludf.DUMMYFUNCTION("""COMPUTED_VALUE"""),"20180615OHVAB")</f>
        <v>20180615OHVAB</v>
      </c>
      <c r="B940" s="8">
        <f ca="1">IFERROR(__xludf.DUMMYFUNCTION("""COMPUTED_VALUE"""),17)</f>
        <v>17</v>
      </c>
      <c r="C940" s="8" t="str">
        <f ca="1">IFERROR(__xludf.DUMMYFUNCTION("""COMPUTED_VALUE"""),"Male")</f>
        <v>Male</v>
      </c>
      <c r="D940" s="8" t="str">
        <f ca="1">IFERROR(__xludf.DUMMYFUNCTION("""COMPUTED_VALUE"""),"No Relation")</f>
        <v>No Relation</v>
      </c>
      <c r="E940" s="8" t="str">
        <f ca="1">IFERROR(__xludf.DUMMYFUNCTION("""COMPUTED_VALUE"""),"Fled/Apprehended")</f>
        <v>Fled/Apprehended</v>
      </c>
      <c r="F940" s="8" t="str">
        <f ca="1">IFERROR(__xludf.DUMMYFUNCTION("""COMPUTED_VALUE"""),"No")</f>
        <v>No</v>
      </c>
      <c r="G940" s="8" t="str">
        <f ca="1">IFERROR(__xludf.DUMMYFUNCTION("""COMPUTED_VALUE"""),"None")</f>
        <v>None</v>
      </c>
    </row>
    <row r="941" spans="1:7" ht="12.75">
      <c r="A941" s="8" t="str">
        <f ca="1">IFERROR(__xludf.DUMMYFUNCTION("""COMPUTED_VALUE"""),"20180601TXMCM")</f>
        <v>20180601TXMCM</v>
      </c>
      <c r="B941" s="8" t="str">
        <f ca="1">IFERROR(__xludf.DUMMYFUNCTION("""COMPUTED_VALUE"""),"Teen")</f>
        <v>Teen</v>
      </c>
      <c r="C941" s="8" t="str">
        <f ca="1">IFERROR(__xludf.DUMMYFUNCTION("""COMPUTED_VALUE"""),"Male")</f>
        <v>Male</v>
      </c>
      <c r="D941" s="8" t="str">
        <f ca="1">IFERROR(__xludf.DUMMYFUNCTION("""COMPUTED_VALUE"""),"Student")</f>
        <v>Student</v>
      </c>
      <c r="E941" s="8" t="str">
        <f ca="1">IFERROR(__xludf.DUMMYFUNCTION("""COMPUTED_VALUE"""),"Suicide")</f>
        <v>Suicide</v>
      </c>
      <c r="F941" s="8" t="str">
        <f ca="1">IFERROR(__xludf.DUMMYFUNCTION("""COMPUTED_VALUE"""),"Yes")</f>
        <v>Yes</v>
      </c>
      <c r="G941" s="8" t="str">
        <f ca="1">IFERROR(__xludf.DUMMYFUNCTION("""COMPUTED_VALUE"""),"Suicide")</f>
        <v>Suicide</v>
      </c>
    </row>
    <row r="942" spans="1:7" ht="12.75">
      <c r="A942" s="8" t="str">
        <f ca="1">IFERROR(__xludf.DUMMYFUNCTION("""COMPUTED_VALUE"""),"20180525INNON")</f>
        <v>20180525INNON</v>
      </c>
      <c r="B942" s="8">
        <f ca="1">IFERROR(__xludf.DUMMYFUNCTION("""COMPUTED_VALUE"""),13)</f>
        <v>13</v>
      </c>
      <c r="C942" s="8" t="str">
        <f ca="1">IFERROR(__xludf.DUMMYFUNCTION("""COMPUTED_VALUE"""),"Male")</f>
        <v>Male</v>
      </c>
      <c r="D942" s="8" t="str">
        <f ca="1">IFERROR(__xludf.DUMMYFUNCTION("""COMPUTED_VALUE"""),"Student")</f>
        <v>Student</v>
      </c>
      <c r="E942" s="8" t="str">
        <f ca="1">IFERROR(__xludf.DUMMYFUNCTION("""COMPUTED_VALUE"""),"Subdued by Students/Staff/Other")</f>
        <v>Subdued by Students/Staff/Other</v>
      </c>
      <c r="F942" s="8" t="str">
        <f ca="1">IFERROR(__xludf.DUMMYFUNCTION("""COMPUTED_VALUE"""),"No")</f>
        <v>No</v>
      </c>
      <c r="G942" s="8" t="str">
        <f ca="1">IFERROR(__xludf.DUMMYFUNCTION("""COMPUTED_VALUE"""),"None")</f>
        <v>None</v>
      </c>
    </row>
    <row r="943" spans="1:7" ht="12.75">
      <c r="A943" s="8" t="str">
        <f ca="1">IFERROR(__xludf.DUMMYFUNCTION("""COMPUTED_VALUE"""),"20180521GABEG")</f>
        <v>20180521GABEG</v>
      </c>
      <c r="B943" s="8" t="str">
        <f ca="1">IFERROR(__xludf.DUMMYFUNCTION("""COMPUTED_VALUE"""),"Adult")</f>
        <v>Adult</v>
      </c>
      <c r="C943" s="8"/>
      <c r="D943" s="8" t="str">
        <f ca="1">IFERROR(__xludf.DUMMYFUNCTION("""COMPUTED_VALUE"""),"No Relation")</f>
        <v>No Relation</v>
      </c>
      <c r="E943" s="8" t="str">
        <f ca="1">IFERROR(__xludf.DUMMYFUNCTION("""COMPUTED_VALUE"""),"Fled/Escaped")</f>
        <v>Fled/Escaped</v>
      </c>
      <c r="F943" s="8" t="str">
        <f ca="1">IFERROR(__xludf.DUMMYFUNCTION("""COMPUTED_VALUE"""),"No")</f>
        <v>No</v>
      </c>
      <c r="G943" s="8" t="str">
        <f ca="1">IFERROR(__xludf.DUMMYFUNCTION("""COMPUTED_VALUE"""),"None")</f>
        <v>None</v>
      </c>
    </row>
    <row r="944" spans="1:7" ht="12.75">
      <c r="A944" s="8" t="str">
        <f ca="1">IFERROR(__xludf.DUMMYFUNCTION("""COMPUTED_VALUE"""),"20180518TXSAS")</f>
        <v>20180518TXSAS</v>
      </c>
      <c r="B944" s="8">
        <f ca="1">IFERROR(__xludf.DUMMYFUNCTION("""COMPUTED_VALUE"""),17)</f>
        <v>17</v>
      </c>
      <c r="C944" s="8" t="str">
        <f ca="1">IFERROR(__xludf.DUMMYFUNCTION("""COMPUTED_VALUE"""),"Male")</f>
        <v>Male</v>
      </c>
      <c r="D944" s="8" t="str">
        <f ca="1">IFERROR(__xludf.DUMMYFUNCTION("""COMPUTED_VALUE"""),"Student")</f>
        <v>Student</v>
      </c>
      <c r="E944" s="8" t="str">
        <f ca="1">IFERROR(__xludf.DUMMYFUNCTION("""COMPUTED_VALUE"""),"Surrendered")</f>
        <v>Surrendered</v>
      </c>
      <c r="F944" s="8" t="str">
        <f ca="1">IFERROR(__xludf.DUMMYFUNCTION("""COMPUTED_VALUE"""),"No")</f>
        <v>No</v>
      </c>
      <c r="G944" s="8" t="str">
        <f ca="1">IFERROR(__xludf.DUMMYFUNCTION("""COMPUTED_VALUE"""),"None")</f>
        <v>None</v>
      </c>
    </row>
    <row r="945" spans="1:7" ht="12.75">
      <c r="A945" s="8" t="str">
        <f ca="1">IFERROR(__xludf.DUMMYFUNCTION("""COMPUTED_VALUE"""),"20180518GAMOA")</f>
        <v>20180518GAMOA</v>
      </c>
      <c r="B945" s="8"/>
      <c r="C945" s="8"/>
      <c r="D945" s="8" t="str">
        <f ca="1">IFERROR(__xludf.DUMMYFUNCTION("""COMPUTED_VALUE"""),"Unknown")</f>
        <v>Unknown</v>
      </c>
      <c r="E945" s="8" t="str">
        <f ca="1">IFERROR(__xludf.DUMMYFUNCTION("""COMPUTED_VALUE"""),"Fled/Escaped")</f>
        <v>Fled/Escaped</v>
      </c>
      <c r="F945" s="8" t="str">
        <f ca="1">IFERROR(__xludf.DUMMYFUNCTION("""COMPUTED_VALUE"""),"No")</f>
        <v>No</v>
      </c>
      <c r="G945" s="8" t="str">
        <f ca="1">IFERROR(__xludf.DUMMYFUNCTION("""COMPUTED_VALUE"""),"None")</f>
        <v>None</v>
      </c>
    </row>
    <row r="946" spans="1:7" ht="12.75">
      <c r="A946" s="8" t="str">
        <f ca="1">IFERROR(__xludf.DUMMYFUNCTION("""COMPUTED_VALUE"""),"20180517MOCEK")</f>
        <v>20180517MOCEK</v>
      </c>
      <c r="B946" s="8">
        <f ca="1">IFERROR(__xludf.DUMMYFUNCTION("""COMPUTED_VALUE"""),21)</f>
        <v>21</v>
      </c>
      <c r="C946" s="8" t="str">
        <f ca="1">IFERROR(__xludf.DUMMYFUNCTION("""COMPUTED_VALUE"""),"Male")</f>
        <v>Male</v>
      </c>
      <c r="D946" s="8" t="str">
        <f ca="1">IFERROR(__xludf.DUMMYFUNCTION("""COMPUTED_VALUE"""),"Unknown")</f>
        <v>Unknown</v>
      </c>
      <c r="E946" s="8" t="str">
        <f ca="1">IFERROR(__xludf.DUMMYFUNCTION("""COMPUTED_VALUE"""),"Fled/Apprehended")</f>
        <v>Fled/Apprehended</v>
      </c>
      <c r="F946" s="8" t="str">
        <f ca="1">IFERROR(__xludf.DUMMYFUNCTION("""COMPUTED_VALUE"""),"No")</f>
        <v>No</v>
      </c>
      <c r="G946" s="8" t="str">
        <f ca="1">IFERROR(__xludf.DUMMYFUNCTION("""COMPUTED_VALUE"""),"None")</f>
        <v>None</v>
      </c>
    </row>
    <row r="947" spans="1:7" ht="12.75">
      <c r="A947" s="8" t="str">
        <f ca="1">IFERROR(__xludf.DUMMYFUNCTION("""COMPUTED_VALUE"""),"20180516ILDID")</f>
        <v>20180516ILDID</v>
      </c>
      <c r="B947" s="8">
        <f ca="1">IFERROR(__xludf.DUMMYFUNCTION("""COMPUTED_VALUE"""),19)</f>
        <v>19</v>
      </c>
      <c r="C947" s="8" t="str">
        <f ca="1">IFERROR(__xludf.DUMMYFUNCTION("""COMPUTED_VALUE"""),"Male")</f>
        <v>Male</v>
      </c>
      <c r="D947" s="8" t="str">
        <f ca="1">IFERROR(__xludf.DUMMYFUNCTION("""COMPUTED_VALUE"""),"Student")</f>
        <v>Student</v>
      </c>
      <c r="E947" s="8" t="str">
        <f ca="1">IFERROR(__xludf.DUMMYFUNCTION("""COMPUTED_VALUE"""),"Apprehended/Killed by SRO")</f>
        <v>Apprehended/Killed by SRO</v>
      </c>
      <c r="F947" s="8" t="str">
        <f ca="1">IFERROR(__xludf.DUMMYFUNCTION("""COMPUTED_VALUE"""),"No")</f>
        <v>No</v>
      </c>
      <c r="G947" s="8" t="str">
        <f ca="1">IFERROR(__xludf.DUMMYFUNCTION("""COMPUTED_VALUE"""),"None")</f>
        <v>None</v>
      </c>
    </row>
    <row r="948" spans="1:7" ht="12.75">
      <c r="A948" s="8" t="str">
        <f ca="1">IFERROR(__xludf.DUMMYFUNCTION("""COMPUTED_VALUE"""),"20180511CAHIP")</f>
        <v>20180511CAHIP</v>
      </c>
      <c r="B948" s="8">
        <f ca="1">IFERROR(__xludf.DUMMYFUNCTION("""COMPUTED_VALUE"""),14)</f>
        <v>14</v>
      </c>
      <c r="C948" s="8" t="str">
        <f ca="1">IFERROR(__xludf.DUMMYFUNCTION("""COMPUTED_VALUE"""),"Male")</f>
        <v>Male</v>
      </c>
      <c r="D948" s="8" t="str">
        <f ca="1">IFERROR(__xludf.DUMMYFUNCTION("""COMPUTED_VALUE"""),"Former Student")</f>
        <v>Former Student</v>
      </c>
      <c r="E948" s="8" t="str">
        <f ca="1">IFERROR(__xludf.DUMMYFUNCTION("""COMPUTED_VALUE"""),"Fled/Apprehended")</f>
        <v>Fled/Apprehended</v>
      </c>
      <c r="F948" s="8" t="str">
        <f ca="1">IFERROR(__xludf.DUMMYFUNCTION("""COMPUTED_VALUE"""),"No")</f>
        <v>No</v>
      </c>
      <c r="G948" s="8" t="str">
        <f ca="1">IFERROR(__xludf.DUMMYFUNCTION("""COMPUTED_VALUE"""),"None")</f>
        <v>None</v>
      </c>
    </row>
    <row r="949" spans="1:7" ht="12.75">
      <c r="A949" s="8" t="str">
        <f ca="1">IFERROR(__xludf.DUMMYFUNCTION("""COMPUTED_VALUE"""),"20180505MIFOF")</f>
        <v>20180505MIFOF</v>
      </c>
      <c r="B949" s="8" t="str">
        <f ca="1">IFERROR(__xludf.DUMMYFUNCTION("""COMPUTED_VALUE"""),"Adult")</f>
        <v>Adult</v>
      </c>
      <c r="C949" s="8" t="str">
        <f ca="1">IFERROR(__xludf.DUMMYFUNCTION("""COMPUTED_VALUE"""),"Male")</f>
        <v>Male</v>
      </c>
      <c r="D949" s="8" t="str">
        <f ca="1">IFERROR(__xludf.DUMMYFUNCTION("""COMPUTED_VALUE"""),"Police Officer/SRO")</f>
        <v>Police Officer/SRO</v>
      </c>
      <c r="E949" s="8" t="str">
        <f ca="1">IFERROR(__xludf.DUMMYFUNCTION("""COMPUTED_VALUE"""),"Law Enforcement")</f>
        <v>Law Enforcement</v>
      </c>
      <c r="F949" s="8" t="str">
        <f ca="1">IFERROR(__xludf.DUMMYFUNCTION("""COMPUTED_VALUE"""),"No")</f>
        <v>No</v>
      </c>
      <c r="G949" s="8" t="str">
        <f ca="1">IFERROR(__xludf.DUMMYFUNCTION("""COMPUTED_VALUE"""),"None")</f>
        <v>None</v>
      </c>
    </row>
    <row r="950" spans="1:7" ht="12.75">
      <c r="A950" s="8" t="str">
        <f ca="1">IFERROR(__xludf.DUMMYFUNCTION("""COMPUTED_VALUE"""),"20180503TNWAW")</f>
        <v>20180503TNWAW</v>
      </c>
      <c r="B950" s="8" t="str">
        <f ca="1">IFERROR(__xludf.DUMMYFUNCTION("""COMPUTED_VALUE"""),"Teen")</f>
        <v>Teen</v>
      </c>
      <c r="C950" s="8"/>
      <c r="D950" s="8" t="str">
        <f ca="1">IFERROR(__xludf.DUMMYFUNCTION("""COMPUTED_VALUE"""),"Student")</f>
        <v>Student</v>
      </c>
      <c r="E950" s="8" t="str">
        <f ca="1">IFERROR(__xludf.DUMMYFUNCTION("""COMPUTED_VALUE"""),"Unknown")</f>
        <v>Unknown</v>
      </c>
      <c r="F950" s="8" t="str">
        <f ca="1">IFERROR(__xludf.DUMMYFUNCTION("""COMPUTED_VALUE"""),"No")</f>
        <v>No</v>
      </c>
      <c r="G950" s="8" t="str">
        <f ca="1">IFERROR(__xludf.DUMMYFUNCTION("""COMPUTED_VALUE"""),"None")</f>
        <v>None</v>
      </c>
    </row>
    <row r="951" spans="1:7" ht="12.75">
      <c r="A951" s="8" t="str">
        <f ca="1">IFERROR(__xludf.DUMMYFUNCTION("""COMPUTED_VALUE"""),"20180503SDENW")</f>
        <v>20180503SDENW</v>
      </c>
      <c r="B951" s="8"/>
      <c r="C951" s="8"/>
      <c r="D951" s="8" t="str">
        <f ca="1">IFERROR(__xludf.DUMMYFUNCTION("""COMPUTED_VALUE"""),"Unknown")</f>
        <v>Unknown</v>
      </c>
      <c r="E951" s="8" t="str">
        <f ca="1">IFERROR(__xludf.DUMMYFUNCTION("""COMPUTED_VALUE"""),"Fled/Apprehended")</f>
        <v>Fled/Apprehended</v>
      </c>
      <c r="F951" s="8" t="str">
        <f ca="1">IFERROR(__xludf.DUMMYFUNCTION("""COMPUTED_VALUE"""),"No")</f>
        <v>No</v>
      </c>
      <c r="G951" s="8" t="str">
        <f ca="1">IFERROR(__xludf.DUMMYFUNCTION("""COMPUTED_VALUE"""),"None")</f>
        <v>None</v>
      </c>
    </row>
    <row r="952" spans="1:7" ht="12.75">
      <c r="A952" s="8" t="str">
        <f ca="1">IFERROR(__xludf.DUMMYFUNCTION("""COMPUTED_VALUE"""),"20180425NMHIA")</f>
        <v>20180425NMHIA</v>
      </c>
      <c r="B952" s="8" t="str">
        <f ca="1">IFERROR(__xludf.DUMMYFUNCTION("""COMPUTED_VALUE"""),"Adult")</f>
        <v>Adult</v>
      </c>
      <c r="C952" s="8" t="str">
        <f ca="1">IFERROR(__xludf.DUMMYFUNCTION("""COMPUTED_VALUE"""),"Male")</f>
        <v>Male</v>
      </c>
      <c r="D952" s="8" t="str">
        <f ca="1">IFERROR(__xludf.DUMMYFUNCTION("""COMPUTED_VALUE"""),"Parent")</f>
        <v>Parent</v>
      </c>
      <c r="E952" s="8" t="str">
        <f ca="1">IFERROR(__xludf.DUMMYFUNCTION("""COMPUTED_VALUE"""),"Apprehended/Killed by LE")</f>
        <v>Apprehended/Killed by LE</v>
      </c>
      <c r="F952" s="8" t="str">
        <f ca="1">IFERROR(__xludf.DUMMYFUNCTION("""COMPUTED_VALUE"""),"No")</f>
        <v>No</v>
      </c>
      <c r="G952" s="8" t="str">
        <f ca="1">IFERROR(__xludf.DUMMYFUNCTION("""COMPUTED_VALUE"""),"None")</f>
        <v>None</v>
      </c>
    </row>
    <row r="953" spans="1:7" ht="12.75">
      <c r="A953" s="8" t="str">
        <f ca="1">IFERROR(__xludf.DUMMYFUNCTION("""COMPUTED_VALUE"""),"20180423GABEA")</f>
        <v>20180423GABEA</v>
      </c>
      <c r="B953" s="8"/>
      <c r="C953" s="8" t="str">
        <f ca="1">IFERROR(__xludf.DUMMYFUNCTION("""COMPUTED_VALUE"""),"Male")</f>
        <v>Male</v>
      </c>
      <c r="D953" s="8" t="str">
        <f ca="1">IFERROR(__xludf.DUMMYFUNCTION("""COMPUTED_VALUE"""),"Intimate Relationship")</f>
        <v>Intimate Relationship</v>
      </c>
      <c r="E953" s="8" t="str">
        <f ca="1">IFERROR(__xludf.DUMMYFUNCTION("""COMPUTED_VALUE"""),"Fled/Apprehended")</f>
        <v>Fled/Apprehended</v>
      </c>
      <c r="F953" s="8" t="str">
        <f ca="1">IFERROR(__xludf.DUMMYFUNCTION("""COMPUTED_VALUE"""),"No")</f>
        <v>No</v>
      </c>
      <c r="G953" s="8" t="str">
        <f ca="1">IFERROR(__xludf.DUMMYFUNCTION("""COMPUTED_VALUE"""),"None")</f>
        <v>None</v>
      </c>
    </row>
    <row r="954" spans="1:7" ht="12.75">
      <c r="A954" s="8" t="str">
        <f ca="1">IFERROR(__xludf.DUMMYFUNCTION("""COMPUTED_VALUE"""),"20180420FLFOO")</f>
        <v>20180420FLFOO</v>
      </c>
      <c r="B954" s="8">
        <f ca="1">IFERROR(__xludf.DUMMYFUNCTION("""COMPUTED_VALUE"""),19)</f>
        <v>19</v>
      </c>
      <c r="C954" s="8" t="str">
        <f ca="1">IFERROR(__xludf.DUMMYFUNCTION("""COMPUTED_VALUE"""),"Male")</f>
        <v>Male</v>
      </c>
      <c r="D954" s="8" t="str">
        <f ca="1">IFERROR(__xludf.DUMMYFUNCTION("""COMPUTED_VALUE"""),"Former Student")</f>
        <v>Former Student</v>
      </c>
      <c r="E954" s="8" t="str">
        <f ca="1">IFERROR(__xludf.DUMMYFUNCTION("""COMPUTED_VALUE"""),"Surrendered")</f>
        <v>Surrendered</v>
      </c>
      <c r="F954" s="8" t="str">
        <f ca="1">IFERROR(__xludf.DUMMYFUNCTION("""COMPUTED_VALUE"""),"No")</f>
        <v>No</v>
      </c>
      <c r="G954" s="8" t="str">
        <f ca="1">IFERROR(__xludf.DUMMYFUNCTION("""COMPUTED_VALUE"""),"None")</f>
        <v>None</v>
      </c>
    </row>
    <row r="955" spans="1:7" ht="12.75">
      <c r="A955" s="8" t="str">
        <f ca="1">IFERROR(__xludf.DUMMYFUNCTION("""COMPUTED_VALUE"""),"20180419MIJAJ")</f>
        <v>20180419MIJAJ</v>
      </c>
      <c r="B955" s="8"/>
      <c r="C955" s="8"/>
      <c r="D955" s="8" t="str">
        <f ca="1">IFERROR(__xludf.DUMMYFUNCTION("""COMPUTED_VALUE"""),"No Relation")</f>
        <v>No Relation</v>
      </c>
      <c r="E955" s="8" t="str">
        <f ca="1">IFERROR(__xludf.DUMMYFUNCTION("""COMPUTED_VALUE"""),"Fled/Escaped")</f>
        <v>Fled/Escaped</v>
      </c>
      <c r="F955" s="8" t="str">
        <f ca="1">IFERROR(__xludf.DUMMYFUNCTION("""COMPUTED_VALUE"""),"No")</f>
        <v>No</v>
      </c>
      <c r="G955" s="8" t="str">
        <f ca="1">IFERROR(__xludf.DUMMYFUNCTION("""COMPUTED_VALUE"""),"None")</f>
        <v>None</v>
      </c>
    </row>
    <row r="956" spans="1:7" ht="12.75">
      <c r="A956" s="8" t="str">
        <f ca="1">IFERROR(__xludf.DUMMYFUNCTION("""COMPUTED_VALUE"""),"20180412MORAR")</f>
        <v>20180412MORAR</v>
      </c>
      <c r="B956" s="8"/>
      <c r="C956" s="8" t="str">
        <f ca="1">IFERROR(__xludf.DUMMYFUNCTION("""COMPUTED_VALUE"""),"Male")</f>
        <v>Male</v>
      </c>
      <c r="D956" s="8" t="str">
        <f ca="1">IFERROR(__xludf.DUMMYFUNCTION("""COMPUTED_VALUE"""),"Unknown")</f>
        <v>Unknown</v>
      </c>
      <c r="E956" s="8" t="str">
        <f ca="1">IFERROR(__xludf.DUMMYFUNCTION("""COMPUTED_VALUE"""),"Fled/Escaped")</f>
        <v>Fled/Escaped</v>
      </c>
      <c r="F956" s="8" t="str">
        <f ca="1">IFERROR(__xludf.DUMMYFUNCTION("""COMPUTED_VALUE"""),"No")</f>
        <v>No</v>
      </c>
      <c r="G956" s="8" t="str">
        <f ca="1">IFERROR(__xludf.DUMMYFUNCTION("""COMPUTED_VALUE"""),"None")</f>
        <v>None</v>
      </c>
    </row>
    <row r="957" spans="1:7" ht="12.75">
      <c r="A957" s="8" t="str">
        <f ca="1">IFERROR(__xludf.DUMMYFUNCTION("""COMPUTED_VALUE"""),"20180409NYGLG")</f>
        <v>20180409NYGLG</v>
      </c>
      <c r="B957" s="8">
        <f ca="1">IFERROR(__xludf.DUMMYFUNCTION("""COMPUTED_VALUE"""),16)</f>
        <v>16</v>
      </c>
      <c r="C957" s="8" t="str">
        <f ca="1">IFERROR(__xludf.DUMMYFUNCTION("""COMPUTED_VALUE"""),"Male")</f>
        <v>Male</v>
      </c>
      <c r="D957" s="8" t="str">
        <f ca="1">IFERROR(__xludf.DUMMYFUNCTION("""COMPUTED_VALUE"""),"Student")</f>
        <v>Student</v>
      </c>
      <c r="E957" s="8" t="str">
        <f ca="1">IFERROR(__xludf.DUMMYFUNCTION("""COMPUTED_VALUE"""),"Fled/Apprehended")</f>
        <v>Fled/Apprehended</v>
      </c>
      <c r="F957" s="8" t="str">
        <f ca="1">IFERROR(__xludf.DUMMYFUNCTION("""COMPUTED_VALUE"""),"No")</f>
        <v>No</v>
      </c>
      <c r="G957" s="8" t="str">
        <f ca="1">IFERROR(__xludf.DUMMYFUNCTION("""COMPUTED_VALUE"""),"None")</f>
        <v>None</v>
      </c>
    </row>
    <row r="958" spans="1:7" ht="12.75">
      <c r="A958" s="8" t="str">
        <f ca="1">IFERROR(__xludf.DUMMYFUNCTION("""COMPUTED_VALUE"""),"20180329KYJOE")</f>
        <v>20180329KYJOE</v>
      </c>
      <c r="B958" s="8">
        <f ca="1">IFERROR(__xludf.DUMMYFUNCTION("""COMPUTED_VALUE"""),51)</f>
        <v>51</v>
      </c>
      <c r="C958" s="8" t="str">
        <f ca="1">IFERROR(__xludf.DUMMYFUNCTION("""COMPUTED_VALUE"""),"Male")</f>
        <v>Male</v>
      </c>
      <c r="D958" s="8" t="str">
        <f ca="1">IFERROR(__xludf.DUMMYFUNCTION("""COMPUTED_VALUE"""),"Parent")</f>
        <v>Parent</v>
      </c>
      <c r="E958" s="8" t="str">
        <f ca="1">IFERROR(__xludf.DUMMYFUNCTION("""COMPUTED_VALUE"""),"Apprehended/Killed by LE")</f>
        <v>Apprehended/Killed by LE</v>
      </c>
      <c r="F958" s="8" t="str">
        <f ca="1">IFERROR(__xludf.DUMMYFUNCTION("""COMPUTED_VALUE"""),"Yes")</f>
        <v>Yes</v>
      </c>
      <c r="G958" s="8" t="str">
        <f ca="1">IFERROR(__xludf.DUMMYFUNCTION("""COMPUTED_VALUE"""),"Fatal")</f>
        <v>Fatal</v>
      </c>
    </row>
    <row r="959" spans="1:7" ht="12.75">
      <c r="A959" s="8" t="str">
        <f ca="1">IFERROR(__xludf.DUMMYFUNCTION("""COMPUTED_VALUE"""),"20180328MSEUE")</f>
        <v>20180328MSEUE</v>
      </c>
      <c r="B959" s="8">
        <f ca="1">IFERROR(__xludf.DUMMYFUNCTION("""COMPUTED_VALUE"""),21)</f>
        <v>21</v>
      </c>
      <c r="C959" s="8" t="str">
        <f ca="1">IFERROR(__xludf.DUMMYFUNCTION("""COMPUTED_VALUE"""),"Male")</f>
        <v>Male</v>
      </c>
      <c r="D959" s="8" t="str">
        <f ca="1">IFERROR(__xludf.DUMMYFUNCTION("""COMPUTED_VALUE"""),"Former Student")</f>
        <v>Former Student</v>
      </c>
      <c r="E959" s="8" t="str">
        <f ca="1">IFERROR(__xludf.DUMMYFUNCTION("""COMPUTED_VALUE"""),"Fled/Apprehended")</f>
        <v>Fled/Apprehended</v>
      </c>
      <c r="F959" s="8" t="str">
        <f ca="1">IFERROR(__xludf.DUMMYFUNCTION("""COMPUTED_VALUE"""),"No")</f>
        <v>No</v>
      </c>
      <c r="G959" s="8" t="str">
        <f ca="1">IFERROR(__xludf.DUMMYFUNCTION("""COMPUTED_VALUE"""),"None")</f>
        <v>None</v>
      </c>
    </row>
    <row r="960" spans="1:7" ht="12.75">
      <c r="A960" s="8" t="str">
        <f ca="1">IFERROR(__xludf.DUMMYFUNCTION("""COMPUTED_VALUE"""),"20180320MDGRG")</f>
        <v>20180320MDGRG</v>
      </c>
      <c r="B960" s="8">
        <f ca="1">IFERROR(__xludf.DUMMYFUNCTION("""COMPUTED_VALUE"""),17)</f>
        <v>17</v>
      </c>
      <c r="C960" s="8" t="str">
        <f ca="1">IFERROR(__xludf.DUMMYFUNCTION("""COMPUTED_VALUE"""),"Male")</f>
        <v>Male</v>
      </c>
      <c r="D960" s="8" t="str">
        <f ca="1">IFERROR(__xludf.DUMMYFUNCTION("""COMPUTED_VALUE"""),"Student")</f>
        <v>Student</v>
      </c>
      <c r="E960" s="8" t="str">
        <f ca="1">IFERROR(__xludf.DUMMYFUNCTION("""COMPUTED_VALUE"""),"Suicide")</f>
        <v>Suicide</v>
      </c>
      <c r="F960" s="8" t="str">
        <f ca="1">IFERROR(__xludf.DUMMYFUNCTION("""COMPUTED_VALUE"""),"Yes")</f>
        <v>Yes</v>
      </c>
      <c r="G960" s="8" t="str">
        <f ca="1">IFERROR(__xludf.DUMMYFUNCTION("""COMPUTED_VALUE"""),"Suicide")</f>
        <v>Suicide</v>
      </c>
    </row>
    <row r="961" spans="1:7" ht="12.75">
      <c r="A961" s="8" t="str">
        <f ca="1">IFERROR(__xludf.DUMMYFUNCTION("""COMPUTED_VALUE"""),"20180319VADOP")</f>
        <v>20180319VADOP</v>
      </c>
      <c r="B961" s="8" t="str">
        <f ca="1">IFERROR(__xludf.DUMMYFUNCTION("""COMPUTED_VALUE"""),"Adult")</f>
        <v>Adult</v>
      </c>
      <c r="C961" s="8"/>
      <c r="D961" s="8" t="str">
        <f ca="1">IFERROR(__xludf.DUMMYFUNCTION("""COMPUTED_VALUE"""),"No Relation")</f>
        <v>No Relation</v>
      </c>
      <c r="E961" s="8" t="str">
        <f ca="1">IFERROR(__xludf.DUMMYFUNCTION("""COMPUTED_VALUE"""),"Fled/Escaped")</f>
        <v>Fled/Escaped</v>
      </c>
      <c r="F961" s="8" t="str">
        <f ca="1">IFERROR(__xludf.DUMMYFUNCTION("""COMPUTED_VALUE"""),"No")</f>
        <v>No</v>
      </c>
      <c r="G961" s="8" t="str">
        <f ca="1">IFERROR(__xludf.DUMMYFUNCTION("""COMPUTED_VALUE"""),"None")</f>
        <v>None</v>
      </c>
    </row>
    <row r="962" spans="1:7" ht="12.75">
      <c r="A962" s="8" t="str">
        <f ca="1">IFERROR(__xludf.DUMMYFUNCTION("""COMPUTED_VALUE"""),"20180316MTBIM")</f>
        <v>20180316MTBIM</v>
      </c>
      <c r="B962" s="8" t="str">
        <f ca="1">IFERROR(__xludf.DUMMYFUNCTION("""COMPUTED_VALUE"""),"Adult")</f>
        <v>Adult</v>
      </c>
      <c r="C962" s="8" t="str">
        <f ca="1">IFERROR(__xludf.DUMMYFUNCTION("""COMPUTED_VALUE"""),"Male")</f>
        <v>Male</v>
      </c>
      <c r="D962" s="8" t="str">
        <f ca="1">IFERROR(__xludf.DUMMYFUNCTION("""COMPUTED_VALUE"""),"Police Officer/SRO")</f>
        <v>Police Officer/SRO</v>
      </c>
      <c r="E962" s="8" t="str">
        <f ca="1">IFERROR(__xludf.DUMMYFUNCTION("""COMPUTED_VALUE"""),"Law Enforcement")</f>
        <v>Law Enforcement</v>
      </c>
      <c r="F962" s="8" t="str">
        <f ca="1">IFERROR(__xludf.DUMMYFUNCTION("""COMPUTED_VALUE"""),"No")</f>
        <v>No</v>
      </c>
      <c r="G962" s="8" t="str">
        <f ca="1">IFERROR(__xludf.DUMMYFUNCTION("""COMPUTED_VALUE"""),"None")</f>
        <v>None</v>
      </c>
    </row>
    <row r="963" spans="1:7" ht="12.75">
      <c r="A963" s="8" t="str">
        <f ca="1">IFERROR(__xludf.DUMMYFUNCTION("""COMPUTED_VALUE"""),"20180313VAGEA")</f>
        <v>20180313VAGEA</v>
      </c>
      <c r="B963" s="8">
        <f ca="1">IFERROR(__xludf.DUMMYFUNCTION("""COMPUTED_VALUE"""),27)</f>
        <v>27</v>
      </c>
      <c r="C963" s="8" t="str">
        <f ca="1">IFERROR(__xludf.DUMMYFUNCTION("""COMPUTED_VALUE"""),"Male")</f>
        <v>Male</v>
      </c>
      <c r="D963" s="8" t="str">
        <f ca="1">IFERROR(__xludf.DUMMYFUNCTION("""COMPUTED_VALUE"""),"Police Officer/SRO")</f>
        <v>Police Officer/SRO</v>
      </c>
      <c r="E963" s="8" t="str">
        <f ca="1">IFERROR(__xludf.DUMMYFUNCTION("""COMPUTED_VALUE"""),"Surrendered")</f>
        <v>Surrendered</v>
      </c>
      <c r="F963" s="8" t="str">
        <f ca="1">IFERROR(__xludf.DUMMYFUNCTION("""COMPUTED_VALUE"""),"No")</f>
        <v>No</v>
      </c>
      <c r="G963" s="8" t="str">
        <f ca="1">IFERROR(__xludf.DUMMYFUNCTION("""COMPUTED_VALUE"""),"None")</f>
        <v>None</v>
      </c>
    </row>
    <row r="964" spans="1:7" ht="12.75">
      <c r="A964" s="8" t="str">
        <f ca="1">IFERROR(__xludf.DUMMYFUNCTION("""COMPUTED_VALUE"""),"20180313CASES")</f>
        <v>20180313CASES</v>
      </c>
      <c r="B964" s="8" t="str">
        <f ca="1">IFERROR(__xludf.DUMMYFUNCTION("""COMPUTED_VALUE"""),"Adult")</f>
        <v>Adult</v>
      </c>
      <c r="C964" s="8" t="str">
        <f ca="1">IFERROR(__xludf.DUMMYFUNCTION("""COMPUTED_VALUE"""),"Male")</f>
        <v>Male</v>
      </c>
      <c r="D964" s="8" t="str">
        <f ca="1">IFERROR(__xludf.DUMMYFUNCTION("""COMPUTED_VALUE"""),"Police Officer/SRO")</f>
        <v>Police Officer/SRO</v>
      </c>
      <c r="E964" s="8" t="str">
        <f ca="1">IFERROR(__xludf.DUMMYFUNCTION("""COMPUTED_VALUE"""),"Surrendered")</f>
        <v>Surrendered</v>
      </c>
      <c r="F964" s="8" t="str">
        <f ca="1">IFERROR(__xludf.DUMMYFUNCTION("""COMPUTED_VALUE"""),"No")</f>
        <v>No</v>
      </c>
      <c r="G964" s="8" t="str">
        <f ca="1">IFERROR(__xludf.DUMMYFUNCTION("""COMPUTED_VALUE"""),"None")</f>
        <v>None</v>
      </c>
    </row>
    <row r="965" spans="1:7" ht="12.75">
      <c r="A965" s="8" t="str">
        <f ca="1">IFERROR(__xludf.DUMMYFUNCTION("""COMPUTED_VALUE"""),"20180309KYFRL")</f>
        <v>20180309KYFRL</v>
      </c>
      <c r="B965" s="8" t="str">
        <f ca="1">IFERROR(__xludf.DUMMYFUNCTION("""COMPUTED_VALUE"""),"Teen")</f>
        <v>Teen</v>
      </c>
      <c r="C965" s="8" t="str">
        <f ca="1">IFERROR(__xludf.DUMMYFUNCTION("""COMPUTED_VALUE"""),"Male")</f>
        <v>Male</v>
      </c>
      <c r="D965" s="8" t="str">
        <f ca="1">IFERROR(__xludf.DUMMYFUNCTION("""COMPUTED_VALUE"""),"Student")</f>
        <v>Student</v>
      </c>
      <c r="E965" s="8" t="str">
        <f ca="1">IFERROR(__xludf.DUMMYFUNCTION("""COMPUTED_VALUE"""),"Unknown")</f>
        <v>Unknown</v>
      </c>
      <c r="F965" s="8" t="str">
        <f ca="1">IFERROR(__xludf.DUMMYFUNCTION("""COMPUTED_VALUE"""),"No")</f>
        <v>No</v>
      </c>
      <c r="G965" s="8" t="str">
        <f ca="1">IFERROR(__xludf.DUMMYFUNCTION("""COMPUTED_VALUE"""),"Wounded")</f>
        <v>Wounded</v>
      </c>
    </row>
    <row r="966" spans="1:7" ht="12.75">
      <c r="A966" s="8" t="str">
        <f ca="1">IFERROR(__xludf.DUMMYFUNCTION("""COMPUTED_VALUE"""),"20180307ALHUB")</f>
        <v>20180307ALHUB</v>
      </c>
      <c r="B966" s="8">
        <f ca="1">IFERROR(__xludf.DUMMYFUNCTION("""COMPUTED_VALUE"""),17)</f>
        <v>17</v>
      </c>
      <c r="C966" s="8" t="str">
        <f ca="1">IFERROR(__xludf.DUMMYFUNCTION("""COMPUTED_VALUE"""),"Male")</f>
        <v>Male</v>
      </c>
      <c r="D966" s="8" t="str">
        <f ca="1">IFERROR(__xludf.DUMMYFUNCTION("""COMPUTED_VALUE"""),"Student")</f>
        <v>Student</v>
      </c>
      <c r="E966" s="8" t="str">
        <f ca="1">IFERROR(__xludf.DUMMYFUNCTION("""COMPUTED_VALUE"""),"Fled/Apprehended")</f>
        <v>Fled/Apprehended</v>
      </c>
      <c r="F966" s="8" t="str">
        <f ca="1">IFERROR(__xludf.DUMMYFUNCTION("""COMPUTED_VALUE"""),"No")</f>
        <v>No</v>
      </c>
      <c r="G966" s="8" t="str">
        <f ca="1">IFERROR(__xludf.DUMMYFUNCTION("""COMPUTED_VALUE"""),"Wounded")</f>
        <v>Wounded</v>
      </c>
    </row>
    <row r="967" spans="1:7" ht="12.75">
      <c r="A967" s="8" t="str">
        <f ca="1">IFERROR(__xludf.DUMMYFUNCTION("""COMPUTED_VALUE"""),"20180305MOKIC")</f>
        <v>20180305MOKIC</v>
      </c>
      <c r="B967" s="8">
        <f ca="1">IFERROR(__xludf.DUMMYFUNCTION("""COMPUTED_VALUE"""),17)</f>
        <v>17</v>
      </c>
      <c r="C967" s="8" t="str">
        <f ca="1">IFERROR(__xludf.DUMMYFUNCTION("""COMPUTED_VALUE"""),"Male")</f>
        <v>Male</v>
      </c>
      <c r="D967" s="8" t="str">
        <f ca="1">IFERROR(__xludf.DUMMYFUNCTION("""COMPUTED_VALUE"""),"Student")</f>
        <v>Student</v>
      </c>
      <c r="E967" s="8" t="str">
        <f ca="1">IFERROR(__xludf.DUMMYFUNCTION("""COMPUTED_VALUE"""),"Suicide")</f>
        <v>Suicide</v>
      </c>
      <c r="F967" s="8" t="str">
        <f ca="1">IFERROR(__xludf.DUMMYFUNCTION("""COMPUTED_VALUE"""),"Yes")</f>
        <v>Yes</v>
      </c>
      <c r="G967" s="8" t="str">
        <f ca="1">IFERROR(__xludf.DUMMYFUNCTION("""COMPUTED_VALUE"""),"Suicide")</f>
        <v>Suicide</v>
      </c>
    </row>
    <row r="968" spans="1:7" ht="12.75">
      <c r="A968" s="8" t="str">
        <f ca="1">IFERROR(__xludf.DUMMYFUNCTION("""COMPUTED_VALUE"""),"20180228GADAD")</f>
        <v>20180228GADAD</v>
      </c>
      <c r="B968" s="8">
        <f ca="1">IFERROR(__xludf.DUMMYFUNCTION("""COMPUTED_VALUE"""),53)</f>
        <v>53</v>
      </c>
      <c r="C968" s="8" t="str">
        <f ca="1">IFERROR(__xludf.DUMMYFUNCTION("""COMPUTED_VALUE"""),"Male")</f>
        <v>Male</v>
      </c>
      <c r="D968" s="8" t="str">
        <f ca="1">IFERROR(__xludf.DUMMYFUNCTION("""COMPUTED_VALUE"""),"Teacher")</f>
        <v>Teacher</v>
      </c>
      <c r="E968" s="8" t="str">
        <f ca="1">IFERROR(__xludf.DUMMYFUNCTION("""COMPUTED_VALUE"""),"Surrendered")</f>
        <v>Surrendered</v>
      </c>
      <c r="F968" s="8" t="str">
        <f ca="1">IFERROR(__xludf.DUMMYFUNCTION("""COMPUTED_VALUE"""),"No")</f>
        <v>No</v>
      </c>
      <c r="G968" s="8" t="str">
        <f ca="1">IFERROR(__xludf.DUMMYFUNCTION("""COMPUTED_VALUE"""),"None")</f>
        <v>None</v>
      </c>
    </row>
    <row r="969" spans="1:7" ht="12.75">
      <c r="A969" s="8" t="str">
        <f ca="1">IFERROR(__xludf.DUMMYFUNCTION("""COMPUTED_VALUE"""),"20180226WAOAT")</f>
        <v>20180226WAOAT</v>
      </c>
      <c r="B969" s="8" t="str">
        <f ca="1">IFERROR(__xludf.DUMMYFUNCTION("""COMPUTED_VALUE"""),"Teen")</f>
        <v>Teen</v>
      </c>
      <c r="C969" s="8" t="str">
        <f ca="1">IFERROR(__xludf.DUMMYFUNCTION("""COMPUTED_VALUE"""),"Male")</f>
        <v>Male</v>
      </c>
      <c r="D969" s="8" t="str">
        <f ca="1">IFERROR(__xludf.DUMMYFUNCTION("""COMPUTED_VALUE"""),"Student")</f>
        <v>Student</v>
      </c>
      <c r="E969" s="8" t="str">
        <f ca="1">IFERROR(__xludf.DUMMYFUNCTION("""COMPUTED_VALUE"""),"Fled/Apprehended")</f>
        <v>Fled/Apprehended</v>
      </c>
      <c r="F969" s="8" t="str">
        <f ca="1">IFERROR(__xludf.DUMMYFUNCTION("""COMPUTED_VALUE"""),"No")</f>
        <v>No</v>
      </c>
      <c r="G969" s="8" t="str">
        <f ca="1">IFERROR(__xludf.DUMMYFUNCTION("""COMPUTED_VALUE"""),"None")</f>
        <v>None</v>
      </c>
    </row>
    <row r="970" spans="1:7" ht="12.75">
      <c r="A970" s="8" t="str">
        <f ca="1">IFERROR(__xludf.DUMMYFUNCTION("""COMPUTED_VALUE"""),"20180220OHJAM")</f>
        <v>20180220OHJAM</v>
      </c>
      <c r="B970" s="8">
        <f ca="1">IFERROR(__xludf.DUMMYFUNCTION("""COMPUTED_VALUE"""),13)</f>
        <v>13</v>
      </c>
      <c r="C970" s="8" t="str">
        <f ca="1">IFERROR(__xludf.DUMMYFUNCTION("""COMPUTED_VALUE"""),"Male")</f>
        <v>Male</v>
      </c>
      <c r="D970" s="8" t="str">
        <f ca="1">IFERROR(__xludf.DUMMYFUNCTION("""COMPUTED_VALUE"""),"Student")</f>
        <v>Student</v>
      </c>
      <c r="E970" s="8" t="str">
        <f ca="1">IFERROR(__xludf.DUMMYFUNCTION("""COMPUTED_VALUE"""),"Suicide")</f>
        <v>Suicide</v>
      </c>
      <c r="F970" s="8" t="str">
        <f ca="1">IFERROR(__xludf.DUMMYFUNCTION("""COMPUTED_VALUE"""),"Yes")</f>
        <v>Yes</v>
      </c>
      <c r="G970" s="8" t="str">
        <f ca="1">IFERROR(__xludf.DUMMYFUNCTION("""COMPUTED_VALUE"""),"Suicide")</f>
        <v>Suicide</v>
      </c>
    </row>
    <row r="971" spans="1:7" ht="12.75">
      <c r="A971" s="8" t="str">
        <f ca="1">IFERROR(__xludf.DUMMYFUNCTION("""COMPUTED_VALUE"""),"20180215FLNOC")</f>
        <v>20180215FLNOC</v>
      </c>
      <c r="B971" s="8" t="str">
        <f ca="1">IFERROR(__xludf.DUMMYFUNCTION("""COMPUTED_VALUE"""),"Adult")</f>
        <v>Adult</v>
      </c>
      <c r="C971" s="8"/>
      <c r="D971" s="8" t="str">
        <f ca="1">IFERROR(__xludf.DUMMYFUNCTION("""COMPUTED_VALUE"""),"Police Officer/SRO")</f>
        <v>Police Officer/SRO</v>
      </c>
      <c r="E971" s="8" t="str">
        <f ca="1">IFERROR(__xludf.DUMMYFUNCTION("""COMPUTED_VALUE"""),"Law Enforcement")</f>
        <v>Law Enforcement</v>
      </c>
      <c r="F971" s="8" t="str">
        <f ca="1">IFERROR(__xludf.DUMMYFUNCTION("""COMPUTED_VALUE"""),"No")</f>
        <v>No</v>
      </c>
      <c r="G971" s="8" t="str">
        <f ca="1">IFERROR(__xludf.DUMMYFUNCTION("""COMPUTED_VALUE"""),"Wounded")</f>
        <v>Wounded</v>
      </c>
    </row>
    <row r="972" spans="1:7" ht="12.75">
      <c r="A972" s="8" t="str">
        <f ca="1">IFERROR(__xludf.DUMMYFUNCTION("""COMPUTED_VALUE"""),"20180214FLMAP")</f>
        <v>20180214FLMAP</v>
      </c>
      <c r="B972" s="8">
        <f ca="1">IFERROR(__xludf.DUMMYFUNCTION("""COMPUTED_VALUE"""),19)</f>
        <v>19</v>
      </c>
      <c r="C972" s="8" t="str">
        <f ca="1">IFERROR(__xludf.DUMMYFUNCTION("""COMPUTED_VALUE"""),"Male")</f>
        <v>Male</v>
      </c>
      <c r="D972" s="8" t="str">
        <f ca="1">IFERROR(__xludf.DUMMYFUNCTION("""COMPUTED_VALUE"""),"Former Student")</f>
        <v>Former Student</v>
      </c>
      <c r="E972" s="8" t="str">
        <f ca="1">IFERROR(__xludf.DUMMYFUNCTION("""COMPUTED_VALUE"""),"Fled/Apprehended")</f>
        <v>Fled/Apprehended</v>
      </c>
      <c r="F972" s="8" t="str">
        <f ca="1">IFERROR(__xludf.DUMMYFUNCTION("""COMPUTED_VALUE"""),"No")</f>
        <v>No</v>
      </c>
      <c r="G972" s="8" t="str">
        <f ca="1">IFERROR(__xludf.DUMMYFUNCTION("""COMPUTED_VALUE"""),"None")</f>
        <v>None</v>
      </c>
    </row>
    <row r="973" spans="1:7" ht="12.75">
      <c r="A973" s="8" t="str">
        <f ca="1">IFERROR(__xludf.DUMMYFUNCTION("""COMPUTED_VALUE"""),"20180209TNPEN")</f>
        <v>20180209TNPEN</v>
      </c>
      <c r="B973" s="8">
        <f ca="1">IFERROR(__xludf.DUMMYFUNCTION("""COMPUTED_VALUE"""),14)</f>
        <v>14</v>
      </c>
      <c r="C973" s="8" t="str">
        <f ca="1">IFERROR(__xludf.DUMMYFUNCTION("""COMPUTED_VALUE"""),"Male")</f>
        <v>Male</v>
      </c>
      <c r="D973" s="8" t="str">
        <f ca="1">IFERROR(__xludf.DUMMYFUNCTION("""COMPUTED_VALUE"""),"Student")</f>
        <v>Student</v>
      </c>
      <c r="E973" s="8" t="str">
        <f ca="1">IFERROR(__xludf.DUMMYFUNCTION("""COMPUTED_VALUE"""),"Fled/Apprehended")</f>
        <v>Fled/Apprehended</v>
      </c>
      <c r="F973" s="8" t="str">
        <f ca="1">IFERROR(__xludf.DUMMYFUNCTION("""COMPUTED_VALUE"""),"No")</f>
        <v>No</v>
      </c>
      <c r="G973" s="8" t="str">
        <f ca="1">IFERROR(__xludf.DUMMYFUNCTION("""COMPUTED_VALUE"""),"None")</f>
        <v>None</v>
      </c>
    </row>
    <row r="974" spans="1:7" ht="12.75">
      <c r="A974" s="8" t="str">
        <f ca="1">IFERROR(__xludf.DUMMYFUNCTION("""COMPUTED_VALUE"""),"20180208NYTHN")</f>
        <v>20180208NYTHN</v>
      </c>
      <c r="B974" s="8">
        <f ca="1">IFERROR(__xludf.DUMMYFUNCTION("""COMPUTED_VALUE"""),17)</f>
        <v>17</v>
      </c>
      <c r="C974" s="8" t="str">
        <f ca="1">IFERROR(__xludf.DUMMYFUNCTION("""COMPUTED_VALUE"""),"Male")</f>
        <v>Male</v>
      </c>
      <c r="D974" s="8" t="str">
        <f ca="1">IFERROR(__xludf.DUMMYFUNCTION("""COMPUTED_VALUE"""),"Student")</f>
        <v>Student</v>
      </c>
      <c r="E974" s="8" t="str">
        <f ca="1">IFERROR(__xludf.DUMMYFUNCTION("""COMPUTED_VALUE"""),"Apprehended/Killed by LE")</f>
        <v>Apprehended/Killed by LE</v>
      </c>
      <c r="F974" s="8" t="str">
        <f ca="1">IFERROR(__xludf.DUMMYFUNCTION("""COMPUTED_VALUE"""),"No")</f>
        <v>No</v>
      </c>
      <c r="G974" s="8" t="str">
        <f ca="1">IFERROR(__xludf.DUMMYFUNCTION("""COMPUTED_VALUE"""),"None")</f>
        <v>None</v>
      </c>
    </row>
    <row r="975" spans="1:7" ht="12.75">
      <c r="A975" s="8" t="str">
        <f ca="1">IFERROR(__xludf.DUMMYFUNCTION("""COMPUTED_VALUE"""),"20180205MNHAM")</f>
        <v>20180205MNHAM</v>
      </c>
      <c r="B975" s="8" t="str">
        <f ca="1">IFERROR(__xludf.DUMMYFUNCTION("""COMPUTED_VALUE"""),"Child")</f>
        <v>Child</v>
      </c>
      <c r="C975" s="8"/>
      <c r="D975" s="8" t="str">
        <f ca="1">IFERROR(__xludf.DUMMYFUNCTION("""COMPUTED_VALUE"""),"Student")</f>
        <v>Student</v>
      </c>
      <c r="E975" s="8" t="str">
        <f ca="1">IFERROR(__xludf.DUMMYFUNCTION("""COMPUTED_VALUE"""),"Unknown")</f>
        <v>Unknown</v>
      </c>
      <c r="F975" s="8" t="str">
        <f ca="1">IFERROR(__xludf.DUMMYFUNCTION("""COMPUTED_VALUE"""),"No")</f>
        <v>No</v>
      </c>
      <c r="G975" s="8" t="str">
        <f ca="1">IFERROR(__xludf.DUMMYFUNCTION("""COMPUTED_VALUE"""),"None")</f>
        <v>None</v>
      </c>
    </row>
    <row r="976" spans="1:7" ht="12.75">
      <c r="A976" s="8" t="str">
        <f ca="1">IFERROR(__xludf.DUMMYFUNCTION("""COMPUTED_VALUE"""),"20180205MDOXO")</f>
        <v>20180205MDOXO</v>
      </c>
      <c r="B976" s="8">
        <f ca="1">IFERROR(__xludf.DUMMYFUNCTION("""COMPUTED_VALUE"""),18)</f>
        <v>18</v>
      </c>
      <c r="C976" s="8" t="str">
        <f ca="1">IFERROR(__xludf.DUMMYFUNCTION("""COMPUTED_VALUE"""),"Multiple")</f>
        <v>Multiple</v>
      </c>
      <c r="D976" s="8" t="str">
        <f ca="1">IFERROR(__xludf.DUMMYFUNCTION("""COMPUTED_VALUE"""),"Intimate Relationship")</f>
        <v>Intimate Relationship</v>
      </c>
      <c r="E976" s="8" t="str">
        <f ca="1">IFERROR(__xludf.DUMMYFUNCTION("""COMPUTED_VALUE"""),"Fled/Apprehended")</f>
        <v>Fled/Apprehended</v>
      </c>
      <c r="F976" s="8" t="str">
        <f ca="1">IFERROR(__xludf.DUMMYFUNCTION("""COMPUTED_VALUE"""),"No")</f>
        <v>No</v>
      </c>
      <c r="G976" s="8" t="str">
        <f ca="1">IFERROR(__xludf.DUMMYFUNCTION("""COMPUTED_VALUE"""),"None")</f>
        <v>None</v>
      </c>
    </row>
    <row r="977" spans="1:7" ht="12.75">
      <c r="A977" s="8" t="str">
        <f ca="1">IFERROR(__xludf.DUMMYFUNCTION("""COMPUTED_VALUE"""),"20180205MDOXO")</f>
        <v>20180205MDOXO</v>
      </c>
      <c r="B977" s="8">
        <f ca="1">IFERROR(__xludf.DUMMYFUNCTION("""COMPUTED_VALUE"""),17)</f>
        <v>17</v>
      </c>
      <c r="C977" s="8" t="str">
        <f ca="1">IFERROR(__xludf.DUMMYFUNCTION("""COMPUTED_VALUE"""),"Multiple")</f>
        <v>Multiple</v>
      </c>
      <c r="D977" s="8" t="str">
        <f ca="1">IFERROR(__xludf.DUMMYFUNCTION("""COMPUTED_VALUE"""),"Intimate Relationship")</f>
        <v>Intimate Relationship</v>
      </c>
      <c r="E977" s="8" t="str">
        <f ca="1">IFERROR(__xludf.DUMMYFUNCTION("""COMPUTED_VALUE"""),"Fled/Apprehended")</f>
        <v>Fled/Apprehended</v>
      </c>
      <c r="F977" s="8" t="str">
        <f ca="1">IFERROR(__xludf.DUMMYFUNCTION("""COMPUTED_VALUE"""),"No")</f>
        <v>No</v>
      </c>
      <c r="G977" s="8" t="str">
        <f ca="1">IFERROR(__xludf.DUMMYFUNCTION("""COMPUTED_VALUE"""),"None")</f>
        <v>None</v>
      </c>
    </row>
    <row r="978" spans="1:7" ht="12.75">
      <c r="A978" s="8" t="str">
        <f ca="1">IFERROR(__xludf.DUMMYFUNCTION("""COMPUTED_VALUE"""),"20180201CASAL")</f>
        <v>20180201CASAL</v>
      </c>
      <c r="B978" s="8">
        <f ca="1">IFERROR(__xludf.DUMMYFUNCTION("""COMPUTED_VALUE"""),12)</f>
        <v>12</v>
      </c>
      <c r="C978" s="8" t="str">
        <f ca="1">IFERROR(__xludf.DUMMYFUNCTION("""COMPUTED_VALUE"""),"Female")</f>
        <v>Female</v>
      </c>
      <c r="D978" s="8" t="str">
        <f ca="1">IFERROR(__xludf.DUMMYFUNCTION("""COMPUTED_VALUE"""),"Student")</f>
        <v>Student</v>
      </c>
      <c r="E978" s="8" t="str">
        <f ca="1">IFERROR(__xludf.DUMMYFUNCTION("""COMPUTED_VALUE"""),"Unknown")</f>
        <v>Unknown</v>
      </c>
      <c r="F978" s="8" t="str">
        <f ca="1">IFERROR(__xludf.DUMMYFUNCTION("""COMPUTED_VALUE"""),"No")</f>
        <v>No</v>
      </c>
      <c r="G978" s="8" t="str">
        <f ca="1">IFERROR(__xludf.DUMMYFUNCTION("""COMPUTED_VALUE"""),"None")</f>
        <v>None</v>
      </c>
    </row>
    <row r="979" spans="1:7" ht="12.75">
      <c r="A979" s="8" t="str">
        <f ca="1">IFERROR(__xludf.DUMMYFUNCTION("""COMPUTED_VALUE"""),"20180131PALIP")</f>
        <v>20180131PALIP</v>
      </c>
      <c r="B979" s="8"/>
      <c r="C979" s="8"/>
      <c r="D979" s="8" t="str">
        <f ca="1">IFERROR(__xludf.DUMMYFUNCTION("""COMPUTED_VALUE"""),"Unknown")</f>
        <v>Unknown</v>
      </c>
      <c r="E979" s="8" t="str">
        <f ca="1">IFERROR(__xludf.DUMMYFUNCTION("""COMPUTED_VALUE"""),"Fled/Escaped")</f>
        <v>Fled/Escaped</v>
      </c>
      <c r="F979" s="8" t="str">
        <f ca="1">IFERROR(__xludf.DUMMYFUNCTION("""COMPUTED_VALUE"""),"No")</f>
        <v>No</v>
      </c>
      <c r="G979" s="8" t="str">
        <f ca="1">IFERROR(__xludf.DUMMYFUNCTION("""COMPUTED_VALUE"""),"None")</f>
        <v>None</v>
      </c>
    </row>
    <row r="980" spans="1:7" ht="12.75">
      <c r="A980" s="8" t="str">
        <f ca="1">IFERROR(__xludf.DUMMYFUNCTION("""COMPUTED_VALUE"""),"20180131PALIP")</f>
        <v>20180131PALIP</v>
      </c>
      <c r="B980" s="8"/>
      <c r="C980" s="8"/>
      <c r="D980" s="8" t="str">
        <f ca="1">IFERROR(__xludf.DUMMYFUNCTION("""COMPUTED_VALUE"""),"Unknown")</f>
        <v>Unknown</v>
      </c>
      <c r="E980" s="8" t="str">
        <f ca="1">IFERROR(__xludf.DUMMYFUNCTION("""COMPUTED_VALUE"""),"Fled/Escaped")</f>
        <v>Fled/Escaped</v>
      </c>
      <c r="F980" s="8" t="str">
        <f ca="1">IFERROR(__xludf.DUMMYFUNCTION("""COMPUTED_VALUE"""),"No")</f>
        <v>No</v>
      </c>
      <c r="G980" s="8" t="str">
        <f ca="1">IFERROR(__xludf.DUMMYFUNCTION("""COMPUTED_VALUE"""),"None")</f>
        <v>None</v>
      </c>
    </row>
    <row r="981" spans="1:7" ht="12.75">
      <c r="A981" s="8" t="str">
        <f ca="1">IFERROR(__xludf.DUMMYFUNCTION("""COMPUTED_VALUE"""),"20180131PALIP")</f>
        <v>20180131PALIP</v>
      </c>
      <c r="B981" s="8"/>
      <c r="C981" s="8"/>
      <c r="D981" s="8" t="str">
        <f ca="1">IFERROR(__xludf.DUMMYFUNCTION("""COMPUTED_VALUE"""),"Unknown")</f>
        <v>Unknown</v>
      </c>
      <c r="E981" s="8" t="str">
        <f ca="1">IFERROR(__xludf.DUMMYFUNCTION("""COMPUTED_VALUE"""),"Fled/Escaped")</f>
        <v>Fled/Escaped</v>
      </c>
      <c r="F981" s="8" t="str">
        <f ca="1">IFERROR(__xludf.DUMMYFUNCTION("""COMPUTED_VALUE"""),"No")</f>
        <v>No</v>
      </c>
      <c r="G981" s="8" t="str">
        <f ca="1">IFERROR(__xludf.DUMMYFUNCTION("""COMPUTED_VALUE"""),"None")</f>
        <v>None</v>
      </c>
    </row>
    <row r="982" spans="1:7" ht="12.75">
      <c r="A982" s="8" t="str">
        <f ca="1">IFERROR(__xludf.DUMMYFUNCTION("""COMPUTED_VALUE"""),"20180126MIDED")</f>
        <v>20180126MIDED</v>
      </c>
      <c r="B982" s="8" t="str">
        <f ca="1">IFERROR(__xludf.DUMMYFUNCTION("""COMPUTED_VALUE"""),"Teen")</f>
        <v>Teen</v>
      </c>
      <c r="C982" s="8" t="str">
        <f ca="1">IFERROR(__xludf.DUMMYFUNCTION("""COMPUTED_VALUE"""),"Male")</f>
        <v>Male</v>
      </c>
      <c r="D982" s="8" t="str">
        <f ca="1">IFERROR(__xludf.DUMMYFUNCTION("""COMPUTED_VALUE"""),"Rival School Student")</f>
        <v>Rival School Student</v>
      </c>
      <c r="E982" s="8" t="str">
        <f ca="1">IFERROR(__xludf.DUMMYFUNCTION("""COMPUTED_VALUE"""),"Fled/Escaped")</f>
        <v>Fled/Escaped</v>
      </c>
      <c r="F982" s="8" t="str">
        <f ca="1">IFERROR(__xludf.DUMMYFUNCTION("""COMPUTED_VALUE"""),"No")</f>
        <v>No</v>
      </c>
      <c r="G982" s="8" t="str">
        <f ca="1">IFERROR(__xludf.DUMMYFUNCTION("""COMPUTED_VALUE"""),"None")</f>
        <v>None</v>
      </c>
    </row>
    <row r="983" spans="1:7" ht="12.75">
      <c r="A983" s="8" t="str">
        <f ca="1">IFERROR(__xludf.DUMMYFUNCTION("""COMPUTED_VALUE"""),"20180125ALMUM")</f>
        <v>20180125ALMUM</v>
      </c>
      <c r="B983" s="8">
        <f ca="1">IFERROR(__xludf.DUMMYFUNCTION("""COMPUTED_VALUE"""),16)</f>
        <v>16</v>
      </c>
      <c r="C983" s="8" t="str">
        <f ca="1">IFERROR(__xludf.DUMMYFUNCTION("""COMPUTED_VALUE"""),"Male")</f>
        <v>Male</v>
      </c>
      <c r="D983" s="8" t="str">
        <f ca="1">IFERROR(__xludf.DUMMYFUNCTION("""COMPUTED_VALUE"""),"Student")</f>
        <v>Student</v>
      </c>
      <c r="E983" s="8" t="str">
        <f ca="1">IFERROR(__xludf.DUMMYFUNCTION("""COMPUTED_VALUE"""),"Apprehended/Killed by LE")</f>
        <v>Apprehended/Killed by LE</v>
      </c>
      <c r="F983" s="8" t="str">
        <f ca="1">IFERROR(__xludf.DUMMYFUNCTION("""COMPUTED_VALUE"""),"No")</f>
        <v>No</v>
      </c>
      <c r="G983" s="8" t="str">
        <f ca="1">IFERROR(__xludf.DUMMYFUNCTION("""COMPUTED_VALUE"""),"None")</f>
        <v>None</v>
      </c>
    </row>
    <row r="984" spans="1:7" ht="12.75">
      <c r="A984" s="8" t="str">
        <f ca="1">IFERROR(__xludf.DUMMYFUNCTION("""COMPUTED_VALUE"""),"20180123KYMAB")</f>
        <v>20180123KYMAB</v>
      </c>
      <c r="B984" s="8">
        <f ca="1">IFERROR(__xludf.DUMMYFUNCTION("""COMPUTED_VALUE"""),15)</f>
        <v>15</v>
      </c>
      <c r="C984" s="8" t="str">
        <f ca="1">IFERROR(__xludf.DUMMYFUNCTION("""COMPUTED_VALUE"""),"Male")</f>
        <v>Male</v>
      </c>
      <c r="D984" s="8" t="str">
        <f ca="1">IFERROR(__xludf.DUMMYFUNCTION("""COMPUTED_VALUE"""),"Student")</f>
        <v>Student</v>
      </c>
      <c r="E984" s="8" t="str">
        <f ca="1">IFERROR(__xludf.DUMMYFUNCTION("""COMPUTED_VALUE"""),"Surrendered")</f>
        <v>Surrendered</v>
      </c>
      <c r="F984" s="8" t="str">
        <f ca="1">IFERROR(__xludf.DUMMYFUNCTION("""COMPUTED_VALUE"""),"No")</f>
        <v>No</v>
      </c>
      <c r="G984" s="8" t="str">
        <f ca="1">IFERROR(__xludf.DUMMYFUNCTION("""COMPUTED_VALUE"""),"None")</f>
        <v>None</v>
      </c>
    </row>
    <row r="985" spans="1:7" ht="12.75">
      <c r="A985" s="8" t="str">
        <f ca="1">IFERROR(__xludf.DUMMYFUNCTION("""COMPUTED_VALUE"""),"20180122TXITI")</f>
        <v>20180122TXITI</v>
      </c>
      <c r="B985" s="8">
        <f ca="1">IFERROR(__xludf.DUMMYFUNCTION("""COMPUTED_VALUE"""),16)</f>
        <v>16</v>
      </c>
      <c r="C985" s="8" t="str">
        <f ca="1">IFERROR(__xludf.DUMMYFUNCTION("""COMPUTED_VALUE"""),"Male")</f>
        <v>Male</v>
      </c>
      <c r="D985" s="8" t="str">
        <f ca="1">IFERROR(__xludf.DUMMYFUNCTION("""COMPUTED_VALUE"""),"Student")</f>
        <v>Student</v>
      </c>
      <c r="E985" s="8" t="str">
        <f ca="1">IFERROR(__xludf.DUMMYFUNCTION("""COMPUTED_VALUE"""),"Fled/Apprehended")</f>
        <v>Fled/Apprehended</v>
      </c>
      <c r="F985" s="8" t="str">
        <f ca="1">IFERROR(__xludf.DUMMYFUNCTION("""COMPUTED_VALUE"""),"No")</f>
        <v>No</v>
      </c>
      <c r="G985" s="8" t="str">
        <f ca="1">IFERROR(__xludf.DUMMYFUNCTION("""COMPUTED_VALUE"""),"None")</f>
        <v>None</v>
      </c>
    </row>
    <row r="986" spans="1:7" ht="12.75">
      <c r="A986" s="8" t="str">
        <f ca="1">IFERROR(__xludf.DUMMYFUNCTION("""COMPUTED_VALUE"""),"20180122LANEN")</f>
        <v>20180122LANEN</v>
      </c>
      <c r="B986" s="8"/>
      <c r="C986" s="8" t="str">
        <f ca="1">IFERROR(__xludf.DUMMYFUNCTION("""COMPUTED_VALUE"""),"Male")</f>
        <v>Male</v>
      </c>
      <c r="D986" s="8" t="str">
        <f ca="1">IFERROR(__xludf.DUMMYFUNCTION("""COMPUTED_VALUE"""),"Unknown")</f>
        <v>Unknown</v>
      </c>
      <c r="E986" s="8" t="str">
        <f ca="1">IFERROR(__xludf.DUMMYFUNCTION("""COMPUTED_VALUE"""),"Fled/Escaped")</f>
        <v>Fled/Escaped</v>
      </c>
      <c r="F986" s="8" t="str">
        <f ca="1">IFERROR(__xludf.DUMMYFUNCTION("""COMPUTED_VALUE"""),"No")</f>
        <v>No</v>
      </c>
      <c r="G986" s="8" t="str">
        <f ca="1">IFERROR(__xludf.DUMMYFUNCTION("""COMPUTED_VALUE"""),"None")</f>
        <v>None</v>
      </c>
    </row>
    <row r="987" spans="1:7" ht="12.75">
      <c r="A987" s="8" t="str">
        <f ca="1">IFERROR(__xludf.DUMMYFUNCTION("""COMPUTED_VALUE"""),"20180116VTMOM")</f>
        <v>20180116VTMOM</v>
      </c>
      <c r="B987" s="8">
        <f ca="1">IFERROR(__xludf.DUMMYFUNCTION("""COMPUTED_VALUE"""),32)</f>
        <v>32</v>
      </c>
      <c r="C987" s="8" t="str">
        <f ca="1">IFERROR(__xludf.DUMMYFUNCTION("""COMPUTED_VALUE"""),"Male")</f>
        <v>Male</v>
      </c>
      <c r="D987" s="8" t="str">
        <f ca="1">IFERROR(__xludf.DUMMYFUNCTION("""COMPUTED_VALUE"""),"No Relation")</f>
        <v>No Relation</v>
      </c>
      <c r="E987" s="8" t="str">
        <f ca="1">IFERROR(__xludf.DUMMYFUNCTION("""COMPUTED_VALUE"""),"Apprehended/Killed by LE")</f>
        <v>Apprehended/Killed by LE</v>
      </c>
      <c r="F987" s="8" t="str">
        <f ca="1">IFERROR(__xludf.DUMMYFUNCTION("""COMPUTED_VALUE"""),"Yes")</f>
        <v>Yes</v>
      </c>
      <c r="G987" s="8" t="str">
        <f ca="1">IFERROR(__xludf.DUMMYFUNCTION("""COMPUTED_VALUE"""),"Fatal")</f>
        <v>Fatal</v>
      </c>
    </row>
    <row r="988" spans="1:7" ht="12.75">
      <c r="A988" s="8" t="str">
        <f ca="1">IFERROR(__xludf.DUMMYFUNCTION("""COMPUTED_VALUE"""),"20180109AZCOS")</f>
        <v>20180109AZCOS</v>
      </c>
      <c r="B988" s="8">
        <f ca="1">IFERROR(__xludf.DUMMYFUNCTION("""COMPUTED_VALUE"""),14)</f>
        <v>14</v>
      </c>
      <c r="C988" s="8" t="str">
        <f ca="1">IFERROR(__xludf.DUMMYFUNCTION("""COMPUTED_VALUE"""),"Male")</f>
        <v>Male</v>
      </c>
      <c r="D988" s="8" t="str">
        <f ca="1">IFERROR(__xludf.DUMMYFUNCTION("""COMPUTED_VALUE"""),"Student")</f>
        <v>Student</v>
      </c>
      <c r="E988" s="8" t="str">
        <f ca="1">IFERROR(__xludf.DUMMYFUNCTION("""COMPUTED_VALUE"""),"Suicide")</f>
        <v>Suicide</v>
      </c>
      <c r="F988" s="8" t="str">
        <f ca="1">IFERROR(__xludf.DUMMYFUNCTION("""COMPUTED_VALUE"""),"Yes")</f>
        <v>Yes</v>
      </c>
      <c r="G988" s="8" t="str">
        <f ca="1">IFERROR(__xludf.DUMMYFUNCTION("""COMPUTED_VALUE"""),"Suicide")</f>
        <v>Suicide</v>
      </c>
    </row>
    <row r="989" spans="1:7" ht="12.75">
      <c r="A989" s="8" t="str">
        <f ca="1">IFERROR(__xludf.DUMMYFUNCTION("""COMPUTED_VALUE"""),"20180105IAFOF")</f>
        <v>20180105IAFOF</v>
      </c>
      <c r="B989" s="8">
        <f ca="1">IFERROR(__xludf.DUMMYFUNCTION("""COMPUTED_VALUE"""),33)</f>
        <v>33</v>
      </c>
      <c r="C989" s="8" t="str">
        <f ca="1">IFERROR(__xludf.DUMMYFUNCTION("""COMPUTED_VALUE"""),"Male")</f>
        <v>Male</v>
      </c>
      <c r="D989" s="8" t="str">
        <f ca="1">IFERROR(__xludf.DUMMYFUNCTION("""COMPUTED_VALUE"""),"No Relation")</f>
        <v>No Relation</v>
      </c>
      <c r="E989" s="8" t="str">
        <f ca="1">IFERROR(__xludf.DUMMYFUNCTION("""COMPUTED_VALUE"""),"Fled/Apprehended")</f>
        <v>Fled/Apprehended</v>
      </c>
      <c r="F989" s="8" t="str">
        <f ca="1">IFERROR(__xludf.DUMMYFUNCTION("""COMPUTED_VALUE"""),"No")</f>
        <v>No</v>
      </c>
      <c r="G989" s="8" t="str">
        <f ca="1">IFERROR(__xludf.DUMMYFUNCTION("""COMPUTED_VALUE"""),"None")</f>
        <v>None</v>
      </c>
    </row>
    <row r="990" spans="1:7" ht="12.75">
      <c r="A990" s="8" t="str">
        <f ca="1">IFERROR(__xludf.DUMMYFUNCTION("""COMPUTED_VALUE"""),"20180104WANES")</f>
        <v>20180104WANES</v>
      </c>
      <c r="B990" s="8"/>
      <c r="C990" s="8"/>
      <c r="D990" s="8" t="str">
        <f ca="1">IFERROR(__xludf.DUMMYFUNCTION("""COMPUTED_VALUE"""),"Unknown")</f>
        <v>Unknown</v>
      </c>
      <c r="E990" s="8" t="str">
        <f ca="1">IFERROR(__xludf.DUMMYFUNCTION("""COMPUTED_VALUE"""),"Fled/Escaped")</f>
        <v>Fled/Escaped</v>
      </c>
      <c r="F990" s="8" t="str">
        <f ca="1">IFERROR(__xludf.DUMMYFUNCTION("""COMPUTED_VALUE"""),"No")</f>
        <v>No</v>
      </c>
      <c r="G990" s="8" t="str">
        <f ca="1">IFERROR(__xludf.DUMMYFUNCTION("""COMPUTED_VALUE"""),"None")</f>
        <v>None</v>
      </c>
    </row>
    <row r="991" spans="1:7" ht="12.75">
      <c r="A991" s="8" t="str">
        <f ca="1">IFERROR(__xludf.DUMMYFUNCTION("""COMPUTED_VALUE"""),"20171231WAPIM")</f>
        <v>20171231WAPIM</v>
      </c>
      <c r="B991" s="8">
        <f ca="1">IFERROR(__xludf.DUMMYFUNCTION("""COMPUTED_VALUE"""),19)</f>
        <v>19</v>
      </c>
      <c r="C991" s="8" t="str">
        <f ca="1">IFERROR(__xludf.DUMMYFUNCTION("""COMPUTED_VALUE"""),"Male")</f>
        <v>Male</v>
      </c>
      <c r="D991" s="8" t="str">
        <f ca="1">IFERROR(__xludf.DUMMYFUNCTION("""COMPUTED_VALUE"""),"No Relation")</f>
        <v>No Relation</v>
      </c>
      <c r="E991" s="8" t="str">
        <f ca="1">IFERROR(__xludf.DUMMYFUNCTION("""COMPUTED_VALUE"""),"Fled/Apprehended")</f>
        <v>Fled/Apprehended</v>
      </c>
      <c r="F991" s="8" t="str">
        <f ca="1">IFERROR(__xludf.DUMMYFUNCTION("""COMPUTED_VALUE"""),"No")</f>
        <v>No</v>
      </c>
      <c r="G991" s="8" t="str">
        <f ca="1">IFERROR(__xludf.DUMMYFUNCTION("""COMPUTED_VALUE"""),"None")</f>
        <v>None</v>
      </c>
    </row>
    <row r="992" spans="1:7" ht="12.75">
      <c r="A992" s="8" t="str">
        <f ca="1">IFERROR(__xludf.DUMMYFUNCTION("""COMPUTED_VALUE"""),"20171231WAPIM")</f>
        <v>20171231WAPIM</v>
      </c>
      <c r="B992" s="8">
        <f ca="1">IFERROR(__xludf.DUMMYFUNCTION("""COMPUTED_VALUE"""),18)</f>
        <v>18</v>
      </c>
      <c r="C992" s="8" t="str">
        <f ca="1">IFERROR(__xludf.DUMMYFUNCTION("""COMPUTED_VALUE"""),"Male")</f>
        <v>Male</v>
      </c>
      <c r="D992" s="8" t="str">
        <f ca="1">IFERROR(__xludf.DUMMYFUNCTION("""COMPUTED_VALUE"""),"No Relation")</f>
        <v>No Relation</v>
      </c>
      <c r="E992" s="8" t="str">
        <f ca="1">IFERROR(__xludf.DUMMYFUNCTION("""COMPUTED_VALUE"""),"Fled/Apprehended")</f>
        <v>Fled/Apprehended</v>
      </c>
      <c r="F992" s="8" t="str">
        <f ca="1">IFERROR(__xludf.DUMMYFUNCTION("""COMPUTED_VALUE"""),"No")</f>
        <v>No</v>
      </c>
      <c r="G992" s="8" t="str">
        <f ca="1">IFERROR(__xludf.DUMMYFUNCTION("""COMPUTED_VALUE"""),"None")</f>
        <v>None</v>
      </c>
    </row>
    <row r="993" spans="1:7" ht="12.75">
      <c r="A993" s="8" t="str">
        <f ca="1">IFERROR(__xludf.DUMMYFUNCTION("""COMPUTED_VALUE"""),"20171231LAEDA")</f>
        <v>20171231LAEDA</v>
      </c>
      <c r="B993" s="8" t="str">
        <f ca="1">IFERROR(__xludf.DUMMYFUNCTION("""COMPUTED_VALUE"""),"Adult")</f>
        <v>Adult</v>
      </c>
      <c r="C993" s="8" t="str">
        <f ca="1">IFERROR(__xludf.DUMMYFUNCTION("""COMPUTED_VALUE"""),"Male")</f>
        <v>Male</v>
      </c>
      <c r="D993" s="8" t="str">
        <f ca="1">IFERROR(__xludf.DUMMYFUNCTION("""COMPUTED_VALUE"""),"No Relation")</f>
        <v>No Relation</v>
      </c>
      <c r="E993" s="8" t="str">
        <f ca="1">IFERROR(__xludf.DUMMYFUNCTION("""COMPUTED_VALUE"""),"Fled/Escaped")</f>
        <v>Fled/Escaped</v>
      </c>
      <c r="F993" s="8" t="str">
        <f ca="1">IFERROR(__xludf.DUMMYFUNCTION("""COMPUTED_VALUE"""),"No")</f>
        <v>No</v>
      </c>
      <c r="G993" s="8" t="str">
        <f ca="1">IFERROR(__xludf.DUMMYFUNCTION("""COMPUTED_VALUE"""),"None")</f>
        <v>None</v>
      </c>
    </row>
    <row r="994" spans="1:7" ht="12.75">
      <c r="A994" s="8" t="str">
        <f ca="1">IFERROR(__xludf.DUMMYFUNCTION("""COMPUTED_VALUE"""),"20171227CALIL")</f>
        <v>20171227CALIL</v>
      </c>
      <c r="B994" s="8" t="str">
        <f ca="1">IFERROR(__xludf.DUMMYFUNCTION("""COMPUTED_VALUE"""),"Adult")</f>
        <v>Adult</v>
      </c>
      <c r="C994" s="8" t="str">
        <f ca="1">IFERROR(__xludf.DUMMYFUNCTION("""COMPUTED_VALUE"""),"Male")</f>
        <v>Male</v>
      </c>
      <c r="D994" s="8" t="str">
        <f ca="1">IFERROR(__xludf.DUMMYFUNCTION("""COMPUTED_VALUE"""),"Unknown")</f>
        <v>Unknown</v>
      </c>
      <c r="E994" s="8" t="str">
        <f ca="1">IFERROR(__xludf.DUMMYFUNCTION("""COMPUTED_VALUE"""),"Fled/Escaped")</f>
        <v>Fled/Escaped</v>
      </c>
      <c r="F994" s="8" t="str">
        <f ca="1">IFERROR(__xludf.DUMMYFUNCTION("""COMPUTED_VALUE"""),"No")</f>
        <v>No</v>
      </c>
      <c r="G994" s="8" t="str">
        <f ca="1">IFERROR(__xludf.DUMMYFUNCTION("""COMPUTED_VALUE"""),"None")</f>
        <v>None</v>
      </c>
    </row>
    <row r="995" spans="1:7" ht="12.75">
      <c r="A995" s="8" t="str">
        <f ca="1">IFERROR(__xludf.DUMMYFUNCTION("""COMPUTED_VALUE"""),"20171219MIBEB")</f>
        <v>20171219MIBEB</v>
      </c>
      <c r="B995" s="8"/>
      <c r="C995" s="8"/>
      <c r="D995" s="8" t="str">
        <f ca="1">IFERROR(__xludf.DUMMYFUNCTION("""COMPUTED_VALUE"""),"Unknown")</f>
        <v>Unknown</v>
      </c>
      <c r="E995" s="8" t="str">
        <f ca="1">IFERROR(__xludf.DUMMYFUNCTION("""COMPUTED_VALUE"""),"Fled/Escaped")</f>
        <v>Fled/Escaped</v>
      </c>
      <c r="F995" s="8" t="str">
        <f ca="1">IFERROR(__xludf.DUMMYFUNCTION("""COMPUTED_VALUE"""),"No")</f>
        <v>No</v>
      </c>
      <c r="G995" s="8" t="str">
        <f ca="1">IFERROR(__xludf.DUMMYFUNCTION("""COMPUTED_VALUE"""),"None")</f>
        <v>None</v>
      </c>
    </row>
    <row r="996" spans="1:7" ht="12.75">
      <c r="A996" s="8" t="str">
        <f ca="1">IFERROR(__xludf.DUMMYFUNCTION("""COMPUTED_VALUE"""),"20171214TXELD")</f>
        <v>20171214TXELD</v>
      </c>
      <c r="B996" s="8" t="str">
        <f ca="1">IFERROR(__xludf.DUMMYFUNCTION("""COMPUTED_VALUE"""),"Child")</f>
        <v>Child</v>
      </c>
      <c r="C996" s="8"/>
      <c r="D996" s="8" t="str">
        <f ca="1">IFERROR(__xludf.DUMMYFUNCTION("""COMPUTED_VALUE"""),"Student")</f>
        <v>Student</v>
      </c>
      <c r="E996" s="8" t="str">
        <f ca="1">IFERROR(__xludf.DUMMYFUNCTION("""COMPUTED_VALUE"""),"Unknown")</f>
        <v>Unknown</v>
      </c>
      <c r="F996" s="8" t="str">
        <f ca="1">IFERROR(__xludf.DUMMYFUNCTION("""COMPUTED_VALUE"""),"No")</f>
        <v>No</v>
      </c>
      <c r="G996" s="8" t="str">
        <f ca="1">IFERROR(__xludf.DUMMYFUNCTION("""COMPUTED_VALUE"""),"None")</f>
        <v>None</v>
      </c>
    </row>
    <row r="997" spans="1:7" ht="12.75">
      <c r="A997" s="8" t="str">
        <f ca="1">IFERROR(__xludf.DUMMYFUNCTION("""COMPUTED_VALUE"""),"20171212TXSAP")</f>
        <v>20171212TXSAP</v>
      </c>
      <c r="B997" s="8">
        <f ca="1">IFERROR(__xludf.DUMMYFUNCTION("""COMPUTED_VALUE"""),21)</f>
        <v>21</v>
      </c>
      <c r="C997" s="8" t="str">
        <f ca="1">IFERROR(__xludf.DUMMYFUNCTION("""COMPUTED_VALUE"""),"Male")</f>
        <v>Male</v>
      </c>
      <c r="D997" s="8" t="str">
        <f ca="1">IFERROR(__xludf.DUMMYFUNCTION("""COMPUTED_VALUE"""),"Relative")</f>
        <v>Relative</v>
      </c>
      <c r="E997" s="8" t="str">
        <f ca="1">IFERROR(__xludf.DUMMYFUNCTION("""COMPUTED_VALUE"""),"Surrendered")</f>
        <v>Surrendered</v>
      </c>
      <c r="F997" s="8" t="str">
        <f ca="1">IFERROR(__xludf.DUMMYFUNCTION("""COMPUTED_VALUE"""),"No")</f>
        <v>No</v>
      </c>
      <c r="G997" s="8" t="str">
        <f ca="1">IFERROR(__xludf.DUMMYFUNCTION("""COMPUTED_VALUE"""),"Wounded")</f>
        <v>Wounded</v>
      </c>
    </row>
    <row r="998" spans="1:7" ht="12.75">
      <c r="A998" s="8" t="str">
        <f ca="1">IFERROR(__xludf.DUMMYFUNCTION("""COMPUTED_VALUE"""),"20171212TXSAP")</f>
        <v>20171212TXSAP</v>
      </c>
      <c r="B998" s="8">
        <f ca="1">IFERROR(__xludf.DUMMYFUNCTION("""COMPUTED_VALUE"""),20)</f>
        <v>20</v>
      </c>
      <c r="C998" s="8" t="str">
        <f ca="1">IFERROR(__xludf.DUMMYFUNCTION("""COMPUTED_VALUE"""),"Male")</f>
        <v>Male</v>
      </c>
      <c r="D998" s="8" t="str">
        <f ca="1">IFERROR(__xludf.DUMMYFUNCTION("""COMPUTED_VALUE"""),"Relative")</f>
        <v>Relative</v>
      </c>
      <c r="E998" s="8" t="str">
        <f ca="1">IFERROR(__xludf.DUMMYFUNCTION("""COMPUTED_VALUE"""),"Surrendered")</f>
        <v>Surrendered</v>
      </c>
      <c r="F998" s="8" t="str">
        <f ca="1">IFERROR(__xludf.DUMMYFUNCTION("""COMPUTED_VALUE"""),"No")</f>
        <v>No</v>
      </c>
      <c r="G998" s="8" t="str">
        <f ca="1">IFERROR(__xludf.DUMMYFUNCTION("""COMPUTED_VALUE"""),"Wounded")</f>
        <v>Wounded</v>
      </c>
    </row>
    <row r="999" spans="1:7" ht="12.75">
      <c r="A999" s="8" t="str">
        <f ca="1">IFERROR(__xludf.DUMMYFUNCTION("""COMPUTED_VALUE"""),"20171211NCHIH")</f>
        <v>20171211NCHIH</v>
      </c>
      <c r="B999" s="8">
        <f ca="1">IFERROR(__xludf.DUMMYFUNCTION("""COMPUTED_VALUE"""),15)</f>
        <v>15</v>
      </c>
      <c r="C999" s="8" t="str">
        <f ca="1">IFERROR(__xludf.DUMMYFUNCTION("""COMPUTED_VALUE"""),"Male")</f>
        <v>Male</v>
      </c>
      <c r="D999" s="8" t="str">
        <f ca="1">IFERROR(__xludf.DUMMYFUNCTION("""COMPUTED_VALUE"""),"Unknown")</f>
        <v>Unknown</v>
      </c>
      <c r="E999" s="8" t="str">
        <f ca="1">IFERROR(__xludf.DUMMYFUNCTION("""COMPUTED_VALUE"""),"Fled/Apprehended")</f>
        <v>Fled/Apprehended</v>
      </c>
      <c r="F999" s="8" t="str">
        <f ca="1">IFERROR(__xludf.DUMMYFUNCTION("""COMPUTED_VALUE"""),"No")</f>
        <v>No</v>
      </c>
      <c r="G999" s="8" t="str">
        <f ca="1">IFERROR(__xludf.DUMMYFUNCTION("""COMPUTED_VALUE"""),"None")</f>
        <v>None</v>
      </c>
    </row>
    <row r="1000" spans="1:7" ht="12.75">
      <c r="A1000" s="8" t="str">
        <f ca="1">IFERROR(__xludf.DUMMYFUNCTION("""COMPUTED_VALUE"""),"20171211NCHIH")</f>
        <v>20171211NCHIH</v>
      </c>
      <c r="B1000" s="8">
        <f ca="1">IFERROR(__xludf.DUMMYFUNCTION("""COMPUTED_VALUE"""),15)</f>
        <v>15</v>
      </c>
      <c r="C1000" s="8" t="str">
        <f ca="1">IFERROR(__xludf.DUMMYFUNCTION("""COMPUTED_VALUE"""),"Male")</f>
        <v>Male</v>
      </c>
      <c r="D1000" s="8" t="str">
        <f ca="1">IFERROR(__xludf.DUMMYFUNCTION("""COMPUTED_VALUE"""),"Unknown")</f>
        <v>Unknown</v>
      </c>
      <c r="E1000" s="8" t="str">
        <f ca="1">IFERROR(__xludf.DUMMYFUNCTION("""COMPUTED_VALUE"""),"Fled/Apprehended")</f>
        <v>Fled/Apprehended</v>
      </c>
      <c r="F1000" s="8" t="str">
        <f ca="1">IFERROR(__xludf.DUMMYFUNCTION("""COMPUTED_VALUE"""),"No")</f>
        <v>No</v>
      </c>
      <c r="G1000" s="8" t="str">
        <f ca="1">IFERROR(__xludf.DUMMYFUNCTION("""COMPUTED_VALUE"""),"None")</f>
        <v>None</v>
      </c>
    </row>
    <row r="1001" spans="1:7" ht="12.75">
      <c r="A1001" s="8" t="str">
        <f ca="1">IFERROR(__xludf.DUMMYFUNCTION("""COMPUTED_VALUE"""),"20171209ILCHC")</f>
        <v>20171209ILCHC</v>
      </c>
      <c r="B1001" s="8"/>
      <c r="C1001" s="8"/>
      <c r="D1001" s="8" t="str">
        <f ca="1">IFERROR(__xludf.DUMMYFUNCTION("""COMPUTED_VALUE"""),"Unknown")</f>
        <v>Unknown</v>
      </c>
      <c r="E1001" s="8" t="str">
        <f ca="1">IFERROR(__xludf.DUMMYFUNCTION("""COMPUTED_VALUE"""),"Fled/Escaped")</f>
        <v>Fled/Escaped</v>
      </c>
      <c r="F1001" s="8" t="str">
        <f ca="1">IFERROR(__xludf.DUMMYFUNCTION("""COMPUTED_VALUE"""),"No")</f>
        <v>No</v>
      </c>
      <c r="G1001" s="8" t="str">
        <f ca="1">IFERROR(__xludf.DUMMYFUNCTION("""COMPUTED_VALUE"""),"None")</f>
        <v>None</v>
      </c>
    </row>
    <row r="1002" spans="1:7" ht="12.75">
      <c r="A1002" s="8" t="str">
        <f ca="1">IFERROR(__xludf.DUMMYFUNCTION("""COMPUTED_VALUE"""),"20171207NMAZA")</f>
        <v>20171207NMAZA</v>
      </c>
      <c r="B1002" s="8">
        <f ca="1">IFERROR(__xludf.DUMMYFUNCTION("""COMPUTED_VALUE"""),21)</f>
        <v>21</v>
      </c>
      <c r="C1002" s="8" t="str">
        <f ca="1">IFERROR(__xludf.DUMMYFUNCTION("""COMPUTED_VALUE"""),"Male")</f>
        <v>Male</v>
      </c>
      <c r="D1002" s="8" t="str">
        <f ca="1">IFERROR(__xludf.DUMMYFUNCTION("""COMPUTED_VALUE"""),"Former Student")</f>
        <v>Former Student</v>
      </c>
      <c r="E1002" s="8" t="str">
        <f ca="1">IFERROR(__xludf.DUMMYFUNCTION("""COMPUTED_VALUE"""),"Suicide")</f>
        <v>Suicide</v>
      </c>
      <c r="F1002" s="8" t="str">
        <f ca="1">IFERROR(__xludf.DUMMYFUNCTION("""COMPUTED_VALUE"""),"Yes")</f>
        <v>Yes</v>
      </c>
      <c r="G1002" s="8" t="str">
        <f ca="1">IFERROR(__xludf.DUMMYFUNCTION("""COMPUTED_VALUE"""),"Suicide")</f>
        <v>Suicide</v>
      </c>
    </row>
    <row r="1003" spans="1:7" ht="12.75">
      <c r="A1003" s="8" t="str">
        <f ca="1">IFERROR(__xludf.DUMMYFUNCTION("""COMPUTED_VALUE"""),"20171130VASAV")</f>
        <v>20171130VASAV</v>
      </c>
      <c r="B1003" s="8" t="str">
        <f ca="1">IFERROR(__xludf.DUMMYFUNCTION("""COMPUTED_VALUE"""),"Teen")</f>
        <v>Teen</v>
      </c>
      <c r="C1003" s="8"/>
      <c r="D1003" s="8" t="str">
        <f ca="1">IFERROR(__xludf.DUMMYFUNCTION("""COMPUTED_VALUE"""),"Student")</f>
        <v>Student</v>
      </c>
      <c r="E1003" s="8" t="str">
        <f ca="1">IFERROR(__xludf.DUMMYFUNCTION("""COMPUTED_VALUE"""),"Suicide")</f>
        <v>Suicide</v>
      </c>
      <c r="F1003" s="8" t="str">
        <f ca="1">IFERROR(__xludf.DUMMYFUNCTION("""COMPUTED_VALUE"""),"Yes")</f>
        <v>Yes</v>
      </c>
      <c r="G1003" s="8" t="str">
        <f ca="1">IFERROR(__xludf.DUMMYFUNCTION("""COMPUTED_VALUE"""),"Suicide")</f>
        <v>Suicide</v>
      </c>
    </row>
    <row r="1004" spans="1:7" ht="12.75">
      <c r="A1004" s="8" t="str">
        <f ca="1">IFERROR(__xludf.DUMMYFUNCTION("""COMPUTED_VALUE"""),"20171129OHBAL")</f>
        <v>20171129OHBAL</v>
      </c>
      <c r="B1004" s="8">
        <f ca="1">IFERROR(__xludf.DUMMYFUNCTION("""COMPUTED_VALUE"""),49)</f>
        <v>49</v>
      </c>
      <c r="C1004" s="8" t="str">
        <f ca="1">IFERROR(__xludf.DUMMYFUNCTION("""COMPUTED_VALUE"""),"Male")</f>
        <v>Male</v>
      </c>
      <c r="D1004" s="8" t="str">
        <f ca="1">IFERROR(__xludf.DUMMYFUNCTION("""COMPUTED_VALUE"""),"No Relation")</f>
        <v>No Relation</v>
      </c>
      <c r="E1004" s="8" t="str">
        <f ca="1">IFERROR(__xludf.DUMMYFUNCTION("""COMPUTED_VALUE"""),"Surrendered")</f>
        <v>Surrendered</v>
      </c>
      <c r="F1004" s="8" t="str">
        <f ca="1">IFERROR(__xludf.DUMMYFUNCTION("""COMPUTED_VALUE"""),"No")</f>
        <v>No</v>
      </c>
      <c r="G1004" s="8" t="str">
        <f ca="1">IFERROR(__xludf.DUMMYFUNCTION("""COMPUTED_VALUE"""),"None")</f>
        <v>None</v>
      </c>
    </row>
    <row r="1005" spans="1:7" ht="12.75">
      <c r="A1005" s="8" t="str">
        <f ca="1">IFERROR(__xludf.DUMMYFUNCTION("""COMPUTED_VALUE"""),"20171128CABOS")</f>
        <v>20171128CABOS</v>
      </c>
      <c r="B1005" s="8">
        <f ca="1">IFERROR(__xludf.DUMMYFUNCTION("""COMPUTED_VALUE"""),21)</f>
        <v>21</v>
      </c>
      <c r="C1005" s="8" t="str">
        <f ca="1">IFERROR(__xludf.DUMMYFUNCTION("""COMPUTED_VALUE"""),"Male")</f>
        <v>Male</v>
      </c>
      <c r="D1005" s="8" t="str">
        <f ca="1">IFERROR(__xludf.DUMMYFUNCTION("""COMPUTED_VALUE"""),"No Relation")</f>
        <v>No Relation</v>
      </c>
      <c r="E1005" s="8" t="str">
        <f ca="1">IFERROR(__xludf.DUMMYFUNCTION("""COMPUTED_VALUE"""),"Fled/Apprehended")</f>
        <v>Fled/Apprehended</v>
      </c>
      <c r="F1005" s="8" t="str">
        <f ca="1">IFERROR(__xludf.DUMMYFUNCTION("""COMPUTED_VALUE"""),"No")</f>
        <v>No</v>
      </c>
      <c r="G1005" s="8" t="str">
        <f ca="1">IFERROR(__xludf.DUMMYFUNCTION("""COMPUTED_VALUE"""),"None")</f>
        <v>None</v>
      </c>
    </row>
    <row r="1006" spans="1:7" ht="12.75">
      <c r="A1006" s="8" t="str">
        <f ca="1">IFERROR(__xludf.DUMMYFUNCTION("""COMPUTED_VALUE"""),"20171123COMAD")</f>
        <v>20171123COMAD</v>
      </c>
      <c r="B1006" s="8"/>
      <c r="C1006" s="8" t="str">
        <f ca="1">IFERROR(__xludf.DUMMYFUNCTION("""COMPUTED_VALUE"""),"Male")</f>
        <v>Male</v>
      </c>
      <c r="D1006" s="8" t="str">
        <f ca="1">IFERROR(__xludf.DUMMYFUNCTION("""COMPUTED_VALUE"""),"Unknown")</f>
        <v>Unknown</v>
      </c>
      <c r="E1006" s="8" t="str">
        <f ca="1">IFERROR(__xludf.DUMMYFUNCTION("""COMPUTED_VALUE"""),"Fled/Escaped")</f>
        <v>Fled/Escaped</v>
      </c>
      <c r="F1006" s="8" t="str">
        <f ca="1">IFERROR(__xludf.DUMMYFUNCTION("""COMPUTED_VALUE"""),"No")</f>
        <v>No</v>
      </c>
      <c r="G1006" s="8" t="str">
        <f ca="1">IFERROR(__xludf.DUMMYFUNCTION("""COMPUTED_VALUE"""),"None")</f>
        <v>None</v>
      </c>
    </row>
    <row r="1007" spans="1:7" ht="12.75">
      <c r="A1007" s="8" t="str">
        <f ca="1">IFERROR(__xludf.DUMMYFUNCTION("""COMPUTED_VALUE"""),"20171123COMAD")</f>
        <v>20171123COMAD</v>
      </c>
      <c r="B1007" s="8"/>
      <c r="C1007" s="8" t="str">
        <f ca="1">IFERROR(__xludf.DUMMYFUNCTION("""COMPUTED_VALUE"""),"Male")</f>
        <v>Male</v>
      </c>
      <c r="D1007" s="8" t="str">
        <f ca="1">IFERROR(__xludf.DUMMYFUNCTION("""COMPUTED_VALUE"""),"Unknown")</f>
        <v>Unknown</v>
      </c>
      <c r="E1007" s="8" t="str">
        <f ca="1">IFERROR(__xludf.DUMMYFUNCTION("""COMPUTED_VALUE"""),"Fled/Escaped")</f>
        <v>Fled/Escaped</v>
      </c>
      <c r="F1007" s="8" t="str">
        <f ca="1">IFERROR(__xludf.DUMMYFUNCTION("""COMPUTED_VALUE"""),"No")</f>
        <v>No</v>
      </c>
      <c r="G1007" s="8" t="str">
        <f ca="1">IFERROR(__xludf.DUMMYFUNCTION("""COMPUTED_VALUE"""),"None")</f>
        <v>None</v>
      </c>
    </row>
    <row r="1008" spans="1:7" ht="12.75">
      <c r="A1008" s="8" t="str">
        <f ca="1">IFERROR(__xludf.DUMMYFUNCTION("""COMPUTED_VALUE"""),"20171123COMAD")</f>
        <v>20171123COMAD</v>
      </c>
      <c r="B1008" s="8"/>
      <c r="C1008" s="8" t="str">
        <f ca="1">IFERROR(__xludf.DUMMYFUNCTION("""COMPUTED_VALUE"""),"Male")</f>
        <v>Male</v>
      </c>
      <c r="D1008" s="8" t="str">
        <f ca="1">IFERROR(__xludf.DUMMYFUNCTION("""COMPUTED_VALUE"""),"Unknown")</f>
        <v>Unknown</v>
      </c>
      <c r="E1008" s="8" t="str">
        <f ca="1">IFERROR(__xludf.DUMMYFUNCTION("""COMPUTED_VALUE"""),"Fled/Escaped")</f>
        <v>Fled/Escaped</v>
      </c>
      <c r="F1008" s="8" t="str">
        <f ca="1">IFERROR(__xludf.DUMMYFUNCTION("""COMPUTED_VALUE"""),"No")</f>
        <v>No</v>
      </c>
      <c r="G1008" s="8" t="str">
        <f ca="1">IFERROR(__xludf.DUMMYFUNCTION("""COMPUTED_VALUE"""),"None")</f>
        <v>None</v>
      </c>
    </row>
    <row r="1009" spans="1:7" ht="12.75">
      <c r="A1009" s="8" t="str">
        <f ca="1">IFERROR(__xludf.DUMMYFUNCTION("""COMPUTED_VALUE"""),"20171117TNNOJ")</f>
        <v>20171117TNNOJ</v>
      </c>
      <c r="B1009" s="8"/>
      <c r="C1009" s="8"/>
      <c r="D1009" s="8" t="str">
        <f ca="1">IFERROR(__xludf.DUMMYFUNCTION("""COMPUTED_VALUE"""),"Unknown")</f>
        <v>Unknown</v>
      </c>
      <c r="E1009" s="8" t="str">
        <f ca="1">IFERROR(__xludf.DUMMYFUNCTION("""COMPUTED_VALUE"""),"Fled/Escaped")</f>
        <v>Fled/Escaped</v>
      </c>
      <c r="F1009" s="8" t="str">
        <f ca="1">IFERROR(__xludf.DUMMYFUNCTION("""COMPUTED_VALUE"""),"No")</f>
        <v>No</v>
      </c>
      <c r="G1009" s="8" t="str">
        <f ca="1">IFERROR(__xludf.DUMMYFUNCTION("""COMPUTED_VALUE"""),"None")</f>
        <v>None</v>
      </c>
    </row>
    <row r="1010" spans="1:7" ht="12.75">
      <c r="A1010" s="8" t="str">
        <f ca="1">IFERROR(__xludf.DUMMYFUNCTION("""COMPUTED_VALUE"""),"20171114FLLAM")</f>
        <v>20171114FLLAM</v>
      </c>
      <c r="B1010" s="8">
        <f ca="1">IFERROR(__xludf.DUMMYFUNCTION("""COMPUTED_VALUE"""),17)</f>
        <v>17</v>
      </c>
      <c r="C1010" s="8" t="str">
        <f ca="1">IFERROR(__xludf.DUMMYFUNCTION("""COMPUTED_VALUE"""),"Male")</f>
        <v>Male</v>
      </c>
      <c r="D1010" s="8" t="str">
        <f ca="1">IFERROR(__xludf.DUMMYFUNCTION("""COMPUTED_VALUE"""),"Student")</f>
        <v>Student</v>
      </c>
      <c r="E1010" s="8" t="str">
        <f ca="1">IFERROR(__xludf.DUMMYFUNCTION("""COMPUTED_VALUE"""),"Suicide")</f>
        <v>Suicide</v>
      </c>
      <c r="F1010" s="8" t="str">
        <f ca="1">IFERROR(__xludf.DUMMYFUNCTION("""COMPUTED_VALUE"""),"Yes")</f>
        <v>Yes</v>
      </c>
      <c r="G1010" s="8" t="str">
        <f ca="1">IFERROR(__xludf.DUMMYFUNCTION("""COMPUTED_VALUE"""),"Suicide")</f>
        <v>Suicide</v>
      </c>
    </row>
    <row r="1011" spans="1:7" ht="12.75">
      <c r="A1011" s="8" t="str">
        <f ca="1">IFERROR(__xludf.DUMMYFUNCTION("""COMPUTED_VALUE"""),"20171114CARAR")</f>
        <v>20171114CARAR</v>
      </c>
      <c r="B1011" s="8">
        <f ca="1">IFERROR(__xludf.DUMMYFUNCTION("""COMPUTED_VALUE"""),44)</f>
        <v>44</v>
      </c>
      <c r="C1011" s="8" t="str">
        <f ca="1">IFERROR(__xludf.DUMMYFUNCTION("""COMPUTED_VALUE"""),"Male")</f>
        <v>Male</v>
      </c>
      <c r="D1011" s="8" t="str">
        <f ca="1">IFERROR(__xludf.DUMMYFUNCTION("""COMPUTED_VALUE"""),"No Relation")</f>
        <v>No Relation</v>
      </c>
      <c r="E1011" s="8" t="str">
        <f ca="1">IFERROR(__xludf.DUMMYFUNCTION("""COMPUTED_VALUE"""),"Suicide")</f>
        <v>Suicide</v>
      </c>
      <c r="F1011" s="8" t="str">
        <f ca="1">IFERROR(__xludf.DUMMYFUNCTION("""COMPUTED_VALUE"""),"Yes")</f>
        <v>Yes</v>
      </c>
      <c r="G1011" s="8" t="str">
        <f ca="1">IFERROR(__xludf.DUMMYFUNCTION("""COMPUTED_VALUE"""),"Suicide")</f>
        <v>Suicide</v>
      </c>
    </row>
    <row r="1012" spans="1:7" ht="12.75">
      <c r="A1012" s="8" t="str">
        <f ca="1">IFERROR(__xludf.DUMMYFUNCTION("""COMPUTED_VALUE"""),"20171110GALAM")</f>
        <v>20171110GALAM</v>
      </c>
      <c r="B1012" s="8">
        <f ca="1">IFERROR(__xludf.DUMMYFUNCTION("""COMPUTED_VALUE"""),8)</f>
        <v>8</v>
      </c>
      <c r="C1012" s="8" t="str">
        <f ca="1">IFERROR(__xludf.DUMMYFUNCTION("""COMPUTED_VALUE"""),"Male")</f>
        <v>Male</v>
      </c>
      <c r="D1012" s="8" t="str">
        <f ca="1">IFERROR(__xludf.DUMMYFUNCTION("""COMPUTED_VALUE"""),"Student")</f>
        <v>Student</v>
      </c>
      <c r="E1012" s="8" t="str">
        <f ca="1">IFERROR(__xludf.DUMMYFUNCTION("""COMPUTED_VALUE"""),"Surrendered")</f>
        <v>Surrendered</v>
      </c>
      <c r="F1012" s="8" t="str">
        <f ca="1">IFERROR(__xludf.DUMMYFUNCTION("""COMPUTED_VALUE"""),"No")</f>
        <v>No</v>
      </c>
      <c r="G1012" s="8" t="str">
        <f ca="1">IFERROR(__xludf.DUMMYFUNCTION("""COMPUTED_VALUE"""),"None")</f>
        <v>None</v>
      </c>
    </row>
    <row r="1013" spans="1:7" ht="12.75">
      <c r="A1013" s="8" t="str">
        <f ca="1">IFERROR(__xludf.DUMMYFUNCTION("""COMPUTED_VALUE"""),"20171109GABEC")</f>
        <v>20171109GABEC</v>
      </c>
      <c r="B1013" s="8">
        <f ca="1">IFERROR(__xludf.DUMMYFUNCTION("""COMPUTED_VALUE"""),15)</f>
        <v>15</v>
      </c>
      <c r="C1013" s="8" t="str">
        <f ca="1">IFERROR(__xludf.DUMMYFUNCTION("""COMPUTED_VALUE"""),"Male")</f>
        <v>Male</v>
      </c>
      <c r="D1013" s="8" t="str">
        <f ca="1">IFERROR(__xludf.DUMMYFUNCTION("""COMPUTED_VALUE"""),"Student")</f>
        <v>Student</v>
      </c>
      <c r="E1013" s="8" t="str">
        <f ca="1">IFERROR(__xludf.DUMMYFUNCTION("""COMPUTED_VALUE"""),"Surrendered")</f>
        <v>Surrendered</v>
      </c>
      <c r="F1013" s="8" t="str">
        <f ca="1">IFERROR(__xludf.DUMMYFUNCTION("""COMPUTED_VALUE"""),"No")</f>
        <v>No</v>
      </c>
      <c r="G1013" s="8" t="str">
        <f ca="1">IFERROR(__xludf.DUMMYFUNCTION("""COMPUTED_VALUE"""),"None")</f>
        <v>None</v>
      </c>
    </row>
    <row r="1014" spans="1:7" ht="12.75">
      <c r="A1014" s="8" t="str">
        <f ca="1">IFERROR(__xludf.DUMMYFUNCTION("""COMPUTED_VALUE"""),"20171103MIPAL")</f>
        <v>20171103MIPAL</v>
      </c>
      <c r="B1014" s="8">
        <f ca="1">IFERROR(__xludf.DUMMYFUNCTION("""COMPUTED_VALUE"""),21)</f>
        <v>21</v>
      </c>
      <c r="C1014" s="8" t="str">
        <f ca="1">IFERROR(__xludf.DUMMYFUNCTION("""COMPUTED_VALUE"""),"Male")</f>
        <v>Male</v>
      </c>
      <c r="D1014" s="8" t="str">
        <f ca="1">IFERROR(__xludf.DUMMYFUNCTION("""COMPUTED_VALUE"""),"Unknown")</f>
        <v>Unknown</v>
      </c>
      <c r="E1014" s="8" t="str">
        <f ca="1">IFERROR(__xludf.DUMMYFUNCTION("""COMPUTED_VALUE"""),"Surrendered")</f>
        <v>Surrendered</v>
      </c>
      <c r="F1014" s="8" t="str">
        <f ca="1">IFERROR(__xludf.DUMMYFUNCTION("""COMPUTED_VALUE"""),"No")</f>
        <v>No</v>
      </c>
      <c r="G1014" s="8" t="str">
        <f ca="1">IFERROR(__xludf.DUMMYFUNCTION("""COMPUTED_VALUE"""),"None")</f>
        <v>None</v>
      </c>
    </row>
    <row r="1015" spans="1:7" ht="12.75">
      <c r="A1015" s="8" t="str">
        <f ca="1">IFERROR(__xludf.DUMMYFUNCTION("""COMPUTED_VALUE"""),"20171027NYPRU")</f>
        <v>20171027NYPRU</v>
      </c>
      <c r="B1015" s="8"/>
      <c r="C1015" s="8" t="str">
        <f ca="1">IFERROR(__xludf.DUMMYFUNCTION("""COMPUTED_VALUE"""),"Male")</f>
        <v>Male</v>
      </c>
      <c r="D1015" s="8" t="str">
        <f ca="1">IFERROR(__xludf.DUMMYFUNCTION("""COMPUTED_VALUE"""),"Unknown")</f>
        <v>Unknown</v>
      </c>
      <c r="E1015" s="8" t="str">
        <f ca="1">IFERROR(__xludf.DUMMYFUNCTION("""COMPUTED_VALUE"""),"Fled/Escaped")</f>
        <v>Fled/Escaped</v>
      </c>
      <c r="F1015" s="8" t="str">
        <f ca="1">IFERROR(__xludf.DUMMYFUNCTION("""COMPUTED_VALUE"""),"No")</f>
        <v>No</v>
      </c>
      <c r="G1015" s="8" t="str">
        <f ca="1">IFERROR(__xludf.DUMMYFUNCTION("""COMPUTED_VALUE"""),"None")</f>
        <v>None</v>
      </c>
    </row>
    <row r="1016" spans="1:7" ht="12.75">
      <c r="A1016" s="8" t="str">
        <f ca="1">IFERROR(__xludf.DUMMYFUNCTION("""COMPUTED_VALUE"""),"20171020OHSTT")</f>
        <v>20171020OHSTT</v>
      </c>
      <c r="B1016" s="8"/>
      <c r="C1016" s="8"/>
      <c r="D1016" s="8" t="str">
        <f ca="1">IFERROR(__xludf.DUMMYFUNCTION("""COMPUTED_VALUE"""),"Unknown")</f>
        <v>Unknown</v>
      </c>
      <c r="E1016" s="8" t="str">
        <f ca="1">IFERROR(__xludf.DUMMYFUNCTION("""COMPUTED_VALUE"""),"Fled/Escaped")</f>
        <v>Fled/Escaped</v>
      </c>
      <c r="F1016" s="8" t="str">
        <f ca="1">IFERROR(__xludf.DUMMYFUNCTION("""COMPUTED_VALUE"""),"No")</f>
        <v>No</v>
      </c>
      <c r="G1016" s="8" t="str">
        <f ca="1">IFERROR(__xludf.DUMMYFUNCTION("""COMPUTED_VALUE"""),"None")</f>
        <v>None</v>
      </c>
    </row>
    <row r="1017" spans="1:7" ht="12.75">
      <c r="A1017" s="8" t="str">
        <f ca="1">IFERROR(__xludf.DUMMYFUNCTION("""COMPUTED_VALUE"""),"20171014NCKEK")</f>
        <v>20171014NCKEK</v>
      </c>
      <c r="B1017" s="8">
        <f ca="1">IFERROR(__xludf.DUMMYFUNCTION("""COMPUTED_VALUE"""),22)</f>
        <v>22</v>
      </c>
      <c r="C1017" s="8" t="str">
        <f ca="1">IFERROR(__xludf.DUMMYFUNCTION("""COMPUTED_VALUE"""),"Male")</f>
        <v>Male</v>
      </c>
      <c r="D1017" s="8" t="str">
        <f ca="1">IFERROR(__xludf.DUMMYFUNCTION("""COMPUTED_VALUE"""),"Parent")</f>
        <v>Parent</v>
      </c>
      <c r="E1017" s="8" t="str">
        <f ca="1">IFERROR(__xludf.DUMMYFUNCTION("""COMPUTED_VALUE"""),"Apprehended/Killed by LE")</f>
        <v>Apprehended/Killed by LE</v>
      </c>
      <c r="F1017" s="8" t="str">
        <f ca="1">IFERROR(__xludf.DUMMYFUNCTION("""COMPUTED_VALUE"""),"No")</f>
        <v>No</v>
      </c>
      <c r="G1017" s="8" t="str">
        <f ca="1">IFERROR(__xludf.DUMMYFUNCTION("""COMPUTED_VALUE"""),"None")</f>
        <v>None</v>
      </c>
    </row>
    <row r="1018" spans="1:7" ht="12.75">
      <c r="A1018" s="8" t="str">
        <f ca="1">IFERROR(__xludf.DUMMYFUNCTION("""COMPUTED_VALUE"""),"20171012NCCHC")</f>
        <v>20171012NCCHC</v>
      </c>
      <c r="B1018" s="8">
        <f ca="1">IFERROR(__xludf.DUMMYFUNCTION("""COMPUTED_VALUE"""),37)</f>
        <v>37</v>
      </c>
      <c r="C1018" s="8" t="str">
        <f ca="1">IFERROR(__xludf.DUMMYFUNCTION("""COMPUTED_VALUE"""),"Male")</f>
        <v>Male</v>
      </c>
      <c r="D1018" s="8" t="str">
        <f ca="1">IFERROR(__xludf.DUMMYFUNCTION("""COMPUTED_VALUE"""),"No Relation")</f>
        <v>No Relation</v>
      </c>
      <c r="E1018" s="8" t="str">
        <f ca="1">IFERROR(__xludf.DUMMYFUNCTION("""COMPUTED_VALUE"""),"Fled/Apprehended")</f>
        <v>Fled/Apprehended</v>
      </c>
      <c r="F1018" s="8" t="str">
        <f ca="1">IFERROR(__xludf.DUMMYFUNCTION("""COMPUTED_VALUE"""),"No")</f>
        <v>No</v>
      </c>
      <c r="G1018" s="8" t="str">
        <f ca="1">IFERROR(__xludf.DUMMYFUNCTION("""COMPUTED_VALUE"""),"None")</f>
        <v>None</v>
      </c>
    </row>
    <row r="1019" spans="1:7" ht="12.75">
      <c r="A1019" s="8" t="str">
        <f ca="1">IFERROR(__xludf.DUMMYFUNCTION("""COMPUTED_VALUE"""),"20171012NCCHC")</f>
        <v>20171012NCCHC</v>
      </c>
      <c r="B1019" s="8">
        <f ca="1">IFERROR(__xludf.DUMMYFUNCTION("""COMPUTED_VALUE"""),30)</f>
        <v>30</v>
      </c>
      <c r="C1019" s="8" t="str">
        <f ca="1">IFERROR(__xludf.DUMMYFUNCTION("""COMPUTED_VALUE"""),"Male")</f>
        <v>Male</v>
      </c>
      <c r="D1019" s="8" t="str">
        <f ca="1">IFERROR(__xludf.DUMMYFUNCTION("""COMPUTED_VALUE"""),"No Relation")</f>
        <v>No Relation</v>
      </c>
      <c r="E1019" s="8" t="str">
        <f ca="1">IFERROR(__xludf.DUMMYFUNCTION("""COMPUTED_VALUE"""),"Fled/Apprehended")</f>
        <v>Fled/Apprehended</v>
      </c>
      <c r="F1019" s="8" t="str">
        <f ca="1">IFERROR(__xludf.DUMMYFUNCTION("""COMPUTED_VALUE"""),"No")</f>
        <v>No</v>
      </c>
      <c r="G1019" s="8" t="str">
        <f ca="1">IFERROR(__xludf.DUMMYFUNCTION("""COMPUTED_VALUE"""),"None")</f>
        <v>None</v>
      </c>
    </row>
    <row r="1020" spans="1:7" ht="12.75">
      <c r="A1020" s="8" t="str">
        <f ca="1">IFERROR(__xludf.DUMMYFUNCTION("""COMPUTED_VALUE"""),"20170930PAPUC")</f>
        <v>20170930PAPUC</v>
      </c>
      <c r="B1020" s="8">
        <f ca="1">IFERROR(__xludf.DUMMYFUNCTION("""COMPUTED_VALUE"""),37)</f>
        <v>37</v>
      </c>
      <c r="C1020" s="8" t="str">
        <f ca="1">IFERROR(__xludf.DUMMYFUNCTION("""COMPUTED_VALUE"""),"Female")</f>
        <v>Female</v>
      </c>
      <c r="D1020" s="8" t="str">
        <f ca="1">IFERROR(__xludf.DUMMYFUNCTION("""COMPUTED_VALUE"""),"Unknown")</f>
        <v>Unknown</v>
      </c>
      <c r="E1020" s="8" t="str">
        <f ca="1">IFERROR(__xludf.DUMMYFUNCTION("""COMPUTED_VALUE"""),"Fled/Apprehended")</f>
        <v>Fled/Apprehended</v>
      </c>
      <c r="F1020" s="8" t="str">
        <f ca="1">IFERROR(__xludf.DUMMYFUNCTION("""COMPUTED_VALUE"""),"No")</f>
        <v>No</v>
      </c>
      <c r="G1020" s="8" t="str">
        <f ca="1">IFERROR(__xludf.DUMMYFUNCTION("""COMPUTED_VALUE"""),"None")</f>
        <v>None</v>
      </c>
    </row>
    <row r="1021" spans="1:7" ht="12.75">
      <c r="A1021" s="8" t="str">
        <f ca="1">IFERROR(__xludf.DUMMYFUNCTION("""COMPUTED_VALUE"""),"20170929MOLEL")</f>
        <v>20170929MOLEL</v>
      </c>
      <c r="B1021" s="8" t="str">
        <f ca="1">IFERROR(__xludf.DUMMYFUNCTION("""COMPUTED_VALUE"""),"Teen")</f>
        <v>Teen</v>
      </c>
      <c r="C1021" s="8" t="str">
        <f ca="1">IFERROR(__xludf.DUMMYFUNCTION("""COMPUTED_VALUE"""),"Female")</f>
        <v>Female</v>
      </c>
      <c r="D1021" s="8" t="str">
        <f ca="1">IFERROR(__xludf.DUMMYFUNCTION("""COMPUTED_VALUE"""),"Student")</f>
        <v>Student</v>
      </c>
      <c r="E1021" s="8" t="str">
        <f ca="1">IFERROR(__xludf.DUMMYFUNCTION("""COMPUTED_VALUE"""),"Suicide")</f>
        <v>Suicide</v>
      </c>
      <c r="F1021" s="8" t="str">
        <f ca="1">IFERROR(__xludf.DUMMYFUNCTION("""COMPUTED_VALUE"""),"Yes")</f>
        <v>Yes</v>
      </c>
      <c r="G1021" s="8" t="str">
        <f ca="1">IFERROR(__xludf.DUMMYFUNCTION("""COMPUTED_VALUE"""),"Suicide")</f>
        <v>Suicide</v>
      </c>
    </row>
    <row r="1022" spans="1:7" ht="12.75">
      <c r="A1022" s="8" t="str">
        <f ca="1">IFERROR(__xludf.DUMMYFUNCTION("""COMPUTED_VALUE"""),"20170929CASUL")</f>
        <v>20170929CASUL</v>
      </c>
      <c r="B1022" s="8"/>
      <c r="C1022" s="8"/>
      <c r="D1022" s="8" t="str">
        <f ca="1">IFERROR(__xludf.DUMMYFUNCTION("""COMPUTED_VALUE"""),"Unknown")</f>
        <v>Unknown</v>
      </c>
      <c r="E1022" s="8" t="str">
        <f ca="1">IFERROR(__xludf.DUMMYFUNCTION("""COMPUTED_VALUE"""),"Fled/Escaped")</f>
        <v>Fled/Escaped</v>
      </c>
      <c r="F1022" s="8" t="str">
        <f ca="1">IFERROR(__xludf.DUMMYFUNCTION("""COMPUTED_VALUE"""),"No")</f>
        <v>No</v>
      </c>
      <c r="G1022" s="8" t="str">
        <f ca="1">IFERROR(__xludf.DUMMYFUNCTION("""COMPUTED_VALUE"""),"None")</f>
        <v>None</v>
      </c>
    </row>
    <row r="1023" spans="1:7" ht="12.75">
      <c r="A1023" s="8" t="str">
        <f ca="1">IFERROR(__xludf.DUMMYFUNCTION("""COMPUTED_VALUE"""),"20170928KYSOL")</f>
        <v>20170928KYSOL</v>
      </c>
      <c r="B1023" s="8" t="str">
        <f ca="1">IFERROR(__xludf.DUMMYFUNCTION("""COMPUTED_VALUE"""),"Adult")</f>
        <v>Adult</v>
      </c>
      <c r="C1023" s="8" t="str">
        <f ca="1">IFERROR(__xludf.DUMMYFUNCTION("""COMPUTED_VALUE"""),"Male")</f>
        <v>Male</v>
      </c>
      <c r="D1023" s="8" t="str">
        <f ca="1">IFERROR(__xludf.DUMMYFUNCTION("""COMPUTED_VALUE"""),"No Relation")</f>
        <v>No Relation</v>
      </c>
      <c r="E1023" s="8" t="str">
        <f ca="1">IFERROR(__xludf.DUMMYFUNCTION("""COMPUTED_VALUE"""),"Fled/Escaped")</f>
        <v>Fled/Escaped</v>
      </c>
      <c r="F1023" s="8" t="str">
        <f ca="1">IFERROR(__xludf.DUMMYFUNCTION("""COMPUTED_VALUE"""),"No")</f>
        <v>No</v>
      </c>
      <c r="G1023" s="8" t="str">
        <f ca="1">IFERROR(__xludf.DUMMYFUNCTION("""COMPUTED_VALUE"""),"Wounded")</f>
        <v>Wounded</v>
      </c>
    </row>
    <row r="1024" spans="1:7" ht="12.75">
      <c r="A1024" s="8" t="str">
        <f ca="1">IFERROR(__xludf.DUMMYFUNCTION("""COMPUTED_VALUE"""),"20170920ILMAM")</f>
        <v>20170920ILMAM</v>
      </c>
      <c r="B1024" s="8">
        <f ca="1">IFERROR(__xludf.DUMMYFUNCTION("""COMPUTED_VALUE"""),14)</f>
        <v>14</v>
      </c>
      <c r="C1024" s="8" t="str">
        <f ca="1">IFERROR(__xludf.DUMMYFUNCTION("""COMPUTED_VALUE"""),"Male")</f>
        <v>Male</v>
      </c>
      <c r="D1024" s="8" t="str">
        <f ca="1">IFERROR(__xludf.DUMMYFUNCTION("""COMPUTED_VALUE"""),"Student")</f>
        <v>Student</v>
      </c>
      <c r="E1024" s="8" t="str">
        <f ca="1">IFERROR(__xludf.DUMMYFUNCTION("""COMPUTED_VALUE"""),"Subdued by Students/Staff/Other")</f>
        <v>Subdued by Students/Staff/Other</v>
      </c>
      <c r="F1024" s="8" t="str">
        <f ca="1">IFERROR(__xludf.DUMMYFUNCTION("""COMPUTED_VALUE"""),"No")</f>
        <v>No</v>
      </c>
      <c r="G1024" s="8" t="str">
        <f ca="1">IFERROR(__xludf.DUMMYFUNCTION("""COMPUTED_VALUE"""),"None")</f>
        <v>None</v>
      </c>
    </row>
    <row r="1025" spans="1:7" ht="12.75">
      <c r="A1025" s="8" t="str">
        <f ca="1">IFERROR(__xludf.DUMMYFUNCTION("""COMPUTED_VALUE"""),"20170913WAFRR")</f>
        <v>20170913WAFRR</v>
      </c>
      <c r="B1025" s="8">
        <f ca="1">IFERROR(__xludf.DUMMYFUNCTION("""COMPUTED_VALUE"""),15)</f>
        <v>15</v>
      </c>
      <c r="C1025" s="8" t="str">
        <f ca="1">IFERROR(__xludf.DUMMYFUNCTION("""COMPUTED_VALUE"""),"Male")</f>
        <v>Male</v>
      </c>
      <c r="D1025" s="8" t="str">
        <f ca="1">IFERROR(__xludf.DUMMYFUNCTION("""COMPUTED_VALUE"""),"Student")</f>
        <v>Student</v>
      </c>
      <c r="E1025" s="8" t="str">
        <f ca="1">IFERROR(__xludf.DUMMYFUNCTION("""COMPUTED_VALUE"""),"Subdued by Students/Staff/Other")</f>
        <v>Subdued by Students/Staff/Other</v>
      </c>
      <c r="F1025" s="8" t="str">
        <f ca="1">IFERROR(__xludf.DUMMYFUNCTION("""COMPUTED_VALUE"""),"No")</f>
        <v>No</v>
      </c>
      <c r="G1025" s="8" t="str">
        <f ca="1">IFERROR(__xludf.DUMMYFUNCTION("""COMPUTED_VALUE"""),"None")</f>
        <v>None</v>
      </c>
    </row>
    <row r="1026" spans="1:7" ht="12.75">
      <c r="A1026" s="8" t="str">
        <f ca="1">IFERROR(__xludf.DUMMYFUNCTION("""COMPUTED_VALUE"""),"20170908OHCOC")</f>
        <v>20170908OHCOC</v>
      </c>
      <c r="B1026" s="8">
        <f ca="1">IFERROR(__xludf.DUMMYFUNCTION("""COMPUTED_VALUE"""),18)</f>
        <v>18</v>
      </c>
      <c r="C1026" s="8" t="str">
        <f ca="1">IFERROR(__xludf.DUMMYFUNCTION("""COMPUTED_VALUE"""),"Male")</f>
        <v>Male</v>
      </c>
      <c r="D1026" s="8" t="str">
        <f ca="1">IFERROR(__xludf.DUMMYFUNCTION("""COMPUTED_VALUE"""),"Student")</f>
        <v>Student</v>
      </c>
      <c r="E1026" s="8" t="str">
        <f ca="1">IFERROR(__xludf.DUMMYFUNCTION("""COMPUTED_VALUE"""),"Surrendered")</f>
        <v>Surrendered</v>
      </c>
      <c r="F1026" s="8" t="str">
        <f ca="1">IFERROR(__xludf.DUMMYFUNCTION("""COMPUTED_VALUE"""),"No")</f>
        <v>No</v>
      </c>
      <c r="G1026" s="8" t="str">
        <f ca="1">IFERROR(__xludf.DUMMYFUNCTION("""COMPUTED_VALUE"""),"None")</f>
        <v>None</v>
      </c>
    </row>
    <row r="1027" spans="1:7" ht="12.75">
      <c r="A1027" s="8" t="str">
        <f ca="1">IFERROR(__xludf.DUMMYFUNCTION("""COMPUTED_VALUE"""),"20170908ARNON")</f>
        <v>20170908ARNON</v>
      </c>
      <c r="B1027" s="8"/>
      <c r="C1027" s="8"/>
      <c r="D1027" s="8" t="str">
        <f ca="1">IFERROR(__xludf.DUMMYFUNCTION("""COMPUTED_VALUE"""),"Unknown")</f>
        <v>Unknown</v>
      </c>
      <c r="E1027" s="8" t="str">
        <f ca="1">IFERROR(__xludf.DUMMYFUNCTION("""COMPUTED_VALUE"""),"Fled/Escaped")</f>
        <v>Fled/Escaped</v>
      </c>
      <c r="F1027" s="8" t="str">
        <f ca="1">IFERROR(__xludf.DUMMYFUNCTION("""COMPUTED_VALUE"""),"No")</f>
        <v>No</v>
      </c>
      <c r="G1027" s="8" t="str">
        <f ca="1">IFERROR(__xludf.DUMMYFUNCTION("""COMPUTED_VALUE"""),"None")</f>
        <v>None</v>
      </c>
    </row>
    <row r="1028" spans="1:7" ht="12.75">
      <c r="A1028" s="8" t="str">
        <f ca="1">IFERROR(__xludf.DUMMYFUNCTION("""COMPUTED_VALUE"""),"20170831CAARS")</f>
        <v>20170831CAARS</v>
      </c>
      <c r="B1028" s="8"/>
      <c r="C1028" s="8" t="str">
        <f ca="1">IFERROR(__xludf.DUMMYFUNCTION("""COMPUTED_VALUE"""),"Male")</f>
        <v>Male</v>
      </c>
      <c r="D1028" s="8" t="str">
        <f ca="1">IFERROR(__xludf.DUMMYFUNCTION("""COMPUTED_VALUE"""),"Nonstudent Using Athletic Facilities/Attending Game")</f>
        <v>Nonstudent Using Athletic Facilities/Attending Game</v>
      </c>
      <c r="E1028" s="8" t="str">
        <f ca="1">IFERROR(__xludf.DUMMYFUNCTION("""COMPUTED_VALUE"""),"Fled/Escaped")</f>
        <v>Fled/Escaped</v>
      </c>
      <c r="F1028" s="8" t="str">
        <f ca="1">IFERROR(__xludf.DUMMYFUNCTION("""COMPUTED_VALUE"""),"No")</f>
        <v>No</v>
      </c>
      <c r="G1028" s="8" t="str">
        <f ca="1">IFERROR(__xludf.DUMMYFUNCTION("""COMPUTED_VALUE"""),"None")</f>
        <v>None</v>
      </c>
    </row>
    <row r="1029" spans="1:7" ht="12.75">
      <c r="A1029" s="8" t="str">
        <f ca="1">IFERROR(__xludf.DUMMYFUNCTION("""COMPUTED_VALUE"""),"20170817GALIL")</f>
        <v>20170817GALIL</v>
      </c>
      <c r="B1029" s="8" t="str">
        <f ca="1">IFERROR(__xludf.DUMMYFUNCTION("""COMPUTED_VALUE"""),"Adult")</f>
        <v>Adult</v>
      </c>
      <c r="C1029" s="8" t="str">
        <f ca="1">IFERROR(__xludf.DUMMYFUNCTION("""COMPUTED_VALUE"""),"Male")</f>
        <v>Male</v>
      </c>
      <c r="D1029" s="8" t="str">
        <f ca="1">IFERROR(__xludf.DUMMYFUNCTION("""COMPUTED_VALUE"""),"Teacher")</f>
        <v>Teacher</v>
      </c>
      <c r="E1029" s="8" t="str">
        <f ca="1">IFERROR(__xludf.DUMMYFUNCTION("""COMPUTED_VALUE"""),"Attempted Suicide")</f>
        <v>Attempted Suicide</v>
      </c>
      <c r="F1029" s="8" t="str">
        <f ca="1">IFERROR(__xludf.DUMMYFUNCTION("""COMPUTED_VALUE"""),"No")</f>
        <v>No</v>
      </c>
      <c r="G1029" s="8" t="str">
        <f ca="1">IFERROR(__xludf.DUMMYFUNCTION("""COMPUTED_VALUE"""),"Wounded")</f>
        <v>Wounded</v>
      </c>
    </row>
    <row r="1030" spans="1:7" ht="12.75">
      <c r="A1030" s="8" t="str">
        <f ca="1">IFERROR(__xludf.DUMMYFUNCTION("""COMPUTED_VALUE"""),"20170813NYHUH")</f>
        <v>20170813NYHUH</v>
      </c>
      <c r="B1030" s="8" t="str">
        <f ca="1">IFERROR(__xludf.DUMMYFUNCTION("""COMPUTED_VALUE"""),"Adult")</f>
        <v>Adult</v>
      </c>
      <c r="C1030" s="8" t="str">
        <f ca="1">IFERROR(__xludf.DUMMYFUNCTION("""COMPUTED_VALUE"""),"Male")</f>
        <v>Male</v>
      </c>
      <c r="D1030" s="8" t="str">
        <f ca="1">IFERROR(__xludf.DUMMYFUNCTION("""COMPUTED_VALUE"""),"No Relation")</f>
        <v>No Relation</v>
      </c>
      <c r="E1030" s="8" t="str">
        <f ca="1">IFERROR(__xludf.DUMMYFUNCTION("""COMPUTED_VALUE"""),"Fled/Apprehended")</f>
        <v>Fled/Apprehended</v>
      </c>
      <c r="F1030" s="8" t="str">
        <f ca="1">IFERROR(__xludf.DUMMYFUNCTION("""COMPUTED_VALUE"""),"No")</f>
        <v>No</v>
      </c>
      <c r="G1030" s="8" t="str">
        <f ca="1">IFERROR(__xludf.DUMMYFUNCTION("""COMPUTED_VALUE"""),"None")</f>
        <v>None</v>
      </c>
    </row>
    <row r="1031" spans="1:7" ht="12.75">
      <c r="A1031" s="8" t="str">
        <f ca="1">IFERROR(__xludf.DUMMYFUNCTION("""COMPUTED_VALUE"""),"20170801GABAV")</f>
        <v>20170801GABAV</v>
      </c>
      <c r="B1031" s="8"/>
      <c r="C1031" s="8" t="str">
        <f ca="1">IFERROR(__xludf.DUMMYFUNCTION("""COMPUTED_VALUE"""),"Male")</f>
        <v>Male</v>
      </c>
      <c r="D1031" s="8" t="str">
        <f ca="1">IFERROR(__xludf.DUMMYFUNCTION("""COMPUTED_VALUE"""),"Unknown")</f>
        <v>Unknown</v>
      </c>
      <c r="E1031" s="8" t="str">
        <f ca="1">IFERROR(__xludf.DUMMYFUNCTION("""COMPUTED_VALUE"""),"Fled/Escaped")</f>
        <v>Fled/Escaped</v>
      </c>
      <c r="F1031" s="8" t="str">
        <f ca="1">IFERROR(__xludf.DUMMYFUNCTION("""COMPUTED_VALUE"""),"No")</f>
        <v>No</v>
      </c>
      <c r="G1031" s="8" t="str">
        <f ca="1">IFERROR(__xludf.DUMMYFUNCTION("""COMPUTED_VALUE"""),"None")</f>
        <v>None</v>
      </c>
    </row>
    <row r="1032" spans="1:7" ht="12.75">
      <c r="A1032" s="8" t="str">
        <f ca="1">IFERROR(__xludf.DUMMYFUNCTION("""COMPUTED_VALUE"""),"20170721UTSPS")</f>
        <v>20170721UTSPS</v>
      </c>
      <c r="B1032" s="8">
        <f ca="1">IFERROR(__xludf.DUMMYFUNCTION("""COMPUTED_VALUE"""),19)</f>
        <v>19</v>
      </c>
      <c r="C1032" s="8" t="str">
        <f ca="1">IFERROR(__xludf.DUMMYFUNCTION("""COMPUTED_VALUE"""),"Male")</f>
        <v>Male</v>
      </c>
      <c r="D1032" s="8" t="str">
        <f ca="1">IFERROR(__xludf.DUMMYFUNCTION("""COMPUTED_VALUE"""),"Unknown")</f>
        <v>Unknown</v>
      </c>
      <c r="E1032" s="8" t="str">
        <f ca="1">IFERROR(__xludf.DUMMYFUNCTION("""COMPUTED_VALUE"""),"Fled/Escaped")</f>
        <v>Fled/Escaped</v>
      </c>
      <c r="F1032" s="8" t="str">
        <f ca="1">IFERROR(__xludf.DUMMYFUNCTION("""COMPUTED_VALUE"""),"Yes")</f>
        <v>Yes</v>
      </c>
      <c r="G1032" s="8" t="str">
        <f ca="1">IFERROR(__xludf.DUMMYFUNCTION("""COMPUTED_VALUE"""),"Suicide")</f>
        <v>Suicide</v>
      </c>
    </row>
    <row r="1033" spans="1:7" ht="12.75">
      <c r="A1033" s="8" t="str">
        <f ca="1">IFERROR(__xludf.DUMMYFUNCTION("""COMPUTED_VALUE"""),"20170719WIHIM")</f>
        <v>20170719WIHIM</v>
      </c>
      <c r="B1033" s="8" t="str">
        <f ca="1">IFERROR(__xludf.DUMMYFUNCTION("""COMPUTED_VALUE"""),"Adult")</f>
        <v>Adult</v>
      </c>
      <c r="C1033" s="8" t="str">
        <f ca="1">IFERROR(__xludf.DUMMYFUNCTION("""COMPUTED_VALUE"""),"Male")</f>
        <v>Male</v>
      </c>
      <c r="D1033" s="8" t="str">
        <f ca="1">IFERROR(__xludf.DUMMYFUNCTION("""COMPUTED_VALUE"""),"Unknown")</f>
        <v>Unknown</v>
      </c>
      <c r="E1033" s="8" t="str">
        <f ca="1">IFERROR(__xludf.DUMMYFUNCTION("""COMPUTED_VALUE"""),"Fled/Escaped")</f>
        <v>Fled/Escaped</v>
      </c>
      <c r="F1033" s="8" t="str">
        <f ca="1">IFERROR(__xludf.DUMMYFUNCTION("""COMPUTED_VALUE"""),"No")</f>
        <v>No</v>
      </c>
      <c r="G1033" s="8" t="str">
        <f ca="1">IFERROR(__xludf.DUMMYFUNCTION("""COMPUTED_VALUE"""),"None")</f>
        <v>None</v>
      </c>
    </row>
    <row r="1034" spans="1:7" ht="12.75">
      <c r="A1034" s="8" t="str">
        <f ca="1">IFERROR(__xludf.DUMMYFUNCTION("""COMPUTED_VALUE"""),"20170622SCWIF")</f>
        <v>20170622SCWIF</v>
      </c>
      <c r="B1034" s="8">
        <f ca="1">IFERROR(__xludf.DUMMYFUNCTION("""COMPUTED_VALUE"""),17)</f>
        <v>17</v>
      </c>
      <c r="C1034" s="8" t="str">
        <f ca="1">IFERROR(__xludf.DUMMYFUNCTION("""COMPUTED_VALUE"""),"Male")</f>
        <v>Male</v>
      </c>
      <c r="D1034" s="8" t="str">
        <f ca="1">IFERROR(__xludf.DUMMYFUNCTION("""COMPUTED_VALUE"""),"Student")</f>
        <v>Student</v>
      </c>
      <c r="E1034" s="8" t="str">
        <f ca="1">IFERROR(__xludf.DUMMYFUNCTION("""COMPUTED_VALUE"""),"Surrendered")</f>
        <v>Surrendered</v>
      </c>
      <c r="F1034" s="8" t="str">
        <f ca="1">IFERROR(__xludf.DUMMYFUNCTION("""COMPUTED_VALUE"""),"No")</f>
        <v>No</v>
      </c>
      <c r="G1034" s="8" t="str">
        <f ca="1">IFERROR(__xludf.DUMMYFUNCTION("""COMPUTED_VALUE"""),"Wounded")</f>
        <v>Wounded</v>
      </c>
    </row>
    <row r="1035" spans="1:7" ht="12.75">
      <c r="A1035" s="8" t="str">
        <f ca="1">IFERROR(__xludf.DUMMYFUNCTION("""COMPUTED_VALUE"""),"20170616ILWAC")</f>
        <v>20170616ILWAC</v>
      </c>
      <c r="B1035" s="8">
        <f ca="1">IFERROR(__xludf.DUMMYFUNCTION("""COMPUTED_VALUE"""),18)</f>
        <v>18</v>
      </c>
      <c r="C1035" s="8" t="str">
        <f ca="1">IFERROR(__xludf.DUMMYFUNCTION("""COMPUTED_VALUE"""),"Male")</f>
        <v>Male</v>
      </c>
      <c r="D1035" s="8" t="str">
        <f ca="1">IFERROR(__xludf.DUMMYFUNCTION("""COMPUTED_VALUE"""),"No Relation")</f>
        <v>No Relation</v>
      </c>
      <c r="E1035" s="8" t="str">
        <f ca="1">IFERROR(__xludf.DUMMYFUNCTION("""COMPUTED_VALUE"""),"Fled/Apprehended")</f>
        <v>Fled/Apprehended</v>
      </c>
      <c r="F1035" s="8" t="str">
        <f ca="1">IFERROR(__xludf.DUMMYFUNCTION("""COMPUTED_VALUE"""),"No")</f>
        <v>No</v>
      </c>
      <c r="G1035" s="8" t="str">
        <f ca="1">IFERROR(__xludf.DUMMYFUNCTION("""COMPUTED_VALUE"""),"None")</f>
        <v>None</v>
      </c>
    </row>
    <row r="1036" spans="1:7" ht="12.75">
      <c r="A1036" s="8" t="str">
        <f ca="1">IFERROR(__xludf.DUMMYFUNCTION("""COMPUTED_VALUE"""),"20170616ILWAC")</f>
        <v>20170616ILWAC</v>
      </c>
      <c r="B1036" s="8">
        <f ca="1">IFERROR(__xludf.DUMMYFUNCTION("""COMPUTED_VALUE"""),16)</f>
        <v>16</v>
      </c>
      <c r="C1036" s="8" t="str">
        <f ca="1">IFERROR(__xludf.DUMMYFUNCTION("""COMPUTED_VALUE"""),"Male")</f>
        <v>Male</v>
      </c>
      <c r="D1036" s="8" t="str">
        <f ca="1">IFERROR(__xludf.DUMMYFUNCTION("""COMPUTED_VALUE"""),"No Relation")</f>
        <v>No Relation</v>
      </c>
      <c r="E1036" s="8" t="str">
        <f ca="1">IFERROR(__xludf.DUMMYFUNCTION("""COMPUTED_VALUE"""),"Fled/Apprehended")</f>
        <v>Fled/Apprehended</v>
      </c>
      <c r="F1036" s="8" t="str">
        <f ca="1">IFERROR(__xludf.DUMMYFUNCTION("""COMPUTED_VALUE"""),"No")</f>
        <v>No</v>
      </c>
      <c r="G1036" s="8" t="str">
        <f ca="1">IFERROR(__xludf.DUMMYFUNCTION("""COMPUTED_VALUE"""),"None")</f>
        <v>None</v>
      </c>
    </row>
    <row r="1037" spans="1:7" ht="12.75">
      <c r="A1037" s="8" t="str">
        <f ca="1">IFERROR(__xludf.DUMMYFUNCTION("""COMPUTED_VALUE"""),"20170616ILWAC")</f>
        <v>20170616ILWAC</v>
      </c>
      <c r="B1037" s="8">
        <f ca="1">IFERROR(__xludf.DUMMYFUNCTION("""COMPUTED_VALUE"""),17)</f>
        <v>17</v>
      </c>
      <c r="C1037" s="8" t="str">
        <f ca="1">IFERROR(__xludf.DUMMYFUNCTION("""COMPUTED_VALUE"""),"Male")</f>
        <v>Male</v>
      </c>
      <c r="D1037" s="8" t="str">
        <f ca="1">IFERROR(__xludf.DUMMYFUNCTION("""COMPUTED_VALUE"""),"No Relation")</f>
        <v>No Relation</v>
      </c>
      <c r="E1037" s="8" t="str">
        <f ca="1">IFERROR(__xludf.DUMMYFUNCTION("""COMPUTED_VALUE"""),"Fled/Apprehended")</f>
        <v>Fled/Apprehended</v>
      </c>
      <c r="F1037" s="8" t="str">
        <f ca="1">IFERROR(__xludf.DUMMYFUNCTION("""COMPUTED_VALUE"""),"No")</f>
        <v>No</v>
      </c>
      <c r="G1037" s="8" t="str">
        <f ca="1">IFERROR(__xludf.DUMMYFUNCTION("""COMPUTED_VALUE"""),"None")</f>
        <v>None</v>
      </c>
    </row>
    <row r="1038" spans="1:7" ht="12.75">
      <c r="A1038" s="8" t="str">
        <f ca="1">IFERROR(__xludf.DUMMYFUNCTION("""COMPUTED_VALUE"""),"20170526OKMCT")</f>
        <v>20170526OKMCT</v>
      </c>
      <c r="B1038" s="8">
        <f ca="1">IFERROR(__xludf.DUMMYFUNCTION("""COMPUTED_VALUE"""),14)</f>
        <v>14</v>
      </c>
      <c r="C1038" s="8" t="str">
        <f ca="1">IFERROR(__xludf.DUMMYFUNCTION("""COMPUTED_VALUE"""),"Male")</f>
        <v>Male</v>
      </c>
      <c r="D1038" s="8" t="str">
        <f ca="1">IFERROR(__xludf.DUMMYFUNCTION("""COMPUTED_VALUE"""),"Student")</f>
        <v>Student</v>
      </c>
      <c r="E1038" s="8" t="str">
        <f ca="1">IFERROR(__xludf.DUMMYFUNCTION("""COMPUTED_VALUE"""),"Apprehended/Killed by LE")</f>
        <v>Apprehended/Killed by LE</v>
      </c>
      <c r="F1038" s="8" t="str">
        <f ca="1">IFERROR(__xludf.DUMMYFUNCTION("""COMPUTED_VALUE"""),"No")</f>
        <v>No</v>
      </c>
      <c r="G1038" s="8" t="str">
        <f ca="1">IFERROR(__xludf.DUMMYFUNCTION("""COMPUTED_VALUE"""),"None")</f>
        <v>None</v>
      </c>
    </row>
    <row r="1039" spans="1:7" ht="12.75">
      <c r="A1039" s="8" t="str">
        <f ca="1">IFERROR(__xludf.DUMMYFUNCTION("""COMPUTED_VALUE"""),"20170524NEMCO")</f>
        <v>20170524NEMCO</v>
      </c>
      <c r="B1039" s="8">
        <f ca="1">IFERROR(__xludf.DUMMYFUNCTION("""COMPUTED_VALUE"""),51)</f>
        <v>51</v>
      </c>
      <c r="C1039" s="8" t="str">
        <f ca="1">IFERROR(__xludf.DUMMYFUNCTION("""COMPUTED_VALUE"""),"Male")</f>
        <v>Male</v>
      </c>
      <c r="D1039" s="8" t="str">
        <f ca="1">IFERROR(__xludf.DUMMYFUNCTION("""COMPUTED_VALUE"""),"No Relation")</f>
        <v>No Relation</v>
      </c>
      <c r="E1039" s="8" t="str">
        <f ca="1">IFERROR(__xludf.DUMMYFUNCTION("""COMPUTED_VALUE"""),"Fled/Apprehended")</f>
        <v>Fled/Apprehended</v>
      </c>
      <c r="F1039" s="8" t="str">
        <f ca="1">IFERROR(__xludf.DUMMYFUNCTION("""COMPUTED_VALUE"""),"No")</f>
        <v>No</v>
      </c>
      <c r="G1039" s="8" t="str">
        <f ca="1">IFERROR(__xludf.DUMMYFUNCTION("""COMPUTED_VALUE"""),"None")</f>
        <v>None</v>
      </c>
    </row>
    <row r="1040" spans="1:7" ht="12.75">
      <c r="A1040" s="8" t="str">
        <f ca="1">IFERROR(__xludf.DUMMYFUNCTION("""COMPUTED_VALUE"""),"20170524ALGRG")</f>
        <v>20170524ALGRG</v>
      </c>
      <c r="B1040" s="8" t="str">
        <f ca="1">IFERROR(__xludf.DUMMYFUNCTION("""COMPUTED_VALUE"""),"Teen")</f>
        <v>Teen</v>
      </c>
      <c r="C1040" s="8" t="str">
        <f ca="1">IFERROR(__xludf.DUMMYFUNCTION("""COMPUTED_VALUE"""),"Male")</f>
        <v>Male</v>
      </c>
      <c r="D1040" s="8" t="str">
        <f ca="1">IFERROR(__xludf.DUMMYFUNCTION("""COMPUTED_VALUE"""),"Student")</f>
        <v>Student</v>
      </c>
      <c r="E1040" s="8" t="str">
        <f ca="1">IFERROR(__xludf.DUMMYFUNCTION("""COMPUTED_VALUE"""),"Subdued by Students/Staff/Other")</f>
        <v>Subdued by Students/Staff/Other</v>
      </c>
      <c r="F1040" s="8" t="str">
        <f ca="1">IFERROR(__xludf.DUMMYFUNCTION("""COMPUTED_VALUE"""),"No")</f>
        <v>No</v>
      </c>
      <c r="G1040" s="8" t="str">
        <f ca="1">IFERROR(__xludf.DUMMYFUNCTION("""COMPUTED_VALUE"""),"None")</f>
        <v>None</v>
      </c>
    </row>
    <row r="1041" spans="1:7" ht="12.75">
      <c r="A1041" s="8" t="str">
        <f ca="1">IFERROR(__xludf.DUMMYFUNCTION("""COMPUTED_VALUE"""),"20170523TXKEK")</f>
        <v>20170523TXKEK</v>
      </c>
      <c r="B1041" s="8" t="str">
        <f ca="1">IFERROR(__xludf.DUMMYFUNCTION("""COMPUTED_VALUE"""),"Adult")</f>
        <v>Adult</v>
      </c>
      <c r="C1041" s="8" t="str">
        <f ca="1">IFERROR(__xludf.DUMMYFUNCTION("""COMPUTED_VALUE"""),"Male")</f>
        <v>Male</v>
      </c>
      <c r="D1041" s="8" t="str">
        <f ca="1">IFERROR(__xludf.DUMMYFUNCTION("""COMPUTED_VALUE"""),"Other Staff")</f>
        <v>Other Staff</v>
      </c>
      <c r="E1041" s="8" t="str">
        <f ca="1">IFERROR(__xludf.DUMMYFUNCTION("""COMPUTED_VALUE"""),"Suicide")</f>
        <v>Suicide</v>
      </c>
      <c r="F1041" s="8" t="str">
        <f ca="1">IFERROR(__xludf.DUMMYFUNCTION("""COMPUTED_VALUE"""),"Yes")</f>
        <v>Yes</v>
      </c>
      <c r="G1041" s="8" t="str">
        <f ca="1">IFERROR(__xludf.DUMMYFUNCTION("""COMPUTED_VALUE"""),"Suicide")</f>
        <v>Suicide</v>
      </c>
    </row>
    <row r="1042" spans="1:7" ht="12.75">
      <c r="A1042" s="8" t="str">
        <f ca="1">IFERROR(__xludf.DUMMYFUNCTION("""COMPUTED_VALUE"""),"20170515LAMOL")</f>
        <v>20170515LAMOL</v>
      </c>
      <c r="B1042" s="8" t="str">
        <f ca="1">IFERROR(__xludf.DUMMYFUNCTION("""COMPUTED_VALUE"""),"Teen")</f>
        <v>Teen</v>
      </c>
      <c r="C1042" s="8" t="str">
        <f ca="1">IFERROR(__xludf.DUMMYFUNCTION("""COMPUTED_VALUE"""),"Male")</f>
        <v>Male</v>
      </c>
      <c r="D1042" s="8" t="str">
        <f ca="1">IFERROR(__xludf.DUMMYFUNCTION("""COMPUTED_VALUE"""),"Student")</f>
        <v>Student</v>
      </c>
      <c r="E1042" s="8" t="str">
        <f ca="1">IFERROR(__xludf.DUMMYFUNCTION("""COMPUTED_VALUE"""),"Surrendered")</f>
        <v>Surrendered</v>
      </c>
      <c r="F1042" s="8" t="str">
        <f ca="1">IFERROR(__xludf.DUMMYFUNCTION("""COMPUTED_VALUE"""),"No")</f>
        <v>No</v>
      </c>
      <c r="G1042" s="8" t="str">
        <f ca="1">IFERROR(__xludf.DUMMYFUNCTION("""COMPUTED_VALUE"""),"None")</f>
        <v>None</v>
      </c>
    </row>
    <row r="1043" spans="1:7" ht="12.75">
      <c r="A1043" s="8" t="str">
        <f ca="1">IFERROR(__xludf.DUMMYFUNCTION("""COMPUTED_VALUE"""),"20170415ORMEP")</f>
        <v>20170415ORMEP</v>
      </c>
      <c r="B1043" s="8" t="str">
        <f ca="1">IFERROR(__xludf.DUMMYFUNCTION("""COMPUTED_VALUE"""),"Teen")</f>
        <v>Teen</v>
      </c>
      <c r="C1043" s="8" t="str">
        <f ca="1">IFERROR(__xludf.DUMMYFUNCTION("""COMPUTED_VALUE"""),"Male")</f>
        <v>Male</v>
      </c>
      <c r="D1043" s="8" t="str">
        <f ca="1">IFERROR(__xludf.DUMMYFUNCTION("""COMPUTED_VALUE"""),"No Relation")</f>
        <v>No Relation</v>
      </c>
      <c r="E1043" s="8" t="str">
        <f ca="1">IFERROR(__xludf.DUMMYFUNCTION("""COMPUTED_VALUE"""),"Fled/Escaped")</f>
        <v>Fled/Escaped</v>
      </c>
      <c r="F1043" s="8" t="str">
        <f ca="1">IFERROR(__xludf.DUMMYFUNCTION("""COMPUTED_VALUE"""),"No")</f>
        <v>No</v>
      </c>
      <c r="G1043" s="8" t="str">
        <f ca="1">IFERROR(__xludf.DUMMYFUNCTION("""COMPUTED_VALUE"""),"None")</f>
        <v>None</v>
      </c>
    </row>
    <row r="1044" spans="1:7" ht="12.75">
      <c r="A1044" s="8" t="str">
        <f ca="1">IFERROR(__xludf.DUMMYFUNCTION("""COMPUTED_VALUE"""),"20170415OKBOT")</f>
        <v>20170415OKBOT</v>
      </c>
      <c r="B1044" s="8"/>
      <c r="C1044" s="8"/>
      <c r="D1044" s="8" t="str">
        <f ca="1">IFERROR(__xludf.DUMMYFUNCTION("""COMPUTED_VALUE"""),"Unknown")</f>
        <v>Unknown</v>
      </c>
      <c r="E1044" s="8" t="str">
        <f ca="1">IFERROR(__xludf.DUMMYFUNCTION("""COMPUTED_VALUE"""),"Fled/Escaped")</f>
        <v>Fled/Escaped</v>
      </c>
      <c r="F1044" s="8" t="str">
        <f ca="1">IFERROR(__xludf.DUMMYFUNCTION("""COMPUTED_VALUE"""),"No")</f>
        <v>No</v>
      </c>
      <c r="G1044" s="8" t="str">
        <f ca="1">IFERROR(__xludf.DUMMYFUNCTION("""COMPUTED_VALUE"""),"None")</f>
        <v>None</v>
      </c>
    </row>
    <row r="1045" spans="1:7" ht="12.75">
      <c r="A1045" s="8" t="str">
        <f ca="1">IFERROR(__xludf.DUMMYFUNCTION("""COMPUTED_VALUE"""),"20170410CANOS")</f>
        <v>20170410CANOS</v>
      </c>
      <c r="B1045" s="8">
        <f ca="1">IFERROR(__xludf.DUMMYFUNCTION("""COMPUTED_VALUE"""),53)</f>
        <v>53</v>
      </c>
      <c r="C1045" s="8" t="str">
        <f ca="1">IFERROR(__xludf.DUMMYFUNCTION("""COMPUTED_VALUE"""),"Male")</f>
        <v>Male</v>
      </c>
      <c r="D1045" s="8" t="str">
        <f ca="1">IFERROR(__xludf.DUMMYFUNCTION("""COMPUTED_VALUE"""),"Intimate Relationship")</f>
        <v>Intimate Relationship</v>
      </c>
      <c r="E1045" s="8" t="str">
        <f ca="1">IFERROR(__xludf.DUMMYFUNCTION("""COMPUTED_VALUE"""),"Suicide")</f>
        <v>Suicide</v>
      </c>
      <c r="F1045" s="8" t="str">
        <f ca="1">IFERROR(__xludf.DUMMYFUNCTION("""COMPUTED_VALUE"""),"Yes")</f>
        <v>Yes</v>
      </c>
      <c r="G1045" s="8" t="str">
        <f ca="1">IFERROR(__xludf.DUMMYFUNCTION("""COMPUTED_VALUE"""),"Suicide")</f>
        <v>Suicide</v>
      </c>
    </row>
    <row r="1046" spans="1:7" ht="12.75">
      <c r="A1046" s="8" t="str">
        <f ca="1">IFERROR(__xludf.DUMMYFUNCTION("""COMPUTED_VALUE"""),"20170328PALIP")</f>
        <v>20170328PALIP</v>
      </c>
      <c r="B1046" s="8">
        <f ca="1">IFERROR(__xludf.DUMMYFUNCTION("""COMPUTED_VALUE"""),16)</f>
        <v>16</v>
      </c>
      <c r="C1046" s="8" t="str">
        <f ca="1">IFERROR(__xludf.DUMMYFUNCTION("""COMPUTED_VALUE"""),"Male")</f>
        <v>Male</v>
      </c>
      <c r="D1046" s="8" t="str">
        <f ca="1">IFERROR(__xludf.DUMMYFUNCTION("""COMPUTED_VALUE"""),"Nonstudent Using Athletic Facilities/Attending Game")</f>
        <v>Nonstudent Using Athletic Facilities/Attending Game</v>
      </c>
      <c r="E1046" s="8" t="str">
        <f ca="1">IFERROR(__xludf.DUMMYFUNCTION("""COMPUTED_VALUE"""),"Apprehended/Killed by Other")</f>
        <v>Apprehended/Killed by Other</v>
      </c>
      <c r="F1046" s="8" t="str">
        <f ca="1">IFERROR(__xludf.DUMMYFUNCTION("""COMPUTED_VALUE"""),"Yes")</f>
        <v>Yes</v>
      </c>
      <c r="G1046" s="8" t="str">
        <f ca="1">IFERROR(__xludf.DUMMYFUNCTION("""COMPUTED_VALUE"""),"Fatal")</f>
        <v>Fatal</v>
      </c>
    </row>
    <row r="1047" spans="1:7" ht="12.75">
      <c r="A1047" s="8" t="str">
        <f ca="1">IFERROR(__xludf.DUMMYFUNCTION("""COMPUTED_VALUE"""),"20170328PALIP")</f>
        <v>20170328PALIP</v>
      </c>
      <c r="B1047" s="8">
        <f ca="1">IFERROR(__xludf.DUMMYFUNCTION("""COMPUTED_VALUE"""),22)</f>
        <v>22</v>
      </c>
      <c r="C1047" s="8" t="str">
        <f ca="1">IFERROR(__xludf.DUMMYFUNCTION("""COMPUTED_VALUE"""),"Male")</f>
        <v>Male</v>
      </c>
      <c r="D1047" s="8" t="str">
        <f ca="1">IFERROR(__xludf.DUMMYFUNCTION("""COMPUTED_VALUE"""),"Nonstudent Using Athletic Facilities/Attending Game")</f>
        <v>Nonstudent Using Athletic Facilities/Attending Game</v>
      </c>
      <c r="E1047" s="8" t="str">
        <f ca="1">IFERROR(__xludf.DUMMYFUNCTION("""COMPUTED_VALUE"""),"Surrendered")</f>
        <v>Surrendered</v>
      </c>
      <c r="F1047" s="8" t="str">
        <f ca="1">IFERROR(__xludf.DUMMYFUNCTION("""COMPUTED_VALUE"""),"No")</f>
        <v>No</v>
      </c>
      <c r="G1047" s="8" t="str">
        <f ca="1">IFERROR(__xludf.DUMMYFUNCTION("""COMPUTED_VALUE"""),"Wounded")</f>
        <v>Wounded</v>
      </c>
    </row>
    <row r="1048" spans="1:7" ht="12.75">
      <c r="A1048" s="8" t="str">
        <f ca="1">IFERROR(__xludf.DUMMYFUNCTION("""COMPUTED_VALUE"""),"20170321CAKIK")</f>
        <v>20170321CAKIK</v>
      </c>
      <c r="B1048" s="8">
        <f ca="1">IFERROR(__xludf.DUMMYFUNCTION("""COMPUTED_VALUE"""),17)</f>
        <v>17</v>
      </c>
      <c r="C1048" s="8" t="str">
        <f ca="1">IFERROR(__xludf.DUMMYFUNCTION("""COMPUTED_VALUE"""),"Male")</f>
        <v>Male</v>
      </c>
      <c r="D1048" s="8" t="str">
        <f ca="1">IFERROR(__xludf.DUMMYFUNCTION("""COMPUTED_VALUE"""),"No Relation")</f>
        <v>No Relation</v>
      </c>
      <c r="E1048" s="8" t="str">
        <f ca="1">IFERROR(__xludf.DUMMYFUNCTION("""COMPUTED_VALUE"""),"Fled/Escaped")</f>
        <v>Fled/Escaped</v>
      </c>
      <c r="F1048" s="8" t="str">
        <f ca="1">IFERROR(__xludf.DUMMYFUNCTION("""COMPUTED_VALUE"""),"No")</f>
        <v>No</v>
      </c>
      <c r="G1048" s="8" t="str">
        <f ca="1">IFERROR(__xludf.DUMMYFUNCTION("""COMPUTED_VALUE"""),"None")</f>
        <v>None</v>
      </c>
    </row>
    <row r="1049" spans="1:7" ht="12.75">
      <c r="A1049" s="8" t="str">
        <f ca="1">IFERROR(__xludf.DUMMYFUNCTION("""COMPUTED_VALUE"""),"20170316ALROM")</f>
        <v>20170316ALROM</v>
      </c>
      <c r="B1049" s="8">
        <f ca="1">IFERROR(__xludf.DUMMYFUNCTION("""COMPUTED_VALUE"""),16)</f>
        <v>16</v>
      </c>
      <c r="C1049" s="8" t="str">
        <f ca="1">IFERROR(__xludf.DUMMYFUNCTION("""COMPUTED_VALUE"""),"Male")</f>
        <v>Male</v>
      </c>
      <c r="D1049" s="8" t="str">
        <f ca="1">IFERROR(__xludf.DUMMYFUNCTION("""COMPUTED_VALUE"""),"Student")</f>
        <v>Student</v>
      </c>
      <c r="E1049" s="8" t="str">
        <f ca="1">IFERROR(__xludf.DUMMYFUNCTION("""COMPUTED_VALUE"""),"Fled/Apprehended")</f>
        <v>Fled/Apprehended</v>
      </c>
      <c r="F1049" s="8" t="str">
        <f ca="1">IFERROR(__xludf.DUMMYFUNCTION("""COMPUTED_VALUE"""),"No")</f>
        <v>No</v>
      </c>
      <c r="G1049" s="8" t="str">
        <f ca="1">IFERROR(__xludf.DUMMYFUNCTION("""COMPUTED_VALUE"""),"None")</f>
        <v>None</v>
      </c>
    </row>
    <row r="1050" spans="1:7" ht="12.75">
      <c r="A1050" s="8" t="str">
        <f ca="1">IFERROR(__xludf.DUMMYFUNCTION("""COMPUTED_VALUE"""),"20170218MNMAM")</f>
        <v>20170218MNMAM</v>
      </c>
      <c r="B1050" s="8">
        <f ca="1">IFERROR(__xludf.DUMMYFUNCTION("""COMPUTED_VALUE"""),32)</f>
        <v>32</v>
      </c>
      <c r="C1050" s="8" t="str">
        <f ca="1">IFERROR(__xludf.DUMMYFUNCTION("""COMPUTED_VALUE"""),"Male")</f>
        <v>Male</v>
      </c>
      <c r="D1050" s="8" t="str">
        <f ca="1">IFERROR(__xludf.DUMMYFUNCTION("""COMPUTED_VALUE"""),"No Relation")</f>
        <v>No Relation</v>
      </c>
      <c r="E1050" s="8" t="str">
        <f ca="1">IFERROR(__xludf.DUMMYFUNCTION("""COMPUTED_VALUE"""),"Suicide")</f>
        <v>Suicide</v>
      </c>
      <c r="F1050" s="8" t="str">
        <f ca="1">IFERROR(__xludf.DUMMYFUNCTION("""COMPUTED_VALUE"""),"Yes")</f>
        <v>Yes</v>
      </c>
      <c r="G1050" s="8" t="str">
        <f ca="1">IFERROR(__xludf.DUMMYFUNCTION("""COMPUTED_VALUE"""),"Suicide")</f>
        <v>Suicide</v>
      </c>
    </row>
    <row r="1051" spans="1:7" ht="12.75">
      <c r="A1051" s="8" t="str">
        <f ca="1">IFERROR(__xludf.DUMMYFUNCTION("""COMPUTED_VALUE"""),"20170206LASCB")</f>
        <v>20170206LASCB</v>
      </c>
      <c r="B1051" s="8" t="str">
        <f ca="1">IFERROR(__xludf.DUMMYFUNCTION("""COMPUTED_VALUE"""),"Teen")</f>
        <v>Teen</v>
      </c>
      <c r="C1051" s="8" t="str">
        <f ca="1">IFERROR(__xludf.DUMMYFUNCTION("""COMPUTED_VALUE"""),"Male")</f>
        <v>Male</v>
      </c>
      <c r="D1051" s="8" t="str">
        <f ca="1">IFERROR(__xludf.DUMMYFUNCTION("""COMPUTED_VALUE"""),"Student")</f>
        <v>Student</v>
      </c>
      <c r="E1051" s="8" t="str">
        <f ca="1">IFERROR(__xludf.DUMMYFUNCTION("""COMPUTED_VALUE"""),"Fled/Apprehended")</f>
        <v>Fled/Apprehended</v>
      </c>
      <c r="F1051" s="8" t="str">
        <f ca="1">IFERROR(__xludf.DUMMYFUNCTION("""COMPUTED_VALUE"""),"No")</f>
        <v>No</v>
      </c>
      <c r="G1051" s="8" t="str">
        <f ca="1">IFERROR(__xludf.DUMMYFUNCTION("""COMPUTED_VALUE"""),"None")</f>
        <v>None</v>
      </c>
    </row>
    <row r="1052" spans="1:7" ht="12.75">
      <c r="A1052" s="8" t="str">
        <f ca="1">IFERROR(__xludf.DUMMYFUNCTION("""COMPUTED_VALUE"""),"20170127SCSOA")</f>
        <v>20170127SCSOA</v>
      </c>
      <c r="B1052" s="8">
        <f ca="1">IFERROR(__xludf.DUMMYFUNCTION("""COMPUTED_VALUE"""),18)</f>
        <v>18</v>
      </c>
      <c r="C1052" s="8" t="str">
        <f ca="1">IFERROR(__xludf.DUMMYFUNCTION("""COMPUTED_VALUE"""),"Male")</f>
        <v>Male</v>
      </c>
      <c r="D1052" s="8" t="str">
        <f ca="1">IFERROR(__xludf.DUMMYFUNCTION("""COMPUTED_VALUE"""),"Unknown")</f>
        <v>Unknown</v>
      </c>
      <c r="E1052" s="8" t="str">
        <f ca="1">IFERROR(__xludf.DUMMYFUNCTION("""COMPUTED_VALUE"""),"Fled/Apprehended")</f>
        <v>Fled/Apprehended</v>
      </c>
      <c r="F1052" s="8" t="str">
        <f ca="1">IFERROR(__xludf.DUMMYFUNCTION("""COMPUTED_VALUE"""),"No")</f>
        <v>No</v>
      </c>
      <c r="G1052" s="8" t="str">
        <f ca="1">IFERROR(__xludf.DUMMYFUNCTION("""COMPUTED_VALUE"""),"None")</f>
        <v>None</v>
      </c>
    </row>
    <row r="1053" spans="1:7" ht="12.75">
      <c r="A1053" s="8" t="str">
        <f ca="1">IFERROR(__xludf.DUMMYFUNCTION("""COMPUTED_VALUE"""),"20170127SCSOA")</f>
        <v>20170127SCSOA</v>
      </c>
      <c r="B1053" s="8">
        <f ca="1">IFERROR(__xludf.DUMMYFUNCTION("""COMPUTED_VALUE"""),19)</f>
        <v>19</v>
      </c>
      <c r="C1053" s="8" t="str">
        <f ca="1">IFERROR(__xludf.DUMMYFUNCTION("""COMPUTED_VALUE"""),"Male")</f>
        <v>Male</v>
      </c>
      <c r="D1053" s="8" t="str">
        <f ca="1">IFERROR(__xludf.DUMMYFUNCTION("""COMPUTED_VALUE"""),"Nonstudent Using Athletic Facilities/Attending Game")</f>
        <v>Nonstudent Using Athletic Facilities/Attending Game</v>
      </c>
      <c r="E1053" s="8" t="str">
        <f ca="1">IFERROR(__xludf.DUMMYFUNCTION("""COMPUTED_VALUE"""),"Fled/Apprehended")</f>
        <v>Fled/Apprehended</v>
      </c>
      <c r="F1053" s="8" t="str">
        <f ca="1">IFERROR(__xludf.DUMMYFUNCTION("""COMPUTED_VALUE"""),"No")</f>
        <v>No</v>
      </c>
      <c r="G1053" s="8" t="str">
        <f ca="1">IFERROR(__xludf.DUMMYFUNCTION("""COMPUTED_VALUE"""),"None")</f>
        <v>None</v>
      </c>
    </row>
    <row r="1054" spans="1:7" ht="12.75">
      <c r="A1054" s="8" t="str">
        <f ca="1">IFERROR(__xludf.DUMMYFUNCTION("""COMPUTED_VALUE"""),"20170127ILSCN")</f>
        <v>20170127ILSCN</v>
      </c>
      <c r="B1054" s="8"/>
      <c r="C1054" s="8"/>
      <c r="D1054" s="8" t="str">
        <f ca="1">IFERROR(__xludf.DUMMYFUNCTION("""COMPUTED_VALUE"""),"No Relation")</f>
        <v>No Relation</v>
      </c>
      <c r="E1054" s="8" t="str">
        <f ca="1">IFERROR(__xludf.DUMMYFUNCTION("""COMPUTED_VALUE"""),"Fled/Escaped")</f>
        <v>Fled/Escaped</v>
      </c>
      <c r="F1054" s="8" t="str">
        <f ca="1">IFERROR(__xludf.DUMMYFUNCTION("""COMPUTED_VALUE"""),"No")</f>
        <v>No</v>
      </c>
      <c r="G1054" s="8" t="str">
        <f ca="1">IFERROR(__xludf.DUMMYFUNCTION("""COMPUTED_VALUE"""),"None")</f>
        <v>None</v>
      </c>
    </row>
    <row r="1055" spans="1:7" ht="12.75">
      <c r="A1055" s="8" t="str">
        <f ca="1">IFERROR(__xludf.DUMMYFUNCTION("""COMPUTED_VALUE"""),"20170120OHWEW")</f>
        <v>20170120OHWEW</v>
      </c>
      <c r="B1055" s="8">
        <f ca="1">IFERROR(__xludf.DUMMYFUNCTION("""COMPUTED_VALUE"""),17)</f>
        <v>17</v>
      </c>
      <c r="C1055" s="8" t="str">
        <f ca="1">IFERROR(__xludf.DUMMYFUNCTION("""COMPUTED_VALUE"""),"Male")</f>
        <v>Male</v>
      </c>
      <c r="D1055" s="8" t="str">
        <f ca="1">IFERROR(__xludf.DUMMYFUNCTION("""COMPUTED_VALUE"""),"Student")</f>
        <v>Student</v>
      </c>
      <c r="E1055" s="8" t="str">
        <f ca="1">IFERROR(__xludf.DUMMYFUNCTION("""COMPUTED_VALUE"""),"Surrendered")</f>
        <v>Surrendered</v>
      </c>
      <c r="F1055" s="8" t="str">
        <f ca="1">IFERROR(__xludf.DUMMYFUNCTION("""COMPUTED_VALUE"""),"No")</f>
        <v>No</v>
      </c>
      <c r="G1055" s="8" t="str">
        <f ca="1">IFERROR(__xludf.DUMMYFUNCTION("""COMPUTED_VALUE"""),"None")</f>
        <v>None</v>
      </c>
    </row>
    <row r="1056" spans="1:7" ht="12.75">
      <c r="A1056" s="8" t="str">
        <f ca="1">IFERROR(__xludf.DUMMYFUNCTION("""COMPUTED_VALUE"""),"20170117FLFRE")</f>
        <v>20170117FLFRE</v>
      </c>
      <c r="B1056" s="8" t="str">
        <f ca="1">IFERROR(__xludf.DUMMYFUNCTION("""COMPUTED_VALUE"""),"Adult")</f>
        <v>Adult</v>
      </c>
      <c r="C1056" s="8"/>
      <c r="D1056" s="8" t="str">
        <f ca="1">IFERROR(__xludf.DUMMYFUNCTION("""COMPUTED_VALUE"""),"Parent")</f>
        <v>Parent</v>
      </c>
      <c r="E1056" s="8" t="str">
        <f ca="1">IFERROR(__xludf.DUMMYFUNCTION("""COMPUTED_VALUE"""),"Unknown")</f>
        <v>Unknown</v>
      </c>
      <c r="F1056" s="8" t="str">
        <f ca="1">IFERROR(__xludf.DUMMYFUNCTION("""COMPUTED_VALUE"""),"No")</f>
        <v>No</v>
      </c>
      <c r="G1056" s="8" t="str">
        <f ca="1">IFERROR(__xludf.DUMMYFUNCTION("""COMPUTED_VALUE"""),"None")</f>
        <v>None</v>
      </c>
    </row>
    <row r="1057" spans="1:7" ht="12.75">
      <c r="A1057" s="8" t="str">
        <f ca="1">IFERROR(__xludf.DUMMYFUNCTION("""COMPUTED_VALUE"""),"20170110ALALA")</f>
        <v>20170110ALALA</v>
      </c>
      <c r="B1057" s="8" t="str">
        <f ca="1">IFERROR(__xludf.DUMMYFUNCTION("""COMPUTED_VALUE"""),"Teen")</f>
        <v>Teen</v>
      </c>
      <c r="C1057" s="8" t="str">
        <f ca="1">IFERROR(__xludf.DUMMYFUNCTION("""COMPUTED_VALUE"""),"Male")</f>
        <v>Male</v>
      </c>
      <c r="D1057" s="8" t="str">
        <f ca="1">IFERROR(__xludf.DUMMYFUNCTION("""COMPUTED_VALUE"""),"Student")</f>
        <v>Student</v>
      </c>
      <c r="E1057" s="8" t="str">
        <f ca="1">IFERROR(__xludf.DUMMYFUNCTION("""COMPUTED_VALUE"""),"Surrendered")</f>
        <v>Surrendered</v>
      </c>
      <c r="F1057" s="8" t="str">
        <f ca="1">IFERROR(__xludf.DUMMYFUNCTION("""COMPUTED_VALUE"""),"No")</f>
        <v>No</v>
      </c>
      <c r="G1057" s="8" t="str">
        <f ca="1">IFERROR(__xludf.DUMMYFUNCTION("""COMPUTED_VALUE"""),"None")</f>
        <v>None</v>
      </c>
    </row>
    <row r="1058" spans="1:7" ht="12.75">
      <c r="A1058" s="8" t="str">
        <f ca="1">IFERROR(__xludf.DUMMYFUNCTION("""COMPUTED_VALUE"""),"20170101DELAH")</f>
        <v>20170101DELAH</v>
      </c>
      <c r="B1058" s="8">
        <f ca="1">IFERROR(__xludf.DUMMYFUNCTION("""COMPUTED_VALUE"""),19)</f>
        <v>19</v>
      </c>
      <c r="C1058" s="8" t="str">
        <f ca="1">IFERROR(__xludf.DUMMYFUNCTION("""COMPUTED_VALUE"""),"Male")</f>
        <v>Male</v>
      </c>
      <c r="D1058" s="8" t="str">
        <f ca="1">IFERROR(__xludf.DUMMYFUNCTION("""COMPUTED_VALUE"""),"Unknown")</f>
        <v>Unknown</v>
      </c>
      <c r="E1058" s="8" t="str">
        <f ca="1">IFERROR(__xludf.DUMMYFUNCTION("""COMPUTED_VALUE"""),"Fled/Apprehended")</f>
        <v>Fled/Apprehended</v>
      </c>
      <c r="F1058" s="8" t="str">
        <f ca="1">IFERROR(__xludf.DUMMYFUNCTION("""COMPUTED_VALUE"""),"No")</f>
        <v>No</v>
      </c>
      <c r="G1058" s="8" t="str">
        <f ca="1">IFERROR(__xludf.DUMMYFUNCTION("""COMPUTED_VALUE"""),"None")</f>
        <v>None</v>
      </c>
    </row>
    <row r="1059" spans="1:7" ht="12.75">
      <c r="A1059" s="8" t="str">
        <f ca="1">IFERROR(__xludf.DUMMYFUNCTION("""COMPUTED_VALUE"""),"20161216FLSAJ")</f>
        <v>20161216FLSAJ</v>
      </c>
      <c r="B1059" s="8">
        <f ca="1">IFERROR(__xludf.DUMMYFUNCTION("""COMPUTED_VALUE"""),17)</f>
        <v>17</v>
      </c>
      <c r="C1059" s="8" t="str">
        <f ca="1">IFERROR(__xludf.DUMMYFUNCTION("""COMPUTED_VALUE"""),"Male")</f>
        <v>Male</v>
      </c>
      <c r="D1059" s="8" t="str">
        <f ca="1">IFERROR(__xludf.DUMMYFUNCTION("""COMPUTED_VALUE"""),"Student")</f>
        <v>Student</v>
      </c>
      <c r="E1059" s="8" t="str">
        <f ca="1">IFERROR(__xludf.DUMMYFUNCTION("""COMPUTED_VALUE"""),"Apprehended/Killed by LE")</f>
        <v>Apprehended/Killed by LE</v>
      </c>
      <c r="F1059" s="8" t="str">
        <f ca="1">IFERROR(__xludf.DUMMYFUNCTION("""COMPUTED_VALUE"""),"No")</f>
        <v>No</v>
      </c>
      <c r="G1059" s="8" t="str">
        <f ca="1">IFERROR(__xludf.DUMMYFUNCTION("""COMPUTED_VALUE"""),"None")</f>
        <v>None</v>
      </c>
    </row>
    <row r="1060" spans="1:7" ht="12.75">
      <c r="A1060" s="8" t="str">
        <f ca="1">IFERROR(__xludf.DUMMYFUNCTION("""COMPUTED_VALUE"""),"20161209NVHUR")</f>
        <v>20161209NVHUR</v>
      </c>
      <c r="B1060" s="8" t="str">
        <f ca="1">IFERROR(__xludf.DUMMYFUNCTION("""COMPUTED_VALUE"""),"Adult")</f>
        <v>Adult</v>
      </c>
      <c r="C1060" s="8"/>
      <c r="D1060" s="8" t="str">
        <f ca="1">IFERROR(__xludf.DUMMYFUNCTION("""COMPUTED_VALUE"""),"Police Officer/SRO")</f>
        <v>Police Officer/SRO</v>
      </c>
      <c r="E1060" s="8" t="str">
        <f ca="1">IFERROR(__xludf.DUMMYFUNCTION("""COMPUTED_VALUE"""),"Law Enforcement")</f>
        <v>Law Enforcement</v>
      </c>
      <c r="F1060" s="8" t="str">
        <f ca="1">IFERROR(__xludf.DUMMYFUNCTION("""COMPUTED_VALUE"""),"No")</f>
        <v>No</v>
      </c>
      <c r="G1060" s="8" t="str">
        <f ca="1">IFERROR(__xludf.DUMMYFUNCTION("""COMPUTED_VALUE"""),"None")</f>
        <v>None</v>
      </c>
    </row>
    <row r="1061" spans="1:7" ht="12.75">
      <c r="A1061" s="8" t="str">
        <f ca="1">IFERROR(__xludf.DUMMYFUNCTION("""COMPUTED_VALUE"""),"20161209MOBAS")</f>
        <v>20161209MOBAS</v>
      </c>
      <c r="B1061" s="8"/>
      <c r="C1061" s="8" t="str">
        <f ca="1">IFERROR(__xludf.DUMMYFUNCTION("""COMPUTED_VALUE"""),"Male")</f>
        <v>Male</v>
      </c>
      <c r="D1061" s="8" t="str">
        <f ca="1">IFERROR(__xludf.DUMMYFUNCTION("""COMPUTED_VALUE"""),"Unknown")</f>
        <v>Unknown</v>
      </c>
      <c r="E1061" s="8" t="str">
        <f ca="1">IFERROR(__xludf.DUMMYFUNCTION("""COMPUTED_VALUE"""),"Fled/Escaped")</f>
        <v>Fled/Escaped</v>
      </c>
      <c r="F1061" s="8" t="str">
        <f ca="1">IFERROR(__xludf.DUMMYFUNCTION("""COMPUTED_VALUE"""),"No")</f>
        <v>No</v>
      </c>
      <c r="G1061" s="8" t="str">
        <f ca="1">IFERROR(__xludf.DUMMYFUNCTION("""COMPUTED_VALUE"""),"None")</f>
        <v>None</v>
      </c>
    </row>
    <row r="1062" spans="1:7" ht="12.75">
      <c r="A1062" s="8" t="str">
        <f ca="1">IFERROR(__xludf.DUMMYFUNCTION("""COMPUTED_VALUE"""),"20161201UTMUB")</f>
        <v>20161201UTMUB</v>
      </c>
      <c r="B1062" s="8">
        <f ca="1">IFERROR(__xludf.DUMMYFUNCTION("""COMPUTED_VALUE"""),15)</f>
        <v>15</v>
      </c>
      <c r="C1062" s="8" t="str">
        <f ca="1">IFERROR(__xludf.DUMMYFUNCTION("""COMPUTED_VALUE"""),"Male")</f>
        <v>Male</v>
      </c>
      <c r="D1062" s="8" t="str">
        <f ca="1">IFERROR(__xludf.DUMMYFUNCTION("""COMPUTED_VALUE"""),"Student")</f>
        <v>Student</v>
      </c>
      <c r="E1062" s="8" t="str">
        <f ca="1">IFERROR(__xludf.DUMMYFUNCTION("""COMPUTED_VALUE"""),"Surrendered")</f>
        <v>Surrendered</v>
      </c>
      <c r="F1062" s="8" t="str">
        <f ca="1">IFERROR(__xludf.DUMMYFUNCTION("""COMPUTED_VALUE"""),"No")</f>
        <v>No</v>
      </c>
      <c r="G1062" s="8" t="str">
        <f ca="1">IFERROR(__xludf.DUMMYFUNCTION("""COMPUTED_VALUE"""),"None")</f>
        <v>None</v>
      </c>
    </row>
    <row r="1063" spans="1:7" ht="12.75">
      <c r="A1063" s="8" t="str">
        <f ca="1">IFERROR(__xludf.DUMMYFUNCTION("""COMPUTED_VALUE"""),"20161117MNCRS")</f>
        <v>20161117MNCRS</v>
      </c>
      <c r="B1063" s="8">
        <f ca="1">IFERROR(__xludf.DUMMYFUNCTION("""COMPUTED_VALUE"""),8)</f>
        <v>8</v>
      </c>
      <c r="C1063" s="8" t="str">
        <f ca="1">IFERROR(__xludf.DUMMYFUNCTION("""COMPUTED_VALUE"""),"Male")</f>
        <v>Male</v>
      </c>
      <c r="D1063" s="8" t="str">
        <f ca="1">IFERROR(__xludf.DUMMYFUNCTION("""COMPUTED_VALUE"""),"Student")</f>
        <v>Student</v>
      </c>
      <c r="E1063" s="8" t="str">
        <f ca="1">IFERROR(__xludf.DUMMYFUNCTION("""COMPUTED_VALUE"""),"Unknown")</f>
        <v>Unknown</v>
      </c>
      <c r="F1063" s="8" t="str">
        <f ca="1">IFERROR(__xludf.DUMMYFUNCTION("""COMPUTED_VALUE"""),"No")</f>
        <v>No</v>
      </c>
      <c r="G1063" s="8" t="str">
        <f ca="1">IFERROR(__xludf.DUMMYFUNCTION("""COMPUTED_VALUE"""),"None")</f>
        <v>None</v>
      </c>
    </row>
    <row r="1064" spans="1:7" ht="12.75">
      <c r="A1064" s="8" t="str">
        <f ca="1">IFERROR(__xludf.DUMMYFUNCTION("""COMPUTED_VALUE"""),"20161111MIBAA")</f>
        <v>20161111MIBAA</v>
      </c>
      <c r="B1064" s="8" t="str">
        <f ca="1">IFERROR(__xludf.DUMMYFUNCTION("""COMPUTED_VALUE"""),"Adult")</f>
        <v>Adult</v>
      </c>
      <c r="C1064" s="8" t="str">
        <f ca="1">IFERROR(__xludf.DUMMYFUNCTION("""COMPUTED_VALUE"""),"Male")</f>
        <v>Male</v>
      </c>
      <c r="D1064" s="8" t="str">
        <f ca="1">IFERROR(__xludf.DUMMYFUNCTION("""COMPUTED_VALUE"""),"Police Officer/SRO")</f>
        <v>Police Officer/SRO</v>
      </c>
      <c r="E1064" s="8" t="str">
        <f ca="1">IFERROR(__xludf.DUMMYFUNCTION("""COMPUTED_VALUE"""),"Law Enforcement")</f>
        <v>Law Enforcement</v>
      </c>
      <c r="F1064" s="8" t="str">
        <f ca="1">IFERROR(__xludf.DUMMYFUNCTION("""COMPUTED_VALUE"""),"No")</f>
        <v>No</v>
      </c>
      <c r="G1064" s="8" t="str">
        <f ca="1">IFERROR(__xludf.DUMMYFUNCTION("""COMPUTED_VALUE"""),"None")</f>
        <v>None</v>
      </c>
    </row>
    <row r="1065" spans="1:7" ht="12.75">
      <c r="A1065" s="8" t="str">
        <f ca="1">IFERROR(__xludf.DUMMYFUNCTION("""COMPUTED_VALUE"""),"20161103COBEB")</f>
        <v>20161103COBEB</v>
      </c>
      <c r="B1065" s="8">
        <f ca="1">IFERROR(__xludf.DUMMYFUNCTION("""COMPUTED_VALUE"""),15)</f>
        <v>15</v>
      </c>
      <c r="C1065" s="8" t="str">
        <f ca="1">IFERROR(__xludf.DUMMYFUNCTION("""COMPUTED_VALUE"""),"Male")</f>
        <v>Male</v>
      </c>
      <c r="D1065" s="8" t="str">
        <f ca="1">IFERROR(__xludf.DUMMYFUNCTION("""COMPUTED_VALUE"""),"Student")</f>
        <v>Student</v>
      </c>
      <c r="E1065" s="8" t="str">
        <f ca="1">IFERROR(__xludf.DUMMYFUNCTION("""COMPUTED_VALUE"""),"Suicide")</f>
        <v>Suicide</v>
      </c>
      <c r="F1065" s="8" t="str">
        <f ca="1">IFERROR(__xludf.DUMMYFUNCTION("""COMPUTED_VALUE"""),"Yes")</f>
        <v>Yes</v>
      </c>
      <c r="G1065" s="8" t="str">
        <f ca="1">IFERROR(__xludf.DUMMYFUNCTION("""COMPUTED_VALUE"""),"Suicide")</f>
        <v>Suicide</v>
      </c>
    </row>
    <row r="1066" spans="1:7" ht="12.75">
      <c r="A1066" s="8" t="str">
        <f ca="1">IFERROR(__xludf.DUMMYFUNCTION("""COMPUTED_VALUE"""),"20161102COGRG")</f>
        <v>20161102COGRG</v>
      </c>
      <c r="B1066" s="8">
        <f ca="1">IFERROR(__xludf.DUMMYFUNCTION("""COMPUTED_VALUE"""),17)</f>
        <v>17</v>
      </c>
      <c r="C1066" s="8" t="str">
        <f ca="1">IFERROR(__xludf.DUMMYFUNCTION("""COMPUTED_VALUE"""),"Male")</f>
        <v>Male</v>
      </c>
      <c r="D1066" s="8" t="str">
        <f ca="1">IFERROR(__xludf.DUMMYFUNCTION("""COMPUTED_VALUE"""),"Student")</f>
        <v>Student</v>
      </c>
      <c r="E1066" s="8" t="str">
        <f ca="1">IFERROR(__xludf.DUMMYFUNCTION("""COMPUTED_VALUE"""),"Suicide")</f>
        <v>Suicide</v>
      </c>
      <c r="F1066" s="8" t="str">
        <f ca="1">IFERROR(__xludf.DUMMYFUNCTION("""COMPUTED_VALUE"""),"Yes")</f>
        <v>Yes</v>
      </c>
      <c r="G1066" s="8" t="str">
        <f ca="1">IFERROR(__xludf.DUMMYFUNCTION("""COMPUTED_VALUE"""),"Suicide")</f>
        <v>Suicide</v>
      </c>
    </row>
    <row r="1067" spans="1:7" ht="12.75">
      <c r="A1067" s="8" t="str">
        <f ca="1">IFERROR(__xludf.DUMMYFUNCTION("""COMPUTED_VALUE"""),"20161025UTUNS")</f>
        <v>20161025UTUNS</v>
      </c>
      <c r="B1067" s="8">
        <f ca="1">IFERROR(__xludf.DUMMYFUNCTION("""COMPUTED_VALUE"""),14)</f>
        <v>14</v>
      </c>
      <c r="C1067" s="8" t="str">
        <f ca="1">IFERROR(__xludf.DUMMYFUNCTION("""COMPUTED_VALUE"""),"Male")</f>
        <v>Male</v>
      </c>
      <c r="D1067" s="8" t="str">
        <f ca="1">IFERROR(__xludf.DUMMYFUNCTION("""COMPUTED_VALUE"""),"Student")</f>
        <v>Student</v>
      </c>
      <c r="E1067" s="8" t="str">
        <f ca="1">IFERROR(__xludf.DUMMYFUNCTION("""COMPUTED_VALUE"""),"Surrendered")</f>
        <v>Surrendered</v>
      </c>
      <c r="F1067" s="8" t="str">
        <f ca="1">IFERROR(__xludf.DUMMYFUNCTION("""COMPUTED_VALUE"""),"No")</f>
        <v>No</v>
      </c>
      <c r="G1067" s="8" t="str">
        <f ca="1">IFERROR(__xludf.DUMMYFUNCTION("""COMPUTED_VALUE"""),"None")</f>
        <v>None</v>
      </c>
    </row>
    <row r="1068" spans="1:7" ht="12.75">
      <c r="A1068" s="8" t="str">
        <f ca="1">IFERROR(__xludf.DUMMYFUNCTION("""COMPUTED_VALUE"""),"20161018CAJUS")</f>
        <v>20161018CAJUS</v>
      </c>
      <c r="B1068" s="8">
        <f ca="1">IFERROR(__xludf.DUMMYFUNCTION("""COMPUTED_VALUE"""),17)</f>
        <v>17</v>
      </c>
      <c r="C1068" s="8" t="str">
        <f ca="1">IFERROR(__xludf.DUMMYFUNCTION("""COMPUTED_VALUE"""),"Male")</f>
        <v>Male</v>
      </c>
      <c r="D1068" s="8" t="str">
        <f ca="1">IFERROR(__xludf.DUMMYFUNCTION("""COMPUTED_VALUE"""),"Nonstudent")</f>
        <v>Nonstudent</v>
      </c>
      <c r="E1068" s="8" t="str">
        <f ca="1">IFERROR(__xludf.DUMMYFUNCTION("""COMPUTED_VALUE"""),"Fled/Apprehended")</f>
        <v>Fled/Apprehended</v>
      </c>
      <c r="F1068" s="8" t="str">
        <f ca="1">IFERROR(__xludf.DUMMYFUNCTION("""COMPUTED_VALUE"""),"No")</f>
        <v>No</v>
      </c>
      <c r="G1068" s="8" t="str">
        <f ca="1">IFERROR(__xludf.DUMMYFUNCTION("""COMPUTED_VALUE"""),"None")</f>
        <v>None</v>
      </c>
    </row>
    <row r="1069" spans="1:7" ht="12.75">
      <c r="A1069" s="8" t="str">
        <f ca="1">IFERROR(__xludf.DUMMYFUNCTION("""COMPUTED_VALUE"""),"20161018CAJUS")</f>
        <v>20161018CAJUS</v>
      </c>
      <c r="B1069" s="8" t="str">
        <f ca="1">IFERROR(__xludf.DUMMYFUNCTION("""COMPUTED_VALUE"""),"Teen")</f>
        <v>Teen</v>
      </c>
      <c r="C1069" s="8" t="str">
        <f ca="1">IFERROR(__xludf.DUMMYFUNCTION("""COMPUTED_VALUE"""),"Male")</f>
        <v>Male</v>
      </c>
      <c r="D1069" s="8" t="str">
        <f ca="1">IFERROR(__xludf.DUMMYFUNCTION("""COMPUTED_VALUE"""),"Nonstudent")</f>
        <v>Nonstudent</v>
      </c>
      <c r="E1069" s="8" t="str">
        <f ca="1">IFERROR(__xludf.DUMMYFUNCTION("""COMPUTED_VALUE"""),"Fled/Apprehended")</f>
        <v>Fled/Apprehended</v>
      </c>
      <c r="F1069" s="8" t="str">
        <f ca="1">IFERROR(__xludf.DUMMYFUNCTION("""COMPUTED_VALUE"""),"No")</f>
        <v>No</v>
      </c>
      <c r="G1069" s="8" t="str">
        <f ca="1">IFERROR(__xludf.DUMMYFUNCTION("""COMPUTED_VALUE"""),"None")</f>
        <v>None</v>
      </c>
    </row>
    <row r="1070" spans="1:7" ht="12.75">
      <c r="A1070" s="8" t="str">
        <f ca="1">IFERROR(__xludf.DUMMYFUNCTION("""COMPUTED_VALUE"""),"20161018CAJUS")</f>
        <v>20161018CAJUS</v>
      </c>
      <c r="B1070" s="8" t="str">
        <f ca="1">IFERROR(__xludf.DUMMYFUNCTION("""COMPUTED_VALUE"""),"Teen")</f>
        <v>Teen</v>
      </c>
      <c r="C1070" s="8" t="str">
        <f ca="1">IFERROR(__xludf.DUMMYFUNCTION("""COMPUTED_VALUE"""),"Male")</f>
        <v>Male</v>
      </c>
      <c r="D1070" s="8" t="str">
        <f ca="1">IFERROR(__xludf.DUMMYFUNCTION("""COMPUTED_VALUE"""),"Nonstudent")</f>
        <v>Nonstudent</v>
      </c>
      <c r="E1070" s="8" t="str">
        <f ca="1">IFERROR(__xludf.DUMMYFUNCTION("""COMPUTED_VALUE"""),"Fled/Apprehended")</f>
        <v>Fled/Apprehended</v>
      </c>
      <c r="F1070" s="8" t="str">
        <f ca="1">IFERROR(__xludf.DUMMYFUNCTION("""COMPUTED_VALUE"""),"No")</f>
        <v>No</v>
      </c>
      <c r="G1070" s="8" t="str">
        <f ca="1">IFERROR(__xludf.DUMMYFUNCTION("""COMPUTED_VALUE"""),"None")</f>
        <v>None</v>
      </c>
    </row>
    <row r="1071" spans="1:7" ht="12.75">
      <c r="A1071" s="8" t="str">
        <f ca="1">IFERROR(__xludf.DUMMYFUNCTION("""COMPUTED_VALUE"""),"20161018CAJUS")</f>
        <v>20161018CAJUS</v>
      </c>
      <c r="B1071" s="8" t="str">
        <f ca="1">IFERROR(__xludf.DUMMYFUNCTION("""COMPUTED_VALUE"""),"Teen")</f>
        <v>Teen</v>
      </c>
      <c r="C1071" s="8" t="str">
        <f ca="1">IFERROR(__xludf.DUMMYFUNCTION("""COMPUTED_VALUE"""),"Male")</f>
        <v>Male</v>
      </c>
      <c r="D1071" s="8" t="str">
        <f ca="1">IFERROR(__xludf.DUMMYFUNCTION("""COMPUTED_VALUE"""),"Nonstudent")</f>
        <v>Nonstudent</v>
      </c>
      <c r="E1071" s="8" t="str">
        <f ca="1">IFERROR(__xludf.DUMMYFUNCTION("""COMPUTED_VALUE"""),"Fled/Apprehended")</f>
        <v>Fled/Apprehended</v>
      </c>
      <c r="F1071" s="8" t="str">
        <f ca="1">IFERROR(__xludf.DUMMYFUNCTION("""COMPUTED_VALUE"""),"No")</f>
        <v>No</v>
      </c>
      <c r="G1071" s="8" t="str">
        <f ca="1">IFERROR(__xludf.DUMMYFUNCTION("""COMPUTED_VALUE"""),"None")</f>
        <v>None</v>
      </c>
    </row>
    <row r="1072" spans="1:7" ht="12.75">
      <c r="A1072" s="8" t="str">
        <f ca="1">IFERROR(__xludf.DUMMYFUNCTION("""COMPUTED_VALUE"""),"20161015GABEA")</f>
        <v>20161015GABEA</v>
      </c>
      <c r="B1072" s="8"/>
      <c r="C1072" s="8" t="str">
        <f ca="1">IFERROR(__xludf.DUMMYFUNCTION("""COMPUTED_VALUE"""),"Male")</f>
        <v>Male</v>
      </c>
      <c r="D1072" s="8" t="str">
        <f ca="1">IFERROR(__xludf.DUMMYFUNCTION("""COMPUTED_VALUE"""),"Unknown")</f>
        <v>Unknown</v>
      </c>
      <c r="E1072" s="8" t="str">
        <f ca="1">IFERROR(__xludf.DUMMYFUNCTION("""COMPUTED_VALUE"""),"Fled/Escaped")</f>
        <v>Fled/Escaped</v>
      </c>
      <c r="F1072" s="8" t="str">
        <f ca="1">IFERROR(__xludf.DUMMYFUNCTION("""COMPUTED_VALUE"""),"No")</f>
        <v>No</v>
      </c>
      <c r="G1072" s="8" t="str">
        <f ca="1">IFERROR(__xludf.DUMMYFUNCTION("""COMPUTED_VALUE"""),"None")</f>
        <v>None</v>
      </c>
    </row>
    <row r="1073" spans="1:7" ht="12.75">
      <c r="A1073" s="8" t="str">
        <f ca="1">IFERROR(__xludf.DUMMYFUNCTION("""COMPUTED_VALUE"""),"20161013OHLIC")</f>
        <v>20161013OHLIC</v>
      </c>
      <c r="B1073" s="8">
        <f ca="1">IFERROR(__xludf.DUMMYFUNCTION("""COMPUTED_VALUE"""),16)</f>
        <v>16</v>
      </c>
      <c r="C1073" s="8" t="str">
        <f ca="1">IFERROR(__xludf.DUMMYFUNCTION("""COMPUTED_VALUE"""),"Male")</f>
        <v>Male</v>
      </c>
      <c r="D1073" s="8" t="str">
        <f ca="1">IFERROR(__xludf.DUMMYFUNCTION("""COMPUTED_VALUE"""),"Unknown")</f>
        <v>Unknown</v>
      </c>
      <c r="E1073" s="8" t="str">
        <f ca="1">IFERROR(__xludf.DUMMYFUNCTION("""COMPUTED_VALUE"""),"Fled/Apprehended")</f>
        <v>Fled/Apprehended</v>
      </c>
      <c r="F1073" s="8" t="str">
        <f ca="1">IFERROR(__xludf.DUMMYFUNCTION("""COMPUTED_VALUE"""),"No")</f>
        <v>No</v>
      </c>
      <c r="G1073" s="8" t="str">
        <f ca="1">IFERROR(__xludf.DUMMYFUNCTION("""COMPUTED_VALUE"""),"None")</f>
        <v>None</v>
      </c>
    </row>
    <row r="1074" spans="1:7" ht="12.75">
      <c r="A1074" s="8" t="str">
        <f ca="1">IFERROR(__xludf.DUMMYFUNCTION("""COMPUTED_VALUE"""),"20161013OHLIC")</f>
        <v>20161013OHLIC</v>
      </c>
      <c r="B1074" s="8">
        <f ca="1">IFERROR(__xludf.DUMMYFUNCTION("""COMPUTED_VALUE"""),16)</f>
        <v>16</v>
      </c>
      <c r="C1074" s="8" t="str">
        <f ca="1">IFERROR(__xludf.DUMMYFUNCTION("""COMPUTED_VALUE"""),"Male")</f>
        <v>Male</v>
      </c>
      <c r="D1074" s="8" t="str">
        <f ca="1">IFERROR(__xludf.DUMMYFUNCTION("""COMPUTED_VALUE"""),"Unknown")</f>
        <v>Unknown</v>
      </c>
      <c r="E1074" s="8" t="str">
        <f ca="1">IFERROR(__xludf.DUMMYFUNCTION("""COMPUTED_VALUE"""),"Fled/Apprehended")</f>
        <v>Fled/Apprehended</v>
      </c>
      <c r="F1074" s="8" t="str">
        <f ca="1">IFERROR(__xludf.DUMMYFUNCTION("""COMPUTED_VALUE"""),"No")</f>
        <v>No</v>
      </c>
      <c r="G1074" s="8" t="str">
        <f ca="1">IFERROR(__xludf.DUMMYFUNCTION("""COMPUTED_VALUE"""),"None")</f>
        <v>None</v>
      </c>
    </row>
    <row r="1075" spans="1:7" ht="12.75">
      <c r="A1075" s="8" t="str">
        <f ca="1">IFERROR(__xludf.DUMMYFUNCTION("""COMPUTED_VALUE"""),"20161011ALVIM")</f>
        <v>20161011ALVIM</v>
      </c>
      <c r="B1075" s="8">
        <f ca="1">IFERROR(__xludf.DUMMYFUNCTION("""COMPUTED_VALUE"""),16)</f>
        <v>16</v>
      </c>
      <c r="C1075" s="8" t="str">
        <f ca="1">IFERROR(__xludf.DUMMYFUNCTION("""COMPUTED_VALUE"""),"Male")</f>
        <v>Male</v>
      </c>
      <c r="D1075" s="8" t="str">
        <f ca="1">IFERROR(__xludf.DUMMYFUNCTION("""COMPUTED_VALUE"""),"Student")</f>
        <v>Student</v>
      </c>
      <c r="E1075" s="8" t="str">
        <f ca="1">IFERROR(__xludf.DUMMYFUNCTION("""COMPUTED_VALUE"""),"Surrendered")</f>
        <v>Surrendered</v>
      </c>
      <c r="F1075" s="8" t="str">
        <f ca="1">IFERROR(__xludf.DUMMYFUNCTION("""COMPUTED_VALUE"""),"No")</f>
        <v>No</v>
      </c>
      <c r="G1075" s="8" t="str">
        <f ca="1">IFERROR(__xludf.DUMMYFUNCTION("""COMPUTED_VALUE"""),"None")</f>
        <v>None</v>
      </c>
    </row>
    <row r="1076" spans="1:7" ht="12.75">
      <c r="A1076" s="8" t="str">
        <f ca="1">IFERROR(__xludf.DUMMYFUNCTION("""COMPUTED_VALUE"""),"20161006TXDUF")</f>
        <v>20161006TXDUF</v>
      </c>
      <c r="B1076" s="8"/>
      <c r="C1076" s="8"/>
      <c r="D1076" s="8" t="str">
        <f ca="1">IFERROR(__xludf.DUMMYFUNCTION("""COMPUTED_VALUE"""),"Unknown")</f>
        <v>Unknown</v>
      </c>
      <c r="E1076" s="8" t="str">
        <f ca="1">IFERROR(__xludf.DUMMYFUNCTION("""COMPUTED_VALUE"""),"Fled/Escaped")</f>
        <v>Fled/Escaped</v>
      </c>
      <c r="F1076" s="8" t="str">
        <f ca="1">IFERROR(__xludf.DUMMYFUNCTION("""COMPUTED_VALUE"""),"No")</f>
        <v>No</v>
      </c>
      <c r="G1076" s="8" t="str">
        <f ca="1">IFERROR(__xludf.DUMMYFUNCTION("""COMPUTED_VALUE"""),"None")</f>
        <v>None</v>
      </c>
    </row>
    <row r="1077" spans="1:7" ht="12.75">
      <c r="A1077" s="8" t="str">
        <f ca="1">IFERROR(__xludf.DUMMYFUNCTION("""COMPUTED_VALUE"""),"20160930ILCHC")</f>
        <v>20160930ILCHC</v>
      </c>
      <c r="B1077" s="8"/>
      <c r="C1077" s="8"/>
      <c r="D1077" s="8" t="str">
        <f ca="1">IFERROR(__xludf.DUMMYFUNCTION("""COMPUTED_VALUE"""),"Unknown")</f>
        <v>Unknown</v>
      </c>
      <c r="E1077" s="8" t="str">
        <f ca="1">IFERROR(__xludf.DUMMYFUNCTION("""COMPUTED_VALUE"""),"Fled/Escaped")</f>
        <v>Fled/Escaped</v>
      </c>
      <c r="F1077" s="8" t="str">
        <f ca="1">IFERROR(__xludf.DUMMYFUNCTION("""COMPUTED_VALUE"""),"No")</f>
        <v>No</v>
      </c>
      <c r="G1077" s="8" t="str">
        <f ca="1">IFERROR(__xludf.DUMMYFUNCTION("""COMPUTED_VALUE"""),"None")</f>
        <v>None</v>
      </c>
    </row>
    <row r="1078" spans="1:7" ht="12.75">
      <c r="A1078" s="8" t="str">
        <f ca="1">IFERROR(__xludf.DUMMYFUNCTION("""COMPUTED_VALUE"""),"20160928TNSYP")</f>
        <v>20160928TNSYP</v>
      </c>
      <c r="B1078" s="8">
        <f ca="1">IFERROR(__xludf.DUMMYFUNCTION("""COMPUTED_VALUE"""),14)</f>
        <v>14</v>
      </c>
      <c r="C1078" s="8" t="str">
        <f ca="1">IFERROR(__xludf.DUMMYFUNCTION("""COMPUTED_VALUE"""),"Male")</f>
        <v>Male</v>
      </c>
      <c r="D1078" s="8" t="str">
        <f ca="1">IFERROR(__xludf.DUMMYFUNCTION("""COMPUTED_VALUE"""),"Student")</f>
        <v>Student</v>
      </c>
      <c r="E1078" s="8" t="str">
        <f ca="1">IFERROR(__xludf.DUMMYFUNCTION("""COMPUTED_VALUE"""),"Surrendered")</f>
        <v>Surrendered</v>
      </c>
      <c r="F1078" s="8" t="str">
        <f ca="1">IFERROR(__xludf.DUMMYFUNCTION("""COMPUTED_VALUE"""),"No")</f>
        <v>No</v>
      </c>
      <c r="G1078" s="8" t="str">
        <f ca="1">IFERROR(__xludf.DUMMYFUNCTION("""COMPUTED_VALUE"""),"None")</f>
        <v>None</v>
      </c>
    </row>
    <row r="1079" spans="1:7" ht="12.75">
      <c r="A1079" s="8" t="str">
        <f ca="1">IFERROR(__xludf.DUMMYFUNCTION("""COMPUTED_VALUE"""),"20160928SCTOT")</f>
        <v>20160928SCTOT</v>
      </c>
      <c r="B1079" s="8">
        <f ca="1">IFERROR(__xludf.DUMMYFUNCTION("""COMPUTED_VALUE"""),14)</f>
        <v>14</v>
      </c>
      <c r="C1079" s="8" t="str">
        <f ca="1">IFERROR(__xludf.DUMMYFUNCTION("""COMPUTED_VALUE"""),"Male")</f>
        <v>Male</v>
      </c>
      <c r="D1079" s="8" t="str">
        <f ca="1">IFERROR(__xludf.DUMMYFUNCTION("""COMPUTED_VALUE"""),"Former Student")</f>
        <v>Former Student</v>
      </c>
      <c r="E1079" s="8" t="str">
        <f ca="1">IFERROR(__xludf.DUMMYFUNCTION("""COMPUTED_VALUE"""),"Subdued by Students/Staff/Other")</f>
        <v>Subdued by Students/Staff/Other</v>
      </c>
      <c r="F1079" s="8" t="str">
        <f ca="1">IFERROR(__xludf.DUMMYFUNCTION("""COMPUTED_VALUE"""),"No")</f>
        <v>No</v>
      </c>
      <c r="G1079" s="8" t="str">
        <f ca="1">IFERROR(__xludf.DUMMYFUNCTION("""COMPUTED_VALUE"""),"None")</f>
        <v>None</v>
      </c>
    </row>
    <row r="1080" spans="1:7" ht="12.75">
      <c r="A1080" s="8" t="str">
        <f ca="1">IFERROR(__xludf.DUMMYFUNCTION("""COMPUTED_VALUE"""),"20160927OHELC")</f>
        <v>20160927OHELC</v>
      </c>
      <c r="B1080" s="8"/>
      <c r="C1080" s="8"/>
      <c r="D1080" s="8" t="str">
        <f ca="1">IFERROR(__xludf.DUMMYFUNCTION("""COMPUTED_VALUE"""),"Unknown")</f>
        <v>Unknown</v>
      </c>
      <c r="E1080" s="8" t="str">
        <f ca="1">IFERROR(__xludf.DUMMYFUNCTION("""COMPUTED_VALUE"""),"Fled/Escaped")</f>
        <v>Fled/Escaped</v>
      </c>
      <c r="F1080" s="8" t="str">
        <f ca="1">IFERROR(__xludf.DUMMYFUNCTION("""COMPUTED_VALUE"""),"No")</f>
        <v>No</v>
      </c>
      <c r="G1080" s="8" t="str">
        <f ca="1">IFERROR(__xludf.DUMMYFUNCTION("""COMPUTED_VALUE"""),"None")</f>
        <v>None</v>
      </c>
    </row>
    <row r="1081" spans="1:7" ht="12.75">
      <c r="A1081" s="8" t="str">
        <f ca="1">IFERROR(__xludf.DUMMYFUNCTION("""COMPUTED_VALUE"""),"20160926MSTAJ")</f>
        <v>20160926MSTAJ</v>
      </c>
      <c r="B1081" s="8">
        <f ca="1">IFERROR(__xludf.DUMMYFUNCTION("""COMPUTED_VALUE"""),18)</f>
        <v>18</v>
      </c>
      <c r="C1081" s="8" t="str">
        <f ca="1">IFERROR(__xludf.DUMMYFUNCTION("""COMPUTED_VALUE"""),"Male")</f>
        <v>Male</v>
      </c>
      <c r="D1081" s="8" t="str">
        <f ca="1">IFERROR(__xludf.DUMMYFUNCTION("""COMPUTED_VALUE"""),"No Relation")</f>
        <v>No Relation</v>
      </c>
      <c r="E1081" s="8" t="str">
        <f ca="1">IFERROR(__xludf.DUMMYFUNCTION("""COMPUTED_VALUE"""),"Fled/Apprehended")</f>
        <v>Fled/Apprehended</v>
      </c>
      <c r="F1081" s="8" t="str">
        <f ca="1">IFERROR(__xludf.DUMMYFUNCTION("""COMPUTED_VALUE"""),"No")</f>
        <v>No</v>
      </c>
      <c r="G1081" s="8" t="str">
        <f ca="1">IFERROR(__xludf.DUMMYFUNCTION("""COMPUTED_VALUE"""),"None")</f>
        <v>None</v>
      </c>
    </row>
    <row r="1082" spans="1:7" ht="12.75">
      <c r="A1082" s="8" t="str">
        <f ca="1">IFERROR(__xludf.DUMMYFUNCTION("""COMPUTED_VALUE"""),"20160909PASMY")</f>
        <v>20160909PASMY</v>
      </c>
      <c r="B1082" s="8"/>
      <c r="C1082" s="8" t="str">
        <f ca="1">IFERROR(__xludf.DUMMYFUNCTION("""COMPUTED_VALUE"""),"Male")</f>
        <v>Male</v>
      </c>
      <c r="D1082" s="8" t="str">
        <f ca="1">IFERROR(__xludf.DUMMYFUNCTION("""COMPUTED_VALUE"""),"Unknown")</f>
        <v>Unknown</v>
      </c>
      <c r="E1082" s="8" t="str">
        <f ca="1">IFERROR(__xludf.DUMMYFUNCTION("""COMPUTED_VALUE"""),"Fled/Escaped")</f>
        <v>Fled/Escaped</v>
      </c>
      <c r="F1082" s="8" t="str">
        <f ca="1">IFERROR(__xludf.DUMMYFUNCTION("""COMPUTED_VALUE"""),"No")</f>
        <v>No</v>
      </c>
      <c r="G1082" s="8" t="str">
        <f ca="1">IFERROR(__xludf.DUMMYFUNCTION("""COMPUTED_VALUE"""),"None")</f>
        <v>None</v>
      </c>
    </row>
    <row r="1083" spans="1:7" ht="12.75">
      <c r="A1083" s="8" t="str">
        <f ca="1">IFERROR(__xludf.DUMMYFUNCTION("""COMPUTED_VALUE"""),"20160909IACEC")</f>
        <v>20160909IACEC</v>
      </c>
      <c r="B1083" s="8">
        <f ca="1">IFERROR(__xludf.DUMMYFUNCTION("""COMPUTED_VALUE"""),15)</f>
        <v>15</v>
      </c>
      <c r="C1083" s="8" t="str">
        <f ca="1">IFERROR(__xludf.DUMMYFUNCTION("""COMPUTED_VALUE"""),"Male")</f>
        <v>Male</v>
      </c>
      <c r="D1083" s="8" t="str">
        <f ca="1">IFERROR(__xludf.DUMMYFUNCTION("""COMPUTED_VALUE"""),"Student")</f>
        <v>Student</v>
      </c>
      <c r="E1083" s="8" t="str">
        <f ca="1">IFERROR(__xludf.DUMMYFUNCTION("""COMPUTED_VALUE"""),"Suicide")</f>
        <v>Suicide</v>
      </c>
      <c r="F1083" s="8" t="str">
        <f ca="1">IFERROR(__xludf.DUMMYFUNCTION("""COMPUTED_VALUE"""),"Yes")</f>
        <v>Yes</v>
      </c>
      <c r="G1083" s="8" t="str">
        <f ca="1">IFERROR(__xludf.DUMMYFUNCTION("""COMPUTED_VALUE"""),"Suicide")</f>
        <v>Suicide</v>
      </c>
    </row>
    <row r="1084" spans="1:7" ht="12.75">
      <c r="A1084" s="8" t="str">
        <f ca="1">IFERROR(__xludf.DUMMYFUNCTION("""COMPUTED_VALUE"""),"20160908TXALA")</f>
        <v>20160908TXALA</v>
      </c>
      <c r="B1084" s="8">
        <f ca="1">IFERROR(__xludf.DUMMYFUNCTION("""COMPUTED_VALUE"""),14)</f>
        <v>14</v>
      </c>
      <c r="C1084" s="8" t="str">
        <f ca="1">IFERROR(__xludf.DUMMYFUNCTION("""COMPUTED_VALUE"""),"Female")</f>
        <v>Female</v>
      </c>
      <c r="D1084" s="8" t="str">
        <f ca="1">IFERROR(__xludf.DUMMYFUNCTION("""COMPUTED_VALUE"""),"Student")</f>
        <v>Student</v>
      </c>
      <c r="E1084" s="8" t="str">
        <f ca="1">IFERROR(__xludf.DUMMYFUNCTION("""COMPUTED_VALUE"""),"Suicide")</f>
        <v>Suicide</v>
      </c>
      <c r="F1084" s="8" t="str">
        <f ca="1">IFERROR(__xludf.DUMMYFUNCTION("""COMPUTED_VALUE"""),"Yes")</f>
        <v>Yes</v>
      </c>
      <c r="G1084" s="8" t="str">
        <f ca="1">IFERROR(__xludf.DUMMYFUNCTION("""COMPUTED_VALUE"""),"Suicide")</f>
        <v>Suicide</v>
      </c>
    </row>
    <row r="1085" spans="1:7" ht="12.75">
      <c r="A1085" s="8" t="str">
        <f ca="1">IFERROR(__xludf.DUMMYFUNCTION("""COMPUTED_VALUE"""),"20160907MIDED")</f>
        <v>20160907MIDED</v>
      </c>
      <c r="B1085" s="8"/>
      <c r="C1085" s="8"/>
      <c r="D1085" s="8" t="str">
        <f ca="1">IFERROR(__xludf.DUMMYFUNCTION("""COMPUTED_VALUE"""),"Unknown")</f>
        <v>Unknown</v>
      </c>
      <c r="E1085" s="8" t="str">
        <f ca="1">IFERROR(__xludf.DUMMYFUNCTION("""COMPUTED_VALUE"""),"Fled/Escaped")</f>
        <v>Fled/Escaped</v>
      </c>
      <c r="F1085" s="8" t="str">
        <f ca="1">IFERROR(__xludf.DUMMYFUNCTION("""COMPUTED_VALUE"""),"No")</f>
        <v>No</v>
      </c>
      <c r="G1085" s="8" t="str">
        <f ca="1">IFERROR(__xludf.DUMMYFUNCTION("""COMPUTED_VALUE"""),"None")</f>
        <v>None</v>
      </c>
    </row>
    <row r="1086" spans="1:7" ht="12.75">
      <c r="A1086" s="8" t="str">
        <f ca="1">IFERROR(__xludf.DUMMYFUNCTION("""COMPUTED_VALUE"""),"20160902OKMCT")</f>
        <v>20160902OKMCT</v>
      </c>
      <c r="B1086" s="8">
        <f ca="1">IFERROR(__xludf.DUMMYFUNCTION("""COMPUTED_VALUE"""),16)</f>
        <v>16</v>
      </c>
      <c r="C1086" s="8" t="str">
        <f ca="1">IFERROR(__xludf.DUMMYFUNCTION("""COMPUTED_VALUE"""),"Male")</f>
        <v>Male</v>
      </c>
      <c r="D1086" s="8" t="str">
        <f ca="1">IFERROR(__xludf.DUMMYFUNCTION("""COMPUTED_VALUE"""),"Unknown")</f>
        <v>Unknown</v>
      </c>
      <c r="E1086" s="8" t="str">
        <f ca="1">IFERROR(__xludf.DUMMYFUNCTION("""COMPUTED_VALUE"""),"Fled/Escaped")</f>
        <v>Fled/Escaped</v>
      </c>
      <c r="F1086" s="8" t="str">
        <f ca="1">IFERROR(__xludf.DUMMYFUNCTION("""COMPUTED_VALUE"""),"No")</f>
        <v>No</v>
      </c>
      <c r="G1086" s="8" t="str">
        <f ca="1">IFERROR(__xludf.DUMMYFUNCTION("""COMPUTED_VALUE"""),"None")</f>
        <v>None</v>
      </c>
    </row>
    <row r="1087" spans="1:7" ht="12.75">
      <c r="A1087" s="8" t="str">
        <f ca="1">IFERROR(__xludf.DUMMYFUNCTION("""COMPUTED_VALUE"""),"20160819FLSOM")</f>
        <v>20160819FLSOM</v>
      </c>
      <c r="B1087" s="8"/>
      <c r="C1087" s="8" t="str">
        <f ca="1">IFERROR(__xludf.DUMMYFUNCTION("""COMPUTED_VALUE"""),"Male")</f>
        <v>Male</v>
      </c>
      <c r="D1087" s="8" t="str">
        <f ca="1">IFERROR(__xludf.DUMMYFUNCTION("""COMPUTED_VALUE"""),"Nonstudent Using Athletic Facilities/Attending Game")</f>
        <v>Nonstudent Using Athletic Facilities/Attending Game</v>
      </c>
      <c r="E1087" s="8" t="str">
        <f ca="1">IFERROR(__xludf.DUMMYFUNCTION("""COMPUTED_VALUE"""),"Unknown")</f>
        <v>Unknown</v>
      </c>
      <c r="F1087" s="8" t="str">
        <f ca="1">IFERROR(__xludf.DUMMYFUNCTION("""COMPUTED_VALUE"""),"No")</f>
        <v>No</v>
      </c>
      <c r="G1087" s="8" t="str">
        <f ca="1">IFERROR(__xludf.DUMMYFUNCTION("""COMPUTED_VALUE"""),"None")</f>
        <v>None</v>
      </c>
    </row>
    <row r="1088" spans="1:7" ht="12.75">
      <c r="A1088" s="8" t="str">
        <f ca="1">IFERROR(__xludf.DUMMYFUNCTION("""COMPUTED_VALUE"""),"20160817OHWEC")</f>
        <v>20160817OHWEC</v>
      </c>
      <c r="B1088" s="8" t="str">
        <f ca="1">IFERROR(__xludf.DUMMYFUNCTION("""COMPUTED_VALUE"""),"Adult")</f>
        <v>Adult</v>
      </c>
      <c r="C1088" s="8" t="str">
        <f ca="1">IFERROR(__xludf.DUMMYFUNCTION("""COMPUTED_VALUE"""),"Male")</f>
        <v>Male</v>
      </c>
      <c r="D1088" s="8" t="str">
        <f ca="1">IFERROR(__xludf.DUMMYFUNCTION("""COMPUTED_VALUE"""),"No Relation")</f>
        <v>No Relation</v>
      </c>
      <c r="E1088" s="8" t="str">
        <f ca="1">IFERROR(__xludf.DUMMYFUNCTION("""COMPUTED_VALUE"""),"Fled/Escaped")</f>
        <v>Fled/Escaped</v>
      </c>
      <c r="F1088" s="8" t="str">
        <f ca="1">IFERROR(__xludf.DUMMYFUNCTION("""COMPUTED_VALUE"""),"No")</f>
        <v>No</v>
      </c>
      <c r="G1088" s="8" t="str">
        <f ca="1">IFERROR(__xludf.DUMMYFUNCTION("""COMPUTED_VALUE"""),"None")</f>
        <v>None</v>
      </c>
    </row>
    <row r="1089" spans="1:7" ht="12.75">
      <c r="A1089" s="8" t="str">
        <f ca="1">IFERROR(__xludf.DUMMYFUNCTION("""COMPUTED_VALUE"""),"20160725MOAVA")</f>
        <v>20160725MOAVA</v>
      </c>
      <c r="B1089" s="8">
        <f ca="1">IFERROR(__xludf.DUMMYFUNCTION("""COMPUTED_VALUE"""),18)</f>
        <v>18</v>
      </c>
      <c r="C1089" s="8" t="str">
        <f ca="1">IFERROR(__xludf.DUMMYFUNCTION("""COMPUTED_VALUE"""),"Male")</f>
        <v>Male</v>
      </c>
      <c r="D1089" s="8" t="str">
        <f ca="1">IFERROR(__xludf.DUMMYFUNCTION("""COMPUTED_VALUE"""),"Former Student")</f>
        <v>Former Student</v>
      </c>
      <c r="E1089" s="8" t="str">
        <f ca="1">IFERROR(__xludf.DUMMYFUNCTION("""COMPUTED_VALUE"""),"Suicide")</f>
        <v>Suicide</v>
      </c>
      <c r="F1089" s="8" t="str">
        <f ca="1">IFERROR(__xludf.DUMMYFUNCTION("""COMPUTED_VALUE"""),"Yes")</f>
        <v>Yes</v>
      </c>
      <c r="G1089" s="8" t="str">
        <f ca="1">IFERROR(__xludf.DUMMYFUNCTION("""COMPUTED_VALUE"""),"Suicide")</f>
        <v>Suicide</v>
      </c>
    </row>
    <row r="1090" spans="1:7" ht="12.75">
      <c r="A1090" s="8" t="str">
        <f ca="1">IFERROR(__xludf.DUMMYFUNCTION("""COMPUTED_VALUE"""),"20160630CAWOH")</f>
        <v>20160630CAWOH</v>
      </c>
      <c r="B1090" s="8"/>
      <c r="C1090" s="8"/>
      <c r="D1090" s="8" t="str">
        <f ca="1">IFERROR(__xludf.DUMMYFUNCTION("""COMPUTED_VALUE"""),"Unknown")</f>
        <v>Unknown</v>
      </c>
      <c r="E1090" s="8" t="str">
        <f ca="1">IFERROR(__xludf.DUMMYFUNCTION("""COMPUTED_VALUE"""),"Fled/Escaped")</f>
        <v>Fled/Escaped</v>
      </c>
      <c r="F1090" s="8" t="str">
        <f ca="1">IFERROR(__xludf.DUMMYFUNCTION("""COMPUTED_VALUE"""),"No")</f>
        <v>No</v>
      </c>
      <c r="G1090" s="8" t="str">
        <f ca="1">IFERROR(__xludf.DUMMYFUNCTION("""COMPUTED_VALUE"""),"None")</f>
        <v>None</v>
      </c>
    </row>
    <row r="1091" spans="1:7" ht="12.75">
      <c r="A1091" s="8" t="str">
        <f ca="1">IFERROR(__xludf.DUMMYFUNCTION("""COMPUTED_VALUE"""),"20160616ILMCC")</f>
        <v>20160616ILMCC</v>
      </c>
      <c r="B1091" s="8"/>
      <c r="C1091" s="8"/>
      <c r="D1091" s="8" t="str">
        <f ca="1">IFERROR(__xludf.DUMMYFUNCTION("""COMPUTED_VALUE"""),"Unknown")</f>
        <v>Unknown</v>
      </c>
      <c r="E1091" s="8" t="str">
        <f ca="1">IFERROR(__xludf.DUMMYFUNCTION("""COMPUTED_VALUE"""),"Fled/Escaped")</f>
        <v>Fled/Escaped</v>
      </c>
      <c r="F1091" s="8" t="str">
        <f ca="1">IFERROR(__xludf.DUMMYFUNCTION("""COMPUTED_VALUE"""),"No")</f>
        <v>No</v>
      </c>
      <c r="G1091" s="8" t="str">
        <f ca="1">IFERROR(__xludf.DUMMYFUNCTION("""COMPUTED_VALUE"""),"None")</f>
        <v>None</v>
      </c>
    </row>
    <row r="1092" spans="1:7" ht="12.75">
      <c r="A1092" s="8" t="str">
        <f ca="1">IFERROR(__xludf.DUMMYFUNCTION("""COMPUTED_VALUE"""),"20160608MAJED")</f>
        <v>20160608MAJED</v>
      </c>
      <c r="B1092" s="8">
        <f ca="1">IFERROR(__xludf.DUMMYFUNCTION("""COMPUTED_VALUE"""),24)</f>
        <v>24</v>
      </c>
      <c r="C1092" s="8" t="str">
        <f ca="1">IFERROR(__xludf.DUMMYFUNCTION("""COMPUTED_VALUE"""),"Male")</f>
        <v>Male</v>
      </c>
      <c r="D1092" s="8" t="str">
        <f ca="1">IFERROR(__xludf.DUMMYFUNCTION("""COMPUTED_VALUE"""),"No Relation")</f>
        <v>No Relation</v>
      </c>
      <c r="E1092" s="8" t="str">
        <f ca="1">IFERROR(__xludf.DUMMYFUNCTION("""COMPUTED_VALUE"""),"Fled/Apprehended")</f>
        <v>Fled/Apprehended</v>
      </c>
      <c r="F1092" s="8" t="str">
        <f ca="1">IFERROR(__xludf.DUMMYFUNCTION("""COMPUTED_VALUE"""),"No")</f>
        <v>No</v>
      </c>
      <c r="G1092" s="8" t="str">
        <f ca="1">IFERROR(__xludf.DUMMYFUNCTION("""COMPUTED_VALUE"""),"None")</f>
        <v>None</v>
      </c>
    </row>
    <row r="1093" spans="1:7" ht="12.75">
      <c r="A1093" s="8" t="str">
        <f ca="1">IFERROR(__xludf.DUMMYFUNCTION("""COMPUTED_VALUE"""),"20160608MAJED")</f>
        <v>20160608MAJED</v>
      </c>
      <c r="B1093" s="8">
        <f ca="1">IFERROR(__xludf.DUMMYFUNCTION("""COMPUTED_VALUE"""),23)</f>
        <v>23</v>
      </c>
      <c r="C1093" s="8" t="str">
        <f ca="1">IFERROR(__xludf.DUMMYFUNCTION("""COMPUTED_VALUE"""),"Male")</f>
        <v>Male</v>
      </c>
      <c r="D1093" s="8" t="str">
        <f ca="1">IFERROR(__xludf.DUMMYFUNCTION("""COMPUTED_VALUE"""),"No Relation")</f>
        <v>No Relation</v>
      </c>
      <c r="E1093" s="8" t="str">
        <f ca="1">IFERROR(__xludf.DUMMYFUNCTION("""COMPUTED_VALUE"""),"Fled/Apprehended")</f>
        <v>Fled/Apprehended</v>
      </c>
      <c r="F1093" s="8" t="str">
        <f ca="1">IFERROR(__xludf.DUMMYFUNCTION("""COMPUTED_VALUE"""),"No")</f>
        <v>No</v>
      </c>
      <c r="G1093" s="8" t="str">
        <f ca="1">IFERROR(__xludf.DUMMYFUNCTION("""COMPUTED_VALUE"""),"None")</f>
        <v>None</v>
      </c>
    </row>
    <row r="1094" spans="1:7" ht="12.75">
      <c r="A1094" s="8" t="str">
        <f ca="1">IFERROR(__xludf.DUMMYFUNCTION("""COMPUTED_VALUE"""),"20160515KSAUA")</f>
        <v>20160515KSAUA</v>
      </c>
      <c r="B1094" s="8">
        <f ca="1">IFERROR(__xludf.DUMMYFUNCTION("""COMPUTED_VALUE"""),37)</f>
        <v>37</v>
      </c>
      <c r="C1094" s="8" t="str">
        <f ca="1">IFERROR(__xludf.DUMMYFUNCTION("""COMPUTED_VALUE"""),"Male")</f>
        <v>Male</v>
      </c>
      <c r="D1094" s="8" t="str">
        <f ca="1">IFERROR(__xludf.DUMMYFUNCTION("""COMPUTED_VALUE"""),"Relative")</f>
        <v>Relative</v>
      </c>
      <c r="E1094" s="8" t="str">
        <f ca="1">IFERROR(__xludf.DUMMYFUNCTION("""COMPUTED_VALUE"""),"Unknown")</f>
        <v>Unknown</v>
      </c>
      <c r="F1094" s="8" t="str">
        <f ca="1">IFERROR(__xludf.DUMMYFUNCTION("""COMPUTED_VALUE"""),"No")</f>
        <v>No</v>
      </c>
      <c r="G1094" s="8" t="str">
        <f ca="1">IFERROR(__xludf.DUMMYFUNCTION("""COMPUTED_VALUE"""),"Wounded")</f>
        <v>Wounded</v>
      </c>
    </row>
    <row r="1095" spans="1:7" ht="12.75">
      <c r="A1095" s="8" t="str">
        <f ca="1">IFERROR(__xludf.DUMMYFUNCTION("""COMPUTED_VALUE"""),"20160513SCSOG")</f>
        <v>20160513SCSOG</v>
      </c>
      <c r="B1095" s="8">
        <f ca="1">IFERROR(__xludf.DUMMYFUNCTION("""COMPUTED_VALUE"""),16)</f>
        <v>16</v>
      </c>
      <c r="C1095" s="8" t="str">
        <f ca="1">IFERROR(__xludf.DUMMYFUNCTION("""COMPUTED_VALUE"""),"Male")</f>
        <v>Male</v>
      </c>
      <c r="D1095" s="8" t="str">
        <f ca="1">IFERROR(__xludf.DUMMYFUNCTION("""COMPUTED_VALUE"""),"Student")</f>
        <v>Student</v>
      </c>
      <c r="E1095" s="8" t="str">
        <f ca="1">IFERROR(__xludf.DUMMYFUNCTION("""COMPUTED_VALUE"""),"Surrendered")</f>
        <v>Surrendered</v>
      </c>
      <c r="F1095" s="8" t="str">
        <f ca="1">IFERROR(__xludf.DUMMYFUNCTION("""COMPUTED_VALUE"""),"No")</f>
        <v>No</v>
      </c>
      <c r="G1095" s="8" t="str">
        <f ca="1">IFERROR(__xludf.DUMMYFUNCTION("""COMPUTED_VALUE"""),"Wounded")</f>
        <v>Wounded</v>
      </c>
    </row>
    <row r="1096" spans="1:7" ht="12.75">
      <c r="A1096" s="8" t="str">
        <f ca="1">IFERROR(__xludf.DUMMYFUNCTION("""COMPUTED_VALUE"""),"20160506IDROT")</f>
        <v>20160506IDROT</v>
      </c>
      <c r="B1096" s="8">
        <f ca="1">IFERROR(__xludf.DUMMYFUNCTION("""COMPUTED_VALUE"""),14)</f>
        <v>14</v>
      </c>
      <c r="C1096" s="8" t="str">
        <f ca="1">IFERROR(__xludf.DUMMYFUNCTION("""COMPUTED_VALUE"""),"Male")</f>
        <v>Male</v>
      </c>
      <c r="D1096" s="8" t="str">
        <f ca="1">IFERROR(__xludf.DUMMYFUNCTION("""COMPUTED_VALUE"""),"Student")</f>
        <v>Student</v>
      </c>
      <c r="E1096" s="8" t="str">
        <f ca="1">IFERROR(__xludf.DUMMYFUNCTION("""COMPUTED_VALUE"""),"Unknown")</f>
        <v>Unknown</v>
      </c>
      <c r="F1096" s="8" t="str">
        <f ca="1">IFERROR(__xludf.DUMMYFUNCTION("""COMPUTED_VALUE"""),"No")</f>
        <v>No</v>
      </c>
      <c r="G1096" s="8" t="str">
        <f ca="1">IFERROR(__xludf.DUMMYFUNCTION("""COMPUTED_VALUE"""),"None")</f>
        <v>None</v>
      </c>
    </row>
    <row r="1097" spans="1:7" ht="12.75">
      <c r="A1097" s="8" t="str">
        <f ca="1">IFERROR(__xludf.DUMMYFUNCTION("""COMPUTED_VALUE"""),"20160506FLOSP")</f>
        <v>20160506FLOSP</v>
      </c>
      <c r="B1097" s="8">
        <f ca="1">IFERROR(__xludf.DUMMYFUNCTION("""COMPUTED_VALUE"""),28)</f>
        <v>28</v>
      </c>
      <c r="C1097" s="8" t="str">
        <f ca="1">IFERROR(__xludf.DUMMYFUNCTION("""COMPUTED_VALUE"""),"Male")</f>
        <v>Male</v>
      </c>
      <c r="D1097" s="8" t="str">
        <f ca="1">IFERROR(__xludf.DUMMYFUNCTION("""COMPUTED_VALUE"""),"No Relation")</f>
        <v>No Relation</v>
      </c>
      <c r="E1097" s="8" t="str">
        <f ca="1">IFERROR(__xludf.DUMMYFUNCTION("""COMPUTED_VALUE"""),"Surrendered")</f>
        <v>Surrendered</v>
      </c>
      <c r="F1097" s="8" t="str">
        <f ca="1">IFERROR(__xludf.DUMMYFUNCTION("""COMPUTED_VALUE"""),"No")</f>
        <v>No</v>
      </c>
      <c r="G1097" s="8" t="str">
        <f ca="1">IFERROR(__xludf.DUMMYFUNCTION("""COMPUTED_VALUE"""),"Wounded")</f>
        <v>Wounded</v>
      </c>
    </row>
    <row r="1098" spans="1:7" ht="12.75">
      <c r="A1098" s="8" t="str">
        <f ca="1">IFERROR(__xludf.DUMMYFUNCTION("""COMPUTED_VALUE"""),"20160505MDHIB")</f>
        <v>20160505MDHIB</v>
      </c>
      <c r="B1098" s="8">
        <f ca="1">IFERROR(__xludf.DUMMYFUNCTION("""COMPUTED_VALUE"""),62)</f>
        <v>62</v>
      </c>
      <c r="C1098" s="8" t="str">
        <f ca="1">IFERROR(__xludf.DUMMYFUNCTION("""COMPUTED_VALUE"""),"Male")</f>
        <v>Male</v>
      </c>
      <c r="D1098" s="8" t="str">
        <f ca="1">IFERROR(__xludf.DUMMYFUNCTION("""COMPUTED_VALUE"""),"Intimate Relationship")</f>
        <v>Intimate Relationship</v>
      </c>
      <c r="E1098" s="8" t="str">
        <f ca="1">IFERROR(__xludf.DUMMYFUNCTION("""COMPUTED_VALUE"""),"Fled/Apprehended")</f>
        <v>Fled/Apprehended</v>
      </c>
      <c r="F1098" s="8" t="str">
        <f ca="1">IFERROR(__xludf.DUMMYFUNCTION("""COMPUTED_VALUE"""),"No")</f>
        <v>No</v>
      </c>
      <c r="G1098" s="8" t="str">
        <f ca="1">IFERROR(__xludf.DUMMYFUNCTION("""COMPUTED_VALUE"""),"None")</f>
        <v>None</v>
      </c>
    </row>
    <row r="1099" spans="1:7" ht="12.75">
      <c r="A1099" s="8" t="str">
        <f ca="1">IFERROR(__xludf.DUMMYFUNCTION("""COMPUTED_VALUE"""),"20160504COEAP")</f>
        <v>20160504COEAP</v>
      </c>
      <c r="B1099" s="8">
        <f ca="1">IFERROR(__xludf.DUMMYFUNCTION("""COMPUTED_VALUE"""),25)</f>
        <v>25</v>
      </c>
      <c r="C1099" s="8" t="str">
        <f ca="1">IFERROR(__xludf.DUMMYFUNCTION("""COMPUTED_VALUE"""),"Male")</f>
        <v>Male</v>
      </c>
      <c r="D1099" s="8" t="str">
        <f ca="1">IFERROR(__xludf.DUMMYFUNCTION("""COMPUTED_VALUE"""),"No Relation")</f>
        <v>No Relation</v>
      </c>
      <c r="E1099" s="8" t="str">
        <f ca="1">IFERROR(__xludf.DUMMYFUNCTION("""COMPUTED_VALUE"""),"Fled/Escaped")</f>
        <v>Fled/Escaped</v>
      </c>
      <c r="F1099" s="8" t="str">
        <f ca="1">IFERROR(__xludf.DUMMYFUNCTION("""COMPUTED_VALUE"""),"Yes")</f>
        <v>Yes</v>
      </c>
      <c r="G1099" s="8" t="str">
        <f ca="1">IFERROR(__xludf.DUMMYFUNCTION("""COMPUTED_VALUE"""),"Suicide")</f>
        <v>Suicide</v>
      </c>
    </row>
    <row r="1100" spans="1:7" ht="12.75">
      <c r="A1100" s="8" t="str">
        <f ca="1">IFERROR(__xludf.DUMMYFUNCTION("""COMPUTED_VALUE"""),"20160502TXKID")</f>
        <v>20160502TXKID</v>
      </c>
      <c r="B1100" s="8">
        <f ca="1">IFERROR(__xludf.DUMMYFUNCTION("""COMPUTED_VALUE"""),15)</f>
        <v>15</v>
      </c>
      <c r="C1100" s="8" t="str">
        <f ca="1">IFERROR(__xludf.DUMMYFUNCTION("""COMPUTED_VALUE"""),"Male")</f>
        <v>Male</v>
      </c>
      <c r="D1100" s="8" t="str">
        <f ca="1">IFERROR(__xludf.DUMMYFUNCTION("""COMPUTED_VALUE"""),"Student")</f>
        <v>Student</v>
      </c>
      <c r="E1100" s="8" t="str">
        <f ca="1">IFERROR(__xludf.DUMMYFUNCTION("""COMPUTED_VALUE"""),"Unknown")</f>
        <v>Unknown</v>
      </c>
      <c r="F1100" s="8" t="str">
        <f ca="1">IFERROR(__xludf.DUMMYFUNCTION("""COMPUTED_VALUE"""),"No")</f>
        <v>No</v>
      </c>
      <c r="G1100" s="8" t="str">
        <f ca="1">IFERROR(__xludf.DUMMYFUNCTION("""COMPUTED_VALUE"""),"Wounded")</f>
        <v>Wounded</v>
      </c>
    </row>
    <row r="1101" spans="1:7" ht="12.75">
      <c r="A1101" s="8" t="str">
        <f ca="1">IFERROR(__xludf.DUMMYFUNCTION("""COMPUTED_VALUE"""),"20160423WIANA")</f>
        <v>20160423WIANA</v>
      </c>
      <c r="B1101" s="8">
        <f ca="1">IFERROR(__xludf.DUMMYFUNCTION("""COMPUTED_VALUE"""),18)</f>
        <v>18</v>
      </c>
      <c r="C1101" s="8" t="str">
        <f ca="1">IFERROR(__xludf.DUMMYFUNCTION("""COMPUTED_VALUE"""),"Male")</f>
        <v>Male</v>
      </c>
      <c r="D1101" s="8" t="str">
        <f ca="1">IFERROR(__xludf.DUMMYFUNCTION("""COMPUTED_VALUE"""),"Former Student")</f>
        <v>Former Student</v>
      </c>
      <c r="E1101" s="8" t="str">
        <f ca="1">IFERROR(__xludf.DUMMYFUNCTION("""COMPUTED_VALUE"""),"Apprehended/Killed by LE")</f>
        <v>Apprehended/Killed by LE</v>
      </c>
      <c r="F1101" s="8" t="str">
        <f ca="1">IFERROR(__xludf.DUMMYFUNCTION("""COMPUTED_VALUE"""),"Yes")</f>
        <v>Yes</v>
      </c>
      <c r="G1101" s="8" t="str">
        <f ca="1">IFERROR(__xludf.DUMMYFUNCTION("""COMPUTED_VALUE"""),"Fatal")</f>
        <v>Fatal</v>
      </c>
    </row>
    <row r="1102" spans="1:7" ht="12.75">
      <c r="A1102" s="8" t="str">
        <f ca="1">IFERROR(__xludf.DUMMYFUNCTION("""COMPUTED_VALUE"""),"20160315ALHUB")</f>
        <v>20160315ALHUB</v>
      </c>
      <c r="B1102" s="8">
        <f ca="1">IFERROR(__xludf.DUMMYFUNCTION("""COMPUTED_VALUE"""),19)</f>
        <v>19</v>
      </c>
      <c r="C1102" s="8" t="str">
        <f ca="1">IFERROR(__xludf.DUMMYFUNCTION("""COMPUTED_VALUE"""),"Male")</f>
        <v>Male</v>
      </c>
      <c r="D1102" s="8" t="str">
        <f ca="1">IFERROR(__xludf.DUMMYFUNCTION("""COMPUTED_VALUE"""),"Relative")</f>
        <v>Relative</v>
      </c>
      <c r="E1102" s="8" t="str">
        <f ca="1">IFERROR(__xludf.DUMMYFUNCTION("""COMPUTED_VALUE"""),"Apprehended/Killed by SRO")</f>
        <v>Apprehended/Killed by SRO</v>
      </c>
      <c r="F1102" s="8" t="str">
        <f ca="1">IFERROR(__xludf.DUMMYFUNCTION("""COMPUTED_VALUE"""),"No")</f>
        <v>No</v>
      </c>
      <c r="G1102" s="8" t="str">
        <f ca="1">IFERROR(__xludf.DUMMYFUNCTION("""COMPUTED_VALUE"""),"None")</f>
        <v>None</v>
      </c>
    </row>
    <row r="1103" spans="1:7" ht="12.75">
      <c r="A1103" s="8" t="str">
        <f ca="1">IFERROR(__xludf.DUMMYFUNCTION("""COMPUTED_VALUE"""),"20160229OHMAM")</f>
        <v>20160229OHMAM</v>
      </c>
      <c r="B1103" s="8">
        <f ca="1">IFERROR(__xludf.DUMMYFUNCTION("""COMPUTED_VALUE"""),14)</f>
        <v>14</v>
      </c>
      <c r="C1103" s="8" t="str">
        <f ca="1">IFERROR(__xludf.DUMMYFUNCTION("""COMPUTED_VALUE"""),"Male")</f>
        <v>Male</v>
      </c>
      <c r="D1103" s="8" t="str">
        <f ca="1">IFERROR(__xludf.DUMMYFUNCTION("""COMPUTED_VALUE"""),"Student")</f>
        <v>Student</v>
      </c>
      <c r="E1103" s="8" t="str">
        <f ca="1">IFERROR(__xludf.DUMMYFUNCTION("""COMPUTED_VALUE"""),"Fled/Apprehended")</f>
        <v>Fled/Apprehended</v>
      </c>
      <c r="F1103" s="8" t="str">
        <f ca="1">IFERROR(__xludf.DUMMYFUNCTION("""COMPUTED_VALUE"""),"No")</f>
        <v>No</v>
      </c>
      <c r="G1103" s="8" t="str">
        <f ca="1">IFERROR(__xludf.DUMMYFUNCTION("""COMPUTED_VALUE"""),"None")</f>
        <v>None</v>
      </c>
    </row>
    <row r="1104" spans="1:7" ht="12.75">
      <c r="A1104" s="8" t="str">
        <f ca="1">IFERROR(__xludf.DUMMYFUNCTION("""COMPUTED_VALUE"""),"20160226TXPAP")</f>
        <v>20160226TXPAP</v>
      </c>
      <c r="B1104" s="8">
        <f ca="1">IFERROR(__xludf.DUMMYFUNCTION("""COMPUTED_VALUE"""),63)</f>
        <v>63</v>
      </c>
      <c r="C1104" s="8" t="str">
        <f ca="1">IFERROR(__xludf.DUMMYFUNCTION("""COMPUTED_VALUE"""),"Male")</f>
        <v>Male</v>
      </c>
      <c r="D1104" s="8" t="str">
        <f ca="1">IFERROR(__xludf.DUMMYFUNCTION("""COMPUTED_VALUE"""),"Parent")</f>
        <v>Parent</v>
      </c>
      <c r="E1104" s="8" t="str">
        <f ca="1">IFERROR(__xludf.DUMMYFUNCTION("""COMPUTED_VALUE"""),"Apprehended/Killed by LE")</f>
        <v>Apprehended/Killed by LE</v>
      </c>
      <c r="F1104" s="8" t="str">
        <f ca="1">IFERROR(__xludf.DUMMYFUNCTION("""COMPUTED_VALUE"""),"No")</f>
        <v>No</v>
      </c>
      <c r="G1104" s="8" t="str">
        <f ca="1">IFERROR(__xludf.DUMMYFUNCTION("""COMPUTED_VALUE"""),"None")</f>
        <v>None</v>
      </c>
    </row>
    <row r="1105" spans="1:7" ht="12.75">
      <c r="A1105" s="8" t="str">
        <f ca="1">IFERROR(__xludf.DUMMYFUNCTION("""COMPUTED_VALUE"""),"20160217PACHC")</f>
        <v>20160217PACHC</v>
      </c>
      <c r="B1105" s="8">
        <f ca="1">IFERROR(__xludf.DUMMYFUNCTION("""COMPUTED_VALUE"""),16)</f>
        <v>16</v>
      </c>
      <c r="C1105" s="8" t="str">
        <f ca="1">IFERROR(__xludf.DUMMYFUNCTION("""COMPUTED_VALUE"""),"Male")</f>
        <v>Male</v>
      </c>
      <c r="D1105" s="8" t="str">
        <f ca="1">IFERROR(__xludf.DUMMYFUNCTION("""COMPUTED_VALUE"""),"Student")</f>
        <v>Student</v>
      </c>
      <c r="E1105" s="8" t="str">
        <f ca="1">IFERROR(__xludf.DUMMYFUNCTION("""COMPUTED_VALUE"""),"Apprehended/Killed by LE")</f>
        <v>Apprehended/Killed by LE</v>
      </c>
      <c r="F1105" s="8" t="str">
        <f ca="1">IFERROR(__xludf.DUMMYFUNCTION("""COMPUTED_VALUE"""),"No")</f>
        <v>No</v>
      </c>
      <c r="G1105" s="8" t="str">
        <f ca="1">IFERROR(__xludf.DUMMYFUNCTION("""COMPUTED_VALUE"""),"None")</f>
        <v>None</v>
      </c>
    </row>
    <row r="1106" spans="1:7" ht="12.75">
      <c r="A1106" s="8" t="str">
        <f ca="1">IFERROR(__xludf.DUMMYFUNCTION("""COMPUTED_VALUE"""),"20160217FLROH")</f>
        <v>20160217FLROH</v>
      </c>
      <c r="B1106" s="8" t="str">
        <f ca="1">IFERROR(__xludf.DUMMYFUNCTION("""COMPUTED_VALUE"""),"Adult")</f>
        <v>Adult</v>
      </c>
      <c r="C1106" s="8" t="str">
        <f ca="1">IFERROR(__xludf.DUMMYFUNCTION("""COMPUTED_VALUE"""),"Male")</f>
        <v>Male</v>
      </c>
      <c r="D1106" s="8" t="str">
        <f ca="1">IFERROR(__xludf.DUMMYFUNCTION("""COMPUTED_VALUE"""),"Other Staff")</f>
        <v>Other Staff</v>
      </c>
      <c r="E1106" s="8" t="str">
        <f ca="1">IFERROR(__xludf.DUMMYFUNCTION("""COMPUTED_VALUE"""),"Surrendered")</f>
        <v>Surrendered</v>
      </c>
      <c r="F1106" s="8" t="str">
        <f ca="1">IFERROR(__xludf.DUMMYFUNCTION("""COMPUTED_VALUE"""),"No")</f>
        <v>No</v>
      </c>
      <c r="G1106" s="8" t="str">
        <f ca="1">IFERROR(__xludf.DUMMYFUNCTION("""COMPUTED_VALUE"""),"None")</f>
        <v>None</v>
      </c>
    </row>
    <row r="1107" spans="1:7" ht="12.75">
      <c r="A1107" s="8" t="str">
        <f ca="1">IFERROR(__xludf.DUMMYFUNCTION("""COMPUTED_VALUE"""),"20160212AZING")</f>
        <v>20160212AZING</v>
      </c>
      <c r="B1107" s="8">
        <f ca="1">IFERROR(__xludf.DUMMYFUNCTION("""COMPUTED_VALUE"""),15)</f>
        <v>15</v>
      </c>
      <c r="C1107" s="8" t="str">
        <f ca="1">IFERROR(__xludf.DUMMYFUNCTION("""COMPUTED_VALUE"""),"Female")</f>
        <v>Female</v>
      </c>
      <c r="D1107" s="8" t="str">
        <f ca="1">IFERROR(__xludf.DUMMYFUNCTION("""COMPUTED_VALUE"""),"Student")</f>
        <v>Student</v>
      </c>
      <c r="E1107" s="8" t="str">
        <f ca="1">IFERROR(__xludf.DUMMYFUNCTION("""COMPUTED_VALUE"""),"Suicide")</f>
        <v>Suicide</v>
      </c>
      <c r="F1107" s="8" t="str">
        <f ca="1">IFERROR(__xludf.DUMMYFUNCTION("""COMPUTED_VALUE"""),"Yes")</f>
        <v>Yes</v>
      </c>
      <c r="G1107" s="8" t="str">
        <f ca="1">IFERROR(__xludf.DUMMYFUNCTION("""COMPUTED_VALUE"""),"Suicide")</f>
        <v>Suicide</v>
      </c>
    </row>
    <row r="1108" spans="1:7" ht="12.75">
      <c r="A1108" s="8" t="str">
        <f ca="1">IFERROR(__xludf.DUMMYFUNCTION("""COMPUTED_VALUE"""),"20160209MIMUM")</f>
        <v>20160209MIMUM</v>
      </c>
      <c r="B1108" s="8">
        <f ca="1">IFERROR(__xludf.DUMMYFUNCTION("""COMPUTED_VALUE"""),22)</f>
        <v>22</v>
      </c>
      <c r="C1108" s="8" t="str">
        <f ca="1">IFERROR(__xludf.DUMMYFUNCTION("""COMPUTED_VALUE"""),"Male")</f>
        <v>Male</v>
      </c>
      <c r="D1108" s="8" t="str">
        <f ca="1">IFERROR(__xludf.DUMMYFUNCTION("""COMPUTED_VALUE"""),"No Relation")</f>
        <v>No Relation</v>
      </c>
      <c r="E1108" s="8" t="str">
        <f ca="1">IFERROR(__xludf.DUMMYFUNCTION("""COMPUTED_VALUE"""),"Apprehended/Killed by LE")</f>
        <v>Apprehended/Killed by LE</v>
      </c>
      <c r="F1108" s="8" t="str">
        <f ca="1">IFERROR(__xludf.DUMMYFUNCTION("""COMPUTED_VALUE"""),"No")</f>
        <v>No</v>
      </c>
      <c r="G1108" s="8" t="str">
        <f ca="1">IFERROR(__xludf.DUMMYFUNCTION("""COMPUTED_VALUE"""),"Wounded")</f>
        <v>Wounded</v>
      </c>
    </row>
    <row r="1109" spans="1:7" ht="12.75">
      <c r="A1109" s="8" t="str">
        <f ca="1">IFERROR(__xludf.DUMMYFUNCTION("""COMPUTED_VALUE"""),"20160129PABEP")</f>
        <v>20160129PABEP</v>
      </c>
      <c r="B1109" s="8">
        <f ca="1">IFERROR(__xludf.DUMMYFUNCTION("""COMPUTED_VALUE"""),16)</f>
        <v>16</v>
      </c>
      <c r="C1109" s="8" t="str">
        <f ca="1">IFERROR(__xludf.DUMMYFUNCTION("""COMPUTED_VALUE"""),"Male")</f>
        <v>Male</v>
      </c>
      <c r="D1109" s="8" t="str">
        <f ca="1">IFERROR(__xludf.DUMMYFUNCTION("""COMPUTED_VALUE"""),"Student")</f>
        <v>Student</v>
      </c>
      <c r="E1109" s="8" t="str">
        <f ca="1">IFERROR(__xludf.DUMMYFUNCTION("""COMPUTED_VALUE"""),"Apprehended/Killed by LE")</f>
        <v>Apprehended/Killed by LE</v>
      </c>
      <c r="F1109" s="8" t="str">
        <f ca="1">IFERROR(__xludf.DUMMYFUNCTION("""COMPUTED_VALUE"""),"No")</f>
        <v>No</v>
      </c>
      <c r="G1109" s="8" t="str">
        <f ca="1">IFERROR(__xludf.DUMMYFUNCTION("""COMPUTED_VALUE"""),"None")</f>
        <v>None</v>
      </c>
    </row>
    <row r="1110" spans="1:7" ht="12.75">
      <c r="A1110" s="8" t="str">
        <f ca="1">IFERROR(__xludf.DUMMYFUNCTION("""COMPUTED_VALUE"""),"20160122INLAI")</f>
        <v>20160122INLAI</v>
      </c>
      <c r="B1110" s="8">
        <f ca="1">IFERROR(__xludf.DUMMYFUNCTION("""COMPUTED_VALUE"""),17)</f>
        <v>17</v>
      </c>
      <c r="C1110" s="8" t="str">
        <f ca="1">IFERROR(__xludf.DUMMYFUNCTION("""COMPUTED_VALUE"""),"Male")</f>
        <v>Male</v>
      </c>
      <c r="D1110" s="8" t="str">
        <f ca="1">IFERROR(__xludf.DUMMYFUNCTION("""COMPUTED_VALUE"""),"Student")</f>
        <v>Student</v>
      </c>
      <c r="E1110" s="8" t="str">
        <f ca="1">IFERROR(__xludf.DUMMYFUNCTION("""COMPUTED_VALUE"""),"Fled/Apprehended")</f>
        <v>Fled/Apprehended</v>
      </c>
      <c r="F1110" s="8" t="str">
        <f ca="1">IFERROR(__xludf.DUMMYFUNCTION("""COMPUTED_VALUE"""),"No")</f>
        <v>No</v>
      </c>
      <c r="G1110" s="8" t="str">
        <f ca="1">IFERROR(__xludf.DUMMYFUNCTION("""COMPUTED_VALUE"""),"None")</f>
        <v>None</v>
      </c>
    </row>
    <row r="1111" spans="1:7" ht="12.75">
      <c r="A1111" s="8" t="str">
        <f ca="1">IFERROR(__xludf.DUMMYFUNCTION("""COMPUTED_VALUE"""),"20160120INNOI")</f>
        <v>20160120INNOI</v>
      </c>
      <c r="B1111" s="8" t="str">
        <f ca="1">IFERROR(__xludf.DUMMYFUNCTION("""COMPUTED_VALUE"""),"Adult")</f>
        <v>Adult</v>
      </c>
      <c r="C1111" s="8" t="str">
        <f ca="1">IFERROR(__xludf.DUMMYFUNCTION("""COMPUTED_VALUE"""),"Male")</f>
        <v>Male</v>
      </c>
      <c r="D1111" s="8" t="str">
        <f ca="1">IFERROR(__xludf.DUMMYFUNCTION("""COMPUTED_VALUE"""),"Unknown")</f>
        <v>Unknown</v>
      </c>
      <c r="E1111" s="8" t="str">
        <f ca="1">IFERROR(__xludf.DUMMYFUNCTION("""COMPUTED_VALUE"""),"Unknown")</f>
        <v>Unknown</v>
      </c>
      <c r="F1111" s="8" t="str">
        <f ca="1">IFERROR(__xludf.DUMMYFUNCTION("""COMPUTED_VALUE"""),"No")</f>
        <v>No</v>
      </c>
      <c r="G1111" s="8" t="str">
        <f ca="1">IFERROR(__xludf.DUMMYFUNCTION("""COMPUTED_VALUE"""),"None")</f>
        <v>None</v>
      </c>
    </row>
    <row r="1112" spans="1:7" ht="12.75">
      <c r="A1112" s="8" t="str">
        <f ca="1">IFERROR(__xludf.DUMMYFUNCTION("""COMPUTED_VALUE"""),"20160113ARHAB")</f>
        <v>20160113ARHAB</v>
      </c>
      <c r="B1112" s="8">
        <f ca="1">IFERROR(__xludf.DUMMYFUNCTION("""COMPUTED_VALUE"""),17)</f>
        <v>17</v>
      </c>
      <c r="C1112" s="8" t="str">
        <f ca="1">IFERROR(__xludf.DUMMYFUNCTION("""COMPUTED_VALUE"""),"Male")</f>
        <v>Male</v>
      </c>
      <c r="D1112" s="8" t="str">
        <f ca="1">IFERROR(__xludf.DUMMYFUNCTION("""COMPUTED_VALUE"""),"Student")</f>
        <v>Student</v>
      </c>
      <c r="E1112" s="8" t="str">
        <f ca="1">IFERROR(__xludf.DUMMYFUNCTION("""COMPUTED_VALUE"""),"Surrendered")</f>
        <v>Surrendered</v>
      </c>
      <c r="F1112" s="8" t="str">
        <f ca="1">IFERROR(__xludf.DUMMYFUNCTION("""COMPUTED_VALUE"""),"No")</f>
        <v>No</v>
      </c>
      <c r="G1112" s="8" t="str">
        <f ca="1">IFERROR(__xludf.DUMMYFUNCTION("""COMPUTED_VALUE"""),"None")</f>
        <v>None</v>
      </c>
    </row>
    <row r="1113" spans="1:7" ht="12.75">
      <c r="A1113" s="8" t="str">
        <f ca="1">IFERROR(__xludf.DUMMYFUNCTION("""COMPUTED_VALUE"""),"20160112DECED")</f>
        <v>20160112DECED</v>
      </c>
      <c r="B1113" s="8">
        <f ca="1">IFERROR(__xludf.DUMMYFUNCTION("""COMPUTED_VALUE"""),13)</f>
        <v>13</v>
      </c>
      <c r="C1113" s="8" t="str">
        <f ca="1">IFERROR(__xludf.DUMMYFUNCTION("""COMPUTED_VALUE"""),"Male")</f>
        <v>Male</v>
      </c>
      <c r="D1113" s="8" t="str">
        <f ca="1">IFERROR(__xludf.DUMMYFUNCTION("""COMPUTED_VALUE"""),"Student")</f>
        <v>Student</v>
      </c>
      <c r="E1113" s="8" t="str">
        <f ca="1">IFERROR(__xludf.DUMMYFUNCTION("""COMPUTED_VALUE"""),"Fled/Apprehended")</f>
        <v>Fled/Apprehended</v>
      </c>
      <c r="F1113" s="8" t="str">
        <f ca="1">IFERROR(__xludf.DUMMYFUNCTION("""COMPUTED_VALUE"""),"No")</f>
        <v>No</v>
      </c>
      <c r="G1113" s="8" t="str">
        <f ca="1">IFERROR(__xludf.DUMMYFUNCTION("""COMPUTED_VALUE"""),"None")</f>
        <v>None</v>
      </c>
    </row>
    <row r="1114" spans="1:7" ht="12.75">
      <c r="A1114" s="8" t="str">
        <f ca="1">IFERROR(__xludf.DUMMYFUNCTION("""COMPUTED_VALUE"""),"20151204KSWEW")</f>
        <v>20151204KSWEW</v>
      </c>
      <c r="B1114" s="8">
        <f ca="1">IFERROR(__xludf.DUMMYFUNCTION("""COMPUTED_VALUE"""),17)</f>
        <v>17</v>
      </c>
      <c r="C1114" s="8" t="str">
        <f ca="1">IFERROR(__xludf.DUMMYFUNCTION("""COMPUTED_VALUE"""),"Male")</f>
        <v>Male</v>
      </c>
      <c r="D1114" s="8" t="str">
        <f ca="1">IFERROR(__xludf.DUMMYFUNCTION("""COMPUTED_VALUE"""),"Student")</f>
        <v>Student</v>
      </c>
      <c r="E1114" s="8" t="str">
        <f ca="1">IFERROR(__xludf.DUMMYFUNCTION("""COMPUTED_VALUE"""),"Apprehended/Killed by LE")</f>
        <v>Apprehended/Killed by LE</v>
      </c>
      <c r="F1114" s="8" t="str">
        <f ca="1">IFERROR(__xludf.DUMMYFUNCTION("""COMPUTED_VALUE"""),"No")</f>
        <v>No</v>
      </c>
      <c r="G1114" s="8" t="str">
        <f ca="1">IFERROR(__xludf.DUMMYFUNCTION("""COMPUTED_VALUE"""),"Wounded")</f>
        <v>Wounded</v>
      </c>
    </row>
    <row r="1115" spans="1:7" ht="12.75">
      <c r="A1115" s="8" t="str">
        <f ca="1">IFERROR(__xludf.DUMMYFUNCTION("""COMPUTED_VALUE"""),"20151120FLNAM")</f>
        <v>20151120FLNAM</v>
      </c>
      <c r="B1115" s="8" t="str">
        <f ca="1">IFERROR(__xludf.DUMMYFUNCTION("""COMPUTED_VALUE"""),"Teen")</f>
        <v>Teen</v>
      </c>
      <c r="C1115" s="8" t="str">
        <f ca="1">IFERROR(__xludf.DUMMYFUNCTION("""COMPUTED_VALUE"""),"Male")</f>
        <v>Male</v>
      </c>
      <c r="D1115" s="8" t="str">
        <f ca="1">IFERROR(__xludf.DUMMYFUNCTION("""COMPUTED_VALUE"""),"Other Student")</f>
        <v>Other Student</v>
      </c>
      <c r="E1115" s="8" t="str">
        <f ca="1">IFERROR(__xludf.DUMMYFUNCTION("""COMPUTED_VALUE"""),"Unknown")</f>
        <v>Unknown</v>
      </c>
      <c r="F1115" s="8" t="str">
        <f ca="1">IFERROR(__xludf.DUMMYFUNCTION("""COMPUTED_VALUE"""),"No")</f>
        <v>No</v>
      </c>
      <c r="G1115" s="8" t="str">
        <f ca="1">IFERROR(__xludf.DUMMYFUNCTION("""COMPUTED_VALUE"""),"None")</f>
        <v>None</v>
      </c>
    </row>
    <row r="1116" spans="1:7" ht="12.75">
      <c r="A1116" s="8" t="str">
        <f ca="1">IFERROR(__xludf.DUMMYFUNCTION("""COMPUTED_VALUE"""),"20151111ARSUS")</f>
        <v>20151111ARSUS</v>
      </c>
      <c r="B1116" s="8" t="str">
        <f ca="1">IFERROR(__xludf.DUMMYFUNCTION("""COMPUTED_VALUE"""),"Teen")</f>
        <v>Teen</v>
      </c>
      <c r="C1116" s="8" t="str">
        <f ca="1">IFERROR(__xludf.DUMMYFUNCTION("""COMPUTED_VALUE"""),"Male")</f>
        <v>Male</v>
      </c>
      <c r="D1116" s="8" t="str">
        <f ca="1">IFERROR(__xludf.DUMMYFUNCTION("""COMPUTED_VALUE"""),"Student")</f>
        <v>Student</v>
      </c>
      <c r="E1116" s="8" t="str">
        <f ca="1">IFERROR(__xludf.DUMMYFUNCTION("""COMPUTED_VALUE"""),"Surrendered")</f>
        <v>Surrendered</v>
      </c>
      <c r="F1116" s="8" t="str">
        <f ca="1">IFERROR(__xludf.DUMMYFUNCTION("""COMPUTED_VALUE"""),"No")</f>
        <v>No</v>
      </c>
      <c r="G1116" s="8" t="str">
        <f ca="1">IFERROR(__xludf.DUMMYFUNCTION("""COMPUTED_VALUE"""),"None")</f>
        <v>None</v>
      </c>
    </row>
    <row r="1117" spans="1:7" ht="12.75">
      <c r="A1117" s="8" t="str">
        <f ca="1">IFERROR(__xludf.DUMMYFUNCTION("""COMPUTED_VALUE"""),"20151105GAVEM")</f>
        <v>20151105GAVEM</v>
      </c>
      <c r="B1117" s="8">
        <f ca="1">IFERROR(__xludf.DUMMYFUNCTION("""COMPUTED_VALUE"""),9)</f>
        <v>9</v>
      </c>
      <c r="C1117" s="8" t="str">
        <f ca="1">IFERROR(__xludf.DUMMYFUNCTION("""COMPUTED_VALUE"""),"Male")</f>
        <v>Male</v>
      </c>
      <c r="D1117" s="8" t="str">
        <f ca="1">IFERROR(__xludf.DUMMYFUNCTION("""COMPUTED_VALUE"""),"Student")</f>
        <v>Student</v>
      </c>
      <c r="E1117" s="8" t="str">
        <f ca="1">IFERROR(__xludf.DUMMYFUNCTION("""COMPUTED_VALUE"""),"Apprehended/Killed by SRO")</f>
        <v>Apprehended/Killed by SRO</v>
      </c>
      <c r="F1117" s="8" t="str">
        <f ca="1">IFERROR(__xludf.DUMMYFUNCTION("""COMPUTED_VALUE"""),"No")</f>
        <v>No</v>
      </c>
      <c r="G1117" s="8" t="str">
        <f ca="1">IFERROR(__xludf.DUMMYFUNCTION("""COMPUTED_VALUE"""),"None")</f>
        <v>None</v>
      </c>
    </row>
    <row r="1118" spans="1:7" ht="12.75">
      <c r="A1118" s="8" t="str">
        <f ca="1">IFERROR(__xludf.DUMMYFUNCTION("""COMPUTED_VALUE"""),"20151024TXEDS")</f>
        <v>20151024TXEDS</v>
      </c>
      <c r="B1118" s="8"/>
      <c r="C1118" s="8" t="str">
        <f ca="1">IFERROR(__xludf.DUMMYFUNCTION("""COMPUTED_VALUE"""),"Male")</f>
        <v>Male</v>
      </c>
      <c r="D1118" s="8" t="str">
        <f ca="1">IFERROR(__xludf.DUMMYFUNCTION("""COMPUTED_VALUE"""),"Unknown")</f>
        <v>Unknown</v>
      </c>
      <c r="E1118" s="8" t="str">
        <f ca="1">IFERROR(__xludf.DUMMYFUNCTION("""COMPUTED_VALUE"""),"Fled/Escaped")</f>
        <v>Fled/Escaped</v>
      </c>
      <c r="F1118" s="8" t="str">
        <f ca="1">IFERROR(__xludf.DUMMYFUNCTION("""COMPUTED_VALUE"""),"No")</f>
        <v>No</v>
      </c>
      <c r="G1118" s="8" t="str">
        <f ca="1">IFERROR(__xludf.DUMMYFUNCTION("""COMPUTED_VALUE"""),"None")</f>
        <v>None</v>
      </c>
    </row>
    <row r="1119" spans="1:7" ht="12.75">
      <c r="A1119" s="8" t="str">
        <f ca="1">IFERROR(__xludf.DUMMYFUNCTION("""COMPUTED_VALUE"""),"20151015TXKAS")</f>
        <v>20151015TXKAS</v>
      </c>
      <c r="B1119" s="8">
        <f ca="1">IFERROR(__xludf.DUMMYFUNCTION("""COMPUTED_VALUE"""),22)</f>
        <v>22</v>
      </c>
      <c r="C1119" s="8" t="str">
        <f ca="1">IFERROR(__xludf.DUMMYFUNCTION("""COMPUTED_VALUE"""),"Female")</f>
        <v>Female</v>
      </c>
      <c r="D1119" s="8" t="str">
        <f ca="1">IFERROR(__xludf.DUMMYFUNCTION("""COMPUTED_VALUE"""),"Friend")</f>
        <v>Friend</v>
      </c>
      <c r="E1119" s="8" t="str">
        <f ca="1">IFERROR(__xludf.DUMMYFUNCTION("""COMPUTED_VALUE"""),"Fled/Apprehended")</f>
        <v>Fled/Apprehended</v>
      </c>
      <c r="F1119" s="8" t="str">
        <f ca="1">IFERROR(__xludf.DUMMYFUNCTION("""COMPUTED_VALUE"""),"No")</f>
        <v>No</v>
      </c>
      <c r="G1119" s="8" t="str">
        <f ca="1">IFERROR(__xludf.DUMMYFUNCTION("""COMPUTED_VALUE"""),"None")</f>
        <v>None</v>
      </c>
    </row>
    <row r="1120" spans="1:7" ht="12.75">
      <c r="A1120" s="8" t="str">
        <f ca="1">IFERROR(__xludf.DUMMYFUNCTION("""COMPUTED_VALUE"""),"20150930SDHAH")</f>
        <v>20150930SDHAH</v>
      </c>
      <c r="B1120" s="8">
        <f ca="1">IFERROR(__xludf.DUMMYFUNCTION("""COMPUTED_VALUE"""),16)</f>
        <v>16</v>
      </c>
      <c r="C1120" s="8" t="str">
        <f ca="1">IFERROR(__xludf.DUMMYFUNCTION("""COMPUTED_VALUE"""),"Male")</f>
        <v>Male</v>
      </c>
      <c r="D1120" s="8" t="str">
        <f ca="1">IFERROR(__xludf.DUMMYFUNCTION("""COMPUTED_VALUE"""),"Student")</f>
        <v>Student</v>
      </c>
      <c r="E1120" s="8" t="str">
        <f ca="1">IFERROR(__xludf.DUMMYFUNCTION("""COMPUTED_VALUE"""),"Subdued by Students/Staff/Other")</f>
        <v>Subdued by Students/Staff/Other</v>
      </c>
      <c r="F1120" s="8" t="str">
        <f ca="1">IFERROR(__xludf.DUMMYFUNCTION("""COMPUTED_VALUE"""),"No")</f>
        <v>No</v>
      </c>
      <c r="G1120" s="8" t="str">
        <f ca="1">IFERROR(__xludf.DUMMYFUNCTION("""COMPUTED_VALUE"""),"None")</f>
        <v>None</v>
      </c>
    </row>
    <row r="1121" spans="1:7" ht="12.75">
      <c r="A1121" s="8" t="str">
        <f ca="1">IFERROR(__xludf.DUMMYFUNCTION("""COMPUTED_VALUE"""),"20150922NCCES")</f>
        <v>20150922NCCES</v>
      </c>
      <c r="B1121" s="8">
        <f ca="1">IFERROR(__xludf.DUMMYFUNCTION("""COMPUTED_VALUE"""),26)</f>
        <v>26</v>
      </c>
      <c r="C1121" s="8" t="str">
        <f ca="1">IFERROR(__xludf.DUMMYFUNCTION("""COMPUTED_VALUE"""),"Female")</f>
        <v>Female</v>
      </c>
      <c r="D1121" s="8" t="str">
        <f ca="1">IFERROR(__xludf.DUMMYFUNCTION("""COMPUTED_VALUE"""),"Parent")</f>
        <v>Parent</v>
      </c>
      <c r="E1121" s="8" t="str">
        <f ca="1">IFERROR(__xludf.DUMMYFUNCTION("""COMPUTED_VALUE"""),"Surrendered")</f>
        <v>Surrendered</v>
      </c>
      <c r="F1121" s="8" t="str">
        <f ca="1">IFERROR(__xludf.DUMMYFUNCTION("""COMPUTED_VALUE"""),"No")</f>
        <v>No</v>
      </c>
      <c r="G1121" s="8" t="str">
        <f ca="1">IFERROR(__xludf.DUMMYFUNCTION("""COMPUTED_VALUE"""),"None")</f>
        <v>None</v>
      </c>
    </row>
    <row r="1122" spans="1:7" ht="12.75">
      <c r="A1122" s="8" t="str">
        <f ca="1">IFERROR(__xludf.DUMMYFUNCTION("""COMPUTED_VALUE"""),"20150911LANOL")</f>
        <v>20150911LANOL</v>
      </c>
      <c r="B1122" s="8"/>
      <c r="C1122" s="8" t="str">
        <f ca="1">IFERROR(__xludf.DUMMYFUNCTION("""COMPUTED_VALUE"""),"Male")</f>
        <v>Male</v>
      </c>
      <c r="D1122" s="8" t="str">
        <f ca="1">IFERROR(__xludf.DUMMYFUNCTION("""COMPUTED_VALUE"""),"Unknown")</f>
        <v>Unknown</v>
      </c>
      <c r="E1122" s="8" t="str">
        <f ca="1">IFERROR(__xludf.DUMMYFUNCTION("""COMPUTED_VALUE"""),"Fled/Escaped")</f>
        <v>Fled/Escaped</v>
      </c>
      <c r="F1122" s="8" t="str">
        <f ca="1">IFERROR(__xludf.DUMMYFUNCTION("""COMPUTED_VALUE"""),"No")</f>
        <v>No</v>
      </c>
      <c r="G1122" s="8" t="str">
        <f ca="1">IFERROR(__xludf.DUMMYFUNCTION("""COMPUTED_VALUE"""),"None")</f>
        <v>None</v>
      </c>
    </row>
    <row r="1123" spans="1:7" ht="12.75">
      <c r="A1123" s="8" t="str">
        <f ca="1">IFERROR(__xludf.DUMMYFUNCTION("""COMPUTED_VALUE"""),"20150903ORNEN")</f>
        <v>20150903ORNEN</v>
      </c>
      <c r="B1123" s="8">
        <f ca="1">IFERROR(__xludf.DUMMYFUNCTION("""COMPUTED_VALUE"""),53)</f>
        <v>53</v>
      </c>
      <c r="C1123" s="8" t="str">
        <f ca="1">IFERROR(__xludf.DUMMYFUNCTION("""COMPUTED_VALUE"""),"Male")</f>
        <v>Male</v>
      </c>
      <c r="D1123" s="8" t="str">
        <f ca="1">IFERROR(__xludf.DUMMYFUNCTION("""COMPUTED_VALUE"""),"No Relation")</f>
        <v>No Relation</v>
      </c>
      <c r="E1123" s="8" t="str">
        <f ca="1">IFERROR(__xludf.DUMMYFUNCTION("""COMPUTED_VALUE"""),"Fled/Apprehended")</f>
        <v>Fled/Apprehended</v>
      </c>
      <c r="F1123" s="8" t="str">
        <f ca="1">IFERROR(__xludf.DUMMYFUNCTION("""COMPUTED_VALUE"""),"No")</f>
        <v>No</v>
      </c>
      <c r="G1123" s="8" t="str">
        <f ca="1">IFERROR(__xludf.DUMMYFUNCTION("""COMPUTED_VALUE"""),"None")</f>
        <v>None</v>
      </c>
    </row>
    <row r="1124" spans="1:7" ht="12.75">
      <c r="A1124" s="8" t="str">
        <f ca="1">IFERROR(__xludf.DUMMYFUNCTION("""COMPUTED_VALUE"""),"20150825GAWSA")</f>
        <v>20150825GAWSA</v>
      </c>
      <c r="B1124" s="8" t="str">
        <f ca="1">IFERROR(__xludf.DUMMYFUNCTION("""COMPUTED_VALUE"""),"Child")</f>
        <v>Child</v>
      </c>
      <c r="C1124" s="8" t="str">
        <f ca="1">IFERROR(__xludf.DUMMYFUNCTION("""COMPUTED_VALUE"""),"Male")</f>
        <v>Male</v>
      </c>
      <c r="D1124" s="8" t="str">
        <f ca="1">IFERROR(__xludf.DUMMYFUNCTION("""COMPUTED_VALUE"""),"Student")</f>
        <v>Student</v>
      </c>
      <c r="E1124" s="8" t="str">
        <f ca="1">IFERROR(__xludf.DUMMYFUNCTION("""COMPUTED_VALUE"""),"Surrendered")</f>
        <v>Surrendered</v>
      </c>
      <c r="F1124" s="8" t="str">
        <f ca="1">IFERROR(__xludf.DUMMYFUNCTION("""COMPUTED_VALUE"""),"No")</f>
        <v>No</v>
      </c>
      <c r="G1124" s="8" t="str">
        <f ca="1">IFERROR(__xludf.DUMMYFUNCTION("""COMPUTED_VALUE"""),"None")</f>
        <v>None</v>
      </c>
    </row>
    <row r="1125" spans="1:7" ht="12.75">
      <c r="A1125" s="8" t="str">
        <f ca="1">IFERROR(__xludf.DUMMYFUNCTION("""COMPUTED_VALUE"""),"20150823TXWIR")</f>
        <v>20150823TXWIR</v>
      </c>
      <c r="B1125" s="8">
        <f ca="1">IFERROR(__xludf.DUMMYFUNCTION("""COMPUTED_VALUE"""),20)</f>
        <v>20</v>
      </c>
      <c r="C1125" s="8" t="str">
        <f ca="1">IFERROR(__xludf.DUMMYFUNCTION("""COMPUTED_VALUE"""),"Male")</f>
        <v>Male</v>
      </c>
      <c r="D1125" s="8" t="str">
        <f ca="1">IFERROR(__xludf.DUMMYFUNCTION("""COMPUTED_VALUE"""),"No Relation")</f>
        <v>No Relation</v>
      </c>
      <c r="E1125" s="8" t="str">
        <f ca="1">IFERROR(__xludf.DUMMYFUNCTION("""COMPUTED_VALUE"""),"Unknown")</f>
        <v>Unknown</v>
      </c>
      <c r="F1125" s="8" t="str">
        <f ca="1">IFERROR(__xludf.DUMMYFUNCTION("""COMPUTED_VALUE"""),"No")</f>
        <v>No</v>
      </c>
      <c r="G1125" s="8" t="str">
        <f ca="1">IFERROR(__xludf.DUMMYFUNCTION("""COMPUTED_VALUE"""),"None")</f>
        <v>None</v>
      </c>
    </row>
    <row r="1126" spans="1:7" ht="12.75">
      <c r="A1126" s="8" t="str">
        <f ca="1">IFERROR(__xludf.DUMMYFUNCTION("""COMPUTED_VALUE"""),"20150808TXPAP")</f>
        <v>20150808TXPAP</v>
      </c>
      <c r="B1126" s="8">
        <f ca="1">IFERROR(__xludf.DUMMYFUNCTION("""COMPUTED_VALUE"""),21)</f>
        <v>21</v>
      </c>
      <c r="C1126" s="8" t="str">
        <f ca="1">IFERROR(__xludf.DUMMYFUNCTION("""COMPUTED_VALUE"""),"Male")</f>
        <v>Male</v>
      </c>
      <c r="D1126" s="8" t="str">
        <f ca="1">IFERROR(__xludf.DUMMYFUNCTION("""COMPUTED_VALUE"""),"Former Student")</f>
        <v>Former Student</v>
      </c>
      <c r="E1126" s="8" t="str">
        <f ca="1">IFERROR(__xludf.DUMMYFUNCTION("""COMPUTED_VALUE"""),"Fled/Apprehended")</f>
        <v>Fled/Apprehended</v>
      </c>
      <c r="F1126" s="8" t="str">
        <f ca="1">IFERROR(__xludf.DUMMYFUNCTION("""COMPUTED_VALUE"""),"No")</f>
        <v>No</v>
      </c>
      <c r="G1126" s="8" t="str">
        <f ca="1">IFERROR(__xludf.DUMMYFUNCTION("""COMPUTED_VALUE"""),"None")</f>
        <v>None</v>
      </c>
    </row>
    <row r="1127" spans="1:7" ht="12.75">
      <c r="A1127" s="8" t="str">
        <f ca="1">IFERROR(__xludf.DUMMYFUNCTION("""COMPUTED_VALUE"""),"20150724TXELC")</f>
        <v>20150724TXELC</v>
      </c>
      <c r="B1127" s="8">
        <f ca="1">IFERROR(__xludf.DUMMYFUNCTION("""COMPUTED_VALUE"""),15)</f>
        <v>15</v>
      </c>
      <c r="C1127" s="8" t="str">
        <f ca="1">IFERROR(__xludf.DUMMYFUNCTION("""COMPUTED_VALUE"""),"Male")</f>
        <v>Male</v>
      </c>
      <c r="D1127" s="8" t="str">
        <f ca="1">IFERROR(__xludf.DUMMYFUNCTION("""COMPUTED_VALUE"""),"Unknown")</f>
        <v>Unknown</v>
      </c>
      <c r="E1127" s="8" t="str">
        <f ca="1">IFERROR(__xludf.DUMMYFUNCTION("""COMPUTED_VALUE"""),"Fled/Apprehended")</f>
        <v>Fled/Apprehended</v>
      </c>
      <c r="F1127" s="8" t="str">
        <f ca="1">IFERROR(__xludf.DUMMYFUNCTION("""COMPUTED_VALUE"""),"No")</f>
        <v>No</v>
      </c>
      <c r="G1127" s="8" t="str">
        <f ca="1">IFERROR(__xludf.DUMMYFUNCTION("""COMPUTED_VALUE"""),"Wounded")</f>
        <v>Wounded</v>
      </c>
    </row>
    <row r="1128" spans="1:7" ht="12.75">
      <c r="A1128" s="8" t="str">
        <f ca="1">IFERROR(__xludf.DUMMYFUNCTION("""COMPUTED_VALUE"""),"20150705TXCOD")</f>
        <v>20150705TXCOD</v>
      </c>
      <c r="B1128" s="8">
        <f ca="1">IFERROR(__xludf.DUMMYFUNCTION("""COMPUTED_VALUE"""),18)</f>
        <v>18</v>
      </c>
      <c r="C1128" s="8" t="str">
        <f ca="1">IFERROR(__xludf.DUMMYFUNCTION("""COMPUTED_VALUE"""),"Male")</f>
        <v>Male</v>
      </c>
      <c r="D1128" s="8" t="str">
        <f ca="1">IFERROR(__xludf.DUMMYFUNCTION("""COMPUTED_VALUE"""),"Nonstudent Using Athletic Facilities/Attending Game")</f>
        <v>Nonstudent Using Athletic Facilities/Attending Game</v>
      </c>
      <c r="E1128" s="8" t="str">
        <f ca="1">IFERROR(__xludf.DUMMYFUNCTION("""COMPUTED_VALUE"""),"Fled/Apprehended")</f>
        <v>Fled/Apprehended</v>
      </c>
      <c r="F1128" s="8" t="str">
        <f ca="1">IFERROR(__xludf.DUMMYFUNCTION("""COMPUTED_VALUE"""),"No")</f>
        <v>No</v>
      </c>
      <c r="G1128" s="8" t="str">
        <f ca="1">IFERROR(__xludf.DUMMYFUNCTION("""COMPUTED_VALUE"""),"None")</f>
        <v>None</v>
      </c>
    </row>
    <row r="1129" spans="1:7" ht="12.75">
      <c r="A1129" s="8" t="str">
        <f ca="1">IFERROR(__xludf.DUMMYFUNCTION("""COMPUTED_VALUE"""),"20150629TXJOS")</f>
        <v>20150629TXJOS</v>
      </c>
      <c r="B1129" s="8">
        <f ca="1">IFERROR(__xludf.DUMMYFUNCTION("""COMPUTED_VALUE"""),28)</f>
        <v>28</v>
      </c>
      <c r="C1129" s="8" t="str">
        <f ca="1">IFERROR(__xludf.DUMMYFUNCTION("""COMPUTED_VALUE"""),"Male")</f>
        <v>Male</v>
      </c>
      <c r="D1129" s="8" t="str">
        <f ca="1">IFERROR(__xludf.DUMMYFUNCTION("""COMPUTED_VALUE"""),"Unknown")</f>
        <v>Unknown</v>
      </c>
      <c r="E1129" s="8" t="str">
        <f ca="1">IFERROR(__xludf.DUMMYFUNCTION("""COMPUTED_VALUE"""),"Apprehended/Killed by LE")</f>
        <v>Apprehended/Killed by LE</v>
      </c>
      <c r="F1129" s="8" t="str">
        <f ca="1">IFERROR(__xludf.DUMMYFUNCTION("""COMPUTED_VALUE"""),"Yes")</f>
        <v>Yes</v>
      </c>
      <c r="G1129" s="8" t="str">
        <f ca="1">IFERROR(__xludf.DUMMYFUNCTION("""COMPUTED_VALUE"""),"Fatal")</f>
        <v>Fatal</v>
      </c>
    </row>
    <row r="1130" spans="1:7" ht="12.75">
      <c r="A1130" s="8" t="str">
        <f ca="1">IFERROR(__xludf.DUMMYFUNCTION("""COMPUTED_VALUE"""),"20150627CTSAH")</f>
        <v>20150627CTSAH</v>
      </c>
      <c r="B1130" s="8"/>
      <c r="C1130" s="8" t="str">
        <f ca="1">IFERROR(__xludf.DUMMYFUNCTION("""COMPUTED_VALUE"""),"Male")</f>
        <v>Male</v>
      </c>
      <c r="D1130" s="8" t="str">
        <f ca="1">IFERROR(__xludf.DUMMYFUNCTION("""COMPUTED_VALUE"""),"Nonstudent Using Athletic Facilities/Attending Game")</f>
        <v>Nonstudent Using Athletic Facilities/Attending Game</v>
      </c>
      <c r="E1130" s="8" t="str">
        <f ca="1">IFERROR(__xludf.DUMMYFUNCTION("""COMPUTED_VALUE"""),"Fled/Escaped")</f>
        <v>Fled/Escaped</v>
      </c>
      <c r="F1130" s="8" t="str">
        <f ca="1">IFERROR(__xludf.DUMMYFUNCTION("""COMPUTED_VALUE"""),"No")</f>
        <v>No</v>
      </c>
      <c r="G1130" s="8" t="str">
        <f ca="1">IFERROR(__xludf.DUMMYFUNCTION("""COMPUTED_VALUE"""),"None")</f>
        <v>None</v>
      </c>
    </row>
    <row r="1131" spans="1:7" ht="12.75">
      <c r="A1131" s="8" t="str">
        <f ca="1">IFERROR(__xludf.DUMMYFUNCTION("""COMPUTED_VALUE"""),"20150623NEFOF")</f>
        <v>20150623NEFOF</v>
      </c>
      <c r="B1131" s="8">
        <f ca="1">IFERROR(__xludf.DUMMYFUNCTION("""COMPUTED_VALUE"""),35)</f>
        <v>35</v>
      </c>
      <c r="C1131" s="8" t="str">
        <f ca="1">IFERROR(__xludf.DUMMYFUNCTION("""COMPUTED_VALUE"""),"Male")</f>
        <v>Male</v>
      </c>
      <c r="D1131" s="8" t="str">
        <f ca="1">IFERROR(__xludf.DUMMYFUNCTION("""COMPUTED_VALUE"""),"No Relation")</f>
        <v>No Relation</v>
      </c>
      <c r="E1131" s="8" t="str">
        <f ca="1">IFERROR(__xludf.DUMMYFUNCTION("""COMPUTED_VALUE"""),"Fled/Apprehended")</f>
        <v>Fled/Apprehended</v>
      </c>
      <c r="F1131" s="8" t="str">
        <f ca="1">IFERROR(__xludf.DUMMYFUNCTION("""COMPUTED_VALUE"""),"No")</f>
        <v>No</v>
      </c>
      <c r="G1131" s="8" t="str">
        <f ca="1">IFERROR(__xludf.DUMMYFUNCTION("""COMPUTED_VALUE"""),"None")</f>
        <v>None</v>
      </c>
    </row>
    <row r="1132" spans="1:7" ht="12.75">
      <c r="A1132" s="8" t="str">
        <f ca="1">IFERROR(__xludf.DUMMYFUNCTION("""COMPUTED_VALUE"""),"20150604NCSOF")</f>
        <v>20150604NCSOF</v>
      </c>
      <c r="B1132" s="8">
        <f ca="1">IFERROR(__xludf.DUMMYFUNCTION("""COMPUTED_VALUE"""),38)</f>
        <v>38</v>
      </c>
      <c r="C1132" s="8" t="str">
        <f ca="1">IFERROR(__xludf.DUMMYFUNCTION("""COMPUTED_VALUE"""),"Male")</f>
        <v>Male</v>
      </c>
      <c r="D1132" s="8" t="str">
        <f ca="1">IFERROR(__xludf.DUMMYFUNCTION("""COMPUTED_VALUE"""),"No Relation")</f>
        <v>No Relation</v>
      </c>
      <c r="E1132" s="8" t="str">
        <f ca="1">IFERROR(__xludf.DUMMYFUNCTION("""COMPUTED_VALUE"""),"Apprehended/Killed by LE")</f>
        <v>Apprehended/Killed by LE</v>
      </c>
      <c r="F1132" s="8" t="str">
        <f ca="1">IFERROR(__xludf.DUMMYFUNCTION("""COMPUTED_VALUE"""),"No")</f>
        <v>No</v>
      </c>
      <c r="G1132" s="8" t="str">
        <f ca="1">IFERROR(__xludf.DUMMYFUNCTION("""COMPUTED_VALUE"""),"None")</f>
        <v>None</v>
      </c>
    </row>
    <row r="1133" spans="1:7" ht="12.75">
      <c r="A1133" s="8" t="str">
        <f ca="1">IFERROR(__xludf.DUMMYFUNCTION("""COMPUTED_VALUE"""),"20150604NCSOF")</f>
        <v>20150604NCSOF</v>
      </c>
      <c r="B1133" s="8">
        <f ca="1">IFERROR(__xludf.DUMMYFUNCTION("""COMPUTED_VALUE"""),29)</f>
        <v>29</v>
      </c>
      <c r="C1133" s="8" t="str">
        <f ca="1">IFERROR(__xludf.DUMMYFUNCTION("""COMPUTED_VALUE"""),"Female")</f>
        <v>Female</v>
      </c>
      <c r="D1133" s="8" t="str">
        <f ca="1">IFERROR(__xludf.DUMMYFUNCTION("""COMPUTED_VALUE"""),"No Relation")</f>
        <v>No Relation</v>
      </c>
      <c r="E1133" s="8" t="str">
        <f ca="1">IFERROR(__xludf.DUMMYFUNCTION("""COMPUTED_VALUE"""),"Apprehended/Killed by LE")</f>
        <v>Apprehended/Killed by LE</v>
      </c>
      <c r="F1133" s="8" t="str">
        <f ca="1">IFERROR(__xludf.DUMMYFUNCTION("""COMPUTED_VALUE"""),"No")</f>
        <v>No</v>
      </c>
      <c r="G1133" s="8" t="str">
        <f ca="1">IFERROR(__xludf.DUMMYFUNCTION("""COMPUTED_VALUE"""),"None")</f>
        <v>None</v>
      </c>
    </row>
    <row r="1134" spans="1:7" ht="12.75">
      <c r="A1134" s="8" t="str">
        <f ca="1">IFERROR(__xludf.DUMMYFUNCTION("""COMPUTED_VALUE"""),"20150527FLEVE")</f>
        <v>20150527FLEVE</v>
      </c>
      <c r="B1134" s="8">
        <f ca="1">IFERROR(__xludf.DUMMYFUNCTION("""COMPUTED_VALUE"""),56)</f>
        <v>56</v>
      </c>
      <c r="C1134" s="8" t="str">
        <f ca="1">IFERROR(__xludf.DUMMYFUNCTION("""COMPUTED_VALUE"""),"Male")</f>
        <v>Male</v>
      </c>
      <c r="D1134" s="8" t="str">
        <f ca="1">IFERROR(__xludf.DUMMYFUNCTION("""COMPUTED_VALUE"""),"No Relation")</f>
        <v>No Relation</v>
      </c>
      <c r="E1134" s="8" t="str">
        <f ca="1">IFERROR(__xludf.DUMMYFUNCTION("""COMPUTED_VALUE"""),"Fled/Apprehended")</f>
        <v>Fled/Apprehended</v>
      </c>
      <c r="F1134" s="8" t="str">
        <f ca="1">IFERROR(__xludf.DUMMYFUNCTION("""COMPUTED_VALUE"""),"No")</f>
        <v>No</v>
      </c>
      <c r="G1134" s="8" t="str">
        <f ca="1">IFERROR(__xludf.DUMMYFUNCTION("""COMPUTED_VALUE"""),"None")</f>
        <v>None</v>
      </c>
    </row>
    <row r="1135" spans="1:7" ht="12.75">
      <c r="A1135" s="8" t="str">
        <f ca="1">IFERROR(__xludf.DUMMYFUNCTION("""COMPUTED_VALUE"""),"20150524MISOF")</f>
        <v>20150524MISOF</v>
      </c>
      <c r="B1135" s="8"/>
      <c r="C1135" s="8"/>
      <c r="D1135" s="8" t="str">
        <f ca="1">IFERROR(__xludf.DUMMYFUNCTION("""COMPUTED_VALUE"""),"Unknown")</f>
        <v>Unknown</v>
      </c>
      <c r="E1135" s="8" t="str">
        <f ca="1">IFERROR(__xludf.DUMMYFUNCTION("""COMPUTED_VALUE"""),"Fled/Escaped")</f>
        <v>Fled/Escaped</v>
      </c>
      <c r="F1135" s="8" t="str">
        <f ca="1">IFERROR(__xludf.DUMMYFUNCTION("""COMPUTED_VALUE"""),"No")</f>
        <v>No</v>
      </c>
      <c r="G1135" s="8" t="str">
        <f ca="1">IFERROR(__xludf.DUMMYFUNCTION("""COMPUTED_VALUE"""),"None")</f>
        <v>None</v>
      </c>
    </row>
    <row r="1136" spans="1:7" ht="12.75">
      <c r="A1136" s="8" t="str">
        <f ca="1">IFERROR(__xludf.DUMMYFUNCTION("""COMPUTED_VALUE"""),"20150521FLDUJ")</f>
        <v>20150521FLDUJ</v>
      </c>
      <c r="B1136" s="8">
        <f ca="1">IFERROR(__xludf.DUMMYFUNCTION("""COMPUTED_VALUE"""),16)</f>
        <v>16</v>
      </c>
      <c r="C1136" s="8" t="str">
        <f ca="1">IFERROR(__xludf.DUMMYFUNCTION("""COMPUTED_VALUE"""),"Male")</f>
        <v>Male</v>
      </c>
      <c r="D1136" s="8" t="str">
        <f ca="1">IFERROR(__xludf.DUMMYFUNCTION("""COMPUTED_VALUE"""),"Student")</f>
        <v>Student</v>
      </c>
      <c r="E1136" s="8" t="str">
        <f ca="1">IFERROR(__xludf.DUMMYFUNCTION("""COMPUTED_VALUE"""),"Fled/Apprehended")</f>
        <v>Fled/Apprehended</v>
      </c>
      <c r="F1136" s="8" t="str">
        <f ca="1">IFERROR(__xludf.DUMMYFUNCTION("""COMPUTED_VALUE"""),"No")</f>
        <v>No</v>
      </c>
      <c r="G1136" s="8" t="str">
        <f ca="1">IFERROR(__xludf.DUMMYFUNCTION("""COMPUTED_VALUE"""),"None")</f>
        <v>None</v>
      </c>
    </row>
    <row r="1137" spans="1:7" ht="12.75">
      <c r="A1137" s="8" t="str">
        <f ca="1">IFERROR(__xludf.DUMMYFUNCTION("""COMPUTED_VALUE"""),"20150520TXROR")</f>
        <v>20150520TXROR</v>
      </c>
      <c r="B1137" s="8">
        <f ca="1">IFERROR(__xludf.DUMMYFUNCTION("""COMPUTED_VALUE"""),18)</f>
        <v>18</v>
      </c>
      <c r="C1137" s="8" t="str">
        <f ca="1">IFERROR(__xludf.DUMMYFUNCTION("""COMPUTED_VALUE"""),"Male")</f>
        <v>Male</v>
      </c>
      <c r="D1137" s="8" t="str">
        <f ca="1">IFERROR(__xludf.DUMMYFUNCTION("""COMPUTED_VALUE"""),"Student")</f>
        <v>Student</v>
      </c>
      <c r="E1137" s="8" t="str">
        <f ca="1">IFERROR(__xludf.DUMMYFUNCTION("""COMPUTED_VALUE"""),"Suicide")</f>
        <v>Suicide</v>
      </c>
      <c r="F1137" s="8" t="str">
        <f ca="1">IFERROR(__xludf.DUMMYFUNCTION("""COMPUTED_VALUE"""),"Yes")</f>
        <v>Yes</v>
      </c>
      <c r="G1137" s="8" t="str">
        <f ca="1">IFERROR(__xludf.DUMMYFUNCTION("""COMPUTED_VALUE"""),"Suicide")</f>
        <v>Suicide</v>
      </c>
    </row>
    <row r="1138" spans="1:7" ht="12.75">
      <c r="A1138" s="8" t="str">
        <f ca="1">IFERROR(__xludf.DUMMYFUNCTION("""COMPUTED_VALUE"""),"20150512FLUNJ")</f>
        <v>20150512FLUNJ</v>
      </c>
      <c r="B1138" s="8"/>
      <c r="C1138" s="8" t="str">
        <f ca="1">IFERROR(__xludf.DUMMYFUNCTION("""COMPUTED_VALUE"""),"Male")</f>
        <v>Male</v>
      </c>
      <c r="D1138" s="8" t="str">
        <f ca="1">IFERROR(__xludf.DUMMYFUNCTION("""COMPUTED_VALUE"""),"No Relation")</f>
        <v>No Relation</v>
      </c>
      <c r="E1138" s="8" t="str">
        <f ca="1">IFERROR(__xludf.DUMMYFUNCTION("""COMPUTED_VALUE"""),"Fled/Escaped")</f>
        <v>Fled/Escaped</v>
      </c>
      <c r="F1138" s="8" t="str">
        <f ca="1">IFERROR(__xludf.DUMMYFUNCTION("""COMPUTED_VALUE"""),"No")</f>
        <v>No</v>
      </c>
      <c r="G1138" s="8" t="str">
        <f ca="1">IFERROR(__xludf.DUMMYFUNCTION("""COMPUTED_VALUE"""),"None")</f>
        <v>None</v>
      </c>
    </row>
    <row r="1139" spans="1:7" ht="12.75">
      <c r="A1139" s="8" t="str">
        <f ca="1">IFERROR(__xludf.DUMMYFUNCTION("""COMPUTED_VALUE"""),"20150512AZCOT")</f>
        <v>20150512AZCOT</v>
      </c>
      <c r="B1139" s="8">
        <f ca="1">IFERROR(__xludf.DUMMYFUNCTION("""COMPUTED_VALUE"""),18)</f>
        <v>18</v>
      </c>
      <c r="C1139" s="8" t="str">
        <f ca="1">IFERROR(__xludf.DUMMYFUNCTION("""COMPUTED_VALUE"""),"Male")</f>
        <v>Male</v>
      </c>
      <c r="D1139" s="8" t="str">
        <f ca="1">IFERROR(__xludf.DUMMYFUNCTION("""COMPUTED_VALUE"""),"Student")</f>
        <v>Student</v>
      </c>
      <c r="E1139" s="8" t="str">
        <f ca="1">IFERROR(__xludf.DUMMYFUNCTION("""COMPUTED_VALUE"""),"Suicide")</f>
        <v>Suicide</v>
      </c>
      <c r="F1139" s="8" t="str">
        <f ca="1">IFERROR(__xludf.DUMMYFUNCTION("""COMPUTED_VALUE"""),"Yes")</f>
        <v>Yes</v>
      </c>
      <c r="G1139" s="8" t="str">
        <f ca="1">IFERROR(__xludf.DUMMYFUNCTION("""COMPUTED_VALUE"""),"Suicide")</f>
        <v>Suicide</v>
      </c>
    </row>
    <row r="1140" spans="1:7" ht="12.75">
      <c r="A1140" s="8" t="str">
        <f ca="1">IFERROR(__xludf.DUMMYFUNCTION("""COMPUTED_VALUE"""),"20150505GACOC")</f>
        <v>20150505GACOC</v>
      </c>
      <c r="B1140" s="8">
        <f ca="1">IFERROR(__xludf.DUMMYFUNCTION("""COMPUTED_VALUE"""),14)</f>
        <v>14</v>
      </c>
      <c r="C1140" s="8" t="str">
        <f ca="1">IFERROR(__xludf.DUMMYFUNCTION("""COMPUTED_VALUE"""),"Male")</f>
        <v>Male</v>
      </c>
      <c r="D1140" s="8" t="str">
        <f ca="1">IFERROR(__xludf.DUMMYFUNCTION("""COMPUTED_VALUE"""),"Student")</f>
        <v>Student</v>
      </c>
      <c r="E1140" s="8" t="str">
        <f ca="1">IFERROR(__xludf.DUMMYFUNCTION("""COMPUTED_VALUE"""),"Unknown")</f>
        <v>Unknown</v>
      </c>
      <c r="F1140" s="8" t="str">
        <f ca="1">IFERROR(__xludf.DUMMYFUNCTION("""COMPUTED_VALUE"""),"No")</f>
        <v>No</v>
      </c>
      <c r="G1140" s="8" t="str">
        <f ca="1">IFERROR(__xludf.DUMMYFUNCTION("""COMPUTED_VALUE"""),"None")</f>
        <v>None</v>
      </c>
    </row>
    <row r="1141" spans="1:7" ht="12.75">
      <c r="A1141" s="8" t="str">
        <f ca="1">IFERROR(__xludf.DUMMYFUNCTION("""COMPUTED_VALUE"""),"20150504OHWIC")</f>
        <v>20150504OHWIC</v>
      </c>
      <c r="B1141" s="8"/>
      <c r="C1141" s="8"/>
      <c r="D1141" s="8" t="str">
        <f ca="1">IFERROR(__xludf.DUMMYFUNCTION("""COMPUTED_VALUE"""),"Unknown")</f>
        <v>Unknown</v>
      </c>
      <c r="E1141" s="8" t="str">
        <f ca="1">IFERROR(__xludf.DUMMYFUNCTION("""COMPUTED_VALUE"""),"Fled/Escaped")</f>
        <v>Fled/Escaped</v>
      </c>
      <c r="F1141" s="8" t="str">
        <f ca="1">IFERROR(__xludf.DUMMYFUNCTION("""COMPUTED_VALUE"""),"No")</f>
        <v>No</v>
      </c>
      <c r="G1141" s="8" t="str">
        <f ca="1">IFERROR(__xludf.DUMMYFUNCTION("""COMPUTED_VALUE"""),"None")</f>
        <v>None</v>
      </c>
    </row>
    <row r="1142" spans="1:7" ht="12.75">
      <c r="A1142" s="8" t="str">
        <f ca="1">IFERROR(__xludf.DUMMYFUNCTION("""COMPUTED_VALUE"""),"20150428MDDRW")</f>
        <v>20150428MDDRW</v>
      </c>
      <c r="B1142" s="8"/>
      <c r="C1142" s="8" t="str">
        <f ca="1">IFERROR(__xludf.DUMMYFUNCTION("""COMPUTED_VALUE"""),"Male")</f>
        <v>Male</v>
      </c>
      <c r="D1142" s="8" t="str">
        <f ca="1">IFERROR(__xludf.DUMMYFUNCTION("""COMPUTED_VALUE"""),"No Relation")</f>
        <v>No Relation</v>
      </c>
      <c r="E1142" s="8" t="str">
        <f ca="1">IFERROR(__xludf.DUMMYFUNCTION("""COMPUTED_VALUE"""),"Fled/Escaped")</f>
        <v>Fled/Escaped</v>
      </c>
      <c r="F1142" s="8" t="str">
        <f ca="1">IFERROR(__xludf.DUMMYFUNCTION("""COMPUTED_VALUE"""),"No")</f>
        <v>No</v>
      </c>
      <c r="G1142" s="8" t="str">
        <f ca="1">IFERROR(__xludf.DUMMYFUNCTION("""COMPUTED_VALUE"""),"None")</f>
        <v>None</v>
      </c>
    </row>
    <row r="1143" spans="1:7" ht="12.75">
      <c r="A1143" s="8" t="str">
        <f ca="1">IFERROR(__xludf.DUMMYFUNCTION("""COMPUTED_VALUE"""),"20150427WANOL")</f>
        <v>20150427WANOL</v>
      </c>
      <c r="B1143" s="8">
        <f ca="1">IFERROR(__xludf.DUMMYFUNCTION("""COMPUTED_VALUE"""),16)</f>
        <v>16</v>
      </c>
      <c r="C1143" s="8" t="str">
        <f ca="1">IFERROR(__xludf.DUMMYFUNCTION("""COMPUTED_VALUE"""),"Male")</f>
        <v>Male</v>
      </c>
      <c r="D1143" s="8" t="str">
        <f ca="1">IFERROR(__xludf.DUMMYFUNCTION("""COMPUTED_VALUE"""),"Student")</f>
        <v>Student</v>
      </c>
      <c r="E1143" s="8" t="str">
        <f ca="1">IFERROR(__xludf.DUMMYFUNCTION("""COMPUTED_VALUE"""),"Subdued by Students/Staff/Other")</f>
        <v>Subdued by Students/Staff/Other</v>
      </c>
      <c r="F1143" s="8" t="str">
        <f ca="1">IFERROR(__xludf.DUMMYFUNCTION("""COMPUTED_VALUE"""),"No")</f>
        <v>No</v>
      </c>
      <c r="G1143" s="8" t="str">
        <f ca="1">IFERROR(__xludf.DUMMYFUNCTION("""COMPUTED_VALUE"""),"None")</f>
        <v>None</v>
      </c>
    </row>
    <row r="1144" spans="1:7" ht="12.75">
      <c r="A1144" s="8" t="str">
        <f ca="1">IFERROR(__xludf.DUMMYFUNCTION("""COMPUTED_VALUE"""),"20150422NVRUL")</f>
        <v>20150422NVRUL</v>
      </c>
      <c r="B1144" s="8">
        <f ca="1">IFERROR(__xludf.DUMMYFUNCTION("""COMPUTED_VALUE"""),11)</f>
        <v>11</v>
      </c>
      <c r="C1144" s="8" t="str">
        <f ca="1">IFERROR(__xludf.DUMMYFUNCTION("""COMPUTED_VALUE"""),"Male")</f>
        <v>Male</v>
      </c>
      <c r="D1144" s="8" t="str">
        <f ca="1">IFERROR(__xludf.DUMMYFUNCTION("""COMPUTED_VALUE"""),"Student")</f>
        <v>Student</v>
      </c>
      <c r="E1144" s="8" t="str">
        <f ca="1">IFERROR(__xludf.DUMMYFUNCTION("""COMPUTED_VALUE"""),"Unknown")</f>
        <v>Unknown</v>
      </c>
      <c r="F1144" s="8" t="str">
        <f ca="1">IFERROR(__xludf.DUMMYFUNCTION("""COMPUTED_VALUE"""),"No")</f>
        <v>No</v>
      </c>
      <c r="G1144" s="8" t="str">
        <f ca="1">IFERROR(__xludf.DUMMYFUNCTION("""COMPUTED_VALUE"""),"None")</f>
        <v>None</v>
      </c>
    </row>
    <row r="1145" spans="1:7" ht="12.75">
      <c r="A1145" s="8" t="str">
        <f ca="1">IFERROR(__xludf.DUMMYFUNCTION("""COMPUTED_VALUE"""),"20150417TXSES")</f>
        <v>20150417TXSES</v>
      </c>
      <c r="B1145" s="8">
        <f ca="1">IFERROR(__xludf.DUMMYFUNCTION("""COMPUTED_VALUE"""),18)</f>
        <v>18</v>
      </c>
      <c r="C1145" s="8" t="str">
        <f ca="1">IFERROR(__xludf.DUMMYFUNCTION("""COMPUTED_VALUE"""),"Male")</f>
        <v>Male</v>
      </c>
      <c r="D1145" s="8" t="str">
        <f ca="1">IFERROR(__xludf.DUMMYFUNCTION("""COMPUTED_VALUE"""),"Student")</f>
        <v>Student</v>
      </c>
      <c r="E1145" s="8" t="str">
        <f ca="1">IFERROR(__xludf.DUMMYFUNCTION("""COMPUTED_VALUE"""),"Suicide")</f>
        <v>Suicide</v>
      </c>
      <c r="F1145" s="8" t="str">
        <f ca="1">IFERROR(__xludf.DUMMYFUNCTION("""COMPUTED_VALUE"""),"Yes")</f>
        <v>Yes</v>
      </c>
      <c r="G1145" s="8" t="str">
        <f ca="1">IFERROR(__xludf.DUMMYFUNCTION("""COMPUTED_VALUE"""),"Suicide")</f>
        <v>Suicide</v>
      </c>
    </row>
    <row r="1146" spans="1:7" ht="12.75">
      <c r="A1146" s="8" t="str">
        <f ca="1">IFERROR(__xludf.DUMMYFUNCTION("""COMPUTED_VALUE"""),"20150330MOPEU")</f>
        <v>20150330MOPEU</v>
      </c>
      <c r="B1146" s="8">
        <f ca="1">IFERROR(__xludf.DUMMYFUNCTION("""COMPUTED_VALUE"""),24)</f>
        <v>24</v>
      </c>
      <c r="C1146" s="8" t="str">
        <f ca="1">IFERROR(__xludf.DUMMYFUNCTION("""COMPUTED_VALUE"""),"Male")</f>
        <v>Male</v>
      </c>
      <c r="D1146" s="8" t="str">
        <f ca="1">IFERROR(__xludf.DUMMYFUNCTION("""COMPUTED_VALUE"""),"No Relation")</f>
        <v>No Relation</v>
      </c>
      <c r="E1146" s="8" t="str">
        <f ca="1">IFERROR(__xludf.DUMMYFUNCTION("""COMPUTED_VALUE"""),"Fled/Apprehended")</f>
        <v>Fled/Apprehended</v>
      </c>
      <c r="F1146" s="8" t="str">
        <f ca="1">IFERROR(__xludf.DUMMYFUNCTION("""COMPUTED_VALUE"""),"No")</f>
        <v>No</v>
      </c>
      <c r="G1146" s="8" t="str">
        <f ca="1">IFERROR(__xludf.DUMMYFUNCTION("""COMPUTED_VALUE"""),"None")</f>
        <v>None</v>
      </c>
    </row>
    <row r="1147" spans="1:7" ht="12.75">
      <c r="A1147" s="8" t="str">
        <f ca="1">IFERROR(__xludf.DUMMYFUNCTION("""COMPUTED_VALUE"""),"20150215CATEM")</f>
        <v>20150215CATEM</v>
      </c>
      <c r="B1147" s="8">
        <f ca="1">IFERROR(__xludf.DUMMYFUNCTION("""COMPUTED_VALUE"""),17)</f>
        <v>17</v>
      </c>
      <c r="C1147" s="8" t="str">
        <f ca="1">IFERROR(__xludf.DUMMYFUNCTION("""COMPUTED_VALUE"""),"Male")</f>
        <v>Male</v>
      </c>
      <c r="D1147" s="8" t="str">
        <f ca="1">IFERROR(__xludf.DUMMYFUNCTION("""COMPUTED_VALUE"""),"Unknown")</f>
        <v>Unknown</v>
      </c>
      <c r="E1147" s="8" t="str">
        <f ca="1">IFERROR(__xludf.DUMMYFUNCTION("""COMPUTED_VALUE"""),"Fled/Escaped")</f>
        <v>Fled/Escaped</v>
      </c>
      <c r="F1147" s="8" t="str">
        <f ca="1">IFERROR(__xludf.DUMMYFUNCTION("""COMPUTED_VALUE"""),"No")</f>
        <v>No</v>
      </c>
      <c r="G1147" s="8" t="str">
        <f ca="1">IFERROR(__xludf.DUMMYFUNCTION("""COMPUTED_VALUE"""),"None")</f>
        <v>None</v>
      </c>
    </row>
    <row r="1148" spans="1:7" ht="12.75">
      <c r="A1148" s="8" t="str">
        <f ca="1">IFERROR(__xludf.DUMMYFUNCTION("""COMPUTED_VALUE"""),"20150215ARLAL")</f>
        <v>20150215ARLAL</v>
      </c>
      <c r="B1148" s="8">
        <f ca="1">IFERROR(__xludf.DUMMYFUNCTION("""COMPUTED_VALUE"""),62)</f>
        <v>62</v>
      </c>
      <c r="C1148" s="8" t="str">
        <f ca="1">IFERROR(__xludf.DUMMYFUNCTION("""COMPUTED_VALUE"""),"Male")</f>
        <v>Male</v>
      </c>
      <c r="D1148" s="8" t="str">
        <f ca="1">IFERROR(__xludf.DUMMYFUNCTION("""COMPUTED_VALUE"""),"Relative")</f>
        <v>Relative</v>
      </c>
      <c r="E1148" s="8" t="str">
        <f ca="1">IFERROR(__xludf.DUMMYFUNCTION("""COMPUTED_VALUE"""),"Fled/Apprehended")</f>
        <v>Fled/Apprehended</v>
      </c>
      <c r="F1148" s="8" t="str">
        <f ca="1">IFERROR(__xludf.DUMMYFUNCTION("""COMPUTED_VALUE"""),"No")</f>
        <v>No</v>
      </c>
      <c r="G1148" s="8" t="str">
        <f ca="1">IFERROR(__xludf.DUMMYFUNCTION("""COMPUTED_VALUE"""),"None")</f>
        <v>None</v>
      </c>
    </row>
    <row r="1149" spans="1:7" ht="12.75">
      <c r="A1149" s="8" t="str">
        <f ca="1">IFERROR(__xludf.DUMMYFUNCTION("""COMPUTED_VALUE"""),"20150204MDFRF")</f>
        <v>20150204MDFRF</v>
      </c>
      <c r="B1149" s="8">
        <f ca="1">IFERROR(__xludf.DUMMYFUNCTION("""COMPUTED_VALUE"""),21)</f>
        <v>21</v>
      </c>
      <c r="C1149" s="8" t="str">
        <f ca="1">IFERROR(__xludf.DUMMYFUNCTION("""COMPUTED_VALUE"""),"Male")</f>
        <v>Male</v>
      </c>
      <c r="D1149" s="8" t="str">
        <f ca="1">IFERROR(__xludf.DUMMYFUNCTION("""COMPUTED_VALUE"""),"Nonstudent Using Athletic Facilities/Attending Game")</f>
        <v>Nonstudent Using Athletic Facilities/Attending Game</v>
      </c>
      <c r="E1149" s="8" t="str">
        <f ca="1">IFERROR(__xludf.DUMMYFUNCTION("""COMPUTED_VALUE"""),"Fled/Apprehended")</f>
        <v>Fled/Apprehended</v>
      </c>
      <c r="F1149" s="8" t="str">
        <f ca="1">IFERROR(__xludf.DUMMYFUNCTION("""COMPUTED_VALUE"""),"No")</f>
        <v>No</v>
      </c>
      <c r="G1149" s="8" t="str">
        <f ca="1">IFERROR(__xludf.DUMMYFUNCTION("""COMPUTED_VALUE"""),"None")</f>
        <v>None</v>
      </c>
    </row>
    <row r="1150" spans="1:7" ht="12.75">
      <c r="A1150" s="8" t="str">
        <f ca="1">IFERROR(__xludf.DUMMYFUNCTION("""COMPUTED_VALUE"""),"20150204MDFRF")</f>
        <v>20150204MDFRF</v>
      </c>
      <c r="B1150" s="8"/>
      <c r="C1150" s="8" t="str">
        <f ca="1">IFERROR(__xludf.DUMMYFUNCTION("""COMPUTED_VALUE"""),"Male")</f>
        <v>Male</v>
      </c>
      <c r="D1150" s="8" t="str">
        <f ca="1">IFERROR(__xludf.DUMMYFUNCTION("""COMPUTED_VALUE"""),"Nonstudent Using Athletic Facilities/Attending Game")</f>
        <v>Nonstudent Using Athletic Facilities/Attending Game</v>
      </c>
      <c r="E1150" s="8" t="str">
        <f ca="1">IFERROR(__xludf.DUMMYFUNCTION("""COMPUTED_VALUE"""),"Fled/Apprehended")</f>
        <v>Fled/Apprehended</v>
      </c>
      <c r="F1150" s="8" t="str">
        <f ca="1">IFERROR(__xludf.DUMMYFUNCTION("""COMPUTED_VALUE"""),"No")</f>
        <v>No</v>
      </c>
      <c r="G1150" s="8" t="str">
        <f ca="1">IFERROR(__xludf.DUMMYFUNCTION("""COMPUTED_VALUE"""),"None")</f>
        <v>None</v>
      </c>
    </row>
    <row r="1151" spans="1:7" ht="12.75">
      <c r="A1151" s="8" t="str">
        <f ca="1">IFERROR(__xludf.DUMMYFUNCTION("""COMPUTED_VALUE"""),"20150126MNHAR")</f>
        <v>20150126MNHAR</v>
      </c>
      <c r="B1151" s="8">
        <f ca="1">IFERROR(__xludf.DUMMYFUNCTION("""COMPUTED_VALUE"""),48)</f>
        <v>48</v>
      </c>
      <c r="C1151" s="8" t="str">
        <f ca="1">IFERROR(__xludf.DUMMYFUNCTION("""COMPUTED_VALUE"""),"Male")</f>
        <v>Male</v>
      </c>
      <c r="D1151" s="8" t="str">
        <f ca="1">IFERROR(__xludf.DUMMYFUNCTION("""COMPUTED_VALUE"""),"No Relation")</f>
        <v>No Relation</v>
      </c>
      <c r="E1151" s="8" t="str">
        <f ca="1">IFERROR(__xludf.DUMMYFUNCTION("""COMPUTED_VALUE"""),"Suicide")</f>
        <v>Suicide</v>
      </c>
      <c r="F1151" s="8" t="str">
        <f ca="1">IFERROR(__xludf.DUMMYFUNCTION("""COMPUTED_VALUE"""),"Yes")</f>
        <v>Yes</v>
      </c>
      <c r="G1151" s="8" t="str">
        <f ca="1">IFERROR(__xludf.DUMMYFUNCTION("""COMPUTED_VALUE"""),"Suicide")</f>
        <v>Suicide</v>
      </c>
    </row>
    <row r="1152" spans="1:7" ht="12.75">
      <c r="A1152" s="8" t="str">
        <f ca="1">IFERROR(__xludf.DUMMYFUNCTION("""COMPUTED_VALUE"""),"20150122SCROH")</f>
        <v>20150122SCROH</v>
      </c>
      <c r="B1152" s="8" t="str">
        <f ca="1">IFERROR(__xludf.DUMMYFUNCTION("""COMPUTED_VALUE"""),"Teen")</f>
        <v>Teen</v>
      </c>
      <c r="C1152" s="8" t="str">
        <f ca="1">IFERROR(__xludf.DUMMYFUNCTION("""COMPUTED_VALUE"""),"Male")</f>
        <v>Male</v>
      </c>
      <c r="D1152" s="8" t="str">
        <f ca="1">IFERROR(__xludf.DUMMYFUNCTION("""COMPUTED_VALUE"""),"Student")</f>
        <v>Student</v>
      </c>
      <c r="E1152" s="8" t="str">
        <f ca="1">IFERROR(__xludf.DUMMYFUNCTION("""COMPUTED_VALUE"""),"Fled/Apprehended")</f>
        <v>Fled/Apprehended</v>
      </c>
      <c r="F1152" s="8" t="str">
        <f ca="1">IFERROR(__xludf.DUMMYFUNCTION("""COMPUTED_VALUE"""),"No")</f>
        <v>No</v>
      </c>
      <c r="G1152" s="8" t="str">
        <f ca="1">IFERROR(__xludf.DUMMYFUNCTION("""COMPUTED_VALUE"""),"None")</f>
        <v>None</v>
      </c>
    </row>
    <row r="1153" spans="1:7" ht="12.75">
      <c r="A1153" s="8" t="str">
        <f ca="1">IFERROR(__xludf.DUMMYFUNCTION("""COMPUTED_VALUE"""),"20150120ALWIM")</f>
        <v>20150120ALWIM</v>
      </c>
      <c r="B1153" s="8" t="str">
        <f ca="1">IFERROR(__xludf.DUMMYFUNCTION("""COMPUTED_VALUE"""),"Teen")</f>
        <v>Teen</v>
      </c>
      <c r="C1153" s="8" t="str">
        <f ca="1">IFERROR(__xludf.DUMMYFUNCTION("""COMPUTED_VALUE"""),"Male")</f>
        <v>Male</v>
      </c>
      <c r="D1153" s="8" t="str">
        <f ca="1">IFERROR(__xludf.DUMMYFUNCTION("""COMPUTED_VALUE"""),"Student")</f>
        <v>Student</v>
      </c>
      <c r="E1153" s="8" t="str">
        <f ca="1">IFERROR(__xludf.DUMMYFUNCTION("""COMPUTED_VALUE"""),"Fled/Escaped")</f>
        <v>Fled/Escaped</v>
      </c>
      <c r="F1153" s="8" t="str">
        <f ca="1">IFERROR(__xludf.DUMMYFUNCTION("""COMPUTED_VALUE"""),"No")</f>
        <v>No</v>
      </c>
      <c r="G1153" s="8" t="str">
        <f ca="1">IFERROR(__xludf.DUMMYFUNCTION("""COMPUTED_VALUE"""),"None")</f>
        <v>None</v>
      </c>
    </row>
    <row r="1154" spans="1:7" ht="12.75">
      <c r="A1154" s="8" t="str">
        <f ca="1">IFERROR(__xludf.DUMMYFUNCTION("""COMPUTED_VALUE"""),"20150116FLVAO")</f>
        <v>20150116FLVAO</v>
      </c>
      <c r="B1154" s="8">
        <f ca="1">IFERROR(__xludf.DUMMYFUNCTION("""COMPUTED_VALUE"""),15)</f>
        <v>15</v>
      </c>
      <c r="C1154" s="8" t="str">
        <f ca="1">IFERROR(__xludf.DUMMYFUNCTION("""COMPUTED_VALUE"""),"Male")</f>
        <v>Male</v>
      </c>
      <c r="D1154" s="8" t="str">
        <f ca="1">IFERROR(__xludf.DUMMYFUNCTION("""COMPUTED_VALUE"""),"Student")</f>
        <v>Student</v>
      </c>
      <c r="E1154" s="8" t="str">
        <f ca="1">IFERROR(__xludf.DUMMYFUNCTION("""COMPUTED_VALUE"""),"Fled/Apprehended")</f>
        <v>Fled/Apprehended</v>
      </c>
      <c r="F1154" s="8" t="str">
        <f ca="1">IFERROR(__xludf.DUMMYFUNCTION("""COMPUTED_VALUE"""),"No")</f>
        <v>No</v>
      </c>
      <c r="G1154" s="8" t="str">
        <f ca="1">IFERROR(__xludf.DUMMYFUNCTION("""COMPUTED_VALUE"""),"None")</f>
        <v>None</v>
      </c>
    </row>
    <row r="1155" spans="1:7" ht="12.75">
      <c r="A1155" s="8" t="str">
        <f ca="1">IFERROR(__xludf.DUMMYFUNCTION("""COMPUTED_VALUE"""),"20150115WIWIM")</f>
        <v>20150115WIWIM</v>
      </c>
      <c r="B1155" s="8">
        <f ca="1">IFERROR(__xludf.DUMMYFUNCTION("""COMPUTED_VALUE"""),37)</f>
        <v>37</v>
      </c>
      <c r="C1155" s="8" t="str">
        <f ca="1">IFERROR(__xludf.DUMMYFUNCTION("""COMPUTED_VALUE"""),"Male")</f>
        <v>Male</v>
      </c>
      <c r="D1155" s="8" t="str">
        <f ca="1">IFERROR(__xludf.DUMMYFUNCTION("""COMPUTED_VALUE"""),"Parent")</f>
        <v>Parent</v>
      </c>
      <c r="E1155" s="8" t="str">
        <f ca="1">IFERROR(__xludf.DUMMYFUNCTION("""COMPUTED_VALUE"""),"Fled/Apprehended")</f>
        <v>Fled/Apprehended</v>
      </c>
      <c r="F1155" s="8" t="str">
        <f ca="1">IFERROR(__xludf.DUMMYFUNCTION("""COMPUTED_VALUE"""),"No")</f>
        <v>No</v>
      </c>
      <c r="G1155" s="8" t="str">
        <f ca="1">IFERROR(__xludf.DUMMYFUNCTION("""COMPUTED_VALUE"""),"None")</f>
        <v>None</v>
      </c>
    </row>
    <row r="1156" spans="1:7" ht="12.75">
      <c r="A1156" s="8" t="str">
        <f ca="1">IFERROR(__xludf.DUMMYFUNCTION("""COMPUTED_VALUE"""),"20141217MIGOW")</f>
        <v>20141217MIGOW</v>
      </c>
      <c r="B1156" s="8"/>
      <c r="C1156" s="8" t="str">
        <f ca="1">IFERROR(__xludf.DUMMYFUNCTION("""COMPUTED_VALUE"""),"Male")</f>
        <v>Male</v>
      </c>
      <c r="D1156" s="8" t="str">
        <f ca="1">IFERROR(__xludf.DUMMYFUNCTION("""COMPUTED_VALUE"""),"Unknown")</f>
        <v>Unknown</v>
      </c>
      <c r="E1156" s="8" t="str">
        <f ca="1">IFERROR(__xludf.DUMMYFUNCTION("""COMPUTED_VALUE"""),"Fled/Escaped")</f>
        <v>Fled/Escaped</v>
      </c>
      <c r="F1156" s="8" t="str">
        <f ca="1">IFERROR(__xludf.DUMMYFUNCTION("""COMPUTED_VALUE"""),"No")</f>
        <v>No</v>
      </c>
      <c r="G1156" s="8" t="str">
        <f ca="1">IFERROR(__xludf.DUMMYFUNCTION("""COMPUTED_VALUE"""),"None")</f>
        <v>None</v>
      </c>
    </row>
    <row r="1157" spans="1:7" ht="12.75">
      <c r="A1157" s="8" t="str">
        <f ca="1">IFERROR(__xludf.DUMMYFUNCTION("""COMPUTED_VALUE"""),"20141217MEBEW")</f>
        <v>20141217MEBEW</v>
      </c>
      <c r="B1157" s="8">
        <f ca="1">IFERROR(__xludf.DUMMYFUNCTION("""COMPUTED_VALUE"""),41)</f>
        <v>41</v>
      </c>
      <c r="C1157" s="8" t="str">
        <f ca="1">IFERROR(__xludf.DUMMYFUNCTION("""COMPUTED_VALUE"""),"Male")</f>
        <v>Male</v>
      </c>
      <c r="D1157" s="8" t="str">
        <f ca="1">IFERROR(__xludf.DUMMYFUNCTION("""COMPUTED_VALUE"""),"Former Student")</f>
        <v>Former Student</v>
      </c>
      <c r="E1157" s="8" t="str">
        <f ca="1">IFERROR(__xludf.DUMMYFUNCTION("""COMPUTED_VALUE"""),"Suicide")</f>
        <v>Suicide</v>
      </c>
      <c r="F1157" s="8" t="str">
        <f ca="1">IFERROR(__xludf.DUMMYFUNCTION("""COMPUTED_VALUE"""),"Yes")</f>
        <v>Yes</v>
      </c>
      <c r="G1157" s="8" t="str">
        <f ca="1">IFERROR(__xludf.DUMMYFUNCTION("""COMPUTED_VALUE"""),"Suicide")</f>
        <v>Suicide</v>
      </c>
    </row>
    <row r="1158" spans="1:7" ht="12.75">
      <c r="A1158" s="8" t="str">
        <f ca="1">IFERROR(__xludf.DUMMYFUNCTION("""COMPUTED_VALUE"""),"20141216PASUP")</f>
        <v>20141216PASUP</v>
      </c>
      <c r="B1158" s="8"/>
      <c r="C1158" s="8"/>
      <c r="D1158" s="8" t="str">
        <f ca="1">IFERROR(__xludf.DUMMYFUNCTION("""COMPUTED_VALUE"""),"Unknown")</f>
        <v>Unknown</v>
      </c>
      <c r="E1158" s="8" t="str">
        <f ca="1">IFERROR(__xludf.DUMMYFUNCTION("""COMPUTED_VALUE"""),"Fled/Escaped")</f>
        <v>Fled/Escaped</v>
      </c>
      <c r="F1158" s="8" t="str">
        <f ca="1">IFERROR(__xludf.DUMMYFUNCTION("""COMPUTED_VALUE"""),"No")</f>
        <v>No</v>
      </c>
      <c r="G1158" s="8" t="str">
        <f ca="1">IFERROR(__xludf.DUMMYFUNCTION("""COMPUTED_VALUE"""),"None")</f>
        <v>None</v>
      </c>
    </row>
    <row r="1159" spans="1:7" ht="12.75">
      <c r="A1159" s="8" t="str">
        <f ca="1">IFERROR(__xludf.DUMMYFUNCTION("""COMPUTED_VALUE"""),"20141212ORROP")</f>
        <v>20141212ORROP</v>
      </c>
      <c r="B1159" s="8">
        <f ca="1">IFERROR(__xludf.DUMMYFUNCTION("""COMPUTED_VALUE"""),16)</f>
        <v>16</v>
      </c>
      <c r="C1159" s="8" t="str">
        <f ca="1">IFERROR(__xludf.DUMMYFUNCTION("""COMPUTED_VALUE"""),"Male")</f>
        <v>Male</v>
      </c>
      <c r="D1159" s="8" t="str">
        <f ca="1">IFERROR(__xludf.DUMMYFUNCTION("""COMPUTED_VALUE"""),"Student")</f>
        <v>Student</v>
      </c>
      <c r="E1159" s="8" t="str">
        <f ca="1">IFERROR(__xludf.DUMMYFUNCTION("""COMPUTED_VALUE"""),"Fled/Apprehended")</f>
        <v>Fled/Apprehended</v>
      </c>
      <c r="F1159" s="8" t="str">
        <f ca="1">IFERROR(__xludf.DUMMYFUNCTION("""COMPUTED_VALUE"""),"No")</f>
        <v>No</v>
      </c>
      <c r="G1159" s="8" t="str">
        <f ca="1">IFERROR(__xludf.DUMMYFUNCTION("""COMPUTED_VALUE"""),"None")</f>
        <v>None</v>
      </c>
    </row>
    <row r="1160" spans="1:7" ht="12.75">
      <c r="A1160" s="8" t="str">
        <f ca="1">IFERROR(__xludf.DUMMYFUNCTION("""COMPUTED_VALUE"""),"20141120FLMIM")</f>
        <v>20141120FLMIM</v>
      </c>
      <c r="B1160" s="8">
        <f ca="1">IFERROR(__xludf.DUMMYFUNCTION("""COMPUTED_VALUE"""),17)</f>
        <v>17</v>
      </c>
      <c r="C1160" s="8" t="str">
        <f ca="1">IFERROR(__xludf.DUMMYFUNCTION("""COMPUTED_VALUE"""),"Male")</f>
        <v>Male</v>
      </c>
      <c r="D1160" s="8" t="str">
        <f ca="1">IFERROR(__xludf.DUMMYFUNCTION("""COMPUTED_VALUE"""),"Student")</f>
        <v>Student</v>
      </c>
      <c r="E1160" s="8" t="str">
        <f ca="1">IFERROR(__xludf.DUMMYFUNCTION("""COMPUTED_VALUE"""),"Fled/Apprehended")</f>
        <v>Fled/Apprehended</v>
      </c>
      <c r="F1160" s="8" t="str">
        <f ca="1">IFERROR(__xludf.DUMMYFUNCTION("""COMPUTED_VALUE"""),"No")</f>
        <v>No</v>
      </c>
      <c r="G1160" s="8" t="str">
        <f ca="1">IFERROR(__xludf.DUMMYFUNCTION("""COMPUTED_VALUE"""),"None")</f>
        <v>None</v>
      </c>
    </row>
    <row r="1161" spans="1:7" ht="12.75">
      <c r="A1161" s="8" t="str">
        <f ca="1">IFERROR(__xludf.DUMMYFUNCTION("""COMPUTED_VALUE"""),"20141024WAMAM")</f>
        <v>20141024WAMAM</v>
      </c>
      <c r="B1161" s="8">
        <f ca="1">IFERROR(__xludf.DUMMYFUNCTION("""COMPUTED_VALUE"""),15)</f>
        <v>15</v>
      </c>
      <c r="C1161" s="8" t="str">
        <f ca="1">IFERROR(__xludf.DUMMYFUNCTION("""COMPUTED_VALUE"""),"Male")</f>
        <v>Male</v>
      </c>
      <c r="D1161" s="8" t="str">
        <f ca="1">IFERROR(__xludf.DUMMYFUNCTION("""COMPUTED_VALUE"""),"Student")</f>
        <v>Student</v>
      </c>
      <c r="E1161" s="8" t="str">
        <f ca="1">IFERROR(__xludf.DUMMYFUNCTION("""COMPUTED_VALUE"""),"Suicide")</f>
        <v>Suicide</v>
      </c>
      <c r="F1161" s="8" t="str">
        <f ca="1">IFERROR(__xludf.DUMMYFUNCTION("""COMPUTED_VALUE"""),"Yes")</f>
        <v>Yes</v>
      </c>
      <c r="G1161" s="8" t="str">
        <f ca="1">IFERROR(__xludf.DUMMYFUNCTION("""COMPUTED_VALUE"""),"Suicide")</f>
        <v>Suicide</v>
      </c>
    </row>
    <row r="1162" spans="1:7" ht="12.75">
      <c r="A1162" s="8" t="str">
        <f ca="1">IFERROR(__xludf.DUMMYFUNCTION("""COMPUTED_VALUE"""),"20141024GALAA")</f>
        <v>20141024GALAA</v>
      </c>
      <c r="B1162" s="8">
        <f ca="1">IFERROR(__xludf.DUMMYFUNCTION("""COMPUTED_VALUE"""),17)</f>
        <v>17</v>
      </c>
      <c r="C1162" s="8" t="str">
        <f ca="1">IFERROR(__xludf.DUMMYFUNCTION("""COMPUTED_VALUE"""),"Male")</f>
        <v>Male</v>
      </c>
      <c r="D1162" s="8" t="str">
        <f ca="1">IFERROR(__xludf.DUMMYFUNCTION("""COMPUTED_VALUE"""),"Student")</f>
        <v>Student</v>
      </c>
      <c r="E1162" s="8" t="str">
        <f ca="1">IFERROR(__xludf.DUMMYFUNCTION("""COMPUTED_VALUE"""),"Apprehended/Killed by LE")</f>
        <v>Apprehended/Killed by LE</v>
      </c>
      <c r="F1162" s="8" t="str">
        <f ca="1">IFERROR(__xludf.DUMMYFUNCTION("""COMPUTED_VALUE"""),"No")</f>
        <v>No</v>
      </c>
      <c r="G1162" s="8" t="str">
        <f ca="1">IFERROR(__xludf.DUMMYFUNCTION("""COMPUTED_VALUE"""),"None")</f>
        <v>None</v>
      </c>
    </row>
    <row r="1163" spans="1:7" ht="12.75">
      <c r="A1163" s="8" t="str">
        <f ca="1">IFERROR(__xludf.DUMMYFUNCTION("""COMPUTED_VALUE"""),"20141021TNAMM")</f>
        <v>20141021TNAMM</v>
      </c>
      <c r="B1163" s="8">
        <f ca="1">IFERROR(__xludf.DUMMYFUNCTION("""COMPUTED_VALUE"""),13)</f>
        <v>13</v>
      </c>
      <c r="C1163" s="8" t="str">
        <f ca="1">IFERROR(__xludf.DUMMYFUNCTION("""COMPUTED_VALUE"""),"Male")</f>
        <v>Male</v>
      </c>
      <c r="D1163" s="8" t="str">
        <f ca="1">IFERROR(__xludf.DUMMYFUNCTION("""COMPUTED_VALUE"""),"Student")</f>
        <v>Student</v>
      </c>
      <c r="E1163" s="8" t="str">
        <f ca="1">IFERROR(__xludf.DUMMYFUNCTION("""COMPUTED_VALUE"""),"Surrendered")</f>
        <v>Surrendered</v>
      </c>
      <c r="F1163" s="8" t="str">
        <f ca="1">IFERROR(__xludf.DUMMYFUNCTION("""COMPUTED_VALUE"""),"No")</f>
        <v>No</v>
      </c>
      <c r="G1163" s="8" t="str">
        <f ca="1">IFERROR(__xludf.DUMMYFUNCTION("""COMPUTED_VALUE"""),"None")</f>
        <v>None</v>
      </c>
    </row>
    <row r="1164" spans="1:7" ht="12.75">
      <c r="A1164" s="8" t="str">
        <f ca="1">IFERROR(__xludf.DUMMYFUNCTION("""COMPUTED_VALUE"""),"20141003GALAF")</f>
        <v>20141003GALAF</v>
      </c>
      <c r="B1164" s="8">
        <f ca="1">IFERROR(__xludf.DUMMYFUNCTION("""COMPUTED_VALUE"""),18)</f>
        <v>18</v>
      </c>
      <c r="C1164" s="8" t="str">
        <f ca="1">IFERROR(__xludf.DUMMYFUNCTION("""COMPUTED_VALUE"""),"Male")</f>
        <v>Male</v>
      </c>
      <c r="D1164" s="8" t="str">
        <f ca="1">IFERROR(__xludf.DUMMYFUNCTION("""COMPUTED_VALUE"""),"Student")</f>
        <v>Student</v>
      </c>
      <c r="E1164" s="8" t="str">
        <f ca="1">IFERROR(__xludf.DUMMYFUNCTION("""COMPUTED_VALUE"""),"Fled/Apprehended")</f>
        <v>Fled/Apprehended</v>
      </c>
      <c r="F1164" s="8" t="str">
        <f ca="1">IFERROR(__xludf.DUMMYFUNCTION("""COMPUTED_VALUE"""),"No")</f>
        <v>No</v>
      </c>
      <c r="G1164" s="8" t="str">
        <f ca="1">IFERROR(__xludf.DUMMYFUNCTION("""COMPUTED_VALUE"""),"None")</f>
        <v>None</v>
      </c>
    </row>
    <row r="1165" spans="1:7" ht="12.75">
      <c r="A1165" s="8" t="str">
        <f ca="1">IFERROR(__xludf.DUMMYFUNCTION("""COMPUTED_VALUE"""),"20140930NCALA")</f>
        <v>20140930NCALA</v>
      </c>
      <c r="B1165" s="8">
        <f ca="1">IFERROR(__xludf.DUMMYFUNCTION("""COMPUTED_VALUE"""),16)</f>
        <v>16</v>
      </c>
      <c r="C1165" s="8" t="str">
        <f ca="1">IFERROR(__xludf.DUMMYFUNCTION("""COMPUTED_VALUE"""),"Male")</f>
        <v>Male</v>
      </c>
      <c r="D1165" s="8" t="str">
        <f ca="1">IFERROR(__xludf.DUMMYFUNCTION("""COMPUTED_VALUE"""),"Student")</f>
        <v>Student</v>
      </c>
      <c r="E1165" s="8" t="str">
        <f ca="1">IFERROR(__xludf.DUMMYFUNCTION("""COMPUTED_VALUE"""),"Surrendered")</f>
        <v>Surrendered</v>
      </c>
      <c r="F1165" s="8" t="str">
        <f ca="1">IFERROR(__xludf.DUMMYFUNCTION("""COMPUTED_VALUE"""),"No")</f>
        <v>No</v>
      </c>
      <c r="G1165" s="8" t="str">
        <f ca="1">IFERROR(__xludf.DUMMYFUNCTION("""COMPUTED_VALUE"""),"None")</f>
        <v>None</v>
      </c>
    </row>
    <row r="1166" spans="1:7" ht="12.75">
      <c r="A1166" s="8" t="str">
        <f ca="1">IFERROR(__xludf.DUMMYFUNCTION("""COMPUTED_VALUE"""),"20140930KYFEL")</f>
        <v>20140930KYFEL</v>
      </c>
      <c r="B1166" s="8">
        <f ca="1">IFERROR(__xludf.DUMMYFUNCTION("""COMPUTED_VALUE"""),16)</f>
        <v>16</v>
      </c>
      <c r="C1166" s="8" t="str">
        <f ca="1">IFERROR(__xludf.DUMMYFUNCTION("""COMPUTED_VALUE"""),"Male")</f>
        <v>Male</v>
      </c>
      <c r="D1166" s="8" t="str">
        <f ca="1">IFERROR(__xludf.DUMMYFUNCTION("""COMPUTED_VALUE"""),"Student")</f>
        <v>Student</v>
      </c>
      <c r="E1166" s="8" t="str">
        <f ca="1">IFERROR(__xludf.DUMMYFUNCTION("""COMPUTED_VALUE"""),"Fled/Apprehended")</f>
        <v>Fled/Apprehended</v>
      </c>
      <c r="F1166" s="8" t="str">
        <f ca="1">IFERROR(__xludf.DUMMYFUNCTION("""COMPUTED_VALUE"""),"No")</f>
        <v>No</v>
      </c>
      <c r="G1166" s="8" t="str">
        <f ca="1">IFERROR(__xludf.DUMMYFUNCTION("""COMPUTED_VALUE"""),"None")</f>
        <v>None</v>
      </c>
    </row>
    <row r="1167" spans="1:7" ht="12.75">
      <c r="A1167" s="8" t="str">
        <f ca="1">IFERROR(__xludf.DUMMYFUNCTION("""COMPUTED_VALUE"""),"20140925NHWEM")</f>
        <v>20140925NHWEM</v>
      </c>
      <c r="B1167" s="8">
        <f ca="1">IFERROR(__xludf.DUMMYFUNCTION("""COMPUTED_VALUE"""),21)</f>
        <v>21</v>
      </c>
      <c r="C1167" s="8" t="str">
        <f ca="1">IFERROR(__xludf.DUMMYFUNCTION("""COMPUTED_VALUE"""),"Male")</f>
        <v>Male</v>
      </c>
      <c r="D1167" s="8" t="str">
        <f ca="1">IFERROR(__xludf.DUMMYFUNCTION("""COMPUTED_VALUE"""),"Former Student")</f>
        <v>Former Student</v>
      </c>
      <c r="E1167" s="8" t="str">
        <f ca="1">IFERROR(__xludf.DUMMYFUNCTION("""COMPUTED_VALUE"""),"Subdued by Students/Staff/Other")</f>
        <v>Subdued by Students/Staff/Other</v>
      </c>
      <c r="F1167" s="8" t="str">
        <f ca="1">IFERROR(__xludf.DUMMYFUNCTION("""COMPUTED_VALUE"""),"No")</f>
        <v>No</v>
      </c>
      <c r="G1167" s="8" t="str">
        <f ca="1">IFERROR(__xludf.DUMMYFUNCTION("""COMPUTED_VALUE"""),"None")</f>
        <v>None</v>
      </c>
    </row>
    <row r="1168" spans="1:7" ht="12.75">
      <c r="A1168" s="8" t="str">
        <f ca="1">IFERROR(__xludf.DUMMYFUNCTION("""COMPUTED_VALUE"""),"20140919IANOD")</f>
        <v>20140919IANOD</v>
      </c>
      <c r="B1168" s="8">
        <f ca="1">IFERROR(__xludf.DUMMYFUNCTION("""COMPUTED_VALUE"""),14)</f>
        <v>14</v>
      </c>
      <c r="C1168" s="8" t="str">
        <f ca="1">IFERROR(__xludf.DUMMYFUNCTION("""COMPUTED_VALUE"""),"Male")</f>
        <v>Male</v>
      </c>
      <c r="D1168" s="8" t="str">
        <f ca="1">IFERROR(__xludf.DUMMYFUNCTION("""COMPUTED_VALUE"""),"Unknown")</f>
        <v>Unknown</v>
      </c>
      <c r="E1168" s="8" t="str">
        <f ca="1">IFERROR(__xludf.DUMMYFUNCTION("""COMPUTED_VALUE"""),"Fled/Apprehended")</f>
        <v>Fled/Apprehended</v>
      </c>
      <c r="F1168" s="8" t="str">
        <f ca="1">IFERROR(__xludf.DUMMYFUNCTION("""COMPUTED_VALUE"""),"No")</f>
        <v>No</v>
      </c>
      <c r="G1168" s="8" t="str">
        <f ca="1">IFERROR(__xludf.DUMMYFUNCTION("""COMPUTED_VALUE"""),"None")</f>
        <v>None</v>
      </c>
    </row>
    <row r="1169" spans="1:7" ht="12.75">
      <c r="A1169" s="8" t="str">
        <f ca="1">IFERROR(__xludf.DUMMYFUNCTION("""COMPUTED_VALUE"""),"20140911UTWET")</f>
        <v>20140911UTWET</v>
      </c>
      <c r="B1169" s="8">
        <f ca="1">IFERROR(__xludf.DUMMYFUNCTION("""COMPUTED_VALUE"""),39)</f>
        <v>39</v>
      </c>
      <c r="C1169" s="8" t="str">
        <f ca="1">IFERROR(__xludf.DUMMYFUNCTION("""COMPUTED_VALUE"""),"Female")</f>
        <v>Female</v>
      </c>
      <c r="D1169" s="8" t="str">
        <f ca="1">IFERROR(__xludf.DUMMYFUNCTION("""COMPUTED_VALUE"""),"Teacher")</f>
        <v>Teacher</v>
      </c>
      <c r="E1169" s="8" t="str">
        <f ca="1">IFERROR(__xludf.DUMMYFUNCTION("""COMPUTED_VALUE"""),"Surrendered")</f>
        <v>Surrendered</v>
      </c>
      <c r="F1169" s="8" t="str">
        <f ca="1">IFERROR(__xludf.DUMMYFUNCTION("""COMPUTED_VALUE"""),"No")</f>
        <v>No</v>
      </c>
      <c r="G1169" s="8" t="str">
        <f ca="1">IFERROR(__xludf.DUMMYFUNCTION("""COMPUTED_VALUE"""),"Wounded")</f>
        <v>Wounded</v>
      </c>
    </row>
    <row r="1170" spans="1:7" ht="12.75">
      <c r="A1170" s="8" t="str">
        <f ca="1">IFERROR(__xludf.DUMMYFUNCTION("""COMPUTED_VALUE"""),"20140910FLGRL")</f>
        <v>20140910FLGRL</v>
      </c>
      <c r="B1170" s="8">
        <f ca="1">IFERROR(__xludf.DUMMYFUNCTION("""COMPUTED_VALUE"""),14)</f>
        <v>14</v>
      </c>
      <c r="C1170" s="8" t="str">
        <f ca="1">IFERROR(__xludf.DUMMYFUNCTION("""COMPUTED_VALUE"""),"Male")</f>
        <v>Male</v>
      </c>
      <c r="D1170" s="8" t="str">
        <f ca="1">IFERROR(__xludf.DUMMYFUNCTION("""COMPUTED_VALUE"""),"Student")</f>
        <v>Student</v>
      </c>
      <c r="E1170" s="8" t="str">
        <f ca="1">IFERROR(__xludf.DUMMYFUNCTION("""COMPUTED_VALUE"""),"Suicide")</f>
        <v>Suicide</v>
      </c>
      <c r="F1170" s="8" t="str">
        <f ca="1">IFERROR(__xludf.DUMMYFUNCTION("""COMPUTED_VALUE"""),"Yes")</f>
        <v>Yes</v>
      </c>
      <c r="G1170" s="8" t="str">
        <f ca="1">IFERROR(__xludf.DUMMYFUNCTION("""COMPUTED_VALUE"""),"Suicide")</f>
        <v>Suicide</v>
      </c>
    </row>
    <row r="1171" spans="1:7" ht="12.75">
      <c r="A1171" s="8" t="str">
        <f ca="1">IFERROR(__xludf.DUMMYFUNCTION("""COMPUTED_VALUE"""),"20140909FLSTM")</f>
        <v>20140909FLSTM</v>
      </c>
      <c r="B1171" s="8" t="str">
        <f ca="1">IFERROR(__xludf.DUMMYFUNCTION("""COMPUTED_VALUE"""),"Teen")</f>
        <v>Teen</v>
      </c>
      <c r="C1171" s="8" t="str">
        <f ca="1">IFERROR(__xludf.DUMMYFUNCTION("""COMPUTED_VALUE"""),"Male")</f>
        <v>Male</v>
      </c>
      <c r="D1171" s="8" t="str">
        <f ca="1">IFERROR(__xludf.DUMMYFUNCTION("""COMPUTED_VALUE"""),"Student")</f>
        <v>Student</v>
      </c>
      <c r="E1171" s="8" t="str">
        <f ca="1">IFERROR(__xludf.DUMMYFUNCTION("""COMPUTED_VALUE"""),"Fled/Apprehended")</f>
        <v>Fled/Apprehended</v>
      </c>
      <c r="F1171" s="8" t="str">
        <f ca="1">IFERROR(__xludf.DUMMYFUNCTION("""COMPUTED_VALUE"""),"No")</f>
        <v>No</v>
      </c>
      <c r="G1171" s="8" t="str">
        <f ca="1">IFERROR(__xludf.DUMMYFUNCTION("""COMPUTED_VALUE"""),"None")</f>
        <v>None</v>
      </c>
    </row>
    <row r="1172" spans="1:7" ht="12.75">
      <c r="A1172" s="8" t="str">
        <f ca="1">IFERROR(__xludf.DUMMYFUNCTION("""COMPUTED_VALUE"""),"20140909FLSTM")</f>
        <v>20140909FLSTM</v>
      </c>
      <c r="B1172" s="8" t="str">
        <f ca="1">IFERROR(__xludf.DUMMYFUNCTION("""COMPUTED_VALUE"""),"Teen")</f>
        <v>Teen</v>
      </c>
      <c r="C1172" s="8" t="str">
        <f ca="1">IFERROR(__xludf.DUMMYFUNCTION("""COMPUTED_VALUE"""),"Male")</f>
        <v>Male</v>
      </c>
      <c r="D1172" s="8" t="str">
        <f ca="1">IFERROR(__xludf.DUMMYFUNCTION("""COMPUTED_VALUE"""),"Student")</f>
        <v>Student</v>
      </c>
      <c r="E1172" s="8" t="str">
        <f ca="1">IFERROR(__xludf.DUMMYFUNCTION("""COMPUTED_VALUE"""),"Fled/Apprehended")</f>
        <v>Fled/Apprehended</v>
      </c>
      <c r="F1172" s="8" t="str">
        <f ca="1">IFERROR(__xludf.DUMMYFUNCTION("""COMPUTED_VALUE"""),"No")</f>
        <v>No</v>
      </c>
      <c r="G1172" s="8" t="str">
        <f ca="1">IFERROR(__xludf.DUMMYFUNCTION("""COMPUTED_VALUE"""),"None")</f>
        <v>None</v>
      </c>
    </row>
    <row r="1173" spans="1:7" ht="12.75">
      <c r="A1173" s="8" t="str">
        <f ca="1">IFERROR(__xludf.DUMMYFUNCTION("""COMPUTED_VALUE"""),"20140909FLSTM")</f>
        <v>20140909FLSTM</v>
      </c>
      <c r="B1173" s="8" t="str">
        <f ca="1">IFERROR(__xludf.DUMMYFUNCTION("""COMPUTED_VALUE"""),"Teen")</f>
        <v>Teen</v>
      </c>
      <c r="C1173" s="8" t="str">
        <f ca="1">IFERROR(__xludf.DUMMYFUNCTION("""COMPUTED_VALUE"""),"Male")</f>
        <v>Male</v>
      </c>
      <c r="D1173" s="8" t="str">
        <f ca="1">IFERROR(__xludf.DUMMYFUNCTION("""COMPUTED_VALUE"""),"Student")</f>
        <v>Student</v>
      </c>
      <c r="E1173" s="8" t="str">
        <f ca="1">IFERROR(__xludf.DUMMYFUNCTION("""COMPUTED_VALUE"""),"Fled/Apprehended")</f>
        <v>Fled/Apprehended</v>
      </c>
      <c r="F1173" s="8" t="str">
        <f ca="1">IFERROR(__xludf.DUMMYFUNCTION("""COMPUTED_VALUE"""),"No")</f>
        <v>No</v>
      </c>
      <c r="G1173" s="8" t="str">
        <f ca="1">IFERROR(__xludf.DUMMYFUNCTION("""COMPUTED_VALUE"""),"None")</f>
        <v>None</v>
      </c>
    </row>
    <row r="1174" spans="1:7" ht="12.75">
      <c r="A1174" s="8" t="str">
        <f ca="1">IFERROR(__xludf.DUMMYFUNCTION("""COMPUTED_VALUE"""),"20140909FLSTM")</f>
        <v>20140909FLSTM</v>
      </c>
      <c r="B1174" s="8" t="str">
        <f ca="1">IFERROR(__xludf.DUMMYFUNCTION("""COMPUTED_VALUE"""),"Teen")</f>
        <v>Teen</v>
      </c>
      <c r="C1174" s="8" t="str">
        <f ca="1">IFERROR(__xludf.DUMMYFUNCTION("""COMPUTED_VALUE"""),"Male")</f>
        <v>Male</v>
      </c>
      <c r="D1174" s="8" t="str">
        <f ca="1">IFERROR(__xludf.DUMMYFUNCTION("""COMPUTED_VALUE"""),"Student")</f>
        <v>Student</v>
      </c>
      <c r="E1174" s="8" t="str">
        <f ca="1">IFERROR(__xludf.DUMMYFUNCTION("""COMPUTED_VALUE"""),"Fled/Apprehended")</f>
        <v>Fled/Apprehended</v>
      </c>
      <c r="F1174" s="8" t="str">
        <f ca="1">IFERROR(__xludf.DUMMYFUNCTION("""COMPUTED_VALUE"""),"No")</f>
        <v>No</v>
      </c>
      <c r="G1174" s="8" t="str">
        <f ca="1">IFERROR(__xludf.DUMMYFUNCTION("""COMPUTED_VALUE"""),"None")</f>
        <v>None</v>
      </c>
    </row>
    <row r="1175" spans="1:7" ht="12.75">
      <c r="A1175" s="8" t="str">
        <f ca="1">IFERROR(__xludf.DUMMYFUNCTION("""COMPUTED_VALUE"""),"20140909FLSTM")</f>
        <v>20140909FLSTM</v>
      </c>
      <c r="B1175" s="8" t="str">
        <f ca="1">IFERROR(__xludf.DUMMYFUNCTION("""COMPUTED_VALUE"""),"Teen")</f>
        <v>Teen</v>
      </c>
      <c r="C1175" s="8" t="str">
        <f ca="1">IFERROR(__xludf.DUMMYFUNCTION("""COMPUTED_VALUE"""),"Male")</f>
        <v>Male</v>
      </c>
      <c r="D1175" s="8" t="str">
        <f ca="1">IFERROR(__xludf.DUMMYFUNCTION("""COMPUTED_VALUE"""),"Student")</f>
        <v>Student</v>
      </c>
      <c r="E1175" s="8" t="str">
        <f ca="1">IFERROR(__xludf.DUMMYFUNCTION("""COMPUTED_VALUE"""),"Fled/Apprehended")</f>
        <v>Fled/Apprehended</v>
      </c>
      <c r="F1175" s="8" t="str">
        <f ca="1">IFERROR(__xludf.DUMMYFUNCTION("""COMPUTED_VALUE"""),"No")</f>
        <v>No</v>
      </c>
      <c r="G1175" s="8" t="str">
        <f ca="1">IFERROR(__xludf.DUMMYFUNCTION("""COMPUTED_VALUE"""),"None")</f>
        <v>None</v>
      </c>
    </row>
    <row r="1176" spans="1:7" ht="12.75">
      <c r="A1176" s="8" t="str">
        <f ca="1">IFERROR(__xludf.DUMMYFUNCTION("""COMPUTED_VALUE"""),"20140814VASAN")</f>
        <v>20140814VASAN</v>
      </c>
      <c r="B1176" s="8">
        <f ca="1">IFERROR(__xludf.DUMMYFUNCTION("""COMPUTED_VALUE"""),17)</f>
        <v>17</v>
      </c>
      <c r="C1176" s="8" t="str">
        <f ca="1">IFERROR(__xludf.DUMMYFUNCTION("""COMPUTED_VALUE"""),"Male")</f>
        <v>Male</v>
      </c>
      <c r="D1176" s="8" t="str">
        <f ca="1">IFERROR(__xludf.DUMMYFUNCTION("""COMPUTED_VALUE"""),"Unknown")</f>
        <v>Unknown</v>
      </c>
      <c r="E1176" s="8" t="str">
        <f ca="1">IFERROR(__xludf.DUMMYFUNCTION("""COMPUTED_VALUE"""),"Fled/Apprehended")</f>
        <v>Fled/Apprehended</v>
      </c>
      <c r="F1176" s="8" t="str">
        <f ca="1">IFERROR(__xludf.DUMMYFUNCTION("""COMPUTED_VALUE"""),"No")</f>
        <v>No</v>
      </c>
      <c r="G1176" s="8" t="str">
        <f ca="1">IFERROR(__xludf.DUMMYFUNCTION("""COMPUTED_VALUE"""),"None")</f>
        <v>None</v>
      </c>
    </row>
    <row r="1177" spans="1:7" ht="12.75">
      <c r="A1177" s="8" t="str">
        <f ca="1">IFERROR(__xludf.DUMMYFUNCTION("""COMPUTED_VALUE"""),"20140813MDHEF")</f>
        <v>20140813MDHEF</v>
      </c>
      <c r="B1177" s="8">
        <f ca="1">IFERROR(__xludf.DUMMYFUNCTION("""COMPUTED_VALUE"""),16)</f>
        <v>16</v>
      </c>
      <c r="C1177" s="8" t="str">
        <f ca="1">IFERROR(__xludf.DUMMYFUNCTION("""COMPUTED_VALUE"""),"Male")</f>
        <v>Male</v>
      </c>
      <c r="D1177" s="8" t="str">
        <f ca="1">IFERROR(__xludf.DUMMYFUNCTION("""COMPUTED_VALUE"""),"Unknown")</f>
        <v>Unknown</v>
      </c>
      <c r="E1177" s="8" t="str">
        <f ca="1">IFERROR(__xludf.DUMMYFUNCTION("""COMPUTED_VALUE"""),"Fled/Apprehended")</f>
        <v>Fled/Apprehended</v>
      </c>
      <c r="F1177" s="8" t="str">
        <f ca="1">IFERROR(__xludf.DUMMYFUNCTION("""COMPUTED_VALUE"""),"No")</f>
        <v>No</v>
      </c>
      <c r="G1177" s="8" t="str">
        <f ca="1">IFERROR(__xludf.DUMMYFUNCTION("""COMPUTED_VALUE"""),"None")</f>
        <v>None</v>
      </c>
    </row>
    <row r="1178" spans="1:7" ht="12.75">
      <c r="A1178" s="8" t="str">
        <f ca="1">IFERROR(__xludf.DUMMYFUNCTION("""COMPUTED_VALUE"""),"20140813MDHEF")</f>
        <v>20140813MDHEF</v>
      </c>
      <c r="B1178" s="8">
        <f ca="1">IFERROR(__xludf.DUMMYFUNCTION("""COMPUTED_VALUE"""),21)</f>
        <v>21</v>
      </c>
      <c r="C1178" s="8" t="str">
        <f ca="1">IFERROR(__xludf.DUMMYFUNCTION("""COMPUTED_VALUE"""),"Male")</f>
        <v>Male</v>
      </c>
      <c r="D1178" s="8" t="str">
        <f ca="1">IFERROR(__xludf.DUMMYFUNCTION("""COMPUTED_VALUE"""),"Unknown")</f>
        <v>Unknown</v>
      </c>
      <c r="E1178" s="8" t="str">
        <f ca="1">IFERROR(__xludf.DUMMYFUNCTION("""COMPUTED_VALUE"""),"Fled/Apprehended")</f>
        <v>Fled/Apprehended</v>
      </c>
      <c r="F1178" s="8" t="str">
        <f ca="1">IFERROR(__xludf.DUMMYFUNCTION("""COMPUTED_VALUE"""),"No")</f>
        <v>No</v>
      </c>
      <c r="G1178" s="8" t="str">
        <f ca="1">IFERROR(__xludf.DUMMYFUNCTION("""COMPUTED_VALUE"""),"None")</f>
        <v>None</v>
      </c>
    </row>
    <row r="1179" spans="1:7" ht="12.75">
      <c r="A1179" s="8" t="str">
        <f ca="1">IFERROR(__xludf.DUMMYFUNCTION("""COMPUTED_VALUE"""),"20140623MOKEB")</f>
        <v>20140623MOKEB</v>
      </c>
      <c r="B1179" s="8" t="str">
        <f ca="1">IFERROR(__xludf.DUMMYFUNCTION("""COMPUTED_VALUE"""),"Teen")</f>
        <v>Teen</v>
      </c>
      <c r="C1179" s="8" t="str">
        <f ca="1">IFERROR(__xludf.DUMMYFUNCTION("""COMPUTED_VALUE"""),"Male")</f>
        <v>Male</v>
      </c>
      <c r="D1179" s="8" t="str">
        <f ca="1">IFERROR(__xludf.DUMMYFUNCTION("""COMPUTED_VALUE"""),"Student")</f>
        <v>Student</v>
      </c>
      <c r="E1179" s="8" t="str">
        <f ca="1">IFERROR(__xludf.DUMMYFUNCTION("""COMPUTED_VALUE"""),"Surrendered")</f>
        <v>Surrendered</v>
      </c>
      <c r="F1179" s="8" t="str">
        <f ca="1">IFERROR(__xludf.DUMMYFUNCTION("""COMPUTED_VALUE"""),"No")</f>
        <v>No</v>
      </c>
      <c r="G1179" s="8" t="str">
        <f ca="1">IFERROR(__xludf.DUMMYFUNCTION("""COMPUTED_VALUE"""),"None")</f>
        <v>None</v>
      </c>
    </row>
    <row r="1180" spans="1:7" ht="12.75">
      <c r="A1180" s="8" t="str">
        <f ca="1">IFERROR(__xludf.DUMMYFUNCTION("""COMPUTED_VALUE"""),"20140610ORRET")</f>
        <v>20140610ORRET</v>
      </c>
      <c r="B1180" s="8">
        <f ca="1">IFERROR(__xludf.DUMMYFUNCTION("""COMPUTED_VALUE"""),15)</f>
        <v>15</v>
      </c>
      <c r="C1180" s="8" t="str">
        <f ca="1">IFERROR(__xludf.DUMMYFUNCTION("""COMPUTED_VALUE"""),"Male")</f>
        <v>Male</v>
      </c>
      <c r="D1180" s="8" t="str">
        <f ca="1">IFERROR(__xludf.DUMMYFUNCTION("""COMPUTED_VALUE"""),"Student")</f>
        <v>Student</v>
      </c>
      <c r="E1180" s="8" t="str">
        <f ca="1">IFERROR(__xludf.DUMMYFUNCTION("""COMPUTED_VALUE"""),"Suicide")</f>
        <v>Suicide</v>
      </c>
      <c r="F1180" s="8" t="str">
        <f ca="1">IFERROR(__xludf.DUMMYFUNCTION("""COMPUTED_VALUE"""),"Yes")</f>
        <v>Yes</v>
      </c>
      <c r="G1180" s="8" t="str">
        <f ca="1">IFERROR(__xludf.DUMMYFUNCTION("""COMPUTED_VALUE"""),"Suicide")</f>
        <v>Suicide</v>
      </c>
    </row>
    <row r="1181" spans="1:7" ht="12.75">
      <c r="A1181" s="8" t="str">
        <f ca="1">IFERROR(__xludf.DUMMYFUNCTION("""COMPUTED_VALUE"""),"20140521WICLM")</f>
        <v>20140521WICLM</v>
      </c>
      <c r="B1181" s="8">
        <f ca="1">IFERROR(__xludf.DUMMYFUNCTION("""COMPUTED_VALUE"""),18)</f>
        <v>18</v>
      </c>
      <c r="C1181" s="8" t="str">
        <f ca="1">IFERROR(__xludf.DUMMYFUNCTION("""COMPUTED_VALUE"""),"Male")</f>
        <v>Male</v>
      </c>
      <c r="D1181" s="8" t="str">
        <f ca="1">IFERROR(__xludf.DUMMYFUNCTION("""COMPUTED_VALUE"""),"No Relation")</f>
        <v>No Relation</v>
      </c>
      <c r="E1181" s="8" t="str">
        <f ca="1">IFERROR(__xludf.DUMMYFUNCTION("""COMPUTED_VALUE"""),"Fled/Apprehended")</f>
        <v>Fled/Apprehended</v>
      </c>
      <c r="F1181" s="8" t="str">
        <f ca="1">IFERROR(__xludf.DUMMYFUNCTION("""COMPUTED_VALUE"""),"No")</f>
        <v>No</v>
      </c>
      <c r="G1181" s="8" t="str">
        <f ca="1">IFERROR(__xludf.DUMMYFUNCTION("""COMPUTED_VALUE"""),"None")</f>
        <v>None</v>
      </c>
    </row>
    <row r="1182" spans="1:7" ht="12.75">
      <c r="A1182" s="8" t="str">
        <f ca="1">IFERROR(__xludf.DUMMYFUNCTION("""COMPUTED_VALUE"""),"20140514CAJOR")</f>
        <v>20140514CAJOR</v>
      </c>
      <c r="B1182" s="8"/>
      <c r="C1182" s="8" t="str">
        <f ca="1">IFERROR(__xludf.DUMMYFUNCTION("""COMPUTED_VALUE"""),"Male")</f>
        <v>Male</v>
      </c>
      <c r="D1182" s="8" t="str">
        <f ca="1">IFERROR(__xludf.DUMMYFUNCTION("""COMPUTED_VALUE"""),"Unknown")</f>
        <v>Unknown</v>
      </c>
      <c r="E1182" s="8" t="str">
        <f ca="1">IFERROR(__xludf.DUMMYFUNCTION("""COMPUTED_VALUE"""),"Fled/Escaped")</f>
        <v>Fled/Escaped</v>
      </c>
      <c r="F1182" s="8" t="str">
        <f ca="1">IFERROR(__xludf.DUMMYFUNCTION("""COMPUTED_VALUE"""),"No")</f>
        <v>No</v>
      </c>
      <c r="G1182" s="8" t="str">
        <f ca="1">IFERROR(__xludf.DUMMYFUNCTION("""COMPUTED_VALUE"""),"None")</f>
        <v>None</v>
      </c>
    </row>
    <row r="1183" spans="1:7" ht="12.75">
      <c r="A1183" s="8" t="str">
        <f ca="1">IFERROR(__xludf.DUMMYFUNCTION("""COMPUTED_VALUE"""),"20140503WAHOE")</f>
        <v>20140503WAHOE</v>
      </c>
      <c r="B1183" s="8"/>
      <c r="C1183" s="8" t="str">
        <f ca="1">IFERROR(__xludf.DUMMYFUNCTION("""COMPUTED_VALUE"""),"Male")</f>
        <v>Male</v>
      </c>
      <c r="D1183" s="8" t="str">
        <f ca="1">IFERROR(__xludf.DUMMYFUNCTION("""COMPUTED_VALUE"""),"Nonstudent Using Athletic Facilities/Attending Game")</f>
        <v>Nonstudent Using Athletic Facilities/Attending Game</v>
      </c>
      <c r="E1183" s="8" t="str">
        <f ca="1">IFERROR(__xludf.DUMMYFUNCTION("""COMPUTED_VALUE"""),"Fled/Escaped")</f>
        <v>Fled/Escaped</v>
      </c>
      <c r="F1183" s="8" t="str">
        <f ca="1">IFERROR(__xludf.DUMMYFUNCTION("""COMPUTED_VALUE"""),"No")</f>
        <v>No</v>
      </c>
      <c r="G1183" s="8" t="str">
        <f ca="1">IFERROR(__xludf.DUMMYFUNCTION("""COMPUTED_VALUE"""),"None")</f>
        <v>None</v>
      </c>
    </row>
    <row r="1184" spans="1:7" ht="12.75">
      <c r="A1184" s="8" t="str">
        <f ca="1">IFERROR(__xludf.DUMMYFUNCTION("""COMPUTED_VALUE"""),"20140421UTPRP")</f>
        <v>20140421UTPRP</v>
      </c>
      <c r="B1184" s="8">
        <f ca="1">IFERROR(__xludf.DUMMYFUNCTION("""COMPUTED_VALUE"""),14)</f>
        <v>14</v>
      </c>
      <c r="C1184" s="8" t="str">
        <f ca="1">IFERROR(__xludf.DUMMYFUNCTION("""COMPUTED_VALUE"""),"Male")</f>
        <v>Male</v>
      </c>
      <c r="D1184" s="8" t="str">
        <f ca="1">IFERROR(__xludf.DUMMYFUNCTION("""COMPUTED_VALUE"""),"Student")</f>
        <v>Student</v>
      </c>
      <c r="E1184" s="8" t="str">
        <f ca="1">IFERROR(__xludf.DUMMYFUNCTION("""COMPUTED_VALUE"""),"Surrendered")</f>
        <v>Surrendered</v>
      </c>
      <c r="F1184" s="8" t="str">
        <f ca="1">IFERROR(__xludf.DUMMYFUNCTION("""COMPUTED_VALUE"""),"No")</f>
        <v>No</v>
      </c>
      <c r="G1184" s="8" t="str">
        <f ca="1">IFERROR(__xludf.DUMMYFUNCTION("""COMPUTED_VALUE"""),"Wounded")</f>
        <v>Wounded</v>
      </c>
    </row>
    <row r="1185" spans="1:7" ht="12.75">
      <c r="A1185" s="8" t="str">
        <f ca="1">IFERROR(__xludf.DUMMYFUNCTION("""COMPUTED_VALUE"""),"20140421INSTG")</f>
        <v>20140421INSTG</v>
      </c>
      <c r="B1185" s="8">
        <f ca="1">IFERROR(__xludf.DUMMYFUNCTION("""COMPUTED_VALUE"""),55)</f>
        <v>55</v>
      </c>
      <c r="C1185" s="8" t="str">
        <f ca="1">IFERROR(__xludf.DUMMYFUNCTION("""COMPUTED_VALUE"""),"Male")</f>
        <v>Male</v>
      </c>
      <c r="D1185" s="8" t="str">
        <f ca="1">IFERROR(__xludf.DUMMYFUNCTION("""COMPUTED_VALUE"""),"Parent")</f>
        <v>Parent</v>
      </c>
      <c r="E1185" s="8" t="str">
        <f ca="1">IFERROR(__xludf.DUMMYFUNCTION("""COMPUTED_VALUE"""),"Fled/Escaped")</f>
        <v>Fled/Escaped</v>
      </c>
      <c r="F1185" s="8" t="str">
        <f ca="1">IFERROR(__xludf.DUMMYFUNCTION("""COMPUTED_VALUE"""),"Yes")</f>
        <v>Yes</v>
      </c>
      <c r="G1185" s="8" t="str">
        <f ca="1">IFERROR(__xludf.DUMMYFUNCTION("""COMPUTED_VALUE"""),"Suicide")</f>
        <v>Suicide</v>
      </c>
    </row>
    <row r="1186" spans="1:7" ht="12.75">
      <c r="A1186" s="8" t="str">
        <f ca="1">IFERROR(__xludf.DUMMYFUNCTION("""COMPUTED_VALUE"""),"20140411MIEAD")</f>
        <v>20140411MIEAD</v>
      </c>
      <c r="B1186" s="8"/>
      <c r="C1186" s="8" t="str">
        <f ca="1">IFERROR(__xludf.DUMMYFUNCTION("""COMPUTED_VALUE"""),"Male")</f>
        <v>Male</v>
      </c>
      <c r="D1186" s="8" t="str">
        <f ca="1">IFERROR(__xludf.DUMMYFUNCTION("""COMPUTED_VALUE"""),"Unknown")</f>
        <v>Unknown</v>
      </c>
      <c r="E1186" s="8" t="str">
        <f ca="1">IFERROR(__xludf.DUMMYFUNCTION("""COMPUTED_VALUE"""),"Fled/Escaped")</f>
        <v>Fled/Escaped</v>
      </c>
      <c r="F1186" s="8" t="str">
        <f ca="1">IFERROR(__xludf.DUMMYFUNCTION("""COMPUTED_VALUE"""),"No")</f>
        <v>No</v>
      </c>
      <c r="G1186" s="8" t="str">
        <f ca="1">IFERROR(__xludf.DUMMYFUNCTION("""COMPUTED_VALUE"""),"None")</f>
        <v>None</v>
      </c>
    </row>
    <row r="1187" spans="1:7" ht="12.75">
      <c r="A1187" s="8" t="str">
        <f ca="1">IFERROR(__xludf.DUMMYFUNCTION("""COMPUTED_VALUE"""),"20140410OHLIC")</f>
        <v>20140410OHLIC</v>
      </c>
      <c r="B1187" s="8">
        <f ca="1">IFERROR(__xludf.DUMMYFUNCTION("""COMPUTED_VALUE"""),48)</f>
        <v>48</v>
      </c>
      <c r="C1187" s="8" t="str">
        <f ca="1">IFERROR(__xludf.DUMMYFUNCTION("""COMPUTED_VALUE"""),"Male")</f>
        <v>Male</v>
      </c>
      <c r="D1187" s="8" t="str">
        <f ca="1">IFERROR(__xludf.DUMMYFUNCTION("""COMPUTED_VALUE"""),"No Relation")</f>
        <v>No Relation</v>
      </c>
      <c r="E1187" s="8" t="str">
        <f ca="1">IFERROR(__xludf.DUMMYFUNCTION("""COMPUTED_VALUE"""),"Fled/Apprehended")</f>
        <v>Fled/Apprehended</v>
      </c>
      <c r="F1187" s="8" t="str">
        <f ca="1">IFERROR(__xludf.DUMMYFUNCTION("""COMPUTED_VALUE"""),"No")</f>
        <v>No</v>
      </c>
      <c r="G1187" s="8" t="str">
        <f ca="1">IFERROR(__xludf.DUMMYFUNCTION("""COMPUTED_VALUE"""),"None")</f>
        <v>None</v>
      </c>
    </row>
    <row r="1188" spans="1:7" ht="12.75">
      <c r="A1188" s="8" t="str">
        <f ca="1">IFERROR(__xludf.DUMMYFUNCTION("""COMPUTED_VALUE"""),"20140409NCDHG")</f>
        <v>20140409NCDHG</v>
      </c>
      <c r="B1188" s="8">
        <f ca="1">IFERROR(__xludf.DUMMYFUNCTION("""COMPUTED_VALUE"""),17)</f>
        <v>17</v>
      </c>
      <c r="C1188" s="8" t="str">
        <f ca="1">IFERROR(__xludf.DUMMYFUNCTION("""COMPUTED_VALUE"""),"Male")</f>
        <v>Male</v>
      </c>
      <c r="D1188" s="8" t="str">
        <f ca="1">IFERROR(__xludf.DUMMYFUNCTION("""COMPUTED_VALUE"""),"Rival School Student")</f>
        <v>Rival School Student</v>
      </c>
      <c r="E1188" s="8" t="str">
        <f ca="1">IFERROR(__xludf.DUMMYFUNCTION("""COMPUTED_VALUE"""),"Fled/Apprehended")</f>
        <v>Fled/Apprehended</v>
      </c>
      <c r="F1188" s="8" t="str">
        <f ca="1">IFERROR(__xludf.DUMMYFUNCTION("""COMPUTED_VALUE"""),"No")</f>
        <v>No</v>
      </c>
      <c r="G1188" s="8" t="str">
        <f ca="1">IFERROR(__xludf.DUMMYFUNCTION("""COMPUTED_VALUE"""),"None")</f>
        <v>None</v>
      </c>
    </row>
    <row r="1189" spans="1:7" ht="12.75">
      <c r="A1189" s="8" t="str">
        <f ca="1">IFERROR(__xludf.DUMMYFUNCTION("""COMPUTED_VALUE"""),"20140403NJUNN")</f>
        <v>20140403NJUNN</v>
      </c>
      <c r="B1189" s="8" t="str">
        <f ca="1">IFERROR(__xludf.DUMMYFUNCTION("""COMPUTED_VALUE"""),"Adult")</f>
        <v>Adult</v>
      </c>
      <c r="C1189" s="8" t="str">
        <f ca="1">IFERROR(__xludf.DUMMYFUNCTION("""COMPUTED_VALUE"""),"Male")</f>
        <v>Male</v>
      </c>
      <c r="D1189" s="8" t="str">
        <f ca="1">IFERROR(__xludf.DUMMYFUNCTION("""COMPUTED_VALUE"""),"No Relation")</f>
        <v>No Relation</v>
      </c>
      <c r="E1189" s="8" t="str">
        <f ca="1">IFERROR(__xludf.DUMMYFUNCTION("""COMPUTED_VALUE"""),"Fled/Escaped")</f>
        <v>Fled/Escaped</v>
      </c>
      <c r="F1189" s="8" t="str">
        <f ca="1">IFERROR(__xludf.DUMMYFUNCTION("""COMPUTED_VALUE"""),"No")</f>
        <v>No</v>
      </c>
      <c r="G1189" s="8" t="str">
        <f ca="1">IFERROR(__xludf.DUMMYFUNCTION("""COMPUTED_VALUE"""),"None")</f>
        <v>None</v>
      </c>
    </row>
    <row r="1190" spans="1:7" ht="12.75">
      <c r="A1190" s="8" t="str">
        <f ca="1">IFERROR(__xludf.DUMMYFUNCTION("""COMPUTED_VALUE"""),"20140325GABEC")</f>
        <v>20140325GABEC</v>
      </c>
      <c r="B1190" s="8">
        <f ca="1">IFERROR(__xludf.DUMMYFUNCTION("""COMPUTED_VALUE"""),15)</f>
        <v>15</v>
      </c>
      <c r="C1190" s="8" t="str">
        <f ca="1">IFERROR(__xludf.DUMMYFUNCTION("""COMPUTED_VALUE"""),"Male")</f>
        <v>Male</v>
      </c>
      <c r="D1190" s="8" t="str">
        <f ca="1">IFERROR(__xludf.DUMMYFUNCTION("""COMPUTED_VALUE"""),"Student")</f>
        <v>Student</v>
      </c>
      <c r="E1190" s="8" t="str">
        <f ca="1">IFERROR(__xludf.DUMMYFUNCTION("""COMPUTED_VALUE"""),"Fled/Apprehended")</f>
        <v>Fled/Apprehended</v>
      </c>
      <c r="F1190" s="8" t="str">
        <f ca="1">IFERROR(__xludf.DUMMYFUNCTION("""COMPUTED_VALUE"""),"No")</f>
        <v>No</v>
      </c>
      <c r="G1190" s="8" t="str">
        <f ca="1">IFERROR(__xludf.DUMMYFUNCTION("""COMPUTED_VALUE"""),"None")</f>
        <v>None</v>
      </c>
    </row>
    <row r="1191" spans="1:7" ht="12.75">
      <c r="A1191" s="8" t="str">
        <f ca="1">IFERROR(__xludf.DUMMYFUNCTION("""COMPUTED_VALUE"""),"20140325GABEC")</f>
        <v>20140325GABEC</v>
      </c>
      <c r="B1191" s="8">
        <f ca="1">IFERROR(__xludf.DUMMYFUNCTION("""COMPUTED_VALUE"""),15)</f>
        <v>15</v>
      </c>
      <c r="C1191" s="8" t="str">
        <f ca="1">IFERROR(__xludf.DUMMYFUNCTION("""COMPUTED_VALUE"""),"Male")</f>
        <v>Male</v>
      </c>
      <c r="D1191" s="8" t="str">
        <f ca="1">IFERROR(__xludf.DUMMYFUNCTION("""COMPUTED_VALUE"""),"Student")</f>
        <v>Student</v>
      </c>
      <c r="E1191" s="8" t="str">
        <f ca="1">IFERROR(__xludf.DUMMYFUNCTION("""COMPUTED_VALUE"""),"Fled/Apprehended")</f>
        <v>Fled/Apprehended</v>
      </c>
      <c r="F1191" s="8" t="str">
        <f ca="1">IFERROR(__xludf.DUMMYFUNCTION("""COMPUTED_VALUE"""),"No")</f>
        <v>No</v>
      </c>
      <c r="G1191" s="8" t="str">
        <f ca="1">IFERROR(__xludf.DUMMYFUNCTION("""COMPUTED_VALUE"""),"None")</f>
        <v>None</v>
      </c>
    </row>
    <row r="1192" spans="1:7" ht="12.75">
      <c r="A1192" s="8" t="str">
        <f ca="1">IFERROR(__xludf.DUMMYFUNCTION("""COMPUTED_VALUE"""),"20140312FLACM")</f>
        <v>20140312FLACM</v>
      </c>
      <c r="B1192" s="8">
        <f ca="1">IFERROR(__xludf.DUMMYFUNCTION("""COMPUTED_VALUE"""),41)</f>
        <v>41</v>
      </c>
      <c r="C1192" s="8" t="str">
        <f ca="1">IFERROR(__xludf.DUMMYFUNCTION("""COMPUTED_VALUE"""),"Male")</f>
        <v>Male</v>
      </c>
      <c r="D1192" s="8" t="str">
        <f ca="1">IFERROR(__xludf.DUMMYFUNCTION("""COMPUTED_VALUE"""),"No Relation")</f>
        <v>No Relation</v>
      </c>
      <c r="E1192" s="8" t="str">
        <f ca="1">IFERROR(__xludf.DUMMYFUNCTION("""COMPUTED_VALUE"""),"Fled/Apprehended")</f>
        <v>Fled/Apprehended</v>
      </c>
      <c r="F1192" s="8" t="str">
        <f ca="1">IFERROR(__xludf.DUMMYFUNCTION("""COMPUTED_VALUE"""),"No")</f>
        <v>No</v>
      </c>
      <c r="G1192" s="8" t="str">
        <f ca="1">IFERROR(__xludf.DUMMYFUNCTION("""COMPUTED_VALUE"""),"None")</f>
        <v>None</v>
      </c>
    </row>
    <row r="1193" spans="1:7" ht="12.75">
      <c r="A1193" s="8" t="str">
        <f ca="1">IFERROR(__xludf.DUMMYFUNCTION("""COMPUTED_VALUE"""),"20140307LAMAT")</f>
        <v>20140307LAMAT</v>
      </c>
      <c r="B1193" s="8">
        <f ca="1">IFERROR(__xludf.DUMMYFUNCTION("""COMPUTED_VALUE"""),17)</f>
        <v>17</v>
      </c>
      <c r="C1193" s="8" t="str">
        <f ca="1">IFERROR(__xludf.DUMMYFUNCTION("""COMPUTED_VALUE"""),"Male")</f>
        <v>Male</v>
      </c>
      <c r="D1193" s="8" t="str">
        <f ca="1">IFERROR(__xludf.DUMMYFUNCTION("""COMPUTED_VALUE"""),"Unknown")</f>
        <v>Unknown</v>
      </c>
      <c r="E1193" s="8" t="str">
        <f ca="1">IFERROR(__xludf.DUMMYFUNCTION("""COMPUTED_VALUE"""),"Unknown")</f>
        <v>Unknown</v>
      </c>
      <c r="F1193" s="8" t="str">
        <f ca="1">IFERROR(__xludf.DUMMYFUNCTION("""COMPUTED_VALUE"""),"No")</f>
        <v>No</v>
      </c>
      <c r="G1193" s="8" t="str">
        <f ca="1">IFERROR(__xludf.DUMMYFUNCTION("""COMPUTED_VALUE"""),"None")</f>
        <v>None</v>
      </c>
    </row>
    <row r="1194" spans="1:7" ht="12.75">
      <c r="A1194" s="8" t="str">
        <f ca="1">IFERROR(__xludf.DUMMYFUNCTION("""COMPUTED_VALUE"""),"20140220MIRAR")</f>
        <v>20140220MIRAR</v>
      </c>
      <c r="B1194" s="8">
        <f ca="1">IFERROR(__xludf.DUMMYFUNCTION("""COMPUTED_VALUE"""),42)</f>
        <v>42</v>
      </c>
      <c r="C1194" s="8" t="str">
        <f ca="1">IFERROR(__xludf.DUMMYFUNCTION("""COMPUTED_VALUE"""),"Male")</f>
        <v>Male</v>
      </c>
      <c r="D1194" s="8" t="str">
        <f ca="1">IFERROR(__xludf.DUMMYFUNCTION("""COMPUTED_VALUE"""),"Parent")</f>
        <v>Parent</v>
      </c>
      <c r="E1194" s="8" t="str">
        <f ca="1">IFERROR(__xludf.DUMMYFUNCTION("""COMPUTED_VALUE"""),"Surrendered")</f>
        <v>Surrendered</v>
      </c>
      <c r="F1194" s="8" t="str">
        <f ca="1">IFERROR(__xludf.DUMMYFUNCTION("""COMPUTED_VALUE"""),"No")</f>
        <v>No</v>
      </c>
      <c r="G1194" s="8" t="str">
        <f ca="1">IFERROR(__xludf.DUMMYFUNCTION("""COMPUTED_VALUE"""),"None")</f>
        <v>None</v>
      </c>
    </row>
    <row r="1195" spans="1:7" ht="12.75">
      <c r="A1195" s="8" t="str">
        <f ca="1">IFERROR(__xludf.DUMMYFUNCTION("""COMPUTED_VALUE"""),"20140211OHCHL")</f>
        <v>20140211OHCHL</v>
      </c>
      <c r="B1195" s="8">
        <f ca="1">IFERROR(__xludf.DUMMYFUNCTION("""COMPUTED_VALUE"""),17)</f>
        <v>17</v>
      </c>
      <c r="C1195" s="8" t="str">
        <f ca="1">IFERROR(__xludf.DUMMYFUNCTION("""COMPUTED_VALUE"""),"Male")</f>
        <v>Male</v>
      </c>
      <c r="D1195" s="8" t="str">
        <f ca="1">IFERROR(__xludf.DUMMYFUNCTION("""COMPUTED_VALUE"""),"Unknown")</f>
        <v>Unknown</v>
      </c>
      <c r="E1195" s="8" t="str">
        <f ca="1">IFERROR(__xludf.DUMMYFUNCTION("""COMPUTED_VALUE"""),"Fled/Apprehended")</f>
        <v>Fled/Apprehended</v>
      </c>
      <c r="F1195" s="8" t="str">
        <f ca="1">IFERROR(__xludf.DUMMYFUNCTION("""COMPUTED_VALUE"""),"No")</f>
        <v>No</v>
      </c>
      <c r="G1195" s="8" t="str">
        <f ca="1">IFERROR(__xludf.DUMMYFUNCTION("""COMPUTED_VALUE"""),"None")</f>
        <v>None</v>
      </c>
    </row>
    <row r="1196" spans="1:7" ht="12.75">
      <c r="A1196" s="8" t="str">
        <f ca="1">IFERROR(__xludf.DUMMYFUNCTION("""COMPUTED_VALUE"""),"20140210NCSAS")</f>
        <v>20140210NCSAS</v>
      </c>
      <c r="B1196" s="8">
        <f ca="1">IFERROR(__xludf.DUMMYFUNCTION("""COMPUTED_VALUE"""),17)</f>
        <v>17</v>
      </c>
      <c r="C1196" s="8" t="str">
        <f ca="1">IFERROR(__xludf.DUMMYFUNCTION("""COMPUTED_VALUE"""),"Male")</f>
        <v>Male</v>
      </c>
      <c r="D1196" s="8" t="str">
        <f ca="1">IFERROR(__xludf.DUMMYFUNCTION("""COMPUTED_VALUE"""),"Nonstudent")</f>
        <v>Nonstudent</v>
      </c>
      <c r="E1196" s="8" t="str">
        <f ca="1">IFERROR(__xludf.DUMMYFUNCTION("""COMPUTED_VALUE"""),"Fled/Apprehended")</f>
        <v>Fled/Apprehended</v>
      </c>
      <c r="F1196" s="8" t="str">
        <f ca="1">IFERROR(__xludf.DUMMYFUNCTION("""COMPUTED_VALUE"""),"No")</f>
        <v>No</v>
      </c>
      <c r="G1196" s="8" t="str">
        <f ca="1">IFERROR(__xludf.DUMMYFUNCTION("""COMPUTED_VALUE"""),"None")</f>
        <v>None</v>
      </c>
    </row>
    <row r="1197" spans="1:7" ht="12.75">
      <c r="A1197" s="8" t="str">
        <f ca="1">IFERROR(__xludf.DUMMYFUNCTION("""COMPUTED_VALUE"""),"20140207ORBEB")</f>
        <v>20140207ORBEB</v>
      </c>
      <c r="B1197" s="8">
        <f ca="1">IFERROR(__xludf.DUMMYFUNCTION("""COMPUTED_VALUE"""),17)</f>
        <v>17</v>
      </c>
      <c r="C1197" s="8" t="str">
        <f ca="1">IFERROR(__xludf.DUMMYFUNCTION("""COMPUTED_VALUE"""),"Male")</f>
        <v>Male</v>
      </c>
      <c r="D1197" s="8" t="str">
        <f ca="1">IFERROR(__xludf.DUMMYFUNCTION("""COMPUTED_VALUE"""),"Student")</f>
        <v>Student</v>
      </c>
      <c r="E1197" s="8" t="str">
        <f ca="1">IFERROR(__xludf.DUMMYFUNCTION("""COMPUTED_VALUE"""),"Suicide")</f>
        <v>Suicide</v>
      </c>
      <c r="F1197" s="8" t="str">
        <f ca="1">IFERROR(__xludf.DUMMYFUNCTION("""COMPUTED_VALUE"""),"Yes")</f>
        <v>Yes</v>
      </c>
      <c r="G1197" s="8" t="str">
        <f ca="1">IFERROR(__xludf.DUMMYFUNCTION("""COMPUTED_VALUE"""),"Suicide")</f>
        <v>Suicide</v>
      </c>
    </row>
    <row r="1198" spans="1:7" ht="12.75">
      <c r="A1198" s="8" t="str">
        <f ca="1">IFERROR(__xludf.DUMMYFUNCTION("""COMPUTED_VALUE"""),"20140131IANOD")</f>
        <v>20140131IANOD</v>
      </c>
      <c r="B1198" s="8" t="str">
        <f ca="1">IFERROR(__xludf.DUMMYFUNCTION("""COMPUTED_VALUE"""),"Adult")</f>
        <v>Adult</v>
      </c>
      <c r="C1198" s="8" t="str">
        <f ca="1">IFERROR(__xludf.DUMMYFUNCTION("""COMPUTED_VALUE"""),"Male")</f>
        <v>Male</v>
      </c>
      <c r="D1198" s="8" t="str">
        <f ca="1">IFERROR(__xludf.DUMMYFUNCTION("""COMPUTED_VALUE"""),"No Relation")</f>
        <v>No Relation</v>
      </c>
      <c r="E1198" s="8" t="str">
        <f ca="1">IFERROR(__xludf.DUMMYFUNCTION("""COMPUTED_VALUE"""),"Fled/Escaped")</f>
        <v>Fled/Escaped</v>
      </c>
      <c r="F1198" s="8" t="str">
        <f ca="1">IFERROR(__xludf.DUMMYFUNCTION("""COMPUTED_VALUE"""),"No")</f>
        <v>No</v>
      </c>
      <c r="G1198" s="8" t="str">
        <f ca="1">IFERROR(__xludf.DUMMYFUNCTION("""COMPUTED_VALUE"""),"None")</f>
        <v>None</v>
      </c>
    </row>
    <row r="1199" spans="1:7" ht="12.75">
      <c r="A1199" s="8" t="str">
        <f ca="1">IFERROR(__xludf.DUMMYFUNCTION("""COMPUTED_VALUE"""),"20140131IANOD")</f>
        <v>20140131IANOD</v>
      </c>
      <c r="B1199" s="8" t="str">
        <f ca="1">IFERROR(__xludf.DUMMYFUNCTION("""COMPUTED_VALUE"""),"Adult")</f>
        <v>Adult</v>
      </c>
      <c r="C1199" s="8" t="str">
        <f ca="1">IFERROR(__xludf.DUMMYFUNCTION("""COMPUTED_VALUE"""),"Male")</f>
        <v>Male</v>
      </c>
      <c r="D1199" s="8" t="str">
        <f ca="1">IFERROR(__xludf.DUMMYFUNCTION("""COMPUTED_VALUE"""),"No Relation")</f>
        <v>No Relation</v>
      </c>
      <c r="E1199" s="8" t="str">
        <f ca="1">IFERROR(__xludf.DUMMYFUNCTION("""COMPUTED_VALUE"""),"Fled/Escaped")</f>
        <v>Fled/Escaped</v>
      </c>
      <c r="F1199" s="8" t="str">
        <f ca="1">IFERROR(__xludf.DUMMYFUNCTION("""COMPUTED_VALUE"""),"No")</f>
        <v>No</v>
      </c>
      <c r="G1199" s="8" t="str">
        <f ca="1">IFERROR(__xludf.DUMMYFUNCTION("""COMPUTED_VALUE"""),"None")</f>
        <v>None</v>
      </c>
    </row>
    <row r="1200" spans="1:7" ht="12.75">
      <c r="A1200" s="8" t="str">
        <f ca="1">IFERROR(__xludf.DUMMYFUNCTION("""COMPUTED_VALUE"""),"20140131IANOD")</f>
        <v>20140131IANOD</v>
      </c>
      <c r="B1200" s="8" t="str">
        <f ca="1">IFERROR(__xludf.DUMMYFUNCTION("""COMPUTED_VALUE"""),"Adult")</f>
        <v>Adult</v>
      </c>
      <c r="C1200" s="8" t="str">
        <f ca="1">IFERROR(__xludf.DUMMYFUNCTION("""COMPUTED_VALUE"""),"Male")</f>
        <v>Male</v>
      </c>
      <c r="D1200" s="8" t="str">
        <f ca="1">IFERROR(__xludf.DUMMYFUNCTION("""COMPUTED_VALUE"""),"No Relation")</f>
        <v>No Relation</v>
      </c>
      <c r="E1200" s="8" t="str">
        <f ca="1">IFERROR(__xludf.DUMMYFUNCTION("""COMPUTED_VALUE"""),"Fled/Escaped")</f>
        <v>Fled/Escaped</v>
      </c>
      <c r="F1200" s="8" t="str">
        <f ca="1">IFERROR(__xludf.DUMMYFUNCTION("""COMPUTED_VALUE"""),"No")</f>
        <v>No</v>
      </c>
      <c r="G1200" s="8" t="str">
        <f ca="1">IFERROR(__xludf.DUMMYFUNCTION("""COMPUTED_VALUE"""),"None")</f>
        <v>None</v>
      </c>
    </row>
    <row r="1201" spans="1:7" ht="12.75">
      <c r="A1201" s="8" t="str">
        <f ca="1">IFERROR(__xludf.DUMMYFUNCTION("""COMPUTED_VALUE"""),"20140131IANOD")</f>
        <v>20140131IANOD</v>
      </c>
      <c r="B1201" s="8" t="str">
        <f ca="1">IFERROR(__xludf.DUMMYFUNCTION("""COMPUTED_VALUE"""),"Adult")</f>
        <v>Adult</v>
      </c>
      <c r="C1201" s="8" t="str">
        <f ca="1">IFERROR(__xludf.DUMMYFUNCTION("""COMPUTED_VALUE"""),"Male")</f>
        <v>Male</v>
      </c>
      <c r="D1201" s="8" t="str">
        <f ca="1">IFERROR(__xludf.DUMMYFUNCTION("""COMPUTED_VALUE"""),"No Relation")</f>
        <v>No Relation</v>
      </c>
      <c r="E1201" s="8" t="str">
        <f ca="1">IFERROR(__xludf.DUMMYFUNCTION("""COMPUTED_VALUE"""),"Fled/Escaped")</f>
        <v>Fled/Escaped</v>
      </c>
      <c r="F1201" s="8" t="str">
        <f ca="1">IFERROR(__xludf.DUMMYFUNCTION("""COMPUTED_VALUE"""),"No")</f>
        <v>No</v>
      </c>
      <c r="G1201" s="8" t="str">
        <f ca="1">IFERROR(__xludf.DUMMYFUNCTION("""COMPUTED_VALUE"""),"None")</f>
        <v>None</v>
      </c>
    </row>
    <row r="1202" spans="1:7" ht="12.75">
      <c r="A1202" s="8" t="str">
        <f ca="1">IFERROR(__xludf.DUMMYFUNCTION("""COMPUTED_VALUE"""),"20140131IANOD")</f>
        <v>20140131IANOD</v>
      </c>
      <c r="B1202" s="8" t="str">
        <f ca="1">IFERROR(__xludf.DUMMYFUNCTION("""COMPUTED_VALUE"""),"Adult")</f>
        <v>Adult</v>
      </c>
      <c r="C1202" s="8" t="str">
        <f ca="1">IFERROR(__xludf.DUMMYFUNCTION("""COMPUTED_VALUE"""),"Male")</f>
        <v>Male</v>
      </c>
      <c r="D1202" s="8" t="str">
        <f ca="1">IFERROR(__xludf.DUMMYFUNCTION("""COMPUTED_VALUE"""),"No Relation")</f>
        <v>No Relation</v>
      </c>
      <c r="E1202" s="8" t="str">
        <f ca="1">IFERROR(__xludf.DUMMYFUNCTION("""COMPUTED_VALUE"""),"Fled/Escaped")</f>
        <v>Fled/Escaped</v>
      </c>
      <c r="F1202" s="8" t="str">
        <f ca="1">IFERROR(__xludf.DUMMYFUNCTION("""COMPUTED_VALUE"""),"No")</f>
        <v>No</v>
      </c>
      <c r="G1202" s="8" t="str">
        <f ca="1">IFERROR(__xludf.DUMMYFUNCTION("""COMPUTED_VALUE"""),"None")</f>
        <v>None</v>
      </c>
    </row>
    <row r="1203" spans="1:7" ht="12.75">
      <c r="A1203" s="8" t="str">
        <f ca="1">IFERROR(__xludf.DUMMYFUNCTION("""COMPUTED_VALUE"""),"20140131IANOD")</f>
        <v>20140131IANOD</v>
      </c>
      <c r="B1203" s="8" t="str">
        <f ca="1">IFERROR(__xludf.DUMMYFUNCTION("""COMPUTED_VALUE"""),"Adult")</f>
        <v>Adult</v>
      </c>
      <c r="C1203" s="8" t="str">
        <f ca="1">IFERROR(__xludf.DUMMYFUNCTION("""COMPUTED_VALUE"""),"Male")</f>
        <v>Male</v>
      </c>
      <c r="D1203" s="8" t="str">
        <f ca="1">IFERROR(__xludf.DUMMYFUNCTION("""COMPUTED_VALUE"""),"No Relation")</f>
        <v>No Relation</v>
      </c>
      <c r="E1203" s="8" t="str">
        <f ca="1">IFERROR(__xludf.DUMMYFUNCTION("""COMPUTED_VALUE"""),"Fled/Escaped")</f>
        <v>Fled/Escaped</v>
      </c>
      <c r="F1203" s="8" t="str">
        <f ca="1">IFERROR(__xludf.DUMMYFUNCTION("""COMPUTED_VALUE"""),"No")</f>
        <v>No</v>
      </c>
      <c r="G1203" s="8" t="str">
        <f ca="1">IFERROR(__xludf.DUMMYFUNCTION("""COMPUTED_VALUE"""),"None")</f>
        <v>None</v>
      </c>
    </row>
    <row r="1204" spans="1:7" ht="12.75">
      <c r="A1204" s="8" t="str">
        <f ca="1">IFERROR(__xludf.DUMMYFUNCTION("""COMPUTED_VALUE"""),"20140131AZCEP")</f>
        <v>20140131AZCEP</v>
      </c>
      <c r="B1204" s="8">
        <f ca="1">IFERROR(__xludf.DUMMYFUNCTION("""COMPUTED_VALUE"""),20)</f>
        <v>20</v>
      </c>
      <c r="C1204" s="8" t="str">
        <f ca="1">IFERROR(__xludf.DUMMYFUNCTION("""COMPUTED_VALUE"""),"Male")</f>
        <v>Male</v>
      </c>
      <c r="D1204" s="8" t="str">
        <f ca="1">IFERROR(__xludf.DUMMYFUNCTION("""COMPUTED_VALUE"""),"No Relation")</f>
        <v>No Relation</v>
      </c>
      <c r="E1204" s="8" t="str">
        <f ca="1">IFERROR(__xludf.DUMMYFUNCTION("""COMPUTED_VALUE"""),"Fled/Apprehended")</f>
        <v>Fled/Apprehended</v>
      </c>
      <c r="F1204" s="8" t="str">
        <f ca="1">IFERROR(__xludf.DUMMYFUNCTION("""COMPUTED_VALUE"""),"No")</f>
        <v>No</v>
      </c>
      <c r="G1204" s="8" t="str">
        <f ca="1">IFERROR(__xludf.DUMMYFUNCTION("""COMPUTED_VALUE"""),"None")</f>
        <v>None</v>
      </c>
    </row>
    <row r="1205" spans="1:7" ht="12.75">
      <c r="A1205" s="8" t="str">
        <f ca="1">IFERROR(__xludf.DUMMYFUNCTION("""COMPUTED_VALUE"""),"20140131AZCEP")</f>
        <v>20140131AZCEP</v>
      </c>
      <c r="B1205" s="8">
        <f ca="1">IFERROR(__xludf.DUMMYFUNCTION("""COMPUTED_VALUE"""),20)</f>
        <v>20</v>
      </c>
      <c r="C1205" s="8" t="str">
        <f ca="1">IFERROR(__xludf.DUMMYFUNCTION("""COMPUTED_VALUE"""),"Male")</f>
        <v>Male</v>
      </c>
      <c r="D1205" s="8" t="str">
        <f ca="1">IFERROR(__xludf.DUMMYFUNCTION("""COMPUTED_VALUE"""),"No Relation")</f>
        <v>No Relation</v>
      </c>
      <c r="E1205" s="8" t="str">
        <f ca="1">IFERROR(__xludf.DUMMYFUNCTION("""COMPUTED_VALUE"""),"Fled/Apprehended")</f>
        <v>Fled/Apprehended</v>
      </c>
      <c r="F1205" s="8" t="str">
        <f ca="1">IFERROR(__xludf.DUMMYFUNCTION("""COMPUTED_VALUE"""),"No")</f>
        <v>No</v>
      </c>
      <c r="G1205" s="8" t="str">
        <f ca="1">IFERROR(__xludf.DUMMYFUNCTION("""COMPUTED_VALUE"""),"None")</f>
        <v>None</v>
      </c>
    </row>
    <row r="1206" spans="1:7" ht="12.75">
      <c r="A1206" s="8" t="str">
        <f ca="1">IFERROR(__xludf.DUMMYFUNCTION("""COMPUTED_VALUE"""),"20140128HIPRH")</f>
        <v>20140128HIPRH</v>
      </c>
      <c r="B1206" s="8" t="str">
        <f ca="1">IFERROR(__xludf.DUMMYFUNCTION("""COMPUTED_VALUE"""),"Adult")</f>
        <v>Adult</v>
      </c>
      <c r="C1206" s="8"/>
      <c r="D1206" s="8" t="str">
        <f ca="1">IFERROR(__xludf.DUMMYFUNCTION("""COMPUTED_VALUE"""),"Police Officer/SRO")</f>
        <v>Police Officer/SRO</v>
      </c>
      <c r="E1206" s="8" t="str">
        <f ca="1">IFERROR(__xludf.DUMMYFUNCTION("""COMPUTED_VALUE"""),"Law Enforcement")</f>
        <v>Law Enforcement</v>
      </c>
      <c r="F1206" s="8" t="str">
        <f ca="1">IFERROR(__xludf.DUMMYFUNCTION("""COMPUTED_VALUE"""),"No")</f>
        <v>No</v>
      </c>
      <c r="G1206" s="8" t="str">
        <f ca="1">IFERROR(__xludf.DUMMYFUNCTION("""COMPUTED_VALUE"""),"Wounded")</f>
        <v>Wounded</v>
      </c>
    </row>
    <row r="1207" spans="1:7" ht="12.75">
      <c r="A1207" s="8" t="str">
        <f ca="1">IFERROR(__xludf.DUMMYFUNCTION("""COMPUTED_VALUE"""),"20140127ILREC")</f>
        <v>20140127ILREC</v>
      </c>
      <c r="B1207" s="8">
        <f ca="1">IFERROR(__xludf.DUMMYFUNCTION("""COMPUTED_VALUE"""),18)</f>
        <v>18</v>
      </c>
      <c r="C1207" s="8" t="str">
        <f ca="1">IFERROR(__xludf.DUMMYFUNCTION("""COMPUTED_VALUE"""),"Male")</f>
        <v>Male</v>
      </c>
      <c r="D1207" s="8" t="str">
        <f ca="1">IFERROR(__xludf.DUMMYFUNCTION("""COMPUTED_VALUE"""),"Student")</f>
        <v>Student</v>
      </c>
      <c r="E1207" s="8" t="str">
        <f ca="1">IFERROR(__xludf.DUMMYFUNCTION("""COMPUTED_VALUE"""),"Fled/Apprehended")</f>
        <v>Fled/Apprehended</v>
      </c>
      <c r="F1207" s="8" t="str">
        <f ca="1">IFERROR(__xludf.DUMMYFUNCTION("""COMPUTED_VALUE"""),"No")</f>
        <v>No</v>
      </c>
      <c r="G1207" s="8" t="str">
        <f ca="1">IFERROR(__xludf.DUMMYFUNCTION("""COMPUTED_VALUE"""),"None")</f>
        <v>None</v>
      </c>
    </row>
    <row r="1208" spans="1:7" ht="12.75">
      <c r="A1208" s="8" t="str">
        <f ca="1">IFERROR(__xludf.DUMMYFUNCTION("""COMPUTED_VALUE"""),"20140117PADEP")</f>
        <v>20140117PADEP</v>
      </c>
      <c r="B1208" s="8">
        <f ca="1">IFERROR(__xludf.DUMMYFUNCTION("""COMPUTED_VALUE"""),18)</f>
        <v>18</v>
      </c>
      <c r="C1208" s="8" t="str">
        <f ca="1">IFERROR(__xludf.DUMMYFUNCTION("""COMPUTED_VALUE"""),"Male")</f>
        <v>Male</v>
      </c>
      <c r="D1208" s="8" t="str">
        <f ca="1">IFERROR(__xludf.DUMMYFUNCTION("""COMPUTED_VALUE"""),"Student")</f>
        <v>Student</v>
      </c>
      <c r="E1208" s="8" t="str">
        <f ca="1">IFERROR(__xludf.DUMMYFUNCTION("""COMPUTED_VALUE"""),"Fled/Apprehended")</f>
        <v>Fled/Apprehended</v>
      </c>
      <c r="F1208" s="8" t="str">
        <f ca="1">IFERROR(__xludf.DUMMYFUNCTION("""COMPUTED_VALUE"""),"No")</f>
        <v>No</v>
      </c>
      <c r="G1208" s="8" t="str">
        <f ca="1">IFERROR(__xludf.DUMMYFUNCTION("""COMPUTED_VALUE"""),"None")</f>
        <v>None</v>
      </c>
    </row>
    <row r="1209" spans="1:7" ht="12.75">
      <c r="A1209" s="8" t="str">
        <f ca="1">IFERROR(__xludf.DUMMYFUNCTION("""COMPUTED_VALUE"""),"20140114PAKIL")</f>
        <v>20140114PAKIL</v>
      </c>
      <c r="B1209" s="8"/>
      <c r="C1209" s="8" t="str">
        <f ca="1">IFERROR(__xludf.DUMMYFUNCTION("""COMPUTED_VALUE"""),"Male")</f>
        <v>Male</v>
      </c>
      <c r="D1209" s="8" t="str">
        <f ca="1">IFERROR(__xludf.DUMMYFUNCTION("""COMPUTED_VALUE"""),"Unknown")</f>
        <v>Unknown</v>
      </c>
      <c r="E1209" s="8" t="str">
        <f ca="1">IFERROR(__xludf.DUMMYFUNCTION("""COMPUTED_VALUE"""),"Fled/Escaped")</f>
        <v>Fled/Escaped</v>
      </c>
      <c r="F1209" s="8" t="str">
        <f ca="1">IFERROR(__xludf.DUMMYFUNCTION("""COMPUTED_VALUE"""),"No")</f>
        <v>No</v>
      </c>
      <c r="G1209" s="8" t="str">
        <f ca="1">IFERROR(__xludf.DUMMYFUNCTION("""COMPUTED_VALUE"""),"None")</f>
        <v>None</v>
      </c>
    </row>
    <row r="1210" spans="1:7" ht="12.75">
      <c r="A1210" s="8" t="str">
        <f ca="1">IFERROR(__xludf.DUMMYFUNCTION("""COMPUTED_VALUE"""),"20140114NMBER")</f>
        <v>20140114NMBER</v>
      </c>
      <c r="B1210" s="8">
        <f ca="1">IFERROR(__xludf.DUMMYFUNCTION("""COMPUTED_VALUE"""),14)</f>
        <v>14</v>
      </c>
      <c r="C1210" s="8" t="str">
        <f ca="1">IFERROR(__xludf.DUMMYFUNCTION("""COMPUTED_VALUE"""),"Male")</f>
        <v>Male</v>
      </c>
      <c r="D1210" s="8" t="str">
        <f ca="1">IFERROR(__xludf.DUMMYFUNCTION("""COMPUTED_VALUE"""),"Student")</f>
        <v>Student</v>
      </c>
      <c r="E1210" s="8" t="str">
        <f ca="1">IFERROR(__xludf.DUMMYFUNCTION("""COMPUTED_VALUE"""),"Surrendered")</f>
        <v>Surrendered</v>
      </c>
      <c r="F1210" s="8" t="str">
        <f ca="1">IFERROR(__xludf.DUMMYFUNCTION("""COMPUTED_VALUE"""),"No")</f>
        <v>No</v>
      </c>
      <c r="G1210" s="8" t="str">
        <f ca="1">IFERROR(__xludf.DUMMYFUNCTION("""COMPUTED_VALUE"""),"None")</f>
        <v>None</v>
      </c>
    </row>
    <row r="1211" spans="1:7" ht="12.75">
      <c r="A1211" s="8" t="str">
        <f ca="1">IFERROR(__xludf.DUMMYFUNCTION("""COMPUTED_VALUE"""),"20140114LASTB")</f>
        <v>20140114LASTB</v>
      </c>
      <c r="B1211" s="8">
        <f ca="1">IFERROR(__xludf.DUMMYFUNCTION("""COMPUTED_VALUE"""),17)</f>
        <v>17</v>
      </c>
      <c r="C1211" s="8" t="str">
        <f ca="1">IFERROR(__xludf.DUMMYFUNCTION("""COMPUTED_VALUE"""),"Male")</f>
        <v>Male</v>
      </c>
      <c r="D1211" s="8" t="str">
        <f ca="1">IFERROR(__xludf.DUMMYFUNCTION("""COMPUTED_VALUE"""),"Unknown")</f>
        <v>Unknown</v>
      </c>
      <c r="E1211" s="8" t="str">
        <f ca="1">IFERROR(__xludf.DUMMYFUNCTION("""COMPUTED_VALUE"""),"Fled/Apprehended")</f>
        <v>Fled/Apprehended</v>
      </c>
      <c r="F1211" s="8" t="str">
        <f ca="1">IFERROR(__xludf.DUMMYFUNCTION("""COMPUTED_VALUE"""),"No")</f>
        <v>No</v>
      </c>
      <c r="G1211" s="8" t="str">
        <f ca="1">IFERROR(__xludf.DUMMYFUNCTION("""COMPUTED_VALUE"""),"None")</f>
        <v>None</v>
      </c>
    </row>
    <row r="1212" spans="1:7" ht="12.75">
      <c r="A1212" s="8" t="str">
        <f ca="1">IFERROR(__xludf.DUMMYFUNCTION("""COMPUTED_VALUE"""),"20140113CTHIN")</f>
        <v>20140113CTHIN</v>
      </c>
      <c r="B1212" s="8">
        <f ca="1">IFERROR(__xludf.DUMMYFUNCTION("""COMPUTED_VALUE"""),17)</f>
        <v>17</v>
      </c>
      <c r="C1212" s="8" t="str">
        <f ca="1">IFERROR(__xludf.DUMMYFUNCTION("""COMPUTED_VALUE"""),"Male")</f>
        <v>Male</v>
      </c>
      <c r="D1212" s="8" t="str">
        <f ca="1">IFERROR(__xludf.DUMMYFUNCTION("""COMPUTED_VALUE"""),"Nonstudent Using Athletic Facilities/Attending Game")</f>
        <v>Nonstudent Using Athletic Facilities/Attending Game</v>
      </c>
      <c r="E1212" s="8" t="str">
        <f ca="1">IFERROR(__xludf.DUMMYFUNCTION("""COMPUTED_VALUE"""),"Fled/Apprehended")</f>
        <v>Fled/Apprehended</v>
      </c>
      <c r="F1212" s="8" t="str">
        <f ca="1">IFERROR(__xludf.DUMMYFUNCTION("""COMPUTED_VALUE"""),"No")</f>
        <v>No</v>
      </c>
      <c r="G1212" s="8" t="str">
        <f ca="1">IFERROR(__xludf.DUMMYFUNCTION("""COMPUTED_VALUE"""),"None")</f>
        <v>None</v>
      </c>
    </row>
    <row r="1213" spans="1:7" ht="12.75">
      <c r="A1213" s="8" t="str">
        <f ca="1">IFERROR(__xludf.DUMMYFUNCTION("""COMPUTED_VALUE"""),"20140109TNLIJ")</f>
        <v>20140109TNLIJ</v>
      </c>
      <c r="B1213" s="8">
        <f ca="1">IFERROR(__xludf.DUMMYFUNCTION("""COMPUTED_VALUE"""),16)</f>
        <v>16</v>
      </c>
      <c r="C1213" s="8" t="str">
        <f ca="1">IFERROR(__xludf.DUMMYFUNCTION("""COMPUTED_VALUE"""),"Male")</f>
        <v>Male</v>
      </c>
      <c r="D1213" s="8" t="str">
        <f ca="1">IFERROR(__xludf.DUMMYFUNCTION("""COMPUTED_VALUE"""),"Student")</f>
        <v>Student</v>
      </c>
      <c r="E1213" s="8" t="str">
        <f ca="1">IFERROR(__xludf.DUMMYFUNCTION("""COMPUTED_VALUE"""),"Fled/Apprehended")</f>
        <v>Fled/Apprehended</v>
      </c>
      <c r="F1213" s="8" t="str">
        <f ca="1">IFERROR(__xludf.DUMMYFUNCTION("""COMPUTED_VALUE"""),"No")</f>
        <v>No</v>
      </c>
      <c r="G1213" s="8" t="str">
        <f ca="1">IFERROR(__xludf.DUMMYFUNCTION("""COMPUTED_VALUE"""),"None")</f>
        <v>None</v>
      </c>
    </row>
    <row r="1214" spans="1:7" ht="12.75">
      <c r="A1214" s="8" t="str">
        <f ca="1">IFERROR(__xludf.DUMMYFUNCTION("""COMPUTED_VALUE"""),"20131219CAEDF")</f>
        <v>20131219CAEDF</v>
      </c>
      <c r="B1214" s="8">
        <f ca="1">IFERROR(__xludf.DUMMYFUNCTION("""COMPUTED_VALUE"""),16)</f>
        <v>16</v>
      </c>
      <c r="C1214" s="8" t="str">
        <f ca="1">IFERROR(__xludf.DUMMYFUNCTION("""COMPUTED_VALUE"""),"Male")</f>
        <v>Male</v>
      </c>
      <c r="D1214" s="8" t="str">
        <f ca="1">IFERROR(__xludf.DUMMYFUNCTION("""COMPUTED_VALUE"""),"Student")</f>
        <v>Student</v>
      </c>
      <c r="E1214" s="8" t="str">
        <f ca="1">IFERROR(__xludf.DUMMYFUNCTION("""COMPUTED_VALUE"""),"Fled/Apprehended")</f>
        <v>Fled/Apprehended</v>
      </c>
      <c r="F1214" s="8" t="str">
        <f ca="1">IFERROR(__xludf.DUMMYFUNCTION("""COMPUTED_VALUE"""),"No")</f>
        <v>No</v>
      </c>
      <c r="G1214" s="8" t="str">
        <f ca="1">IFERROR(__xludf.DUMMYFUNCTION("""COMPUTED_VALUE"""),"None")</f>
        <v>None</v>
      </c>
    </row>
    <row r="1215" spans="1:7" ht="12.75">
      <c r="A1215" s="8" t="str">
        <f ca="1">IFERROR(__xludf.DUMMYFUNCTION("""COMPUTED_VALUE"""),"20131213COARC")</f>
        <v>20131213COARC</v>
      </c>
      <c r="B1215" s="8">
        <f ca="1">IFERROR(__xludf.DUMMYFUNCTION("""COMPUTED_VALUE"""),18)</f>
        <v>18</v>
      </c>
      <c r="C1215" s="8" t="str">
        <f ca="1">IFERROR(__xludf.DUMMYFUNCTION("""COMPUTED_VALUE"""),"Male")</f>
        <v>Male</v>
      </c>
      <c r="D1215" s="8" t="str">
        <f ca="1">IFERROR(__xludf.DUMMYFUNCTION("""COMPUTED_VALUE"""),"Student")</f>
        <v>Student</v>
      </c>
      <c r="E1215" s="8" t="str">
        <f ca="1">IFERROR(__xludf.DUMMYFUNCTION("""COMPUTED_VALUE"""),"Suicide")</f>
        <v>Suicide</v>
      </c>
      <c r="F1215" s="8" t="str">
        <f ca="1">IFERROR(__xludf.DUMMYFUNCTION("""COMPUTED_VALUE"""),"Yes")</f>
        <v>Yes</v>
      </c>
      <c r="G1215" s="8" t="str">
        <f ca="1">IFERROR(__xludf.DUMMYFUNCTION("""COMPUTED_VALUE"""),"Suicide")</f>
        <v>Suicide</v>
      </c>
    </row>
    <row r="1216" spans="1:7" ht="12.75">
      <c r="A1216" s="8" t="str">
        <f ca="1">IFERROR(__xludf.DUMMYFUNCTION("""COMPUTED_VALUE"""),"20131204FLWEW")</f>
        <v>20131204FLWEW</v>
      </c>
      <c r="B1216" s="8">
        <f ca="1">IFERROR(__xludf.DUMMYFUNCTION("""COMPUTED_VALUE"""),17)</f>
        <v>17</v>
      </c>
      <c r="C1216" s="8" t="str">
        <f ca="1">IFERROR(__xludf.DUMMYFUNCTION("""COMPUTED_VALUE"""),"Male")</f>
        <v>Male</v>
      </c>
      <c r="D1216" s="8" t="str">
        <f ca="1">IFERROR(__xludf.DUMMYFUNCTION("""COMPUTED_VALUE"""),"Student")</f>
        <v>Student</v>
      </c>
      <c r="E1216" s="8" t="str">
        <f ca="1">IFERROR(__xludf.DUMMYFUNCTION("""COMPUTED_VALUE"""),"Fled/Apprehended")</f>
        <v>Fled/Apprehended</v>
      </c>
      <c r="F1216" s="8" t="str">
        <f ca="1">IFERROR(__xludf.DUMMYFUNCTION("""COMPUTED_VALUE"""),"No")</f>
        <v>No</v>
      </c>
      <c r="G1216" s="8" t="str">
        <f ca="1">IFERROR(__xludf.DUMMYFUNCTION("""COMPUTED_VALUE"""),"None")</f>
        <v>None</v>
      </c>
    </row>
    <row r="1217" spans="1:7" ht="12.75">
      <c r="A1217" s="8" t="str">
        <f ca="1">IFERROR(__xludf.DUMMYFUNCTION("""COMPUTED_VALUE"""),"20131113PABRP")</f>
        <v>20131113PABRP</v>
      </c>
      <c r="B1217" s="8">
        <f ca="1">IFERROR(__xludf.DUMMYFUNCTION("""COMPUTED_VALUE"""),16)</f>
        <v>16</v>
      </c>
      <c r="C1217" s="8" t="str">
        <f ca="1">IFERROR(__xludf.DUMMYFUNCTION("""COMPUTED_VALUE"""),"Male")</f>
        <v>Male</v>
      </c>
      <c r="D1217" s="8" t="str">
        <f ca="1">IFERROR(__xludf.DUMMYFUNCTION("""COMPUTED_VALUE"""),"Student")</f>
        <v>Student</v>
      </c>
      <c r="E1217" s="8" t="str">
        <f ca="1">IFERROR(__xludf.DUMMYFUNCTION("""COMPUTED_VALUE"""),"Fled/Apprehended")</f>
        <v>Fled/Apprehended</v>
      </c>
      <c r="F1217" s="8" t="str">
        <f ca="1">IFERROR(__xludf.DUMMYFUNCTION("""COMPUTED_VALUE"""),"No")</f>
        <v>No</v>
      </c>
      <c r="G1217" s="8" t="str">
        <f ca="1">IFERROR(__xludf.DUMMYFUNCTION("""COMPUTED_VALUE"""),"None")</f>
        <v>None</v>
      </c>
    </row>
    <row r="1218" spans="1:7" ht="12.75">
      <c r="A1218" s="8" t="str">
        <f ca="1">IFERROR(__xludf.DUMMYFUNCTION("""COMPUTED_VALUE"""),"20131103GASTL")</f>
        <v>20131103GASTL</v>
      </c>
      <c r="B1218" s="8" t="str">
        <f ca="1">IFERROR(__xludf.DUMMYFUNCTION("""COMPUTED_VALUE"""),"Teen")</f>
        <v>Teen</v>
      </c>
      <c r="C1218" s="8" t="str">
        <f ca="1">IFERROR(__xludf.DUMMYFUNCTION("""COMPUTED_VALUE"""),"Male")</f>
        <v>Male</v>
      </c>
      <c r="D1218" s="8" t="str">
        <f ca="1">IFERROR(__xludf.DUMMYFUNCTION("""COMPUTED_VALUE"""),"Student")</f>
        <v>Student</v>
      </c>
      <c r="E1218" s="8" t="str">
        <f ca="1">IFERROR(__xludf.DUMMYFUNCTION("""COMPUTED_VALUE"""),"Fled/Apprehended")</f>
        <v>Fled/Apprehended</v>
      </c>
      <c r="F1218" s="8" t="str">
        <f ca="1">IFERROR(__xludf.DUMMYFUNCTION("""COMPUTED_VALUE"""),"No")</f>
        <v>No</v>
      </c>
      <c r="G1218" s="8" t="str">
        <f ca="1">IFERROR(__xludf.DUMMYFUNCTION("""COMPUTED_VALUE"""),"None")</f>
        <v>None</v>
      </c>
    </row>
    <row r="1219" spans="1:7" ht="12.75">
      <c r="A1219" s="8" t="str">
        <f ca="1">IFERROR(__xludf.DUMMYFUNCTION("""COMPUTED_VALUE"""),"20131101IAALA")</f>
        <v>20131101IAALA</v>
      </c>
      <c r="B1219" s="8">
        <f ca="1">IFERROR(__xludf.DUMMYFUNCTION("""COMPUTED_VALUE"""),23)</f>
        <v>23</v>
      </c>
      <c r="C1219" s="8" t="str">
        <f ca="1">IFERROR(__xludf.DUMMYFUNCTION("""COMPUTED_VALUE"""),"Male")</f>
        <v>Male</v>
      </c>
      <c r="D1219" s="8" t="str">
        <f ca="1">IFERROR(__xludf.DUMMYFUNCTION("""COMPUTED_VALUE"""),"Former Student")</f>
        <v>Former Student</v>
      </c>
      <c r="E1219" s="8" t="str">
        <f ca="1">IFERROR(__xludf.DUMMYFUNCTION("""COMPUTED_VALUE"""),"Suicide")</f>
        <v>Suicide</v>
      </c>
      <c r="F1219" s="8" t="str">
        <f ca="1">IFERROR(__xludf.DUMMYFUNCTION("""COMPUTED_VALUE"""),"Yes")</f>
        <v>Yes</v>
      </c>
      <c r="G1219" s="8" t="str">
        <f ca="1">IFERROR(__xludf.DUMMYFUNCTION("""COMPUTED_VALUE"""),"Suicide")</f>
        <v>Suicide</v>
      </c>
    </row>
    <row r="1220" spans="1:7" ht="12.75">
      <c r="A1220" s="8" t="str">
        <f ca="1">IFERROR(__xludf.DUMMYFUNCTION("""COMPUTED_VALUE"""),"20131023CANEC")</f>
        <v>20131023CANEC</v>
      </c>
      <c r="B1220" s="8" t="str">
        <f ca="1">IFERROR(__xludf.DUMMYFUNCTION("""COMPUTED_VALUE"""),"Child")</f>
        <v>Child</v>
      </c>
      <c r="C1220" s="8"/>
      <c r="D1220" s="8" t="str">
        <f ca="1">IFERROR(__xludf.DUMMYFUNCTION("""COMPUTED_VALUE"""),"Student")</f>
        <v>Student</v>
      </c>
      <c r="E1220" s="8" t="str">
        <f ca="1">IFERROR(__xludf.DUMMYFUNCTION("""COMPUTED_VALUE"""),"Unknown")</f>
        <v>Unknown</v>
      </c>
      <c r="F1220" s="8" t="str">
        <f ca="1">IFERROR(__xludf.DUMMYFUNCTION("""COMPUTED_VALUE"""),"No")</f>
        <v>No</v>
      </c>
      <c r="G1220" s="8" t="str">
        <f ca="1">IFERROR(__xludf.DUMMYFUNCTION("""COMPUTED_VALUE"""),"None")</f>
        <v>None</v>
      </c>
    </row>
    <row r="1221" spans="1:7" ht="12.75">
      <c r="A1221" s="8" t="str">
        <f ca="1">IFERROR(__xludf.DUMMYFUNCTION("""COMPUTED_VALUE"""),"20131021NVSPS")</f>
        <v>20131021NVSPS</v>
      </c>
      <c r="B1221" s="8">
        <f ca="1">IFERROR(__xludf.DUMMYFUNCTION("""COMPUTED_VALUE"""),12)</f>
        <v>12</v>
      </c>
      <c r="C1221" s="8" t="str">
        <f ca="1">IFERROR(__xludf.DUMMYFUNCTION("""COMPUTED_VALUE"""),"Male")</f>
        <v>Male</v>
      </c>
      <c r="D1221" s="8" t="str">
        <f ca="1">IFERROR(__xludf.DUMMYFUNCTION("""COMPUTED_VALUE"""),"Student")</f>
        <v>Student</v>
      </c>
      <c r="E1221" s="8" t="str">
        <f ca="1">IFERROR(__xludf.DUMMYFUNCTION("""COMPUTED_VALUE"""),"Suicide")</f>
        <v>Suicide</v>
      </c>
      <c r="F1221" s="8" t="str">
        <f ca="1">IFERROR(__xludf.DUMMYFUNCTION("""COMPUTED_VALUE"""),"Yes")</f>
        <v>Yes</v>
      </c>
      <c r="G1221" s="8" t="str">
        <f ca="1">IFERROR(__xludf.DUMMYFUNCTION("""COMPUTED_VALUE"""),"Suicide")</f>
        <v>Suicide</v>
      </c>
    </row>
    <row r="1222" spans="1:7" ht="12.75">
      <c r="A1222" s="8" t="str">
        <f ca="1">IFERROR(__xludf.DUMMYFUNCTION("""COMPUTED_VALUE"""),"20131015TXLAA")</f>
        <v>20131015TXLAA</v>
      </c>
      <c r="B1222" s="8">
        <f ca="1">IFERROR(__xludf.DUMMYFUNCTION("""COMPUTED_VALUE"""),16)</f>
        <v>16</v>
      </c>
      <c r="C1222" s="8" t="str">
        <f ca="1">IFERROR(__xludf.DUMMYFUNCTION("""COMPUTED_VALUE"""),"Male")</f>
        <v>Male</v>
      </c>
      <c r="D1222" s="8" t="str">
        <f ca="1">IFERROR(__xludf.DUMMYFUNCTION("""COMPUTED_VALUE"""),"Student")</f>
        <v>Student</v>
      </c>
      <c r="E1222" s="8" t="str">
        <f ca="1">IFERROR(__xludf.DUMMYFUNCTION("""COMPUTED_VALUE"""),"Suicide")</f>
        <v>Suicide</v>
      </c>
      <c r="F1222" s="8" t="str">
        <f ca="1">IFERROR(__xludf.DUMMYFUNCTION("""COMPUTED_VALUE"""),"Yes")</f>
        <v>Yes</v>
      </c>
      <c r="G1222" s="8" t="str">
        <f ca="1">IFERROR(__xludf.DUMMYFUNCTION("""COMPUTED_VALUE"""),"Suicide")</f>
        <v>Suicide</v>
      </c>
    </row>
    <row r="1223" spans="1:7" ht="12.75">
      <c r="A1223" s="8" t="str">
        <f ca="1">IFERROR(__xludf.DUMMYFUNCTION("""COMPUTED_VALUE"""),"20131004FLAGP")</f>
        <v>20131004FLAGP</v>
      </c>
      <c r="B1223" s="8"/>
      <c r="C1223" s="8" t="str">
        <f ca="1">IFERROR(__xludf.DUMMYFUNCTION("""COMPUTED_VALUE"""),"Male")</f>
        <v>Male</v>
      </c>
      <c r="D1223" s="8" t="str">
        <f ca="1">IFERROR(__xludf.DUMMYFUNCTION("""COMPUTED_VALUE"""),"No Relation")</f>
        <v>No Relation</v>
      </c>
      <c r="E1223" s="8" t="str">
        <f ca="1">IFERROR(__xludf.DUMMYFUNCTION("""COMPUTED_VALUE"""),"Fled/Escaped")</f>
        <v>Fled/Escaped</v>
      </c>
      <c r="F1223" s="8" t="str">
        <f ca="1">IFERROR(__xludf.DUMMYFUNCTION("""COMPUTED_VALUE"""),"No")</f>
        <v>No</v>
      </c>
      <c r="G1223" s="8" t="str">
        <f ca="1">IFERROR(__xludf.DUMMYFUNCTION("""COMPUTED_VALUE"""),"None")</f>
        <v>None</v>
      </c>
    </row>
    <row r="1224" spans="1:7" ht="12.75">
      <c r="A1224" s="8" t="str">
        <f ca="1">IFERROR(__xludf.DUMMYFUNCTION("""COMPUTED_VALUE"""),"20131002NHWIS")</f>
        <v>20131002NHWIS</v>
      </c>
      <c r="B1224" s="8">
        <f ca="1">IFERROR(__xludf.DUMMYFUNCTION("""COMPUTED_VALUE"""),24)</f>
        <v>24</v>
      </c>
      <c r="C1224" s="8" t="str">
        <f ca="1">IFERROR(__xludf.DUMMYFUNCTION("""COMPUTED_VALUE"""),"Male")</f>
        <v>Male</v>
      </c>
      <c r="D1224" s="8" t="str">
        <f ca="1">IFERROR(__xludf.DUMMYFUNCTION("""COMPUTED_VALUE"""),"No Relation")</f>
        <v>No Relation</v>
      </c>
      <c r="E1224" s="8" t="str">
        <f ca="1">IFERROR(__xludf.DUMMYFUNCTION("""COMPUTED_VALUE"""),"Fled/Apprehended")</f>
        <v>Fled/Apprehended</v>
      </c>
      <c r="F1224" s="8" t="str">
        <f ca="1">IFERROR(__xludf.DUMMYFUNCTION("""COMPUTED_VALUE"""),"No")</f>
        <v>No</v>
      </c>
      <c r="G1224" s="8" t="str">
        <f ca="1">IFERROR(__xludf.DUMMYFUNCTION("""COMPUTED_VALUE"""),"None")</f>
        <v>None</v>
      </c>
    </row>
    <row r="1225" spans="1:7" ht="12.75">
      <c r="A1225" s="8" t="str">
        <f ca="1">IFERROR(__xludf.DUMMYFUNCTION("""COMPUTED_VALUE"""),"20130928MENEG")</f>
        <v>20130928MENEG</v>
      </c>
      <c r="B1225" s="8">
        <f ca="1">IFERROR(__xludf.DUMMYFUNCTION("""COMPUTED_VALUE"""),19)</f>
        <v>19</v>
      </c>
      <c r="C1225" s="8" t="str">
        <f ca="1">IFERROR(__xludf.DUMMYFUNCTION("""COMPUTED_VALUE"""),"Male")</f>
        <v>Male</v>
      </c>
      <c r="D1225" s="8" t="str">
        <f ca="1">IFERROR(__xludf.DUMMYFUNCTION("""COMPUTED_VALUE"""),"No Relation")</f>
        <v>No Relation</v>
      </c>
      <c r="E1225" s="8" t="str">
        <f ca="1">IFERROR(__xludf.DUMMYFUNCTION("""COMPUTED_VALUE"""),"Suicide")</f>
        <v>Suicide</v>
      </c>
      <c r="F1225" s="8" t="str">
        <f ca="1">IFERROR(__xludf.DUMMYFUNCTION("""COMPUTED_VALUE"""),"Yes")</f>
        <v>Yes</v>
      </c>
      <c r="G1225" s="8" t="str">
        <f ca="1">IFERROR(__xludf.DUMMYFUNCTION("""COMPUTED_VALUE"""),"Suicide")</f>
        <v>Suicide</v>
      </c>
    </row>
    <row r="1226" spans="1:7" ht="12.75">
      <c r="A1226" s="8" t="str">
        <f ca="1">IFERROR(__xludf.DUMMYFUNCTION("""COMPUTED_VALUE"""),"20130927ILROC")</f>
        <v>20130927ILROC</v>
      </c>
      <c r="B1226" s="8">
        <f ca="1">IFERROR(__xludf.DUMMYFUNCTION("""COMPUTED_VALUE"""),18)</f>
        <v>18</v>
      </c>
      <c r="C1226" s="8" t="str">
        <f ca="1">IFERROR(__xludf.DUMMYFUNCTION("""COMPUTED_VALUE"""),"Male")</f>
        <v>Male</v>
      </c>
      <c r="D1226" s="8" t="str">
        <f ca="1">IFERROR(__xludf.DUMMYFUNCTION("""COMPUTED_VALUE"""),"No Relation")</f>
        <v>No Relation</v>
      </c>
      <c r="E1226" s="8" t="str">
        <f ca="1">IFERROR(__xludf.DUMMYFUNCTION("""COMPUTED_VALUE"""),"Fled/Apprehended")</f>
        <v>Fled/Apprehended</v>
      </c>
      <c r="F1226" s="8" t="str">
        <f ca="1">IFERROR(__xludf.DUMMYFUNCTION("""COMPUTED_VALUE"""),"No")</f>
        <v>No</v>
      </c>
      <c r="G1226" s="8" t="str">
        <f ca="1">IFERROR(__xludf.DUMMYFUNCTION("""COMPUTED_VALUE"""),"None")</f>
        <v>None</v>
      </c>
    </row>
    <row r="1227" spans="1:7" ht="12.75">
      <c r="A1227" s="8" t="str">
        <f ca="1">IFERROR(__xludf.DUMMYFUNCTION("""COMPUTED_VALUE"""),"20130830NCCAW")</f>
        <v>20130830NCCAW</v>
      </c>
      <c r="B1227" s="8">
        <f ca="1">IFERROR(__xludf.DUMMYFUNCTION("""COMPUTED_VALUE"""),18)</f>
        <v>18</v>
      </c>
      <c r="C1227" s="8" t="str">
        <f ca="1">IFERROR(__xludf.DUMMYFUNCTION("""COMPUTED_VALUE"""),"Male")</f>
        <v>Male</v>
      </c>
      <c r="D1227" s="8" t="str">
        <f ca="1">IFERROR(__xludf.DUMMYFUNCTION("""COMPUTED_VALUE"""),"Student")</f>
        <v>Student</v>
      </c>
      <c r="E1227" s="8" t="str">
        <f ca="1">IFERROR(__xludf.DUMMYFUNCTION("""COMPUTED_VALUE"""),"Apprehended/Killed by SRO")</f>
        <v>Apprehended/Killed by SRO</v>
      </c>
      <c r="F1227" s="8" t="str">
        <f ca="1">IFERROR(__xludf.DUMMYFUNCTION("""COMPUTED_VALUE"""),"No")</f>
        <v>No</v>
      </c>
      <c r="G1227" s="8" t="str">
        <f ca="1">IFERROR(__xludf.DUMMYFUNCTION("""COMPUTED_VALUE"""),"None")</f>
        <v>None</v>
      </c>
    </row>
    <row r="1228" spans="1:7" ht="12.75">
      <c r="A1228" s="8" t="str">
        <f ca="1">IFERROR(__xludf.DUMMYFUNCTION("""COMPUTED_VALUE"""),"20130823MSNOS")</f>
        <v>20130823MSNOS</v>
      </c>
      <c r="B1228" s="8">
        <f ca="1">IFERROR(__xludf.DUMMYFUNCTION("""COMPUTED_VALUE"""),21)</f>
        <v>21</v>
      </c>
      <c r="C1228" s="8" t="str">
        <f ca="1">IFERROR(__xludf.DUMMYFUNCTION("""COMPUTED_VALUE"""),"Male")</f>
        <v>Male</v>
      </c>
      <c r="D1228" s="8" t="str">
        <f ca="1">IFERROR(__xludf.DUMMYFUNCTION("""COMPUTED_VALUE"""),"Nonstudent Using Athletic Facilities/Attending Game")</f>
        <v>Nonstudent Using Athletic Facilities/Attending Game</v>
      </c>
      <c r="E1228" s="8" t="str">
        <f ca="1">IFERROR(__xludf.DUMMYFUNCTION("""COMPUTED_VALUE"""),"Fled/Escaped")</f>
        <v>Fled/Escaped</v>
      </c>
      <c r="F1228" s="8" t="str">
        <f ca="1">IFERROR(__xludf.DUMMYFUNCTION("""COMPUTED_VALUE"""),"No")</f>
        <v>No</v>
      </c>
      <c r="G1228" s="8" t="str">
        <f ca="1">IFERROR(__xludf.DUMMYFUNCTION("""COMPUTED_VALUE"""),"None")</f>
        <v>None</v>
      </c>
    </row>
    <row r="1229" spans="1:7" ht="12.75">
      <c r="A1229" s="8" t="str">
        <f ca="1">IFERROR(__xludf.DUMMYFUNCTION("""COMPUTED_VALUE"""),"20130823MSNOS")</f>
        <v>20130823MSNOS</v>
      </c>
      <c r="B1229" s="8">
        <f ca="1">IFERROR(__xludf.DUMMYFUNCTION("""COMPUTED_VALUE"""),17)</f>
        <v>17</v>
      </c>
      <c r="C1229" s="8" t="str">
        <f ca="1">IFERROR(__xludf.DUMMYFUNCTION("""COMPUTED_VALUE"""),"Male")</f>
        <v>Male</v>
      </c>
      <c r="D1229" s="8" t="str">
        <f ca="1">IFERROR(__xludf.DUMMYFUNCTION("""COMPUTED_VALUE"""),"Nonstudent Using Athletic Facilities/Attending Game")</f>
        <v>Nonstudent Using Athletic Facilities/Attending Game</v>
      </c>
      <c r="E1229" s="8" t="str">
        <f ca="1">IFERROR(__xludf.DUMMYFUNCTION("""COMPUTED_VALUE"""),"Fled/Escaped")</f>
        <v>Fled/Escaped</v>
      </c>
      <c r="F1229" s="8" t="str">
        <f ca="1">IFERROR(__xludf.DUMMYFUNCTION("""COMPUTED_VALUE"""),"No")</f>
        <v>No</v>
      </c>
      <c r="G1229" s="8" t="str">
        <f ca="1">IFERROR(__xludf.DUMMYFUNCTION("""COMPUTED_VALUE"""),"None")</f>
        <v>None</v>
      </c>
    </row>
    <row r="1230" spans="1:7" ht="12.75">
      <c r="A1230" s="8" t="str">
        <f ca="1">IFERROR(__xludf.DUMMYFUNCTION("""COMPUTED_VALUE"""),"20130823MSNOS")</f>
        <v>20130823MSNOS</v>
      </c>
      <c r="B1230" s="8">
        <f ca="1">IFERROR(__xludf.DUMMYFUNCTION("""COMPUTED_VALUE"""),21)</f>
        <v>21</v>
      </c>
      <c r="C1230" s="8" t="str">
        <f ca="1">IFERROR(__xludf.DUMMYFUNCTION("""COMPUTED_VALUE"""),"Male")</f>
        <v>Male</v>
      </c>
      <c r="D1230" s="8" t="str">
        <f ca="1">IFERROR(__xludf.DUMMYFUNCTION("""COMPUTED_VALUE"""),"Nonstudent Using Athletic Facilities/Attending Game")</f>
        <v>Nonstudent Using Athletic Facilities/Attending Game</v>
      </c>
      <c r="E1230" s="8" t="str">
        <f ca="1">IFERROR(__xludf.DUMMYFUNCTION("""COMPUTED_VALUE"""),"Fled/Escaped")</f>
        <v>Fled/Escaped</v>
      </c>
      <c r="F1230" s="8" t="str">
        <f ca="1">IFERROR(__xludf.DUMMYFUNCTION("""COMPUTED_VALUE"""),"No")</f>
        <v>No</v>
      </c>
      <c r="G1230" s="8" t="str">
        <f ca="1">IFERROR(__xludf.DUMMYFUNCTION("""COMPUTED_VALUE"""),"None")</f>
        <v>None</v>
      </c>
    </row>
    <row r="1231" spans="1:7" ht="12.75">
      <c r="A1231" s="8" t="str">
        <f ca="1">IFERROR(__xludf.DUMMYFUNCTION("""COMPUTED_VALUE"""),"20130822TNWEM")</f>
        <v>20130822TNWEM</v>
      </c>
      <c r="B1231" s="8">
        <f ca="1">IFERROR(__xludf.DUMMYFUNCTION("""COMPUTED_VALUE"""),5)</f>
        <v>5</v>
      </c>
      <c r="C1231" s="8" t="str">
        <f ca="1">IFERROR(__xludf.DUMMYFUNCTION("""COMPUTED_VALUE"""),"Male")</f>
        <v>Male</v>
      </c>
      <c r="D1231" s="8" t="str">
        <f ca="1">IFERROR(__xludf.DUMMYFUNCTION("""COMPUTED_VALUE"""),"Student")</f>
        <v>Student</v>
      </c>
      <c r="E1231" s="8" t="str">
        <f ca="1">IFERROR(__xludf.DUMMYFUNCTION("""COMPUTED_VALUE"""),"Surrendered")</f>
        <v>Surrendered</v>
      </c>
      <c r="F1231" s="8" t="str">
        <f ca="1">IFERROR(__xludf.DUMMYFUNCTION("""COMPUTED_VALUE"""),"No")</f>
        <v>No</v>
      </c>
      <c r="G1231" s="8" t="str">
        <f ca="1">IFERROR(__xludf.DUMMYFUNCTION("""COMPUTED_VALUE"""),"None")</f>
        <v>None</v>
      </c>
    </row>
    <row r="1232" spans="1:7" ht="12.75">
      <c r="A1232" s="8" t="str">
        <f ca="1">IFERROR(__xludf.DUMMYFUNCTION("""COMPUTED_VALUE"""),"20130820GAROD")</f>
        <v>20130820GAROD</v>
      </c>
      <c r="B1232" s="8">
        <f ca="1">IFERROR(__xludf.DUMMYFUNCTION("""COMPUTED_VALUE"""),20)</f>
        <v>20</v>
      </c>
      <c r="C1232" s="8" t="str">
        <f ca="1">IFERROR(__xludf.DUMMYFUNCTION("""COMPUTED_VALUE"""),"Male")</f>
        <v>Male</v>
      </c>
      <c r="D1232" s="8" t="str">
        <f ca="1">IFERROR(__xludf.DUMMYFUNCTION("""COMPUTED_VALUE"""),"No Relation")</f>
        <v>No Relation</v>
      </c>
      <c r="E1232" s="8" t="str">
        <f ca="1">IFERROR(__xludf.DUMMYFUNCTION("""COMPUTED_VALUE"""),"Surrendered")</f>
        <v>Surrendered</v>
      </c>
      <c r="F1232" s="8" t="str">
        <f ca="1">IFERROR(__xludf.DUMMYFUNCTION("""COMPUTED_VALUE"""),"No")</f>
        <v>No</v>
      </c>
      <c r="G1232" s="8" t="str">
        <f ca="1">IFERROR(__xludf.DUMMYFUNCTION("""COMPUTED_VALUE"""),"None")</f>
        <v>None</v>
      </c>
    </row>
    <row r="1233" spans="1:7" ht="12.75">
      <c r="A1233" s="8" t="str">
        <f ca="1">IFERROR(__xludf.DUMMYFUNCTION("""COMPUTED_VALUE"""),"20130815TNNOC")</f>
        <v>20130815TNNOC</v>
      </c>
      <c r="B1233" s="8">
        <f ca="1">IFERROR(__xludf.DUMMYFUNCTION("""COMPUTED_VALUE"""),40)</f>
        <v>40</v>
      </c>
      <c r="C1233" s="8" t="str">
        <f ca="1">IFERROR(__xludf.DUMMYFUNCTION("""COMPUTED_VALUE"""),"Male")</f>
        <v>Male</v>
      </c>
      <c r="D1233" s="8" t="str">
        <f ca="1">IFERROR(__xludf.DUMMYFUNCTION("""COMPUTED_VALUE"""),"No Relation")</f>
        <v>No Relation</v>
      </c>
      <c r="E1233" s="8" t="str">
        <f ca="1">IFERROR(__xludf.DUMMYFUNCTION("""COMPUTED_VALUE"""),"Fled/Apprehended")</f>
        <v>Fled/Apprehended</v>
      </c>
      <c r="F1233" s="8" t="str">
        <f ca="1">IFERROR(__xludf.DUMMYFUNCTION("""COMPUTED_VALUE"""),"No")</f>
        <v>No</v>
      </c>
      <c r="G1233" s="8" t="str">
        <f ca="1">IFERROR(__xludf.DUMMYFUNCTION("""COMPUTED_VALUE"""),"None")</f>
        <v>None</v>
      </c>
    </row>
    <row r="1234" spans="1:7" ht="12.75">
      <c r="A1234" s="8" t="str">
        <f ca="1">IFERROR(__xludf.DUMMYFUNCTION("""COMPUTED_VALUE"""),"20130619FLALW")</f>
        <v>20130619FLALW</v>
      </c>
      <c r="B1234" s="8">
        <f ca="1">IFERROR(__xludf.DUMMYFUNCTION("""COMPUTED_VALUE"""),53)</f>
        <v>53</v>
      </c>
      <c r="C1234" s="8" t="str">
        <f ca="1">IFERROR(__xludf.DUMMYFUNCTION("""COMPUTED_VALUE"""),"Male")</f>
        <v>Male</v>
      </c>
      <c r="D1234" s="8" t="str">
        <f ca="1">IFERROR(__xludf.DUMMYFUNCTION("""COMPUTED_VALUE"""),"Other Staff")</f>
        <v>Other Staff</v>
      </c>
      <c r="E1234" s="8" t="str">
        <f ca="1">IFERROR(__xludf.DUMMYFUNCTION("""COMPUTED_VALUE"""),"Fled/Apprehended")</f>
        <v>Fled/Apprehended</v>
      </c>
      <c r="F1234" s="8" t="str">
        <f ca="1">IFERROR(__xludf.DUMMYFUNCTION("""COMPUTED_VALUE"""),"No")</f>
        <v>No</v>
      </c>
      <c r="G1234" s="8" t="str">
        <f ca="1">IFERROR(__xludf.DUMMYFUNCTION("""COMPUTED_VALUE"""),"None")</f>
        <v>None</v>
      </c>
    </row>
    <row r="1235" spans="1:7" ht="12.75">
      <c r="A1235" s="8" t="str">
        <f ca="1">IFERROR(__xludf.DUMMYFUNCTION("""COMPUTED_VALUE"""),"20130618NCHIC")</f>
        <v>20130618NCHIC</v>
      </c>
      <c r="B1235" s="8">
        <f ca="1">IFERROR(__xludf.DUMMYFUNCTION("""COMPUTED_VALUE"""),17)</f>
        <v>17</v>
      </c>
      <c r="C1235" s="8" t="str">
        <f ca="1">IFERROR(__xludf.DUMMYFUNCTION("""COMPUTED_VALUE"""),"Male")</f>
        <v>Male</v>
      </c>
      <c r="D1235" s="8" t="str">
        <f ca="1">IFERROR(__xludf.DUMMYFUNCTION("""COMPUTED_VALUE"""),"Unknown")</f>
        <v>Unknown</v>
      </c>
      <c r="E1235" s="8" t="str">
        <f ca="1">IFERROR(__xludf.DUMMYFUNCTION("""COMPUTED_VALUE"""),"Apprehended/Killed by LE")</f>
        <v>Apprehended/Killed by LE</v>
      </c>
      <c r="F1235" s="8" t="str">
        <f ca="1">IFERROR(__xludf.DUMMYFUNCTION("""COMPUTED_VALUE"""),"No")</f>
        <v>No</v>
      </c>
      <c r="G1235" s="8" t="str">
        <f ca="1">IFERROR(__xludf.DUMMYFUNCTION("""COMPUTED_VALUE"""),"Wounded")</f>
        <v>Wounded</v>
      </c>
    </row>
    <row r="1236" spans="1:7" ht="12.75">
      <c r="A1236" s="8" t="str">
        <f ca="1">IFERROR(__xludf.DUMMYFUNCTION("""COMPUTED_VALUE"""),"20130618NCHIC")</f>
        <v>20130618NCHIC</v>
      </c>
      <c r="B1236" s="8">
        <f ca="1">IFERROR(__xludf.DUMMYFUNCTION("""COMPUTED_VALUE"""),17)</f>
        <v>17</v>
      </c>
      <c r="C1236" s="8" t="str">
        <f ca="1">IFERROR(__xludf.DUMMYFUNCTION("""COMPUTED_VALUE"""),"Male")</f>
        <v>Male</v>
      </c>
      <c r="D1236" s="8" t="str">
        <f ca="1">IFERROR(__xludf.DUMMYFUNCTION("""COMPUTED_VALUE"""),"Unknown")</f>
        <v>Unknown</v>
      </c>
      <c r="E1236" s="8" t="str">
        <f ca="1">IFERROR(__xludf.DUMMYFUNCTION("""COMPUTED_VALUE"""),"Apprehended/Killed by LE")</f>
        <v>Apprehended/Killed by LE</v>
      </c>
      <c r="F1236" s="8" t="str">
        <f ca="1">IFERROR(__xludf.DUMMYFUNCTION("""COMPUTED_VALUE"""),"Yes")</f>
        <v>Yes</v>
      </c>
      <c r="G1236" s="8" t="str">
        <f ca="1">IFERROR(__xludf.DUMMYFUNCTION("""COMPUTED_VALUE"""),"Fatal")</f>
        <v>Fatal</v>
      </c>
    </row>
    <row r="1237" spans="1:7" ht="12.75">
      <c r="A1237" s="8" t="str">
        <f ca="1">IFERROR(__xludf.DUMMYFUNCTION("""COMPUTED_VALUE"""),"20130523FLREH")</f>
        <v>20130523FLREH</v>
      </c>
      <c r="B1237" s="8">
        <f ca="1">IFERROR(__xludf.DUMMYFUNCTION("""COMPUTED_VALUE"""),11)</f>
        <v>11</v>
      </c>
      <c r="C1237" s="8" t="str">
        <f ca="1">IFERROR(__xludf.DUMMYFUNCTION("""COMPUTED_VALUE"""),"Male")</f>
        <v>Male</v>
      </c>
      <c r="D1237" s="8" t="str">
        <f ca="1">IFERROR(__xludf.DUMMYFUNCTION("""COMPUTED_VALUE"""),"Student")</f>
        <v>Student</v>
      </c>
      <c r="E1237" s="8" t="str">
        <f ca="1">IFERROR(__xludf.DUMMYFUNCTION("""COMPUTED_VALUE"""),"Unknown")</f>
        <v>Unknown</v>
      </c>
      <c r="F1237" s="8" t="str">
        <f ca="1">IFERROR(__xludf.DUMMYFUNCTION("""COMPUTED_VALUE"""),"No")</f>
        <v>No</v>
      </c>
      <c r="G1237" s="8" t="str">
        <f ca="1">IFERROR(__xludf.DUMMYFUNCTION("""COMPUTED_VALUE"""),"None")</f>
        <v>None</v>
      </c>
    </row>
    <row r="1238" spans="1:7" ht="12.75">
      <c r="A1238" s="8" t="str">
        <f ca="1">IFERROR(__xludf.DUMMYFUNCTION("""COMPUTED_VALUE"""),"20130513ALOSB")</f>
        <v>20130513ALOSB</v>
      </c>
      <c r="B1238" s="8">
        <f ca="1">IFERROR(__xludf.DUMMYFUNCTION("""COMPUTED_VALUE"""),36)</f>
        <v>36</v>
      </c>
      <c r="C1238" s="8" t="str">
        <f ca="1">IFERROR(__xludf.DUMMYFUNCTION("""COMPUTED_VALUE"""),"Female")</f>
        <v>Female</v>
      </c>
      <c r="D1238" s="8" t="str">
        <f ca="1">IFERROR(__xludf.DUMMYFUNCTION("""COMPUTED_VALUE"""),"Parent")</f>
        <v>Parent</v>
      </c>
      <c r="E1238" s="8" t="str">
        <f ca="1">IFERROR(__xludf.DUMMYFUNCTION("""COMPUTED_VALUE"""),"Unknown")</f>
        <v>Unknown</v>
      </c>
      <c r="F1238" s="8" t="str">
        <f ca="1">IFERROR(__xludf.DUMMYFUNCTION("""COMPUTED_VALUE"""),"No")</f>
        <v>No</v>
      </c>
      <c r="G1238" s="8" t="str">
        <f ca="1">IFERROR(__xludf.DUMMYFUNCTION("""COMPUTED_VALUE"""),"None")</f>
        <v>None</v>
      </c>
    </row>
    <row r="1239" spans="1:7" ht="12.75">
      <c r="A1239" s="8" t="str">
        <f ca="1">IFERROR(__xludf.DUMMYFUNCTION("""COMPUTED_VALUE"""),"20130430NMTUT")</f>
        <v>20130430NMTUT</v>
      </c>
      <c r="B1239" s="8">
        <f ca="1">IFERROR(__xludf.DUMMYFUNCTION("""COMPUTED_VALUE"""),19)</f>
        <v>19</v>
      </c>
      <c r="C1239" s="8" t="str">
        <f ca="1">IFERROR(__xludf.DUMMYFUNCTION("""COMPUTED_VALUE"""),"Male")</f>
        <v>Male</v>
      </c>
      <c r="D1239" s="8" t="str">
        <f ca="1">IFERROR(__xludf.DUMMYFUNCTION("""COMPUTED_VALUE"""),"No Relation")</f>
        <v>No Relation</v>
      </c>
      <c r="E1239" s="8" t="str">
        <f ca="1">IFERROR(__xludf.DUMMYFUNCTION("""COMPUTED_VALUE"""),"Apprehended/Killed by LE")</f>
        <v>Apprehended/Killed by LE</v>
      </c>
      <c r="F1239" s="8" t="str">
        <f ca="1">IFERROR(__xludf.DUMMYFUNCTION("""COMPUTED_VALUE"""),"Yes")</f>
        <v>Yes</v>
      </c>
      <c r="G1239" s="8" t="str">
        <f ca="1">IFERROR(__xludf.DUMMYFUNCTION("""COMPUTED_VALUE"""),"Fatal")</f>
        <v>Fatal</v>
      </c>
    </row>
    <row r="1240" spans="1:7" ht="12.75">
      <c r="A1240" s="8" t="str">
        <f ca="1">IFERROR(__xludf.DUMMYFUNCTION("""COMPUTED_VALUE"""),"20130429OHLAC")</f>
        <v>20130429OHLAC</v>
      </c>
      <c r="B1240" s="8">
        <f ca="1">IFERROR(__xludf.DUMMYFUNCTION("""COMPUTED_VALUE"""),17)</f>
        <v>17</v>
      </c>
      <c r="C1240" s="8" t="str">
        <f ca="1">IFERROR(__xludf.DUMMYFUNCTION("""COMPUTED_VALUE"""),"Male")</f>
        <v>Male</v>
      </c>
      <c r="D1240" s="8" t="str">
        <f ca="1">IFERROR(__xludf.DUMMYFUNCTION("""COMPUTED_VALUE"""),"Student")</f>
        <v>Student</v>
      </c>
      <c r="E1240" s="8" t="str">
        <f ca="1">IFERROR(__xludf.DUMMYFUNCTION("""COMPUTED_VALUE"""),"Attempted Suicide")</f>
        <v>Attempted Suicide</v>
      </c>
      <c r="F1240" s="8" t="str">
        <f ca="1">IFERROR(__xludf.DUMMYFUNCTION("""COMPUTED_VALUE"""),"No")</f>
        <v>No</v>
      </c>
      <c r="G1240" s="8" t="str">
        <f ca="1">IFERROR(__xludf.DUMMYFUNCTION("""COMPUTED_VALUE"""),"Wounded")</f>
        <v>Wounded</v>
      </c>
    </row>
    <row r="1241" spans="1:7" ht="12.75">
      <c r="A1241" s="8" t="str">
        <f ca="1">IFERROR(__xludf.DUMMYFUNCTION("""COMPUTED_VALUE"""),"20130416TXTET")</f>
        <v>20130416TXTET</v>
      </c>
      <c r="B1241" s="8">
        <f ca="1">IFERROR(__xludf.DUMMYFUNCTION("""COMPUTED_VALUE"""),15)</f>
        <v>15</v>
      </c>
      <c r="C1241" s="8" t="str">
        <f ca="1">IFERROR(__xludf.DUMMYFUNCTION("""COMPUTED_VALUE"""),"Male")</f>
        <v>Male</v>
      </c>
      <c r="D1241" s="8" t="str">
        <f ca="1">IFERROR(__xludf.DUMMYFUNCTION("""COMPUTED_VALUE"""),"Student")</f>
        <v>Student</v>
      </c>
      <c r="E1241" s="8" t="str">
        <f ca="1">IFERROR(__xludf.DUMMYFUNCTION("""COMPUTED_VALUE"""),"Suicide")</f>
        <v>Suicide</v>
      </c>
      <c r="F1241" s="8" t="str">
        <f ca="1">IFERROR(__xludf.DUMMYFUNCTION("""COMPUTED_VALUE"""),"Yes")</f>
        <v>Yes</v>
      </c>
      <c r="G1241" s="8" t="str">
        <f ca="1">IFERROR(__xludf.DUMMYFUNCTION("""COMPUTED_VALUE"""),"Suicide")</f>
        <v>Suicide</v>
      </c>
    </row>
    <row r="1242" spans="1:7" ht="12.75">
      <c r="A1242" s="8" t="str">
        <f ca="1">IFERROR(__xludf.DUMMYFUNCTION("""COMPUTED_VALUE"""),"20130321MIDAS")</f>
        <v>20130321MIDAS</v>
      </c>
      <c r="B1242" s="8">
        <f ca="1">IFERROR(__xludf.DUMMYFUNCTION("""COMPUTED_VALUE"""),13)</f>
        <v>13</v>
      </c>
      <c r="C1242" s="8" t="str">
        <f ca="1">IFERROR(__xludf.DUMMYFUNCTION("""COMPUTED_VALUE"""),"Male")</f>
        <v>Male</v>
      </c>
      <c r="D1242" s="8" t="str">
        <f ca="1">IFERROR(__xludf.DUMMYFUNCTION("""COMPUTED_VALUE"""),"Student")</f>
        <v>Student</v>
      </c>
      <c r="E1242" s="8" t="str">
        <f ca="1">IFERROR(__xludf.DUMMYFUNCTION("""COMPUTED_VALUE"""),"Suicide")</f>
        <v>Suicide</v>
      </c>
      <c r="F1242" s="8" t="str">
        <f ca="1">IFERROR(__xludf.DUMMYFUNCTION("""COMPUTED_VALUE"""),"Yes")</f>
        <v>Yes</v>
      </c>
      <c r="G1242" s="8" t="str">
        <f ca="1">IFERROR(__xludf.DUMMYFUNCTION("""COMPUTED_VALUE"""),"Suicide")</f>
        <v>Suicide</v>
      </c>
    </row>
    <row r="1243" spans="1:7" ht="12.75">
      <c r="A1243" s="8" t="str">
        <f ca="1">IFERROR(__xludf.DUMMYFUNCTION("""COMPUTED_VALUE"""),"20130227GAGRA")</f>
        <v>20130227GAGRA</v>
      </c>
      <c r="B1243" s="8">
        <f ca="1">IFERROR(__xludf.DUMMYFUNCTION("""COMPUTED_VALUE"""),17)</f>
        <v>17</v>
      </c>
      <c r="C1243" s="8" t="str">
        <f ca="1">IFERROR(__xludf.DUMMYFUNCTION("""COMPUTED_VALUE"""),"Female")</f>
        <v>Female</v>
      </c>
      <c r="D1243" s="8" t="str">
        <f ca="1">IFERROR(__xludf.DUMMYFUNCTION("""COMPUTED_VALUE"""),"Student")</f>
        <v>Student</v>
      </c>
      <c r="E1243" s="8" t="str">
        <f ca="1">IFERROR(__xludf.DUMMYFUNCTION("""COMPUTED_VALUE"""),"Surrendered")</f>
        <v>Surrendered</v>
      </c>
      <c r="F1243" s="8" t="str">
        <f ca="1">IFERROR(__xludf.DUMMYFUNCTION("""COMPUTED_VALUE"""),"No")</f>
        <v>No</v>
      </c>
      <c r="G1243" s="8" t="str">
        <f ca="1">IFERROR(__xludf.DUMMYFUNCTION("""COMPUTED_VALUE"""),"Wounded")</f>
        <v>Wounded</v>
      </c>
    </row>
    <row r="1244" spans="1:7" ht="12.75">
      <c r="A1244" s="8" t="str">
        <f ca="1">IFERROR(__xludf.DUMMYFUNCTION("""COMPUTED_VALUE"""),"20130213CAHIS")</f>
        <v>20130213CAHIS</v>
      </c>
      <c r="B1244" s="8">
        <f ca="1">IFERROR(__xludf.DUMMYFUNCTION("""COMPUTED_VALUE"""),18)</f>
        <v>18</v>
      </c>
      <c r="C1244" s="8" t="str">
        <f ca="1">IFERROR(__xludf.DUMMYFUNCTION("""COMPUTED_VALUE"""),"Male")</f>
        <v>Male</v>
      </c>
      <c r="D1244" s="8" t="str">
        <f ca="1">IFERROR(__xludf.DUMMYFUNCTION("""COMPUTED_VALUE"""),"No Relation")</f>
        <v>No Relation</v>
      </c>
      <c r="E1244" s="8" t="str">
        <f ca="1">IFERROR(__xludf.DUMMYFUNCTION("""COMPUTED_VALUE"""),"Fled/Apprehended")</f>
        <v>Fled/Apprehended</v>
      </c>
      <c r="F1244" s="8" t="str">
        <f ca="1">IFERROR(__xludf.DUMMYFUNCTION("""COMPUTED_VALUE"""),"No")</f>
        <v>No</v>
      </c>
      <c r="G1244" s="8" t="str">
        <f ca="1">IFERROR(__xludf.DUMMYFUNCTION("""COMPUTED_VALUE"""),"None")</f>
        <v>None</v>
      </c>
    </row>
    <row r="1245" spans="1:7" ht="12.75">
      <c r="A1245" s="8" t="str">
        <f ca="1">IFERROR(__xludf.DUMMYFUNCTION("""COMPUTED_VALUE"""),"20130201MIMAD")</f>
        <v>20130201MIMAD</v>
      </c>
      <c r="B1245" s="8">
        <f ca="1">IFERROR(__xludf.DUMMYFUNCTION("""COMPUTED_VALUE"""),16)</f>
        <v>16</v>
      </c>
      <c r="C1245" s="8" t="str">
        <f ca="1">IFERROR(__xludf.DUMMYFUNCTION("""COMPUTED_VALUE"""),"Male")</f>
        <v>Male</v>
      </c>
      <c r="D1245" s="8" t="str">
        <f ca="1">IFERROR(__xludf.DUMMYFUNCTION("""COMPUTED_VALUE"""),"Unknown")</f>
        <v>Unknown</v>
      </c>
      <c r="E1245" s="8" t="str">
        <f ca="1">IFERROR(__xludf.DUMMYFUNCTION("""COMPUTED_VALUE"""),"Apprehended/Killed by LE")</f>
        <v>Apprehended/Killed by LE</v>
      </c>
      <c r="F1245" s="8" t="str">
        <f ca="1">IFERROR(__xludf.DUMMYFUNCTION("""COMPUTED_VALUE"""),"Yes")</f>
        <v>Yes</v>
      </c>
      <c r="G1245" s="8" t="str">
        <f ca="1">IFERROR(__xludf.DUMMYFUNCTION("""COMPUTED_VALUE"""),"Fatal")</f>
        <v>Fatal</v>
      </c>
    </row>
    <row r="1246" spans="1:7" ht="12.75">
      <c r="A1246" s="8" t="str">
        <f ca="1">IFERROR(__xludf.DUMMYFUNCTION("""COMPUTED_VALUE"""),"20130201MIMAD")</f>
        <v>20130201MIMAD</v>
      </c>
      <c r="B1246" s="8">
        <f ca="1">IFERROR(__xludf.DUMMYFUNCTION("""COMPUTED_VALUE"""),15)</f>
        <v>15</v>
      </c>
      <c r="C1246" s="8" t="str">
        <f ca="1">IFERROR(__xludf.DUMMYFUNCTION("""COMPUTED_VALUE"""),"Male")</f>
        <v>Male</v>
      </c>
      <c r="D1246" s="8" t="str">
        <f ca="1">IFERROR(__xludf.DUMMYFUNCTION("""COMPUTED_VALUE"""),"Unknown")</f>
        <v>Unknown</v>
      </c>
      <c r="E1246" s="8" t="str">
        <f ca="1">IFERROR(__xludf.DUMMYFUNCTION("""COMPUTED_VALUE"""),"Apprehended/Killed by LE")</f>
        <v>Apprehended/Killed by LE</v>
      </c>
      <c r="F1246" s="8" t="str">
        <f ca="1">IFERROR(__xludf.DUMMYFUNCTION("""COMPUTED_VALUE"""),"No")</f>
        <v>No</v>
      </c>
      <c r="G1246" s="8" t="str">
        <f ca="1">IFERROR(__xludf.DUMMYFUNCTION("""COMPUTED_VALUE"""),"Wounded")</f>
        <v>Wounded</v>
      </c>
    </row>
    <row r="1247" spans="1:7" ht="12.75">
      <c r="A1247" s="8" t="str">
        <f ca="1">IFERROR(__xludf.DUMMYFUNCTION("""COMPUTED_VALUE"""),"20130131GAPRA")</f>
        <v>20130131GAPRA</v>
      </c>
      <c r="B1247" s="8">
        <f ca="1">IFERROR(__xludf.DUMMYFUNCTION("""COMPUTED_VALUE"""),15)</f>
        <v>15</v>
      </c>
      <c r="C1247" s="8" t="str">
        <f ca="1">IFERROR(__xludf.DUMMYFUNCTION("""COMPUTED_VALUE"""),"Male")</f>
        <v>Male</v>
      </c>
      <c r="D1247" s="8" t="str">
        <f ca="1">IFERROR(__xludf.DUMMYFUNCTION("""COMPUTED_VALUE"""),"Student")</f>
        <v>Student</v>
      </c>
      <c r="E1247" s="8" t="str">
        <f ca="1">IFERROR(__xludf.DUMMYFUNCTION("""COMPUTED_VALUE"""),"Apprehended/Killed by SRO")</f>
        <v>Apprehended/Killed by SRO</v>
      </c>
      <c r="F1247" s="8" t="str">
        <f ca="1">IFERROR(__xludf.DUMMYFUNCTION("""COMPUTED_VALUE"""),"No")</f>
        <v>No</v>
      </c>
      <c r="G1247" s="8" t="str">
        <f ca="1">IFERROR(__xludf.DUMMYFUNCTION("""COMPUTED_VALUE"""),"None")</f>
        <v>None</v>
      </c>
    </row>
    <row r="1248" spans="1:7" ht="12.75">
      <c r="A1248" s="8" t="str">
        <f ca="1">IFERROR(__xludf.DUMMYFUNCTION("""COMPUTED_VALUE"""),"20130129ALDAM")</f>
        <v>20130129ALDAM</v>
      </c>
      <c r="B1248" s="8">
        <f ca="1">IFERROR(__xludf.DUMMYFUNCTION("""COMPUTED_VALUE"""),65)</f>
        <v>65</v>
      </c>
      <c r="C1248" s="8" t="str">
        <f ca="1">IFERROR(__xludf.DUMMYFUNCTION("""COMPUTED_VALUE"""),"Male")</f>
        <v>Male</v>
      </c>
      <c r="D1248" s="8" t="str">
        <f ca="1">IFERROR(__xludf.DUMMYFUNCTION("""COMPUTED_VALUE"""),"No Relation")</f>
        <v>No Relation</v>
      </c>
      <c r="E1248" s="8" t="str">
        <f ca="1">IFERROR(__xludf.DUMMYFUNCTION("""COMPUTED_VALUE"""),"Fled/Apprehended")</f>
        <v>Fled/Apprehended</v>
      </c>
      <c r="F1248" s="8" t="str">
        <f ca="1">IFERROR(__xludf.DUMMYFUNCTION("""COMPUTED_VALUE"""),"No")</f>
        <v>No</v>
      </c>
      <c r="G1248" s="8" t="str">
        <f ca="1">IFERROR(__xludf.DUMMYFUNCTION("""COMPUTED_VALUE"""),"None")</f>
        <v>None</v>
      </c>
    </row>
    <row r="1249" spans="1:7" ht="12.75">
      <c r="A1249" s="8" t="str">
        <f ca="1">IFERROR(__xludf.DUMMYFUNCTION("""COMPUTED_VALUE"""),"20130111MIOSD")</f>
        <v>20130111MIOSD</v>
      </c>
      <c r="B1249" s="8" t="str">
        <f ca="1">IFERROR(__xludf.DUMMYFUNCTION("""COMPUTED_VALUE"""),"Teen")</f>
        <v>Teen</v>
      </c>
      <c r="C1249" s="8" t="str">
        <f ca="1">IFERROR(__xludf.DUMMYFUNCTION("""COMPUTED_VALUE"""),"Male")</f>
        <v>Male</v>
      </c>
      <c r="D1249" s="8" t="str">
        <f ca="1">IFERROR(__xludf.DUMMYFUNCTION("""COMPUTED_VALUE"""),"Nonstudent Using Athletic Facilities/Attending Game")</f>
        <v>Nonstudent Using Athletic Facilities/Attending Game</v>
      </c>
      <c r="E1249" s="8" t="str">
        <f ca="1">IFERROR(__xludf.DUMMYFUNCTION("""COMPUTED_VALUE"""),"Fled/Escaped")</f>
        <v>Fled/Escaped</v>
      </c>
      <c r="F1249" s="8" t="str">
        <f ca="1">IFERROR(__xludf.DUMMYFUNCTION("""COMPUTED_VALUE"""),"No")</f>
        <v>No</v>
      </c>
      <c r="G1249" s="8" t="str">
        <f ca="1">IFERROR(__xludf.DUMMYFUNCTION("""COMPUTED_VALUE"""),"None")</f>
        <v>None</v>
      </c>
    </row>
    <row r="1250" spans="1:7" ht="12.75">
      <c r="A1250" s="8" t="str">
        <f ca="1">IFERROR(__xludf.DUMMYFUNCTION("""COMPUTED_VALUE"""),"20130110CATAT")</f>
        <v>20130110CATAT</v>
      </c>
      <c r="B1250" s="8">
        <f ca="1">IFERROR(__xludf.DUMMYFUNCTION("""COMPUTED_VALUE"""),16)</f>
        <v>16</v>
      </c>
      <c r="C1250" s="8" t="str">
        <f ca="1">IFERROR(__xludf.DUMMYFUNCTION("""COMPUTED_VALUE"""),"Male")</f>
        <v>Male</v>
      </c>
      <c r="D1250" s="8" t="str">
        <f ca="1">IFERROR(__xludf.DUMMYFUNCTION("""COMPUTED_VALUE"""),"Student")</f>
        <v>Student</v>
      </c>
      <c r="E1250" s="8" t="str">
        <f ca="1">IFERROR(__xludf.DUMMYFUNCTION("""COMPUTED_VALUE"""),"Surrendered")</f>
        <v>Surrendered</v>
      </c>
      <c r="F1250" s="8" t="str">
        <f ca="1">IFERROR(__xludf.DUMMYFUNCTION("""COMPUTED_VALUE"""),"No")</f>
        <v>No</v>
      </c>
      <c r="G1250" s="8" t="str">
        <f ca="1">IFERROR(__xludf.DUMMYFUNCTION("""COMPUTED_VALUE"""),"None")</f>
        <v>None</v>
      </c>
    </row>
    <row r="1251" spans="1:7" ht="12.75">
      <c r="A1251" s="8" t="str">
        <f ca="1">IFERROR(__xludf.DUMMYFUNCTION("""COMPUTED_VALUE"""),"20130107FLAPF")</f>
        <v>20130107FLAPF</v>
      </c>
      <c r="B1251" s="8"/>
      <c r="C1251" s="8"/>
      <c r="D1251" s="8" t="str">
        <f ca="1">IFERROR(__xludf.DUMMYFUNCTION("""COMPUTED_VALUE"""),"Unknown")</f>
        <v>Unknown</v>
      </c>
      <c r="E1251" s="8" t="str">
        <f ca="1">IFERROR(__xludf.DUMMYFUNCTION("""COMPUTED_VALUE"""),"Fled/Escaped")</f>
        <v>Fled/Escaped</v>
      </c>
      <c r="F1251" s="8" t="str">
        <f ca="1">IFERROR(__xludf.DUMMYFUNCTION("""COMPUTED_VALUE"""),"No")</f>
        <v>No</v>
      </c>
      <c r="G1251" s="8" t="str">
        <f ca="1">IFERROR(__xludf.DUMMYFUNCTION("""COMPUTED_VALUE"""),"None")</f>
        <v>None</v>
      </c>
    </row>
    <row r="1252" spans="1:7" ht="12.75">
      <c r="A1252" s="8" t="str">
        <f ca="1">IFERROR(__xludf.DUMMYFUNCTION("""COMPUTED_VALUE"""),"20121214CTSAN")</f>
        <v>20121214CTSAN</v>
      </c>
      <c r="B1252" s="8">
        <f ca="1">IFERROR(__xludf.DUMMYFUNCTION("""COMPUTED_VALUE"""),20)</f>
        <v>20</v>
      </c>
      <c r="C1252" s="8" t="str">
        <f ca="1">IFERROR(__xludf.DUMMYFUNCTION("""COMPUTED_VALUE"""),"Male")</f>
        <v>Male</v>
      </c>
      <c r="D1252" s="8" t="str">
        <f ca="1">IFERROR(__xludf.DUMMYFUNCTION("""COMPUTED_VALUE"""),"Former Student")</f>
        <v>Former Student</v>
      </c>
      <c r="E1252" s="8" t="str">
        <f ca="1">IFERROR(__xludf.DUMMYFUNCTION("""COMPUTED_VALUE"""),"Suicide")</f>
        <v>Suicide</v>
      </c>
      <c r="F1252" s="8" t="str">
        <f ca="1">IFERROR(__xludf.DUMMYFUNCTION("""COMPUTED_VALUE"""),"Yes")</f>
        <v>Yes</v>
      </c>
      <c r="G1252" s="8" t="str">
        <f ca="1">IFERROR(__xludf.DUMMYFUNCTION("""COMPUTED_VALUE"""),"Suicide")</f>
        <v>Suicide</v>
      </c>
    </row>
    <row r="1253" spans="1:7" ht="12.75">
      <c r="A1253" s="8" t="str">
        <f ca="1">IFERROR(__xludf.DUMMYFUNCTION("""COMPUTED_VALUE"""),"20121210TXSPH")</f>
        <v>20121210TXSPH</v>
      </c>
      <c r="B1253" s="8">
        <f ca="1">IFERROR(__xludf.DUMMYFUNCTION("""COMPUTED_VALUE"""),15)</f>
        <v>15</v>
      </c>
      <c r="C1253" s="8" t="str">
        <f ca="1">IFERROR(__xludf.DUMMYFUNCTION("""COMPUTED_VALUE"""),"Male")</f>
        <v>Male</v>
      </c>
      <c r="D1253" s="8" t="str">
        <f ca="1">IFERROR(__xludf.DUMMYFUNCTION("""COMPUTED_VALUE"""),"Student")</f>
        <v>Student</v>
      </c>
      <c r="E1253" s="8" t="str">
        <f ca="1">IFERROR(__xludf.DUMMYFUNCTION("""COMPUTED_VALUE"""),"Surrendered")</f>
        <v>Surrendered</v>
      </c>
      <c r="F1253" s="8" t="str">
        <f ca="1">IFERROR(__xludf.DUMMYFUNCTION("""COMPUTED_VALUE"""),"No")</f>
        <v>No</v>
      </c>
      <c r="G1253" s="8" t="str">
        <f ca="1">IFERROR(__xludf.DUMMYFUNCTION("""COMPUTED_VALUE"""),"None")</f>
        <v>None</v>
      </c>
    </row>
    <row r="1254" spans="1:7" ht="12.75">
      <c r="A1254" s="8" t="str">
        <f ca="1">IFERROR(__xludf.DUMMYFUNCTION("""COMPUTED_VALUE"""),"20121019ILBAC")</f>
        <v>20121019ILBAC</v>
      </c>
      <c r="B1254" s="8">
        <f ca="1">IFERROR(__xludf.DUMMYFUNCTION("""COMPUTED_VALUE"""),14)</f>
        <v>14</v>
      </c>
      <c r="C1254" s="8" t="str">
        <f ca="1">IFERROR(__xludf.DUMMYFUNCTION("""COMPUTED_VALUE"""),"Male")</f>
        <v>Male</v>
      </c>
      <c r="D1254" s="8" t="str">
        <f ca="1">IFERROR(__xludf.DUMMYFUNCTION("""COMPUTED_VALUE"""),"Unknown")</f>
        <v>Unknown</v>
      </c>
      <c r="E1254" s="8" t="str">
        <f ca="1">IFERROR(__xludf.DUMMYFUNCTION("""COMPUTED_VALUE"""),"Fled/Apprehended")</f>
        <v>Fled/Apprehended</v>
      </c>
      <c r="F1254" s="8" t="str">
        <f ca="1">IFERROR(__xludf.DUMMYFUNCTION("""COMPUTED_VALUE"""),"No")</f>
        <v>No</v>
      </c>
      <c r="G1254" s="8" t="str">
        <f ca="1">IFERROR(__xludf.DUMMYFUNCTION("""COMPUTED_VALUE"""),"None")</f>
        <v>None</v>
      </c>
    </row>
    <row r="1255" spans="1:7" ht="12.75">
      <c r="A1255" s="8" t="str">
        <f ca="1">IFERROR(__xludf.DUMMYFUNCTION("""COMPUTED_VALUE"""),"20121019ILBAC")</f>
        <v>20121019ILBAC</v>
      </c>
      <c r="B1255" s="8">
        <f ca="1">IFERROR(__xludf.DUMMYFUNCTION("""COMPUTED_VALUE"""),16)</f>
        <v>16</v>
      </c>
      <c r="C1255" s="8" t="str">
        <f ca="1">IFERROR(__xludf.DUMMYFUNCTION("""COMPUTED_VALUE"""),"Male")</f>
        <v>Male</v>
      </c>
      <c r="D1255" s="8" t="str">
        <f ca="1">IFERROR(__xludf.DUMMYFUNCTION("""COMPUTED_VALUE"""),"Unknown")</f>
        <v>Unknown</v>
      </c>
      <c r="E1255" s="8" t="str">
        <f ca="1">IFERROR(__xludf.DUMMYFUNCTION("""COMPUTED_VALUE"""),"Fled/Apprehended")</f>
        <v>Fled/Apprehended</v>
      </c>
      <c r="F1255" s="8" t="str">
        <f ca="1">IFERROR(__xludf.DUMMYFUNCTION("""COMPUTED_VALUE"""),"No")</f>
        <v>No</v>
      </c>
      <c r="G1255" s="8" t="str">
        <f ca="1">IFERROR(__xludf.DUMMYFUNCTION("""COMPUTED_VALUE"""),"None")</f>
        <v>None</v>
      </c>
    </row>
    <row r="1256" spans="1:7" ht="12.75">
      <c r="A1256" s="8" t="str">
        <f ca="1">IFERROR(__xludf.DUMMYFUNCTION("""COMPUTED_VALUE"""),"20121012NDFAF")</f>
        <v>20121012NDFAF</v>
      </c>
      <c r="B1256" s="8" t="str">
        <f ca="1">IFERROR(__xludf.DUMMYFUNCTION("""COMPUTED_VALUE"""),"Teen")</f>
        <v>Teen</v>
      </c>
      <c r="C1256" s="8" t="str">
        <f ca="1">IFERROR(__xludf.DUMMYFUNCTION("""COMPUTED_VALUE"""),"Male")</f>
        <v>Male</v>
      </c>
      <c r="D1256" s="8" t="str">
        <f ca="1">IFERROR(__xludf.DUMMYFUNCTION("""COMPUTED_VALUE"""),"Student")</f>
        <v>Student</v>
      </c>
      <c r="E1256" s="8" t="str">
        <f ca="1">IFERROR(__xludf.DUMMYFUNCTION("""COMPUTED_VALUE"""),"Attempted Suicide")</f>
        <v>Attempted Suicide</v>
      </c>
      <c r="F1256" s="8" t="str">
        <f ca="1">IFERROR(__xludf.DUMMYFUNCTION("""COMPUTED_VALUE"""),"No")</f>
        <v>No</v>
      </c>
      <c r="G1256" s="8" t="str">
        <f ca="1">IFERROR(__xludf.DUMMYFUNCTION("""COMPUTED_VALUE"""),"Wounded")</f>
        <v>Wounded</v>
      </c>
    </row>
    <row r="1257" spans="1:7" ht="12.75">
      <c r="A1257" s="8" t="str">
        <f ca="1">IFERROR(__xludf.DUMMYFUNCTION("""COMPUTED_VALUE"""),"20120926OKSTS")</f>
        <v>20120926OKSTS</v>
      </c>
      <c r="B1257" s="8">
        <f ca="1">IFERROR(__xludf.DUMMYFUNCTION("""COMPUTED_VALUE"""),13)</f>
        <v>13</v>
      </c>
      <c r="C1257" s="8" t="str">
        <f ca="1">IFERROR(__xludf.DUMMYFUNCTION("""COMPUTED_VALUE"""),"Male")</f>
        <v>Male</v>
      </c>
      <c r="D1257" s="8" t="str">
        <f ca="1">IFERROR(__xludf.DUMMYFUNCTION("""COMPUTED_VALUE"""),"Student")</f>
        <v>Student</v>
      </c>
      <c r="E1257" s="8" t="str">
        <f ca="1">IFERROR(__xludf.DUMMYFUNCTION("""COMPUTED_VALUE"""),"Suicide")</f>
        <v>Suicide</v>
      </c>
      <c r="F1257" s="8" t="str">
        <f ca="1">IFERROR(__xludf.DUMMYFUNCTION("""COMPUTED_VALUE"""),"Yes")</f>
        <v>Yes</v>
      </c>
      <c r="G1257" s="8" t="str">
        <f ca="1">IFERROR(__xludf.DUMMYFUNCTION("""COMPUTED_VALUE"""),"Suicide")</f>
        <v>Suicide</v>
      </c>
    </row>
    <row r="1258" spans="1:7" ht="12.75">
      <c r="A1258" s="8" t="str">
        <f ca="1">IFERROR(__xludf.DUMMYFUNCTION("""COMPUTED_VALUE"""),"20120907ILNON")</f>
        <v>20120907ILNON</v>
      </c>
      <c r="B1258" s="8">
        <f ca="1">IFERROR(__xludf.DUMMYFUNCTION("""COMPUTED_VALUE"""),15)</f>
        <v>15</v>
      </c>
      <c r="C1258" s="8" t="str">
        <f ca="1">IFERROR(__xludf.DUMMYFUNCTION("""COMPUTED_VALUE"""),"Male")</f>
        <v>Male</v>
      </c>
      <c r="D1258" s="8" t="str">
        <f ca="1">IFERROR(__xludf.DUMMYFUNCTION("""COMPUTED_VALUE"""),"Student")</f>
        <v>Student</v>
      </c>
      <c r="E1258" s="8" t="str">
        <f ca="1">IFERROR(__xludf.DUMMYFUNCTION("""COMPUTED_VALUE"""),"Subdued by Students/Staff/Other")</f>
        <v>Subdued by Students/Staff/Other</v>
      </c>
      <c r="F1258" s="8" t="str">
        <f ca="1">IFERROR(__xludf.DUMMYFUNCTION("""COMPUTED_VALUE"""),"No")</f>
        <v>No</v>
      </c>
      <c r="G1258" s="8" t="str">
        <f ca="1">IFERROR(__xludf.DUMMYFUNCTION("""COMPUTED_VALUE"""),"None")</f>
        <v>None</v>
      </c>
    </row>
    <row r="1259" spans="1:7" ht="12.75">
      <c r="A1259" s="8" t="str">
        <f ca="1">IFERROR(__xludf.DUMMYFUNCTION("""COMPUTED_VALUE"""),"20120827MDPEP")</f>
        <v>20120827MDPEP</v>
      </c>
      <c r="B1259" s="8">
        <f ca="1">IFERROR(__xludf.DUMMYFUNCTION("""COMPUTED_VALUE"""),15)</f>
        <v>15</v>
      </c>
      <c r="C1259" s="8" t="str">
        <f ca="1">IFERROR(__xludf.DUMMYFUNCTION("""COMPUTED_VALUE"""),"Male")</f>
        <v>Male</v>
      </c>
      <c r="D1259" s="8" t="str">
        <f ca="1">IFERROR(__xludf.DUMMYFUNCTION("""COMPUTED_VALUE"""),"Student")</f>
        <v>Student</v>
      </c>
      <c r="E1259" s="8" t="str">
        <f ca="1">IFERROR(__xludf.DUMMYFUNCTION("""COMPUTED_VALUE"""),"Subdued by Students/Staff/Other")</f>
        <v>Subdued by Students/Staff/Other</v>
      </c>
      <c r="F1259" s="8" t="str">
        <f ca="1">IFERROR(__xludf.DUMMYFUNCTION("""COMPUTED_VALUE"""),"No")</f>
        <v>No</v>
      </c>
      <c r="G1259" s="8" t="str">
        <f ca="1">IFERROR(__xludf.DUMMYFUNCTION("""COMPUTED_VALUE"""),"None")</f>
        <v>None</v>
      </c>
    </row>
    <row r="1260" spans="1:7" ht="12.75">
      <c r="A1260" s="8" t="str">
        <f ca="1">IFERROR(__xludf.DUMMYFUNCTION("""COMPUTED_VALUE"""),"20120824GABAH")</f>
        <v>20120824GABAH</v>
      </c>
      <c r="B1260" s="8">
        <f ca="1">IFERROR(__xludf.DUMMYFUNCTION("""COMPUTED_VALUE"""),15)</f>
        <v>15</v>
      </c>
      <c r="C1260" s="8" t="str">
        <f ca="1">IFERROR(__xludf.DUMMYFUNCTION("""COMPUTED_VALUE"""),"Male")</f>
        <v>Male</v>
      </c>
      <c r="D1260" s="8" t="str">
        <f ca="1">IFERROR(__xludf.DUMMYFUNCTION("""COMPUTED_VALUE"""),"Student")</f>
        <v>Student</v>
      </c>
      <c r="E1260" s="8" t="str">
        <f ca="1">IFERROR(__xludf.DUMMYFUNCTION("""COMPUTED_VALUE"""),"Suicide")</f>
        <v>Suicide</v>
      </c>
      <c r="F1260" s="8" t="str">
        <f ca="1">IFERROR(__xludf.DUMMYFUNCTION("""COMPUTED_VALUE"""),"Yes")</f>
        <v>Yes</v>
      </c>
      <c r="G1260" s="8" t="str">
        <f ca="1">IFERROR(__xludf.DUMMYFUNCTION("""COMPUTED_VALUE"""),"Suicide")</f>
        <v>Suicide</v>
      </c>
    </row>
    <row r="1261" spans="1:7" ht="12.75">
      <c r="A1261" s="8" t="str">
        <f ca="1">IFERROR(__xludf.DUMMYFUNCTION("""COMPUTED_VALUE"""),"20120816TNHAM")</f>
        <v>20120816TNHAM</v>
      </c>
      <c r="B1261" s="8" t="str">
        <f ca="1">IFERROR(__xludf.DUMMYFUNCTION("""COMPUTED_VALUE"""),"Adult")</f>
        <v>Adult</v>
      </c>
      <c r="C1261" s="8" t="str">
        <f ca="1">IFERROR(__xludf.DUMMYFUNCTION("""COMPUTED_VALUE"""),"Male")</f>
        <v>Male</v>
      </c>
      <c r="D1261" s="8" t="str">
        <f ca="1">IFERROR(__xludf.DUMMYFUNCTION("""COMPUTED_VALUE"""),"No Relation")</f>
        <v>No Relation</v>
      </c>
      <c r="E1261" s="8" t="str">
        <f ca="1">IFERROR(__xludf.DUMMYFUNCTION("""COMPUTED_VALUE"""),"Fled/Escaped")</f>
        <v>Fled/Escaped</v>
      </c>
      <c r="F1261" s="8" t="str">
        <f ca="1">IFERROR(__xludf.DUMMYFUNCTION("""COMPUTED_VALUE"""),"No")</f>
        <v>No</v>
      </c>
      <c r="G1261" s="8" t="str">
        <f ca="1">IFERROR(__xludf.DUMMYFUNCTION("""COMPUTED_VALUE"""),"None")</f>
        <v>None</v>
      </c>
    </row>
    <row r="1262" spans="1:7" ht="12.75">
      <c r="A1262" s="8" t="str">
        <f ca="1">IFERROR(__xludf.DUMMYFUNCTION("""COMPUTED_VALUE"""),"20120706RINAP")</f>
        <v>20120706RINAP</v>
      </c>
      <c r="B1262" s="8">
        <f ca="1">IFERROR(__xludf.DUMMYFUNCTION("""COMPUTED_VALUE"""),20)</f>
        <v>20</v>
      </c>
      <c r="C1262" s="8" t="str">
        <f ca="1">IFERROR(__xludf.DUMMYFUNCTION("""COMPUTED_VALUE"""),"Male")</f>
        <v>Male</v>
      </c>
      <c r="D1262" s="8" t="str">
        <f ca="1">IFERROR(__xludf.DUMMYFUNCTION("""COMPUTED_VALUE"""),"No Relation")</f>
        <v>No Relation</v>
      </c>
      <c r="E1262" s="8" t="str">
        <f ca="1">IFERROR(__xludf.DUMMYFUNCTION("""COMPUTED_VALUE"""),"Fled/Apprehended")</f>
        <v>Fled/Apprehended</v>
      </c>
      <c r="F1262" s="8" t="str">
        <f ca="1">IFERROR(__xludf.DUMMYFUNCTION("""COMPUTED_VALUE"""),"No")</f>
        <v>No</v>
      </c>
      <c r="G1262" s="8" t="str">
        <f ca="1">IFERROR(__xludf.DUMMYFUNCTION("""COMPUTED_VALUE"""),"None")</f>
        <v>None</v>
      </c>
    </row>
    <row r="1263" spans="1:7" ht="12.75">
      <c r="A1263" s="8" t="str">
        <f ca="1">IFERROR(__xludf.DUMMYFUNCTION("""COMPUTED_VALUE"""),"20120525NCMAC")</f>
        <v>20120525NCMAC</v>
      </c>
      <c r="B1263" s="8">
        <f ca="1">IFERROR(__xludf.DUMMYFUNCTION("""COMPUTED_VALUE"""),51)</f>
        <v>51</v>
      </c>
      <c r="C1263" s="8" t="str">
        <f ca="1">IFERROR(__xludf.DUMMYFUNCTION("""COMPUTED_VALUE"""),"Male")</f>
        <v>Male</v>
      </c>
      <c r="D1263" s="8" t="str">
        <f ca="1">IFERROR(__xludf.DUMMYFUNCTION("""COMPUTED_VALUE"""),"Parent")</f>
        <v>Parent</v>
      </c>
      <c r="E1263" s="8" t="str">
        <f ca="1">IFERROR(__xludf.DUMMYFUNCTION("""COMPUTED_VALUE"""),"Fled/Apprehended")</f>
        <v>Fled/Apprehended</v>
      </c>
      <c r="F1263" s="8" t="str">
        <f ca="1">IFERROR(__xludf.DUMMYFUNCTION("""COMPUTED_VALUE"""),"No")</f>
        <v>No</v>
      </c>
      <c r="G1263" s="8" t="str">
        <f ca="1">IFERROR(__xludf.DUMMYFUNCTION("""COMPUTED_VALUE"""),"None")</f>
        <v>None</v>
      </c>
    </row>
    <row r="1264" spans="1:7" ht="12.75">
      <c r="A1264" s="8" t="str">
        <f ca="1">IFERROR(__xludf.DUMMYFUNCTION("""COMPUTED_VALUE"""),"20120525AZWEA")</f>
        <v>20120525AZWEA</v>
      </c>
      <c r="B1264" s="8">
        <f ca="1">IFERROR(__xludf.DUMMYFUNCTION("""COMPUTED_VALUE"""),38)</f>
        <v>38</v>
      </c>
      <c r="C1264" s="8" t="str">
        <f ca="1">IFERROR(__xludf.DUMMYFUNCTION("""COMPUTED_VALUE"""),"Male")</f>
        <v>Male</v>
      </c>
      <c r="D1264" s="8" t="str">
        <f ca="1">IFERROR(__xludf.DUMMYFUNCTION("""COMPUTED_VALUE"""),"Unknown")</f>
        <v>Unknown</v>
      </c>
      <c r="E1264" s="8" t="str">
        <f ca="1">IFERROR(__xludf.DUMMYFUNCTION("""COMPUTED_VALUE"""),"Fled/Apprehended")</f>
        <v>Fled/Apprehended</v>
      </c>
      <c r="F1264" s="8" t="str">
        <f ca="1">IFERROR(__xludf.DUMMYFUNCTION("""COMPUTED_VALUE"""),"No")</f>
        <v>No</v>
      </c>
      <c r="G1264" s="8" t="str">
        <f ca="1">IFERROR(__xludf.DUMMYFUNCTION("""COMPUTED_VALUE"""),"None")</f>
        <v>None</v>
      </c>
    </row>
    <row r="1265" spans="1:7" ht="12.75">
      <c r="A1265" s="8" t="str">
        <f ca="1">IFERROR(__xludf.DUMMYFUNCTION("""COMPUTED_VALUE"""),"20120401ARKIR")</f>
        <v>20120401ARKIR</v>
      </c>
      <c r="B1265" s="8">
        <f ca="1">IFERROR(__xludf.DUMMYFUNCTION("""COMPUTED_VALUE"""),18)</f>
        <v>18</v>
      </c>
      <c r="C1265" s="8" t="str">
        <f ca="1">IFERROR(__xludf.DUMMYFUNCTION("""COMPUTED_VALUE"""),"Male")</f>
        <v>Male</v>
      </c>
      <c r="D1265" s="8" t="str">
        <f ca="1">IFERROR(__xludf.DUMMYFUNCTION("""COMPUTED_VALUE"""),"No Relation")</f>
        <v>No Relation</v>
      </c>
      <c r="E1265" s="8" t="str">
        <f ca="1">IFERROR(__xludf.DUMMYFUNCTION("""COMPUTED_VALUE"""),"Fled/Apprehended")</f>
        <v>Fled/Apprehended</v>
      </c>
      <c r="F1265" s="8" t="str">
        <f ca="1">IFERROR(__xludf.DUMMYFUNCTION("""COMPUTED_VALUE"""),"No")</f>
        <v>No</v>
      </c>
      <c r="G1265" s="8" t="str">
        <f ca="1">IFERROR(__xludf.DUMMYFUNCTION("""COMPUTED_VALUE"""),"None")</f>
        <v>None</v>
      </c>
    </row>
    <row r="1266" spans="1:7" ht="12.75">
      <c r="A1266" s="8" t="str">
        <f ca="1">IFERROR(__xludf.DUMMYFUNCTION("""COMPUTED_VALUE"""),"20120315ALLEM")</f>
        <v>20120315ALLEM</v>
      </c>
      <c r="B1266" s="8">
        <f ca="1">IFERROR(__xludf.DUMMYFUNCTION("""COMPUTED_VALUE"""),16)</f>
        <v>16</v>
      </c>
      <c r="C1266" s="8" t="str">
        <f ca="1">IFERROR(__xludf.DUMMYFUNCTION("""COMPUTED_VALUE"""),"Male")</f>
        <v>Male</v>
      </c>
      <c r="D1266" s="8" t="str">
        <f ca="1">IFERROR(__xludf.DUMMYFUNCTION("""COMPUTED_VALUE"""),"Former Student")</f>
        <v>Former Student</v>
      </c>
      <c r="E1266" s="8" t="str">
        <f ca="1">IFERROR(__xludf.DUMMYFUNCTION("""COMPUTED_VALUE"""),"Surrendered")</f>
        <v>Surrendered</v>
      </c>
      <c r="F1266" s="8" t="str">
        <f ca="1">IFERROR(__xludf.DUMMYFUNCTION("""COMPUTED_VALUE"""),"No")</f>
        <v>No</v>
      </c>
      <c r="G1266" s="8" t="str">
        <f ca="1">IFERROR(__xludf.DUMMYFUNCTION("""COMPUTED_VALUE"""),"None")</f>
        <v>None</v>
      </c>
    </row>
    <row r="1267" spans="1:7" ht="12.75">
      <c r="A1267" s="8" t="str">
        <f ca="1">IFERROR(__xludf.DUMMYFUNCTION("""COMPUTED_VALUE"""),"20120306FLEPJ")</f>
        <v>20120306FLEPJ</v>
      </c>
      <c r="B1267" s="8">
        <f ca="1">IFERROR(__xludf.DUMMYFUNCTION("""COMPUTED_VALUE"""),28)</f>
        <v>28</v>
      </c>
      <c r="C1267" s="8" t="str">
        <f ca="1">IFERROR(__xludf.DUMMYFUNCTION("""COMPUTED_VALUE"""),"Male")</f>
        <v>Male</v>
      </c>
      <c r="D1267" s="8" t="str">
        <f ca="1">IFERROR(__xludf.DUMMYFUNCTION("""COMPUTED_VALUE"""),"Former Teacher")</f>
        <v>Former Teacher</v>
      </c>
      <c r="E1267" s="8" t="str">
        <f ca="1">IFERROR(__xludf.DUMMYFUNCTION("""COMPUTED_VALUE"""),"Suicide")</f>
        <v>Suicide</v>
      </c>
      <c r="F1267" s="8" t="str">
        <f ca="1">IFERROR(__xludf.DUMMYFUNCTION("""COMPUTED_VALUE"""),"Yes")</f>
        <v>Yes</v>
      </c>
      <c r="G1267" s="8" t="str">
        <f ca="1">IFERROR(__xludf.DUMMYFUNCTION("""COMPUTED_VALUE"""),"Suicide")</f>
        <v>Suicide</v>
      </c>
    </row>
    <row r="1268" spans="1:7" ht="12.75">
      <c r="A1268" s="8" t="str">
        <f ca="1">IFERROR(__xludf.DUMMYFUNCTION("""COMPUTED_VALUE"""),"20120227OHCHC")</f>
        <v>20120227OHCHC</v>
      </c>
      <c r="B1268" s="8">
        <f ca="1">IFERROR(__xludf.DUMMYFUNCTION("""COMPUTED_VALUE"""),17)</f>
        <v>17</v>
      </c>
      <c r="C1268" s="8" t="str">
        <f ca="1">IFERROR(__xludf.DUMMYFUNCTION("""COMPUTED_VALUE"""),"Male")</f>
        <v>Male</v>
      </c>
      <c r="D1268" s="8" t="str">
        <f ca="1">IFERROR(__xludf.DUMMYFUNCTION("""COMPUTED_VALUE"""),"Student")</f>
        <v>Student</v>
      </c>
      <c r="E1268" s="8" t="str">
        <f ca="1">IFERROR(__xludf.DUMMYFUNCTION("""COMPUTED_VALUE"""),"Surrendered")</f>
        <v>Surrendered</v>
      </c>
      <c r="F1268" s="8" t="str">
        <f ca="1">IFERROR(__xludf.DUMMYFUNCTION("""COMPUTED_VALUE"""),"No")</f>
        <v>No</v>
      </c>
      <c r="G1268" s="8" t="str">
        <f ca="1">IFERROR(__xludf.DUMMYFUNCTION("""COMPUTED_VALUE"""),"None")</f>
        <v>None</v>
      </c>
    </row>
    <row r="1269" spans="1:7" ht="12.75">
      <c r="A1269" s="8" t="str">
        <f ca="1">IFERROR(__xludf.DUMMYFUNCTION("""COMPUTED_VALUE"""),"20120222WAARB")</f>
        <v>20120222WAARB</v>
      </c>
      <c r="B1269" s="8">
        <f ca="1">IFERROR(__xludf.DUMMYFUNCTION("""COMPUTED_VALUE"""),10)</f>
        <v>10</v>
      </c>
      <c r="C1269" s="8" t="str">
        <f ca="1">IFERROR(__xludf.DUMMYFUNCTION("""COMPUTED_VALUE"""),"Male")</f>
        <v>Male</v>
      </c>
      <c r="D1269" s="8" t="str">
        <f ca="1">IFERROR(__xludf.DUMMYFUNCTION("""COMPUTED_VALUE"""),"Student")</f>
        <v>Student</v>
      </c>
      <c r="E1269" s="8" t="str">
        <f ca="1">IFERROR(__xludf.DUMMYFUNCTION("""COMPUTED_VALUE"""),"Surrendered")</f>
        <v>Surrendered</v>
      </c>
      <c r="F1269" s="8" t="str">
        <f ca="1">IFERROR(__xludf.DUMMYFUNCTION("""COMPUTED_VALUE"""),"No")</f>
        <v>No</v>
      </c>
      <c r="G1269" s="8" t="str">
        <f ca="1">IFERROR(__xludf.DUMMYFUNCTION("""COMPUTED_VALUE"""),"None")</f>
        <v>None</v>
      </c>
    </row>
    <row r="1270" spans="1:7" ht="12.75">
      <c r="A1270" s="8" t="str">
        <f ca="1">IFERROR(__xludf.DUMMYFUNCTION("""COMPUTED_VALUE"""),"20120210NHWAW")</f>
        <v>20120210NHWAW</v>
      </c>
      <c r="B1270" s="8">
        <f ca="1">IFERROR(__xludf.DUMMYFUNCTION("""COMPUTED_VALUE"""),14)</f>
        <v>14</v>
      </c>
      <c r="C1270" s="8" t="str">
        <f ca="1">IFERROR(__xludf.DUMMYFUNCTION("""COMPUTED_VALUE"""),"Male")</f>
        <v>Male</v>
      </c>
      <c r="D1270" s="8" t="str">
        <f ca="1">IFERROR(__xludf.DUMMYFUNCTION("""COMPUTED_VALUE"""),"Student")</f>
        <v>Student</v>
      </c>
      <c r="E1270" s="8" t="str">
        <f ca="1">IFERROR(__xludf.DUMMYFUNCTION("""COMPUTED_VALUE"""),"Attempted Suicide")</f>
        <v>Attempted Suicide</v>
      </c>
      <c r="F1270" s="8" t="str">
        <f ca="1">IFERROR(__xludf.DUMMYFUNCTION("""COMPUTED_VALUE"""),"No")</f>
        <v>No</v>
      </c>
      <c r="G1270" s="8" t="str">
        <f ca="1">IFERROR(__xludf.DUMMYFUNCTION("""COMPUTED_VALUE"""),"Wounded")</f>
        <v>Wounded</v>
      </c>
    </row>
    <row r="1271" spans="1:7" ht="12.75">
      <c r="A1271" s="8" t="str">
        <f ca="1">IFERROR(__xludf.DUMMYFUNCTION("""COMPUTED_VALUE"""),"20120110TXNOH")</f>
        <v>20120110TXNOH</v>
      </c>
      <c r="B1271" s="8">
        <f ca="1">IFERROR(__xludf.DUMMYFUNCTION("""COMPUTED_VALUE"""),18)</f>
        <v>18</v>
      </c>
      <c r="C1271" s="8" t="str">
        <f ca="1">IFERROR(__xludf.DUMMYFUNCTION("""COMPUTED_VALUE"""),"Male")</f>
        <v>Male</v>
      </c>
      <c r="D1271" s="8" t="str">
        <f ca="1">IFERROR(__xludf.DUMMYFUNCTION("""COMPUTED_VALUE"""),"Student")</f>
        <v>Student</v>
      </c>
      <c r="E1271" s="8" t="str">
        <f ca="1">IFERROR(__xludf.DUMMYFUNCTION("""COMPUTED_VALUE"""),"Subdued by Students/Staff/Other")</f>
        <v>Subdued by Students/Staff/Other</v>
      </c>
      <c r="F1271" s="8" t="str">
        <f ca="1">IFERROR(__xludf.DUMMYFUNCTION("""COMPUTED_VALUE"""),"No")</f>
        <v>No</v>
      </c>
      <c r="G1271" s="8" t="str">
        <f ca="1">IFERROR(__xludf.DUMMYFUNCTION("""COMPUTED_VALUE"""),"None")</f>
        <v>None</v>
      </c>
    </row>
    <row r="1272" spans="1:7" ht="12.75">
      <c r="A1272" s="8" t="str">
        <f ca="1">IFERROR(__xludf.DUMMYFUNCTION("""COMPUTED_VALUE"""),"20120104TXCUB")</f>
        <v>20120104TXCUB</v>
      </c>
      <c r="B1272" s="8" t="str">
        <f ca="1">IFERROR(__xludf.DUMMYFUNCTION("""COMPUTED_VALUE"""),"Child")</f>
        <v>Child</v>
      </c>
      <c r="C1272" s="8"/>
      <c r="D1272" s="8" t="str">
        <f ca="1">IFERROR(__xludf.DUMMYFUNCTION("""COMPUTED_VALUE"""),"Student")</f>
        <v>Student</v>
      </c>
      <c r="E1272" s="8" t="str">
        <f ca="1">IFERROR(__xludf.DUMMYFUNCTION("""COMPUTED_VALUE"""),"Apprehended/Killed by LE")</f>
        <v>Apprehended/Killed by LE</v>
      </c>
      <c r="F1272" s="8" t="str">
        <f ca="1">IFERROR(__xludf.DUMMYFUNCTION("""COMPUTED_VALUE"""),"Yes")</f>
        <v>Yes</v>
      </c>
      <c r="G1272" s="8" t="str">
        <f ca="1">IFERROR(__xludf.DUMMYFUNCTION("""COMPUTED_VALUE"""),"Fatal")</f>
        <v>Fatal</v>
      </c>
    </row>
    <row r="1273" spans="1:7" ht="12.75">
      <c r="A1273" s="8" t="str">
        <f ca="1">IFERROR(__xludf.DUMMYFUNCTION("""COMPUTED_VALUE"""),"20111228MINOF")</f>
        <v>20111228MINOF</v>
      </c>
      <c r="B1273" s="8">
        <f ca="1">IFERROR(__xludf.DUMMYFUNCTION("""COMPUTED_VALUE"""),17)</f>
        <v>17</v>
      </c>
      <c r="C1273" s="8" t="str">
        <f ca="1">IFERROR(__xludf.DUMMYFUNCTION("""COMPUTED_VALUE"""),"Male")</f>
        <v>Male</v>
      </c>
      <c r="D1273" s="8" t="str">
        <f ca="1">IFERROR(__xludf.DUMMYFUNCTION("""COMPUTED_VALUE"""),"Unknown")</f>
        <v>Unknown</v>
      </c>
      <c r="E1273" s="8" t="str">
        <f ca="1">IFERROR(__xludf.DUMMYFUNCTION("""COMPUTED_VALUE"""),"Fled/Apprehended")</f>
        <v>Fled/Apprehended</v>
      </c>
      <c r="F1273" s="8" t="str">
        <f ca="1">IFERROR(__xludf.DUMMYFUNCTION("""COMPUTED_VALUE"""),"No")</f>
        <v>No</v>
      </c>
      <c r="G1273" s="8" t="str">
        <f ca="1">IFERROR(__xludf.DUMMYFUNCTION("""COMPUTED_VALUE"""),"None")</f>
        <v>None</v>
      </c>
    </row>
    <row r="1274" spans="1:7" ht="12.75">
      <c r="A1274" s="8" t="str">
        <f ca="1">IFERROR(__xludf.DUMMYFUNCTION("""COMPUTED_VALUE"""),"20111228MINOF")</f>
        <v>20111228MINOF</v>
      </c>
      <c r="B1274" s="8">
        <f ca="1">IFERROR(__xludf.DUMMYFUNCTION("""COMPUTED_VALUE"""),17)</f>
        <v>17</v>
      </c>
      <c r="C1274" s="8" t="str">
        <f ca="1">IFERROR(__xludf.DUMMYFUNCTION("""COMPUTED_VALUE"""),"Male")</f>
        <v>Male</v>
      </c>
      <c r="D1274" s="8" t="str">
        <f ca="1">IFERROR(__xludf.DUMMYFUNCTION("""COMPUTED_VALUE"""),"Unknown")</f>
        <v>Unknown</v>
      </c>
      <c r="E1274" s="8" t="str">
        <f ca="1">IFERROR(__xludf.DUMMYFUNCTION("""COMPUTED_VALUE"""),"Fled/Apprehended")</f>
        <v>Fled/Apprehended</v>
      </c>
      <c r="F1274" s="8" t="str">
        <f ca="1">IFERROR(__xludf.DUMMYFUNCTION("""COMPUTED_VALUE"""),"No")</f>
        <v>No</v>
      </c>
      <c r="G1274" s="8" t="str">
        <f ca="1">IFERROR(__xludf.DUMMYFUNCTION("""COMPUTED_VALUE"""),"None")</f>
        <v>None</v>
      </c>
    </row>
    <row r="1275" spans="1:7" ht="12.75">
      <c r="A1275" s="8" t="str">
        <f ca="1">IFERROR(__xludf.DUMMYFUNCTION("""COMPUTED_VALUE"""),"20111212TXHAE")</f>
        <v>20111212TXHAE</v>
      </c>
      <c r="B1275" s="8">
        <f ca="1">IFERROR(__xludf.DUMMYFUNCTION("""COMPUTED_VALUE"""),36)</f>
        <v>36</v>
      </c>
      <c r="C1275" s="8" t="str">
        <f ca="1">IFERROR(__xludf.DUMMYFUNCTION("""COMPUTED_VALUE"""),"Male")</f>
        <v>Male</v>
      </c>
      <c r="D1275" s="8" t="str">
        <f ca="1">IFERROR(__xludf.DUMMYFUNCTION("""COMPUTED_VALUE"""),"No Relation")</f>
        <v>No Relation</v>
      </c>
      <c r="E1275" s="8" t="str">
        <f ca="1">IFERROR(__xludf.DUMMYFUNCTION("""COMPUTED_VALUE"""),"Surrendered")</f>
        <v>Surrendered</v>
      </c>
      <c r="F1275" s="8" t="str">
        <f ca="1">IFERROR(__xludf.DUMMYFUNCTION("""COMPUTED_VALUE"""),"No")</f>
        <v>No</v>
      </c>
      <c r="G1275" s="8" t="str">
        <f ca="1">IFERROR(__xludf.DUMMYFUNCTION("""COMPUTED_VALUE"""),"None")</f>
        <v>None</v>
      </c>
    </row>
    <row r="1276" spans="1:7" ht="12.75">
      <c r="A1276" s="8" t="str">
        <f ca="1">IFERROR(__xludf.DUMMYFUNCTION("""COMPUTED_VALUE"""),"20111024NCCAF")</f>
        <v>20111024NCCAF</v>
      </c>
      <c r="B1276" s="8">
        <f ca="1">IFERROR(__xludf.DUMMYFUNCTION("""COMPUTED_VALUE"""),15)</f>
        <v>15</v>
      </c>
      <c r="C1276" s="8" t="str">
        <f ca="1">IFERROR(__xludf.DUMMYFUNCTION("""COMPUTED_VALUE"""),"Male")</f>
        <v>Male</v>
      </c>
      <c r="D1276" s="8" t="str">
        <f ca="1">IFERROR(__xludf.DUMMYFUNCTION("""COMPUTED_VALUE"""),"Student")</f>
        <v>Student</v>
      </c>
      <c r="E1276" s="8" t="str">
        <f ca="1">IFERROR(__xludf.DUMMYFUNCTION("""COMPUTED_VALUE"""),"Fled/Apprehended")</f>
        <v>Fled/Apprehended</v>
      </c>
      <c r="F1276" s="8" t="str">
        <f ca="1">IFERROR(__xludf.DUMMYFUNCTION("""COMPUTED_VALUE"""),"No")</f>
        <v>No</v>
      </c>
      <c r="G1276" s="8" t="str">
        <f ca="1">IFERROR(__xludf.DUMMYFUNCTION("""COMPUTED_VALUE"""),"None")</f>
        <v>None</v>
      </c>
    </row>
    <row r="1277" spans="1:7" ht="12.75">
      <c r="A1277" s="8" t="str">
        <f ca="1">IFERROR(__xludf.DUMMYFUNCTION("""COMPUTED_VALUE"""),"20110930ORWIP")</f>
        <v>20110930ORWIP</v>
      </c>
      <c r="B1277" s="8">
        <f ca="1">IFERROR(__xludf.DUMMYFUNCTION("""COMPUTED_VALUE"""),20)</f>
        <v>20</v>
      </c>
      <c r="C1277" s="8" t="str">
        <f ca="1">IFERROR(__xludf.DUMMYFUNCTION("""COMPUTED_VALUE"""),"Male")</f>
        <v>Male</v>
      </c>
      <c r="D1277" s="8" t="str">
        <f ca="1">IFERROR(__xludf.DUMMYFUNCTION("""COMPUTED_VALUE"""),"Unknown")</f>
        <v>Unknown</v>
      </c>
      <c r="E1277" s="8" t="str">
        <f ca="1">IFERROR(__xludf.DUMMYFUNCTION("""COMPUTED_VALUE"""),"Fled/Apprehended")</f>
        <v>Fled/Apprehended</v>
      </c>
      <c r="F1277" s="8" t="str">
        <f ca="1">IFERROR(__xludf.DUMMYFUNCTION("""COMPUTED_VALUE"""),"No")</f>
        <v>No</v>
      </c>
      <c r="G1277" s="8" t="str">
        <f ca="1">IFERROR(__xludf.DUMMYFUNCTION("""COMPUTED_VALUE"""),"None")</f>
        <v>None</v>
      </c>
    </row>
    <row r="1278" spans="1:7" ht="12.75">
      <c r="A1278" s="8" t="str">
        <f ca="1">IFERROR(__xludf.DUMMYFUNCTION("""COMPUTED_VALUE"""),"20110930ORWIP")</f>
        <v>20110930ORWIP</v>
      </c>
      <c r="B1278" s="8">
        <f ca="1">IFERROR(__xludf.DUMMYFUNCTION("""COMPUTED_VALUE"""),20)</f>
        <v>20</v>
      </c>
      <c r="C1278" s="8" t="str">
        <f ca="1">IFERROR(__xludf.DUMMYFUNCTION("""COMPUTED_VALUE"""),"Male")</f>
        <v>Male</v>
      </c>
      <c r="D1278" s="8" t="str">
        <f ca="1">IFERROR(__xludf.DUMMYFUNCTION("""COMPUTED_VALUE"""),"Unknown")</f>
        <v>Unknown</v>
      </c>
      <c r="E1278" s="8" t="str">
        <f ca="1">IFERROR(__xludf.DUMMYFUNCTION("""COMPUTED_VALUE"""),"Fled/Apprehended")</f>
        <v>Fled/Apprehended</v>
      </c>
      <c r="F1278" s="8" t="str">
        <f ca="1">IFERROR(__xludf.DUMMYFUNCTION("""COMPUTED_VALUE"""),"No")</f>
        <v>No</v>
      </c>
      <c r="G1278" s="8" t="str">
        <f ca="1">IFERROR(__xludf.DUMMYFUNCTION("""COMPUTED_VALUE"""),"None")</f>
        <v>None</v>
      </c>
    </row>
    <row r="1279" spans="1:7" ht="12.75">
      <c r="A1279" s="8" t="str">
        <f ca="1">IFERROR(__xludf.DUMMYFUNCTION("""COMPUTED_VALUE"""),"20110930NCGAC")</f>
        <v>20110930NCGAC</v>
      </c>
      <c r="B1279" s="8"/>
      <c r="C1279" s="8" t="str">
        <f ca="1">IFERROR(__xludf.DUMMYFUNCTION("""COMPUTED_VALUE"""),"Male")</f>
        <v>Male</v>
      </c>
      <c r="D1279" s="8" t="str">
        <f ca="1">IFERROR(__xludf.DUMMYFUNCTION("""COMPUTED_VALUE"""),"Unknown")</f>
        <v>Unknown</v>
      </c>
      <c r="E1279" s="8" t="str">
        <f ca="1">IFERROR(__xludf.DUMMYFUNCTION("""COMPUTED_VALUE"""),"Fled/Escaped")</f>
        <v>Fled/Escaped</v>
      </c>
      <c r="F1279" s="8" t="str">
        <f ca="1">IFERROR(__xludf.DUMMYFUNCTION("""COMPUTED_VALUE"""),"No")</f>
        <v>No</v>
      </c>
      <c r="G1279" s="8" t="str">
        <f ca="1">IFERROR(__xludf.DUMMYFUNCTION("""COMPUTED_VALUE"""),"None")</f>
        <v>None</v>
      </c>
    </row>
    <row r="1280" spans="1:7" ht="12.75">
      <c r="A1280" s="8" t="str">
        <f ca="1">IFERROR(__xludf.DUMMYFUNCTION("""COMPUTED_VALUE"""),"20110923WAISS")</f>
        <v>20110923WAISS</v>
      </c>
      <c r="B1280" s="8">
        <f ca="1">IFERROR(__xludf.DUMMYFUNCTION("""COMPUTED_VALUE"""),51)</f>
        <v>51</v>
      </c>
      <c r="C1280" s="8" t="str">
        <f ca="1">IFERROR(__xludf.DUMMYFUNCTION("""COMPUTED_VALUE"""),"Male")</f>
        <v>Male</v>
      </c>
      <c r="D1280" s="8" t="str">
        <f ca="1">IFERROR(__xludf.DUMMYFUNCTION("""COMPUTED_VALUE"""),"No Relation")</f>
        <v>No Relation</v>
      </c>
      <c r="E1280" s="8" t="str">
        <f ca="1">IFERROR(__xludf.DUMMYFUNCTION("""COMPUTED_VALUE"""),"Apprehended/Killed by LE")</f>
        <v>Apprehended/Killed by LE</v>
      </c>
      <c r="F1280" s="8" t="str">
        <f ca="1">IFERROR(__xludf.DUMMYFUNCTION("""COMPUTED_VALUE"""),"Yes")</f>
        <v>Yes</v>
      </c>
      <c r="G1280" s="8" t="str">
        <f ca="1">IFERROR(__xludf.DUMMYFUNCTION("""COMPUTED_VALUE"""),"Fatal")</f>
        <v>Fatal</v>
      </c>
    </row>
    <row r="1281" spans="1:7" ht="12.75">
      <c r="A1281" s="8" t="str">
        <f ca="1">IFERROR(__xludf.DUMMYFUNCTION("""COMPUTED_VALUE"""),"20110523HIHIP")</f>
        <v>20110523HIHIP</v>
      </c>
      <c r="B1281" s="8">
        <f ca="1">IFERROR(__xludf.DUMMYFUNCTION("""COMPUTED_VALUE"""),14)</f>
        <v>14</v>
      </c>
      <c r="C1281" s="8" t="str">
        <f ca="1">IFERROR(__xludf.DUMMYFUNCTION("""COMPUTED_VALUE"""),"Male")</f>
        <v>Male</v>
      </c>
      <c r="D1281" s="8" t="str">
        <f ca="1">IFERROR(__xludf.DUMMYFUNCTION("""COMPUTED_VALUE"""),"Student")</f>
        <v>Student</v>
      </c>
      <c r="E1281" s="8" t="str">
        <f ca="1">IFERROR(__xludf.DUMMYFUNCTION("""COMPUTED_VALUE"""),"Surrendered")</f>
        <v>Surrendered</v>
      </c>
      <c r="F1281" s="8" t="str">
        <f ca="1">IFERROR(__xludf.DUMMYFUNCTION("""COMPUTED_VALUE"""),"No")</f>
        <v>No</v>
      </c>
      <c r="G1281" s="8" t="str">
        <f ca="1">IFERROR(__xludf.DUMMYFUNCTION("""COMPUTED_VALUE"""),"None")</f>
        <v>None</v>
      </c>
    </row>
    <row r="1282" spans="1:7" ht="12.75">
      <c r="A1282" s="8" t="str">
        <f ca="1">IFERROR(__xludf.DUMMYFUNCTION("""COMPUTED_VALUE"""),"20110517WAHOE")</f>
        <v>20110517WAHOE</v>
      </c>
      <c r="B1282" s="8">
        <f ca="1">IFERROR(__xludf.DUMMYFUNCTION("""COMPUTED_VALUE"""),16)</f>
        <v>16</v>
      </c>
      <c r="C1282" s="8" t="str">
        <f ca="1">IFERROR(__xludf.DUMMYFUNCTION("""COMPUTED_VALUE"""),"Male")</f>
        <v>Male</v>
      </c>
      <c r="D1282" s="8" t="str">
        <f ca="1">IFERROR(__xludf.DUMMYFUNCTION("""COMPUTED_VALUE"""),"Unknown")</f>
        <v>Unknown</v>
      </c>
      <c r="E1282" s="8" t="str">
        <f ca="1">IFERROR(__xludf.DUMMYFUNCTION("""COMPUTED_VALUE"""),"Fled/Apprehended")</f>
        <v>Fled/Apprehended</v>
      </c>
      <c r="F1282" s="8" t="str">
        <f ca="1">IFERROR(__xludf.DUMMYFUNCTION("""COMPUTED_VALUE"""),"No")</f>
        <v>No</v>
      </c>
      <c r="G1282" s="8" t="str">
        <f ca="1">IFERROR(__xludf.DUMMYFUNCTION("""COMPUTED_VALUE"""),"None")</f>
        <v>None</v>
      </c>
    </row>
    <row r="1283" spans="1:7" ht="12.75">
      <c r="A1283" s="8" t="str">
        <f ca="1">IFERROR(__xludf.DUMMYFUNCTION("""COMPUTED_VALUE"""),"20110419TXBEH")</f>
        <v>20110419TXBEH</v>
      </c>
      <c r="B1283" s="8">
        <f ca="1">IFERROR(__xludf.DUMMYFUNCTION("""COMPUTED_VALUE"""),6)</f>
        <v>6</v>
      </c>
      <c r="C1283" s="8" t="str">
        <f ca="1">IFERROR(__xludf.DUMMYFUNCTION("""COMPUTED_VALUE"""),"Male")</f>
        <v>Male</v>
      </c>
      <c r="D1283" s="8" t="str">
        <f ca="1">IFERROR(__xludf.DUMMYFUNCTION("""COMPUTED_VALUE"""),"Student")</f>
        <v>Student</v>
      </c>
      <c r="E1283" s="8" t="str">
        <f ca="1">IFERROR(__xludf.DUMMYFUNCTION("""COMPUTED_VALUE"""),"Unknown")</f>
        <v>Unknown</v>
      </c>
      <c r="F1283" s="8" t="str">
        <f ca="1">IFERROR(__xludf.DUMMYFUNCTION("""COMPUTED_VALUE"""),"No")</f>
        <v>No</v>
      </c>
      <c r="G1283" s="8" t="str">
        <f ca="1">IFERROR(__xludf.DUMMYFUNCTION("""COMPUTED_VALUE"""),"None")</f>
        <v>None</v>
      </c>
    </row>
    <row r="1284" spans="1:7" ht="12.75">
      <c r="A1284" s="8" t="str">
        <f ca="1">IFERROR(__xludf.DUMMYFUNCTION("""COMPUTED_VALUE"""),"20110413FLSHA")</f>
        <v>20110413FLSHA</v>
      </c>
      <c r="B1284" s="8">
        <f ca="1">IFERROR(__xludf.DUMMYFUNCTION("""COMPUTED_VALUE"""),17)</f>
        <v>17</v>
      </c>
      <c r="C1284" s="8" t="str">
        <f ca="1">IFERROR(__xludf.DUMMYFUNCTION("""COMPUTED_VALUE"""),"Male")</f>
        <v>Male</v>
      </c>
      <c r="D1284" s="8" t="str">
        <f ca="1">IFERROR(__xludf.DUMMYFUNCTION("""COMPUTED_VALUE"""),"Unknown")</f>
        <v>Unknown</v>
      </c>
      <c r="E1284" s="8" t="str">
        <f ca="1">IFERROR(__xludf.DUMMYFUNCTION("""COMPUTED_VALUE"""),"Fled/Apprehended")</f>
        <v>Fled/Apprehended</v>
      </c>
      <c r="F1284" s="8" t="str">
        <f ca="1">IFERROR(__xludf.DUMMYFUNCTION("""COMPUTED_VALUE"""),"No")</f>
        <v>No</v>
      </c>
      <c r="G1284" s="8" t="str">
        <f ca="1">IFERROR(__xludf.DUMMYFUNCTION("""COMPUTED_VALUE"""),"None")</f>
        <v>None</v>
      </c>
    </row>
    <row r="1285" spans="1:7" ht="12.75">
      <c r="A1285" s="8" t="str">
        <f ca="1">IFERROR(__xludf.DUMMYFUNCTION("""COMPUTED_VALUE"""),"20110330TXWOH")</f>
        <v>20110330TXWOH</v>
      </c>
      <c r="B1285" s="8" t="str">
        <f ca="1">IFERROR(__xludf.DUMMYFUNCTION("""COMPUTED_VALUE"""),"Teen")</f>
        <v>Teen</v>
      </c>
      <c r="C1285" s="8" t="str">
        <f ca="1">IFERROR(__xludf.DUMMYFUNCTION("""COMPUTED_VALUE"""),"Male")</f>
        <v>Male</v>
      </c>
      <c r="D1285" s="8" t="str">
        <f ca="1">IFERROR(__xludf.DUMMYFUNCTION("""COMPUTED_VALUE"""),"Rival School Student")</f>
        <v>Rival School Student</v>
      </c>
      <c r="E1285" s="8" t="str">
        <f ca="1">IFERROR(__xludf.DUMMYFUNCTION("""COMPUTED_VALUE"""),"Fled/Escaped")</f>
        <v>Fled/Escaped</v>
      </c>
      <c r="F1285" s="8" t="str">
        <f ca="1">IFERROR(__xludf.DUMMYFUNCTION("""COMPUTED_VALUE"""),"No")</f>
        <v>No</v>
      </c>
      <c r="G1285" s="8" t="str">
        <f ca="1">IFERROR(__xludf.DUMMYFUNCTION("""COMPUTED_VALUE"""),"Wounded")</f>
        <v>Wounded</v>
      </c>
    </row>
    <row r="1286" spans="1:7" ht="12.75">
      <c r="A1286" s="8" t="str">
        <f ca="1">IFERROR(__xludf.DUMMYFUNCTION("""COMPUTED_VALUE"""),"20110330TXWOH")</f>
        <v>20110330TXWOH</v>
      </c>
      <c r="B1286" s="8" t="str">
        <f ca="1">IFERROR(__xludf.DUMMYFUNCTION("""COMPUTED_VALUE"""),"Teen")</f>
        <v>Teen</v>
      </c>
      <c r="C1286" s="8" t="str">
        <f ca="1">IFERROR(__xludf.DUMMYFUNCTION("""COMPUTED_VALUE"""),"Male")</f>
        <v>Male</v>
      </c>
      <c r="D1286" s="8" t="str">
        <f ca="1">IFERROR(__xludf.DUMMYFUNCTION("""COMPUTED_VALUE"""),"Rival School Student")</f>
        <v>Rival School Student</v>
      </c>
      <c r="E1286" s="8" t="str">
        <f ca="1">IFERROR(__xludf.DUMMYFUNCTION("""COMPUTED_VALUE"""),"Fled/Escaped")</f>
        <v>Fled/Escaped</v>
      </c>
      <c r="F1286" s="8" t="str">
        <f ca="1">IFERROR(__xludf.DUMMYFUNCTION("""COMPUTED_VALUE"""),"No")</f>
        <v>No</v>
      </c>
      <c r="G1286" s="8" t="str">
        <f ca="1">IFERROR(__xludf.DUMMYFUNCTION("""COMPUTED_VALUE"""),"Wounded")</f>
        <v>Wounded</v>
      </c>
    </row>
    <row r="1287" spans="1:7" ht="12.75">
      <c r="A1287" s="8" t="str">
        <f ca="1">IFERROR(__xludf.DUMMYFUNCTION("""COMPUTED_VALUE"""),"20110330TXWOH")</f>
        <v>20110330TXWOH</v>
      </c>
      <c r="B1287" s="8"/>
      <c r="C1287" s="8" t="str">
        <f ca="1">IFERROR(__xludf.DUMMYFUNCTION("""COMPUTED_VALUE"""),"Male")</f>
        <v>Male</v>
      </c>
      <c r="D1287" s="8" t="str">
        <f ca="1">IFERROR(__xludf.DUMMYFUNCTION("""COMPUTED_VALUE"""),"Unknown")</f>
        <v>Unknown</v>
      </c>
      <c r="E1287" s="8" t="str">
        <f ca="1">IFERROR(__xludf.DUMMYFUNCTION("""COMPUTED_VALUE"""),"Fled/Escaped")</f>
        <v>Fled/Escaped</v>
      </c>
      <c r="F1287" s="8" t="str">
        <f ca="1">IFERROR(__xludf.DUMMYFUNCTION("""COMPUTED_VALUE"""),"No")</f>
        <v>No</v>
      </c>
      <c r="G1287" s="8" t="str">
        <f ca="1">IFERROR(__xludf.DUMMYFUNCTION("""COMPUTED_VALUE"""),"None")</f>
        <v>None</v>
      </c>
    </row>
    <row r="1288" spans="1:7" ht="12.75">
      <c r="A1288" s="8" t="str">
        <f ca="1">IFERROR(__xludf.DUMMYFUNCTION("""COMPUTED_VALUE"""),"20110325INMAM")</f>
        <v>20110325INMAM</v>
      </c>
      <c r="B1288" s="8">
        <f ca="1">IFERROR(__xludf.DUMMYFUNCTION("""COMPUTED_VALUE"""),16)</f>
        <v>16</v>
      </c>
      <c r="C1288" s="8" t="str">
        <f ca="1">IFERROR(__xludf.DUMMYFUNCTION("""COMPUTED_VALUE"""),"Male")</f>
        <v>Male</v>
      </c>
      <c r="D1288" s="8" t="str">
        <f ca="1">IFERROR(__xludf.DUMMYFUNCTION("""COMPUTED_VALUE"""),"Former Student")</f>
        <v>Former Student</v>
      </c>
      <c r="E1288" s="8" t="str">
        <f ca="1">IFERROR(__xludf.DUMMYFUNCTION("""COMPUTED_VALUE"""),"Fled/Apprehended")</f>
        <v>Fled/Apprehended</v>
      </c>
      <c r="F1288" s="8" t="str">
        <f ca="1">IFERROR(__xludf.DUMMYFUNCTION("""COMPUTED_VALUE"""),"No")</f>
        <v>No</v>
      </c>
      <c r="G1288" s="8" t="str">
        <f ca="1">IFERROR(__xludf.DUMMYFUNCTION("""COMPUTED_VALUE"""),"None")</f>
        <v>None</v>
      </c>
    </row>
    <row r="1289" spans="1:7" ht="12.75">
      <c r="A1289" s="8" t="str">
        <f ca="1">IFERROR(__xludf.DUMMYFUNCTION("""COMPUTED_VALUE"""),"20110202CALOP")</f>
        <v>20110202CALOP</v>
      </c>
      <c r="B1289" s="8">
        <f ca="1">IFERROR(__xludf.DUMMYFUNCTION("""COMPUTED_VALUE"""),44)</f>
        <v>44</v>
      </c>
      <c r="C1289" s="8" t="str">
        <f ca="1">IFERROR(__xludf.DUMMYFUNCTION("""COMPUTED_VALUE"""),"Male")</f>
        <v>Male</v>
      </c>
      <c r="D1289" s="8" t="str">
        <f ca="1">IFERROR(__xludf.DUMMYFUNCTION("""COMPUTED_VALUE"""),"Other Staff")</f>
        <v>Other Staff</v>
      </c>
      <c r="E1289" s="8" t="str">
        <f ca="1">IFERROR(__xludf.DUMMYFUNCTION("""COMPUTED_VALUE"""),"Fled/Apprehended")</f>
        <v>Fled/Apprehended</v>
      </c>
      <c r="F1289" s="8" t="str">
        <f ca="1">IFERROR(__xludf.DUMMYFUNCTION("""COMPUTED_VALUE"""),"No")</f>
        <v>No</v>
      </c>
      <c r="G1289" s="8" t="str">
        <f ca="1">IFERROR(__xludf.DUMMYFUNCTION("""COMPUTED_VALUE"""),"None")</f>
        <v>None</v>
      </c>
    </row>
    <row r="1290" spans="1:7" ht="12.75">
      <c r="A1290" s="8" t="str">
        <f ca="1">IFERROR(__xludf.DUMMYFUNCTION("""COMPUTED_VALUE"""),"20110118CAGAL")</f>
        <v>20110118CAGAL</v>
      </c>
      <c r="B1290" s="8">
        <f ca="1">IFERROR(__xludf.DUMMYFUNCTION("""COMPUTED_VALUE"""),17)</f>
        <v>17</v>
      </c>
      <c r="C1290" s="8" t="str">
        <f ca="1">IFERROR(__xludf.DUMMYFUNCTION("""COMPUTED_VALUE"""),"Male")</f>
        <v>Male</v>
      </c>
      <c r="D1290" s="8" t="str">
        <f ca="1">IFERROR(__xludf.DUMMYFUNCTION("""COMPUTED_VALUE"""),"Student")</f>
        <v>Student</v>
      </c>
      <c r="E1290" s="8" t="str">
        <f ca="1">IFERROR(__xludf.DUMMYFUNCTION("""COMPUTED_VALUE"""),"Surrendered")</f>
        <v>Surrendered</v>
      </c>
      <c r="F1290" s="8" t="str">
        <f ca="1">IFERROR(__xludf.DUMMYFUNCTION("""COMPUTED_VALUE"""),"No")</f>
        <v>No</v>
      </c>
      <c r="G1290" s="8" t="str">
        <f ca="1">IFERROR(__xludf.DUMMYFUNCTION("""COMPUTED_VALUE"""),"None")</f>
        <v>None</v>
      </c>
    </row>
    <row r="1291" spans="1:7" ht="12.75">
      <c r="A1291" s="8" t="str">
        <f ca="1">IFERROR(__xludf.DUMMYFUNCTION("""COMPUTED_VALUE"""),"20110105NEMIO")</f>
        <v>20110105NEMIO</v>
      </c>
      <c r="B1291" s="8">
        <f ca="1">IFERROR(__xludf.DUMMYFUNCTION("""COMPUTED_VALUE"""),17)</f>
        <v>17</v>
      </c>
      <c r="C1291" s="8" t="str">
        <f ca="1">IFERROR(__xludf.DUMMYFUNCTION("""COMPUTED_VALUE"""),"Male")</f>
        <v>Male</v>
      </c>
      <c r="D1291" s="8" t="str">
        <f ca="1">IFERROR(__xludf.DUMMYFUNCTION("""COMPUTED_VALUE"""),"Student")</f>
        <v>Student</v>
      </c>
      <c r="E1291" s="8" t="str">
        <f ca="1">IFERROR(__xludf.DUMMYFUNCTION("""COMPUTED_VALUE"""),"Fled/Escaped")</f>
        <v>Fled/Escaped</v>
      </c>
      <c r="F1291" s="8" t="str">
        <f ca="1">IFERROR(__xludf.DUMMYFUNCTION("""COMPUTED_VALUE"""),"Yes")</f>
        <v>Yes</v>
      </c>
      <c r="G1291" s="8" t="str">
        <f ca="1">IFERROR(__xludf.DUMMYFUNCTION("""COMPUTED_VALUE"""),"Suicide")</f>
        <v>Suicide</v>
      </c>
    </row>
    <row r="1292" spans="1:7" ht="12.75">
      <c r="A1292" s="8" t="str">
        <f ca="1">IFERROR(__xludf.DUMMYFUNCTION("""COMPUTED_VALUE"""),"20110104INCRC")</f>
        <v>20110104INCRC</v>
      </c>
      <c r="B1292" s="8"/>
      <c r="C1292" s="8"/>
      <c r="D1292" s="8" t="str">
        <f ca="1">IFERROR(__xludf.DUMMYFUNCTION("""COMPUTED_VALUE"""),"Unknown")</f>
        <v>Unknown</v>
      </c>
      <c r="E1292" s="8" t="str">
        <f ca="1">IFERROR(__xludf.DUMMYFUNCTION("""COMPUTED_VALUE"""),"Fled/Escaped")</f>
        <v>Fled/Escaped</v>
      </c>
      <c r="F1292" s="8" t="str">
        <f ca="1">IFERROR(__xludf.DUMMYFUNCTION("""COMPUTED_VALUE"""),"No")</f>
        <v>No</v>
      </c>
      <c r="G1292" s="8" t="str">
        <f ca="1">IFERROR(__xludf.DUMMYFUNCTION("""COMPUTED_VALUE"""),"None")</f>
        <v>None</v>
      </c>
    </row>
    <row r="1293" spans="1:7" ht="12.75">
      <c r="A1293" s="8" t="str">
        <f ca="1">IFERROR(__xludf.DUMMYFUNCTION("""COMPUTED_VALUE"""),"20101206COAUA")</f>
        <v>20101206COAUA</v>
      </c>
      <c r="B1293" s="8">
        <f ca="1">IFERROR(__xludf.DUMMYFUNCTION("""COMPUTED_VALUE"""),23)</f>
        <v>23</v>
      </c>
      <c r="C1293" s="8" t="str">
        <f ca="1">IFERROR(__xludf.DUMMYFUNCTION("""COMPUTED_VALUE"""),"Male")</f>
        <v>Male</v>
      </c>
      <c r="D1293" s="8" t="str">
        <f ca="1">IFERROR(__xludf.DUMMYFUNCTION("""COMPUTED_VALUE"""),"Former Student")</f>
        <v>Former Student</v>
      </c>
      <c r="E1293" s="8" t="str">
        <f ca="1">IFERROR(__xludf.DUMMYFUNCTION("""COMPUTED_VALUE"""),"Fled/Apprehended")</f>
        <v>Fled/Apprehended</v>
      </c>
      <c r="F1293" s="8" t="str">
        <f ca="1">IFERROR(__xludf.DUMMYFUNCTION("""COMPUTED_VALUE"""),"No")</f>
        <v>No</v>
      </c>
      <c r="G1293" s="8" t="str">
        <f ca="1">IFERROR(__xludf.DUMMYFUNCTION("""COMPUTED_VALUE"""),"None")</f>
        <v>None</v>
      </c>
    </row>
    <row r="1294" spans="1:7" ht="12.75">
      <c r="A1294" s="8" t="str">
        <f ca="1">IFERROR(__xludf.DUMMYFUNCTION("""COMPUTED_VALUE"""),"20101129WIMAM")</f>
        <v>20101129WIMAM</v>
      </c>
      <c r="B1294" s="8">
        <f ca="1">IFERROR(__xludf.DUMMYFUNCTION("""COMPUTED_VALUE"""),15)</f>
        <v>15</v>
      </c>
      <c r="C1294" s="8" t="str">
        <f ca="1">IFERROR(__xludf.DUMMYFUNCTION("""COMPUTED_VALUE"""),"Male")</f>
        <v>Male</v>
      </c>
      <c r="D1294" s="8" t="str">
        <f ca="1">IFERROR(__xludf.DUMMYFUNCTION("""COMPUTED_VALUE"""),"Student")</f>
        <v>Student</v>
      </c>
      <c r="E1294" s="8" t="str">
        <f ca="1">IFERROR(__xludf.DUMMYFUNCTION("""COMPUTED_VALUE"""),"Suicide")</f>
        <v>Suicide</v>
      </c>
      <c r="F1294" s="8" t="str">
        <f ca="1">IFERROR(__xludf.DUMMYFUNCTION("""COMPUTED_VALUE"""),"Yes")</f>
        <v>Yes</v>
      </c>
      <c r="G1294" s="8" t="str">
        <f ca="1">IFERROR(__xludf.DUMMYFUNCTION("""COMPUTED_VALUE"""),"Suicide")</f>
        <v>Suicide</v>
      </c>
    </row>
    <row r="1295" spans="1:7" ht="12.75">
      <c r="A1295" s="8" t="str">
        <f ca="1">IFERROR(__xludf.DUMMYFUNCTION("""COMPUTED_VALUE"""),"20101023KSTOT")</f>
        <v>20101023KSTOT</v>
      </c>
      <c r="B1295" s="8">
        <f ca="1">IFERROR(__xludf.DUMMYFUNCTION("""COMPUTED_VALUE"""),19)</f>
        <v>19</v>
      </c>
      <c r="C1295" s="8" t="str">
        <f ca="1">IFERROR(__xludf.DUMMYFUNCTION("""COMPUTED_VALUE"""),"Male")</f>
        <v>Male</v>
      </c>
      <c r="D1295" s="8" t="str">
        <f ca="1">IFERROR(__xludf.DUMMYFUNCTION("""COMPUTED_VALUE"""),"No Relation")</f>
        <v>No Relation</v>
      </c>
      <c r="E1295" s="8" t="str">
        <f ca="1">IFERROR(__xludf.DUMMYFUNCTION("""COMPUTED_VALUE"""),"Fled/Apprehended")</f>
        <v>Fled/Apprehended</v>
      </c>
      <c r="F1295" s="8" t="str">
        <f ca="1">IFERROR(__xludf.DUMMYFUNCTION("""COMPUTED_VALUE"""),"No")</f>
        <v>No</v>
      </c>
      <c r="G1295" s="8" t="str">
        <f ca="1">IFERROR(__xludf.DUMMYFUNCTION("""COMPUTED_VALUE"""),"None")</f>
        <v>None</v>
      </c>
    </row>
    <row r="1296" spans="1:7" ht="12.75">
      <c r="A1296" s="8" t="str">
        <f ca="1">IFERROR(__xludf.DUMMYFUNCTION("""COMPUTED_VALUE"""),"20101023KSTOT")</f>
        <v>20101023KSTOT</v>
      </c>
      <c r="B1296" s="8">
        <f ca="1">IFERROR(__xludf.DUMMYFUNCTION("""COMPUTED_VALUE"""),21)</f>
        <v>21</v>
      </c>
      <c r="C1296" s="8" t="str">
        <f ca="1">IFERROR(__xludf.DUMMYFUNCTION("""COMPUTED_VALUE"""),"Male")</f>
        <v>Male</v>
      </c>
      <c r="D1296" s="8" t="str">
        <f ca="1">IFERROR(__xludf.DUMMYFUNCTION("""COMPUTED_VALUE"""),"No Relation")</f>
        <v>No Relation</v>
      </c>
      <c r="E1296" s="8" t="str">
        <f ca="1">IFERROR(__xludf.DUMMYFUNCTION("""COMPUTED_VALUE"""),"Fled/Apprehended")</f>
        <v>Fled/Apprehended</v>
      </c>
      <c r="F1296" s="8" t="str">
        <f ca="1">IFERROR(__xludf.DUMMYFUNCTION("""COMPUTED_VALUE"""),"No")</f>
        <v>No</v>
      </c>
      <c r="G1296" s="8" t="str">
        <f ca="1">IFERROR(__xludf.DUMMYFUNCTION("""COMPUTED_VALUE"""),"None")</f>
        <v>None</v>
      </c>
    </row>
    <row r="1297" spans="1:7" ht="12.75">
      <c r="A1297" s="8" t="str">
        <f ca="1">IFERROR(__xludf.DUMMYFUNCTION("""COMPUTED_VALUE"""),"20101008CAKEC")</f>
        <v>20101008CAKEC</v>
      </c>
      <c r="B1297" s="8">
        <f ca="1">IFERROR(__xludf.DUMMYFUNCTION("""COMPUTED_VALUE"""),41)</f>
        <v>41</v>
      </c>
      <c r="C1297" s="8" t="str">
        <f ca="1">IFERROR(__xludf.DUMMYFUNCTION("""COMPUTED_VALUE"""),"Male")</f>
        <v>Male</v>
      </c>
      <c r="D1297" s="8" t="str">
        <f ca="1">IFERROR(__xludf.DUMMYFUNCTION("""COMPUTED_VALUE"""),"No Relation")</f>
        <v>No Relation</v>
      </c>
      <c r="E1297" s="8" t="str">
        <f ca="1">IFERROR(__xludf.DUMMYFUNCTION("""COMPUTED_VALUE"""),"Subdued by Students/Staff/Other")</f>
        <v>Subdued by Students/Staff/Other</v>
      </c>
      <c r="F1297" s="8" t="str">
        <f ca="1">IFERROR(__xludf.DUMMYFUNCTION("""COMPUTED_VALUE"""),"No")</f>
        <v>No</v>
      </c>
      <c r="G1297" s="8" t="str">
        <f ca="1">IFERROR(__xludf.DUMMYFUNCTION("""COMPUTED_VALUE"""),"None")</f>
        <v>None</v>
      </c>
    </row>
    <row r="1298" spans="1:7" ht="12.75">
      <c r="A1298" s="8" t="str">
        <f ca="1">IFERROR(__xludf.DUMMYFUNCTION("""COMPUTED_VALUE"""),"20101001CAALS")</f>
        <v>20101001CAALS</v>
      </c>
      <c r="B1298" s="8"/>
      <c r="C1298" s="8"/>
      <c r="D1298" s="8" t="str">
        <f ca="1">IFERROR(__xludf.DUMMYFUNCTION("""COMPUTED_VALUE"""),"Unknown")</f>
        <v>Unknown</v>
      </c>
      <c r="E1298" s="8" t="str">
        <f ca="1">IFERROR(__xludf.DUMMYFUNCTION("""COMPUTED_VALUE"""),"Fled/Apprehended")</f>
        <v>Fled/Apprehended</v>
      </c>
      <c r="F1298" s="8" t="str">
        <f ca="1">IFERROR(__xludf.DUMMYFUNCTION("""COMPUTED_VALUE"""),"No")</f>
        <v>No</v>
      </c>
      <c r="G1298" s="8" t="str">
        <f ca="1">IFERROR(__xludf.DUMMYFUNCTION("""COMPUTED_VALUE"""),"None")</f>
        <v>None</v>
      </c>
    </row>
    <row r="1299" spans="1:7" ht="12.75">
      <c r="A1299" s="8" t="str">
        <f ca="1">IFERROR(__xludf.DUMMYFUNCTION("""COMPUTED_VALUE"""),"20100921SCSOC")</f>
        <v>20100921SCSOC</v>
      </c>
      <c r="B1299" s="8">
        <f ca="1">IFERROR(__xludf.DUMMYFUNCTION("""COMPUTED_VALUE"""),15)</f>
        <v>15</v>
      </c>
      <c r="C1299" s="8" t="str">
        <f ca="1">IFERROR(__xludf.DUMMYFUNCTION("""COMPUTED_VALUE"""),"Male")</f>
        <v>Male</v>
      </c>
      <c r="D1299" s="8" t="str">
        <f ca="1">IFERROR(__xludf.DUMMYFUNCTION("""COMPUTED_VALUE"""),"Student")</f>
        <v>Student</v>
      </c>
      <c r="E1299" s="8" t="str">
        <f ca="1">IFERROR(__xludf.DUMMYFUNCTION("""COMPUTED_VALUE"""),"Apprehended/Killed by SRO")</f>
        <v>Apprehended/Killed by SRO</v>
      </c>
      <c r="F1299" s="8" t="str">
        <f ca="1">IFERROR(__xludf.DUMMYFUNCTION("""COMPUTED_VALUE"""),"No")</f>
        <v>No</v>
      </c>
      <c r="G1299" s="8" t="str">
        <f ca="1">IFERROR(__xludf.DUMMYFUNCTION("""COMPUTED_VALUE"""),"None")</f>
        <v>None</v>
      </c>
    </row>
    <row r="1300" spans="1:7" ht="12.75">
      <c r="A1300" s="8" t="str">
        <f ca="1">IFERROR(__xludf.DUMMYFUNCTION("""COMPUTED_VALUE"""),"20100908MIMUD")</f>
        <v>20100908MIMUD</v>
      </c>
      <c r="B1300" s="8">
        <f ca="1">IFERROR(__xludf.DUMMYFUNCTION("""COMPUTED_VALUE"""),17)</f>
        <v>17</v>
      </c>
      <c r="C1300" s="8" t="str">
        <f ca="1">IFERROR(__xludf.DUMMYFUNCTION("""COMPUTED_VALUE"""),"Male")</f>
        <v>Male</v>
      </c>
      <c r="D1300" s="8" t="str">
        <f ca="1">IFERROR(__xludf.DUMMYFUNCTION("""COMPUTED_VALUE"""),"Student")</f>
        <v>Student</v>
      </c>
      <c r="E1300" s="8" t="str">
        <f ca="1">IFERROR(__xludf.DUMMYFUNCTION("""COMPUTED_VALUE"""),"Fled/Apprehended")</f>
        <v>Fled/Apprehended</v>
      </c>
      <c r="F1300" s="8" t="str">
        <f ca="1">IFERROR(__xludf.DUMMYFUNCTION("""COMPUTED_VALUE"""),"No")</f>
        <v>No</v>
      </c>
      <c r="G1300" s="8" t="str">
        <f ca="1">IFERROR(__xludf.DUMMYFUNCTION("""COMPUTED_VALUE"""),"None")</f>
        <v>None</v>
      </c>
    </row>
    <row r="1301" spans="1:7" ht="12.75">
      <c r="A1301" s="8" t="str">
        <f ca="1">IFERROR(__xludf.DUMMYFUNCTION("""COMPUTED_VALUE"""),"20100830TNSUB")</f>
        <v>20100830TNSUB</v>
      </c>
      <c r="B1301" s="8">
        <f ca="1">IFERROR(__xludf.DUMMYFUNCTION("""COMPUTED_VALUE"""),62)</f>
        <v>62</v>
      </c>
      <c r="C1301" s="8" t="str">
        <f ca="1">IFERROR(__xludf.DUMMYFUNCTION("""COMPUTED_VALUE"""),"Male")</f>
        <v>Male</v>
      </c>
      <c r="D1301" s="8" t="str">
        <f ca="1">IFERROR(__xludf.DUMMYFUNCTION("""COMPUTED_VALUE"""),"Relative")</f>
        <v>Relative</v>
      </c>
      <c r="E1301" s="8" t="str">
        <f ca="1">IFERROR(__xludf.DUMMYFUNCTION("""COMPUTED_VALUE"""),"Apprehended/Killed by SRO")</f>
        <v>Apprehended/Killed by SRO</v>
      </c>
      <c r="F1301" s="8" t="str">
        <f ca="1">IFERROR(__xludf.DUMMYFUNCTION("""COMPUTED_VALUE"""),"No")</f>
        <v>No</v>
      </c>
      <c r="G1301" s="8" t="str">
        <f ca="1">IFERROR(__xludf.DUMMYFUNCTION("""COMPUTED_VALUE"""),"None")</f>
        <v>None</v>
      </c>
    </row>
    <row r="1302" spans="1:7" ht="12.75">
      <c r="A1302" s="8" t="str">
        <f ca="1">IFERROR(__xludf.DUMMYFUNCTION("""COMPUTED_VALUE"""),"20100518CASOS")</f>
        <v>20100518CASOS</v>
      </c>
      <c r="B1302" s="8">
        <f ca="1">IFERROR(__xludf.DUMMYFUNCTION("""COMPUTED_VALUE"""),17)</f>
        <v>17</v>
      </c>
      <c r="C1302" s="8" t="str">
        <f ca="1">IFERROR(__xludf.DUMMYFUNCTION("""COMPUTED_VALUE"""),"Male")</f>
        <v>Male</v>
      </c>
      <c r="D1302" s="8" t="str">
        <f ca="1">IFERROR(__xludf.DUMMYFUNCTION("""COMPUTED_VALUE"""),"Former Student")</f>
        <v>Former Student</v>
      </c>
      <c r="E1302" s="8" t="str">
        <f ca="1">IFERROR(__xludf.DUMMYFUNCTION("""COMPUTED_VALUE"""),"Fled/Apprehended")</f>
        <v>Fled/Apprehended</v>
      </c>
      <c r="F1302" s="8" t="str">
        <f ca="1">IFERROR(__xludf.DUMMYFUNCTION("""COMPUTED_VALUE"""),"No")</f>
        <v>No</v>
      </c>
      <c r="G1302" s="8" t="str">
        <f ca="1">IFERROR(__xludf.DUMMYFUNCTION("""COMPUTED_VALUE"""),"None")</f>
        <v>None</v>
      </c>
    </row>
    <row r="1303" spans="1:7" ht="12.75">
      <c r="A1303" s="8" t="str">
        <f ca="1">IFERROR(__xludf.DUMMYFUNCTION("""COMPUTED_VALUE"""),"20100428VAWOP")</f>
        <v>20100428VAWOP</v>
      </c>
      <c r="B1303" s="8">
        <f ca="1">IFERROR(__xludf.DUMMYFUNCTION("""COMPUTED_VALUE"""),15)</f>
        <v>15</v>
      </c>
      <c r="C1303" s="8" t="str">
        <f ca="1">IFERROR(__xludf.DUMMYFUNCTION("""COMPUTED_VALUE"""),"Male")</f>
        <v>Male</v>
      </c>
      <c r="D1303" s="8" t="str">
        <f ca="1">IFERROR(__xludf.DUMMYFUNCTION("""COMPUTED_VALUE"""),"Student")</f>
        <v>Student</v>
      </c>
      <c r="E1303" s="8" t="str">
        <f ca="1">IFERROR(__xludf.DUMMYFUNCTION("""COMPUTED_VALUE"""),"Fled/Apprehended")</f>
        <v>Fled/Apprehended</v>
      </c>
      <c r="F1303" s="8" t="str">
        <f ca="1">IFERROR(__xludf.DUMMYFUNCTION("""COMPUTED_VALUE"""),"No")</f>
        <v>No</v>
      </c>
      <c r="G1303" s="8" t="str">
        <f ca="1">IFERROR(__xludf.DUMMYFUNCTION("""COMPUTED_VALUE"""),"None")</f>
        <v>None</v>
      </c>
    </row>
    <row r="1304" spans="1:7" ht="12.75">
      <c r="A1304" s="8" t="str">
        <f ca="1">IFERROR(__xludf.DUMMYFUNCTION("""COMPUTED_VALUE"""),"20100226WABIT")</f>
        <v>20100226WABIT</v>
      </c>
      <c r="B1304" s="8">
        <f ca="1">IFERROR(__xludf.DUMMYFUNCTION("""COMPUTED_VALUE"""),30)</f>
        <v>30</v>
      </c>
      <c r="C1304" s="8" t="str">
        <f ca="1">IFERROR(__xludf.DUMMYFUNCTION("""COMPUTED_VALUE"""),"Male")</f>
        <v>Male</v>
      </c>
      <c r="D1304" s="8" t="str">
        <f ca="1">IFERROR(__xludf.DUMMYFUNCTION("""COMPUTED_VALUE"""),"Intimate Relationship")</f>
        <v>Intimate Relationship</v>
      </c>
      <c r="E1304" s="8" t="str">
        <f ca="1">IFERROR(__xludf.DUMMYFUNCTION("""COMPUTED_VALUE"""),"Fled/Apprehended")</f>
        <v>Fled/Apprehended</v>
      </c>
      <c r="F1304" s="8" t="str">
        <f ca="1">IFERROR(__xludf.DUMMYFUNCTION("""COMPUTED_VALUE"""),"No")</f>
        <v>No</v>
      </c>
      <c r="G1304" s="8" t="str">
        <f ca="1">IFERROR(__xludf.DUMMYFUNCTION("""COMPUTED_VALUE"""),"None")</f>
        <v>None</v>
      </c>
    </row>
    <row r="1305" spans="1:7" ht="12.75">
      <c r="A1305" s="8" t="str">
        <f ca="1">IFERROR(__xludf.DUMMYFUNCTION("""COMPUTED_VALUE"""),"20100223CODEL")</f>
        <v>20100223CODEL</v>
      </c>
      <c r="B1305" s="8">
        <f ca="1">IFERROR(__xludf.DUMMYFUNCTION("""COMPUTED_VALUE"""),32)</f>
        <v>32</v>
      </c>
      <c r="C1305" s="8" t="str">
        <f ca="1">IFERROR(__xludf.DUMMYFUNCTION("""COMPUTED_VALUE"""),"Male")</f>
        <v>Male</v>
      </c>
      <c r="D1305" s="8" t="str">
        <f ca="1">IFERROR(__xludf.DUMMYFUNCTION("""COMPUTED_VALUE"""),"Former Student")</f>
        <v>Former Student</v>
      </c>
      <c r="E1305" s="8" t="str">
        <f ca="1">IFERROR(__xludf.DUMMYFUNCTION("""COMPUTED_VALUE"""),"Subdued by Students/Staff/Other")</f>
        <v>Subdued by Students/Staff/Other</v>
      </c>
      <c r="F1305" s="8" t="str">
        <f ca="1">IFERROR(__xludf.DUMMYFUNCTION("""COMPUTED_VALUE"""),"No")</f>
        <v>No</v>
      </c>
      <c r="G1305" s="8" t="str">
        <f ca="1">IFERROR(__xludf.DUMMYFUNCTION("""COMPUTED_VALUE"""),"None")</f>
        <v>None</v>
      </c>
    </row>
    <row r="1306" spans="1:7" ht="12.75">
      <c r="A1306" s="8" t="str">
        <f ca="1">IFERROR(__xludf.DUMMYFUNCTION("""COMPUTED_VALUE"""),"20100210TNINK")</f>
        <v>20100210TNINK</v>
      </c>
      <c r="B1306" s="8">
        <f ca="1">IFERROR(__xludf.DUMMYFUNCTION("""COMPUTED_VALUE"""),48)</f>
        <v>48</v>
      </c>
      <c r="C1306" s="8" t="str">
        <f ca="1">IFERROR(__xludf.DUMMYFUNCTION("""COMPUTED_VALUE"""),"Male")</f>
        <v>Male</v>
      </c>
      <c r="D1306" s="8" t="str">
        <f ca="1">IFERROR(__xludf.DUMMYFUNCTION("""COMPUTED_VALUE"""),"Teacher")</f>
        <v>Teacher</v>
      </c>
      <c r="E1306" s="8" t="str">
        <f ca="1">IFERROR(__xludf.DUMMYFUNCTION("""COMPUTED_VALUE"""),"Fled/Apprehended")</f>
        <v>Fled/Apprehended</v>
      </c>
      <c r="F1306" s="8" t="str">
        <f ca="1">IFERROR(__xludf.DUMMYFUNCTION("""COMPUTED_VALUE"""),"No")</f>
        <v>No</v>
      </c>
      <c r="G1306" s="8" t="str">
        <f ca="1">IFERROR(__xludf.DUMMYFUNCTION("""COMPUTED_VALUE"""),"None")</f>
        <v>None</v>
      </c>
    </row>
    <row r="1307" spans="1:7" ht="12.75">
      <c r="A1307" s="8" t="str">
        <f ca="1">IFERROR(__xludf.DUMMYFUNCTION("""COMPUTED_VALUE"""),"20100205ALDIM")</f>
        <v>20100205ALDIM</v>
      </c>
      <c r="B1307" s="8">
        <f ca="1">IFERROR(__xludf.DUMMYFUNCTION("""COMPUTED_VALUE"""),14)</f>
        <v>14</v>
      </c>
      <c r="C1307" s="8" t="str">
        <f ca="1">IFERROR(__xludf.DUMMYFUNCTION("""COMPUTED_VALUE"""),"Male")</f>
        <v>Male</v>
      </c>
      <c r="D1307" s="8" t="str">
        <f ca="1">IFERROR(__xludf.DUMMYFUNCTION("""COMPUTED_VALUE"""),"Student")</f>
        <v>Student</v>
      </c>
      <c r="E1307" s="8" t="str">
        <f ca="1">IFERROR(__xludf.DUMMYFUNCTION("""COMPUTED_VALUE"""),"Apprehended/Killed by SRO")</f>
        <v>Apprehended/Killed by SRO</v>
      </c>
      <c r="F1307" s="8" t="str">
        <f ca="1">IFERROR(__xludf.DUMMYFUNCTION("""COMPUTED_VALUE"""),"No")</f>
        <v>No</v>
      </c>
      <c r="G1307" s="8" t="str">
        <f ca="1">IFERROR(__xludf.DUMMYFUNCTION("""COMPUTED_VALUE"""),"None")</f>
        <v>None</v>
      </c>
    </row>
    <row r="1308" spans="1:7" ht="12.75">
      <c r="A1308" s="8" t="str">
        <f ca="1">IFERROR(__xludf.DUMMYFUNCTION("""COMPUTED_VALUE"""),"20100120ALLIL")</f>
        <v>20100120ALLIL</v>
      </c>
      <c r="B1308" s="8">
        <f ca="1">IFERROR(__xludf.DUMMYFUNCTION("""COMPUTED_VALUE"""),32)</f>
        <v>32</v>
      </c>
      <c r="C1308" s="8" t="str">
        <f ca="1">IFERROR(__xludf.DUMMYFUNCTION("""COMPUTED_VALUE"""),"Male")</f>
        <v>Male</v>
      </c>
      <c r="D1308" s="8" t="str">
        <f ca="1">IFERROR(__xludf.DUMMYFUNCTION("""COMPUTED_VALUE"""),"Intimate Relationship")</f>
        <v>Intimate Relationship</v>
      </c>
      <c r="E1308" s="8" t="str">
        <f ca="1">IFERROR(__xludf.DUMMYFUNCTION("""COMPUTED_VALUE"""),"Fled/Apprehended")</f>
        <v>Fled/Apprehended</v>
      </c>
      <c r="F1308" s="8" t="str">
        <f ca="1">IFERROR(__xludf.DUMMYFUNCTION("""COMPUTED_VALUE"""),"No")</f>
        <v>No</v>
      </c>
      <c r="G1308" s="8" t="str">
        <f ca="1">IFERROR(__xludf.DUMMYFUNCTION("""COMPUTED_VALUE"""),"None")</f>
        <v>None</v>
      </c>
    </row>
    <row r="1309" spans="1:7" ht="12.75">
      <c r="A1309" s="8" t="str">
        <f ca="1">IFERROR(__xludf.DUMMYFUNCTION("""COMPUTED_VALUE"""),"20091211LABOS")</f>
        <v>20091211LABOS</v>
      </c>
      <c r="B1309" s="8">
        <f ca="1">IFERROR(__xludf.DUMMYFUNCTION("""COMPUTED_VALUE"""),28)</f>
        <v>28</v>
      </c>
      <c r="C1309" s="8" t="str">
        <f ca="1">IFERROR(__xludf.DUMMYFUNCTION("""COMPUTED_VALUE"""),"Male")</f>
        <v>Male</v>
      </c>
      <c r="D1309" s="8" t="str">
        <f ca="1">IFERROR(__xludf.DUMMYFUNCTION("""COMPUTED_VALUE"""),"Intimate Relationship")</f>
        <v>Intimate Relationship</v>
      </c>
      <c r="E1309" s="8" t="str">
        <f ca="1">IFERROR(__xludf.DUMMYFUNCTION("""COMPUTED_VALUE"""),"Fled/Apprehended")</f>
        <v>Fled/Apprehended</v>
      </c>
      <c r="F1309" s="8" t="str">
        <f ca="1">IFERROR(__xludf.DUMMYFUNCTION("""COMPUTED_VALUE"""),"No")</f>
        <v>No</v>
      </c>
      <c r="G1309" s="8" t="str">
        <f ca="1">IFERROR(__xludf.DUMMYFUNCTION("""COMPUTED_VALUE"""),"None")</f>
        <v>None</v>
      </c>
    </row>
    <row r="1310" spans="1:7" ht="12.75">
      <c r="A1310" s="8" t="str">
        <f ca="1">IFERROR(__xludf.DUMMYFUNCTION("""COMPUTED_VALUE"""),"20091106PAHAW")</f>
        <v>20091106PAHAW</v>
      </c>
      <c r="B1310" s="8">
        <f ca="1">IFERROR(__xludf.DUMMYFUNCTION("""COMPUTED_VALUE"""),15)</f>
        <v>15</v>
      </c>
      <c r="C1310" s="8" t="str">
        <f ca="1">IFERROR(__xludf.DUMMYFUNCTION("""COMPUTED_VALUE"""),"Male")</f>
        <v>Male</v>
      </c>
      <c r="D1310" s="8" t="str">
        <f ca="1">IFERROR(__xludf.DUMMYFUNCTION("""COMPUTED_VALUE"""),"Student")</f>
        <v>Student</v>
      </c>
      <c r="E1310" s="8" t="str">
        <f ca="1">IFERROR(__xludf.DUMMYFUNCTION("""COMPUTED_VALUE"""),"Fled/Apprehended")</f>
        <v>Fled/Apprehended</v>
      </c>
      <c r="F1310" s="8" t="str">
        <f ca="1">IFERROR(__xludf.DUMMYFUNCTION("""COMPUTED_VALUE"""),"No")</f>
        <v>No</v>
      </c>
      <c r="G1310" s="8" t="str">
        <f ca="1">IFERROR(__xludf.DUMMYFUNCTION("""COMPUTED_VALUE"""),"None")</f>
        <v>None</v>
      </c>
    </row>
    <row r="1311" spans="1:7" ht="12.75">
      <c r="A1311" s="8" t="str">
        <f ca="1">IFERROR(__xludf.DUMMYFUNCTION("""COMPUTED_VALUE"""),"20091030CAWIL")</f>
        <v>20091030CAWIL</v>
      </c>
      <c r="B1311" s="8">
        <f ca="1">IFERROR(__xludf.DUMMYFUNCTION("""COMPUTED_VALUE"""),18)</f>
        <v>18</v>
      </c>
      <c r="C1311" s="8" t="str">
        <f ca="1">IFERROR(__xludf.DUMMYFUNCTION("""COMPUTED_VALUE"""),"Male")</f>
        <v>Male</v>
      </c>
      <c r="D1311" s="8" t="str">
        <f ca="1">IFERROR(__xludf.DUMMYFUNCTION("""COMPUTED_VALUE"""),"Nonstudent Using Athletic Facilities/Attending Game")</f>
        <v>Nonstudent Using Athletic Facilities/Attending Game</v>
      </c>
      <c r="E1311" s="8" t="str">
        <f ca="1">IFERROR(__xludf.DUMMYFUNCTION("""COMPUTED_VALUE"""),"Fled/Apprehended")</f>
        <v>Fled/Apprehended</v>
      </c>
      <c r="F1311" s="8" t="str">
        <f ca="1">IFERROR(__xludf.DUMMYFUNCTION("""COMPUTED_VALUE"""),"No")</f>
        <v>No</v>
      </c>
      <c r="G1311" s="8" t="str">
        <f ca="1">IFERROR(__xludf.DUMMYFUNCTION("""COMPUTED_VALUE"""),"None")</f>
        <v>None</v>
      </c>
    </row>
    <row r="1312" spans="1:7" ht="12.75">
      <c r="A1312" s="8" t="str">
        <f ca="1">IFERROR(__xludf.DUMMYFUNCTION("""COMPUTED_VALUE"""),"20091016SCCAC")</f>
        <v>20091016SCCAC</v>
      </c>
      <c r="B1312" s="8" t="str">
        <f ca="1">IFERROR(__xludf.DUMMYFUNCTION("""COMPUTED_VALUE"""),"Adult")</f>
        <v>Adult</v>
      </c>
      <c r="C1312" s="8" t="str">
        <f ca="1">IFERROR(__xludf.DUMMYFUNCTION("""COMPUTED_VALUE"""),"Male")</f>
        <v>Male</v>
      </c>
      <c r="D1312" s="8" t="str">
        <f ca="1">IFERROR(__xludf.DUMMYFUNCTION("""COMPUTED_VALUE"""),"Police Officer/SRO")</f>
        <v>Police Officer/SRO</v>
      </c>
      <c r="E1312" s="8" t="str">
        <f ca="1">IFERROR(__xludf.DUMMYFUNCTION("""COMPUTED_VALUE"""),"Law Enforcement")</f>
        <v>Law Enforcement</v>
      </c>
      <c r="F1312" s="8" t="str">
        <f ca="1">IFERROR(__xludf.DUMMYFUNCTION("""COMPUTED_VALUE"""),"No")</f>
        <v>No</v>
      </c>
      <c r="G1312" s="8" t="str">
        <f ca="1">IFERROR(__xludf.DUMMYFUNCTION("""COMPUTED_VALUE"""),"None")</f>
        <v>None</v>
      </c>
    </row>
    <row r="1313" spans="1:7" ht="12.75">
      <c r="A1313" s="8" t="str">
        <f ca="1">IFERROR(__xludf.DUMMYFUNCTION("""COMPUTED_VALUE"""),"20091008NYMAM")</f>
        <v>20091008NYMAM</v>
      </c>
      <c r="B1313" s="8">
        <f ca="1">IFERROR(__xludf.DUMMYFUNCTION("""COMPUTED_VALUE"""),28)</f>
        <v>28</v>
      </c>
      <c r="C1313" s="8" t="str">
        <f ca="1">IFERROR(__xludf.DUMMYFUNCTION("""COMPUTED_VALUE"""),"Male")</f>
        <v>Male</v>
      </c>
      <c r="D1313" s="8" t="str">
        <f ca="1">IFERROR(__xludf.DUMMYFUNCTION("""COMPUTED_VALUE"""),"No Relation")</f>
        <v>No Relation</v>
      </c>
      <c r="E1313" s="8" t="str">
        <f ca="1">IFERROR(__xludf.DUMMYFUNCTION("""COMPUTED_VALUE"""),"Unknown")</f>
        <v>Unknown</v>
      </c>
      <c r="F1313" s="8" t="str">
        <f ca="1">IFERROR(__xludf.DUMMYFUNCTION("""COMPUTED_VALUE"""),"No")</f>
        <v>No</v>
      </c>
      <c r="G1313" s="8" t="str">
        <f ca="1">IFERROR(__xludf.DUMMYFUNCTION("""COMPUTED_VALUE"""),"None")</f>
        <v>None</v>
      </c>
    </row>
    <row r="1314" spans="1:7" ht="12.75">
      <c r="A1314" s="8" t="str">
        <f ca="1">IFERROR(__xludf.DUMMYFUNCTION("""COMPUTED_VALUE"""),"20090916VAVIG")</f>
        <v>20090916VAVIG</v>
      </c>
      <c r="B1314" s="8">
        <f ca="1">IFERROR(__xludf.DUMMYFUNCTION("""COMPUTED_VALUE"""),16)</f>
        <v>16</v>
      </c>
      <c r="C1314" s="8" t="str">
        <f ca="1">IFERROR(__xludf.DUMMYFUNCTION("""COMPUTED_VALUE"""),"Male")</f>
        <v>Male</v>
      </c>
      <c r="D1314" s="8" t="str">
        <f ca="1">IFERROR(__xludf.DUMMYFUNCTION("""COMPUTED_VALUE"""),"Student")</f>
        <v>Student</v>
      </c>
      <c r="E1314" s="8" t="str">
        <f ca="1">IFERROR(__xludf.DUMMYFUNCTION("""COMPUTED_VALUE"""),"Fled/Apprehended")</f>
        <v>Fled/Apprehended</v>
      </c>
      <c r="F1314" s="8" t="str">
        <f ca="1">IFERROR(__xludf.DUMMYFUNCTION("""COMPUTED_VALUE"""),"No")</f>
        <v>No</v>
      </c>
      <c r="G1314" s="8" t="str">
        <f ca="1">IFERROR(__xludf.DUMMYFUNCTION("""COMPUTED_VALUE"""),"None")</f>
        <v>None</v>
      </c>
    </row>
    <row r="1315" spans="1:7" ht="12.75">
      <c r="A1315" s="8" t="str">
        <f ca="1">IFERROR(__xludf.DUMMYFUNCTION("""COMPUTED_VALUE"""),"20090908CTSTS")</f>
        <v>20090908CTSTS</v>
      </c>
      <c r="B1315" s="8">
        <f ca="1">IFERROR(__xludf.DUMMYFUNCTION("""COMPUTED_VALUE"""),16)</f>
        <v>16</v>
      </c>
      <c r="C1315" s="8" t="str">
        <f ca="1">IFERROR(__xludf.DUMMYFUNCTION("""COMPUTED_VALUE"""),"Male")</f>
        <v>Male</v>
      </c>
      <c r="D1315" s="8" t="str">
        <f ca="1">IFERROR(__xludf.DUMMYFUNCTION("""COMPUTED_VALUE"""),"Student")</f>
        <v>Student</v>
      </c>
      <c r="E1315" s="8" t="str">
        <f ca="1">IFERROR(__xludf.DUMMYFUNCTION("""COMPUTED_VALUE"""),"Fled/Apprehended")</f>
        <v>Fled/Apprehended</v>
      </c>
      <c r="F1315" s="8" t="str">
        <f ca="1">IFERROR(__xludf.DUMMYFUNCTION("""COMPUTED_VALUE"""),"No")</f>
        <v>No</v>
      </c>
      <c r="G1315" s="8" t="str">
        <f ca="1">IFERROR(__xludf.DUMMYFUNCTION("""COMPUTED_VALUE"""),"None")</f>
        <v>None</v>
      </c>
    </row>
    <row r="1316" spans="1:7" ht="12.75">
      <c r="A1316" s="8" t="str">
        <f ca="1">IFERROR(__xludf.DUMMYFUNCTION("""COMPUTED_VALUE"""),"20090827NCWEF")</f>
        <v>20090827NCWEF</v>
      </c>
      <c r="B1316" s="8">
        <f ca="1">IFERROR(__xludf.DUMMYFUNCTION("""COMPUTED_VALUE"""),16)</f>
        <v>16</v>
      </c>
      <c r="C1316" s="8" t="str">
        <f ca="1">IFERROR(__xludf.DUMMYFUNCTION("""COMPUTED_VALUE"""),"Male")</f>
        <v>Male</v>
      </c>
      <c r="D1316" s="8" t="str">
        <f ca="1">IFERROR(__xludf.DUMMYFUNCTION("""COMPUTED_VALUE"""),"Student")</f>
        <v>Student</v>
      </c>
      <c r="E1316" s="8" t="str">
        <f ca="1">IFERROR(__xludf.DUMMYFUNCTION("""COMPUTED_VALUE"""),"Fled/Apprehended")</f>
        <v>Fled/Apprehended</v>
      </c>
      <c r="F1316" s="8" t="str">
        <f ca="1">IFERROR(__xludf.DUMMYFUNCTION("""COMPUTED_VALUE"""),"No")</f>
        <v>No</v>
      </c>
      <c r="G1316" s="8" t="str">
        <f ca="1">IFERROR(__xludf.DUMMYFUNCTION("""COMPUTED_VALUE"""),"None")</f>
        <v>None</v>
      </c>
    </row>
    <row r="1317" spans="1:7" ht="12.75">
      <c r="A1317" s="8" t="str">
        <f ca="1">IFERROR(__xludf.DUMMYFUNCTION("""COMPUTED_VALUE"""),"20090624IAAPP")</f>
        <v>20090624IAAPP</v>
      </c>
      <c r="B1317" s="8">
        <f ca="1">IFERROR(__xludf.DUMMYFUNCTION("""COMPUTED_VALUE"""),24)</f>
        <v>24</v>
      </c>
      <c r="C1317" s="8" t="str">
        <f ca="1">IFERROR(__xludf.DUMMYFUNCTION("""COMPUTED_VALUE"""),"Male")</f>
        <v>Male</v>
      </c>
      <c r="D1317" s="8" t="str">
        <f ca="1">IFERROR(__xludf.DUMMYFUNCTION("""COMPUTED_VALUE"""),"Former Student")</f>
        <v>Former Student</v>
      </c>
      <c r="E1317" s="8" t="str">
        <f ca="1">IFERROR(__xludf.DUMMYFUNCTION("""COMPUTED_VALUE"""),"Fled/Apprehended")</f>
        <v>Fled/Apprehended</v>
      </c>
      <c r="F1317" s="8" t="str">
        <f ca="1">IFERROR(__xludf.DUMMYFUNCTION("""COMPUTED_VALUE"""),"No")</f>
        <v>No</v>
      </c>
      <c r="G1317" s="8" t="str">
        <f ca="1">IFERROR(__xludf.DUMMYFUNCTION("""COMPUTED_VALUE"""),"None")</f>
        <v>None</v>
      </c>
    </row>
    <row r="1318" spans="1:7" ht="12.75">
      <c r="A1318" s="8" t="str">
        <f ca="1">IFERROR(__xludf.DUMMYFUNCTION("""COMPUTED_VALUE"""),"20090615CAINS")</f>
        <v>20090615CAINS</v>
      </c>
      <c r="B1318" s="8"/>
      <c r="C1318" s="8" t="str">
        <f ca="1">IFERROR(__xludf.DUMMYFUNCTION("""COMPUTED_VALUE"""),"Male")</f>
        <v>Male</v>
      </c>
      <c r="D1318" s="8" t="str">
        <f ca="1">IFERROR(__xludf.DUMMYFUNCTION("""COMPUTED_VALUE"""),"Unknown")</f>
        <v>Unknown</v>
      </c>
      <c r="E1318" s="8" t="str">
        <f ca="1">IFERROR(__xludf.DUMMYFUNCTION("""COMPUTED_VALUE"""),"Fled/Apprehended")</f>
        <v>Fled/Apprehended</v>
      </c>
      <c r="F1318" s="8" t="str">
        <f ca="1">IFERROR(__xludf.DUMMYFUNCTION("""COMPUTED_VALUE"""),"No")</f>
        <v>No</v>
      </c>
      <c r="G1318" s="8" t="str">
        <f ca="1">IFERROR(__xludf.DUMMYFUNCTION("""COMPUTED_VALUE"""),"None")</f>
        <v>None</v>
      </c>
    </row>
    <row r="1319" spans="1:7" ht="12.75">
      <c r="A1319" s="8" t="str">
        <f ca="1">IFERROR(__xludf.DUMMYFUNCTION("""COMPUTED_VALUE"""),"20090518LALAL")</f>
        <v>20090518LALAL</v>
      </c>
      <c r="B1319" s="8">
        <f ca="1">IFERROR(__xludf.DUMMYFUNCTION("""COMPUTED_VALUE"""),15)</f>
        <v>15</v>
      </c>
      <c r="C1319" s="8" t="str">
        <f ca="1">IFERROR(__xludf.DUMMYFUNCTION("""COMPUTED_VALUE"""),"Male")</f>
        <v>Male</v>
      </c>
      <c r="D1319" s="8" t="str">
        <f ca="1">IFERROR(__xludf.DUMMYFUNCTION("""COMPUTED_VALUE"""),"Student")</f>
        <v>Student</v>
      </c>
      <c r="E1319" s="8" t="str">
        <f ca="1">IFERROR(__xludf.DUMMYFUNCTION("""COMPUTED_VALUE"""),"Suicide")</f>
        <v>Suicide</v>
      </c>
      <c r="F1319" s="8" t="str">
        <f ca="1">IFERROR(__xludf.DUMMYFUNCTION("""COMPUTED_VALUE"""),"Yes")</f>
        <v>Yes</v>
      </c>
      <c r="G1319" s="8" t="str">
        <f ca="1">IFERROR(__xludf.DUMMYFUNCTION("""COMPUTED_VALUE"""),"Suicide")</f>
        <v>Suicide</v>
      </c>
    </row>
    <row r="1320" spans="1:7" ht="12.75">
      <c r="A1320" s="8" t="str">
        <f ca="1">IFERROR(__xludf.DUMMYFUNCTION("""COMPUTED_VALUE"""),"20090505NYCAC")</f>
        <v>20090505NYCAC</v>
      </c>
      <c r="B1320" s="8">
        <f ca="1">IFERROR(__xludf.DUMMYFUNCTION("""COMPUTED_VALUE"""),17)</f>
        <v>17</v>
      </c>
      <c r="C1320" s="8" t="str">
        <f ca="1">IFERROR(__xludf.DUMMYFUNCTION("""COMPUTED_VALUE"""),"Male")</f>
        <v>Male</v>
      </c>
      <c r="D1320" s="8" t="str">
        <f ca="1">IFERROR(__xludf.DUMMYFUNCTION("""COMPUTED_VALUE"""),"Student")</f>
        <v>Student</v>
      </c>
      <c r="E1320" s="8" t="str">
        <f ca="1">IFERROR(__xludf.DUMMYFUNCTION("""COMPUTED_VALUE"""),"Suicide")</f>
        <v>Suicide</v>
      </c>
      <c r="F1320" s="8" t="str">
        <f ca="1">IFERROR(__xludf.DUMMYFUNCTION("""COMPUTED_VALUE"""),"Yes")</f>
        <v>Yes</v>
      </c>
      <c r="G1320" s="8" t="str">
        <f ca="1">IFERROR(__xludf.DUMMYFUNCTION("""COMPUTED_VALUE"""),"Suicide")</f>
        <v>Suicide</v>
      </c>
    </row>
    <row r="1321" spans="1:7" ht="12.75">
      <c r="A1321" s="8" t="str">
        <f ca="1">IFERROR(__xludf.DUMMYFUNCTION("""COMPUTED_VALUE"""),"20090501WISHS")</f>
        <v>20090501WISHS</v>
      </c>
      <c r="B1321" s="8">
        <f ca="1">IFERROR(__xludf.DUMMYFUNCTION("""COMPUTED_VALUE"""),17)</f>
        <v>17</v>
      </c>
      <c r="C1321" s="8" t="str">
        <f ca="1">IFERROR(__xludf.DUMMYFUNCTION("""COMPUTED_VALUE"""),"Male")</f>
        <v>Male</v>
      </c>
      <c r="D1321" s="8" t="str">
        <f ca="1">IFERROR(__xludf.DUMMYFUNCTION("""COMPUTED_VALUE"""),"Student")</f>
        <v>Student</v>
      </c>
      <c r="E1321" s="8" t="str">
        <f ca="1">IFERROR(__xludf.DUMMYFUNCTION("""COMPUTED_VALUE"""),"Suicide")</f>
        <v>Suicide</v>
      </c>
      <c r="F1321" s="8" t="str">
        <f ca="1">IFERROR(__xludf.DUMMYFUNCTION("""COMPUTED_VALUE"""),"Yes")</f>
        <v>Yes</v>
      </c>
      <c r="G1321" s="8" t="str">
        <f ca="1">IFERROR(__xludf.DUMMYFUNCTION("""COMPUTED_VALUE"""),"Suicide")</f>
        <v>Suicide</v>
      </c>
    </row>
    <row r="1322" spans="1:7" ht="12.75">
      <c r="A1322" s="8" t="str">
        <f ca="1">IFERROR(__xludf.DUMMYFUNCTION("""COMPUTED_VALUE"""),"20090413CALOL")</f>
        <v>20090413CALOL</v>
      </c>
      <c r="B1322" s="8"/>
      <c r="C1322" s="8" t="str">
        <f ca="1">IFERROR(__xludf.DUMMYFUNCTION("""COMPUTED_VALUE"""),"Male")</f>
        <v>Male</v>
      </c>
      <c r="D1322" s="8" t="str">
        <f ca="1">IFERROR(__xludf.DUMMYFUNCTION("""COMPUTED_VALUE"""),"Unknown")</f>
        <v>Unknown</v>
      </c>
      <c r="E1322" s="8" t="str">
        <f ca="1">IFERROR(__xludf.DUMMYFUNCTION("""COMPUTED_VALUE"""),"Fled/Escaped")</f>
        <v>Fled/Escaped</v>
      </c>
      <c r="F1322" s="8" t="str">
        <f ca="1">IFERROR(__xludf.DUMMYFUNCTION("""COMPUTED_VALUE"""),"No")</f>
        <v>No</v>
      </c>
      <c r="G1322" s="8" t="str">
        <f ca="1">IFERROR(__xludf.DUMMYFUNCTION("""COMPUTED_VALUE"""),"None")</f>
        <v>None</v>
      </c>
    </row>
    <row r="1323" spans="1:7" ht="12.75">
      <c r="A1323" s="8" t="str">
        <f ca="1">IFERROR(__xludf.DUMMYFUNCTION("""COMPUTED_VALUE"""),"20090311TXCYH")</f>
        <v>20090311TXCYH</v>
      </c>
      <c r="B1323" s="8" t="str">
        <f ca="1">IFERROR(__xludf.DUMMYFUNCTION("""COMPUTED_VALUE"""),"Teen")</f>
        <v>Teen</v>
      </c>
      <c r="C1323" s="8" t="str">
        <f ca="1">IFERROR(__xludf.DUMMYFUNCTION("""COMPUTED_VALUE"""),"Male")</f>
        <v>Male</v>
      </c>
      <c r="D1323" s="8" t="str">
        <f ca="1">IFERROR(__xludf.DUMMYFUNCTION("""COMPUTED_VALUE"""),"Student")</f>
        <v>Student</v>
      </c>
      <c r="E1323" s="8" t="str">
        <f ca="1">IFERROR(__xludf.DUMMYFUNCTION("""COMPUTED_VALUE"""),"Unknown")</f>
        <v>Unknown</v>
      </c>
      <c r="F1323" s="8" t="str">
        <f ca="1">IFERROR(__xludf.DUMMYFUNCTION("""COMPUTED_VALUE"""),"No")</f>
        <v>No</v>
      </c>
      <c r="G1323" s="8" t="str">
        <f ca="1">IFERROR(__xludf.DUMMYFUNCTION("""COMPUTED_VALUE"""),"None")</f>
        <v>None</v>
      </c>
    </row>
    <row r="1324" spans="1:7" ht="12.75">
      <c r="A1324" s="8" t="str">
        <f ca="1">IFERROR(__xludf.DUMMYFUNCTION("""COMPUTED_VALUE"""),"20090310FLRIJ")</f>
        <v>20090310FLRIJ</v>
      </c>
      <c r="B1324" s="8" t="str">
        <f ca="1">IFERROR(__xludf.DUMMYFUNCTION("""COMPUTED_VALUE"""),"Teen")</f>
        <v>Teen</v>
      </c>
      <c r="C1324" s="8" t="str">
        <f ca="1">IFERROR(__xludf.DUMMYFUNCTION("""COMPUTED_VALUE"""),"Male")</f>
        <v>Male</v>
      </c>
      <c r="D1324" s="8" t="str">
        <f ca="1">IFERROR(__xludf.DUMMYFUNCTION("""COMPUTED_VALUE"""),"Student")</f>
        <v>Student</v>
      </c>
      <c r="E1324" s="8" t="str">
        <f ca="1">IFERROR(__xludf.DUMMYFUNCTION("""COMPUTED_VALUE"""),"Fled/Escaped")</f>
        <v>Fled/Escaped</v>
      </c>
      <c r="F1324" s="8" t="str">
        <f ca="1">IFERROR(__xludf.DUMMYFUNCTION("""COMPUTED_VALUE"""),"No")</f>
        <v>No</v>
      </c>
      <c r="G1324" s="8" t="str">
        <f ca="1">IFERROR(__xludf.DUMMYFUNCTION("""COMPUTED_VALUE"""),"None")</f>
        <v>None</v>
      </c>
    </row>
    <row r="1325" spans="1:7" ht="12.75">
      <c r="A1325" s="8" t="str">
        <f ca="1">IFERROR(__xludf.DUMMYFUNCTION("""COMPUTED_VALUE"""),"20090310FLRIJ")</f>
        <v>20090310FLRIJ</v>
      </c>
      <c r="B1325" s="8" t="str">
        <f ca="1">IFERROR(__xludf.DUMMYFUNCTION("""COMPUTED_VALUE"""),"Teen")</f>
        <v>Teen</v>
      </c>
      <c r="C1325" s="8" t="str">
        <f ca="1">IFERROR(__xludf.DUMMYFUNCTION("""COMPUTED_VALUE"""),"Male")</f>
        <v>Male</v>
      </c>
      <c r="D1325" s="8" t="str">
        <f ca="1">IFERROR(__xludf.DUMMYFUNCTION("""COMPUTED_VALUE"""),"Student")</f>
        <v>Student</v>
      </c>
      <c r="E1325" s="8" t="str">
        <f ca="1">IFERROR(__xludf.DUMMYFUNCTION("""COMPUTED_VALUE"""),"Fled/Escaped")</f>
        <v>Fled/Escaped</v>
      </c>
      <c r="F1325" s="8" t="str">
        <f ca="1">IFERROR(__xludf.DUMMYFUNCTION("""COMPUTED_VALUE"""),"No")</f>
        <v>No</v>
      </c>
      <c r="G1325" s="8" t="str">
        <f ca="1">IFERROR(__xludf.DUMMYFUNCTION("""COMPUTED_VALUE"""),"None")</f>
        <v>None</v>
      </c>
    </row>
    <row r="1326" spans="1:7" ht="12.75">
      <c r="A1326" s="8" t="str">
        <f ca="1">IFERROR(__xludf.DUMMYFUNCTION("""COMPUTED_VALUE"""),"20090306NCWEF")</f>
        <v>20090306NCWEF</v>
      </c>
      <c r="B1326" s="8">
        <f ca="1">IFERROR(__xludf.DUMMYFUNCTION("""COMPUTED_VALUE"""),19)</f>
        <v>19</v>
      </c>
      <c r="C1326" s="8" t="str">
        <f ca="1">IFERROR(__xludf.DUMMYFUNCTION("""COMPUTED_VALUE"""),"Male")</f>
        <v>Male</v>
      </c>
      <c r="D1326" s="8" t="str">
        <f ca="1">IFERROR(__xludf.DUMMYFUNCTION("""COMPUTED_VALUE"""),"Unknown")</f>
        <v>Unknown</v>
      </c>
      <c r="E1326" s="8" t="str">
        <f ca="1">IFERROR(__xludf.DUMMYFUNCTION("""COMPUTED_VALUE"""),"Fled/Apprehended")</f>
        <v>Fled/Apprehended</v>
      </c>
      <c r="F1326" s="8" t="str">
        <f ca="1">IFERROR(__xludf.DUMMYFUNCTION("""COMPUTED_VALUE"""),"No")</f>
        <v>No</v>
      </c>
      <c r="G1326" s="8" t="str">
        <f ca="1">IFERROR(__xludf.DUMMYFUNCTION("""COMPUTED_VALUE"""),"None")</f>
        <v>None</v>
      </c>
    </row>
    <row r="1327" spans="1:7" ht="12.75">
      <c r="A1327" s="8" t="str">
        <f ca="1">IFERROR(__xludf.DUMMYFUNCTION("""COMPUTED_VALUE"""),"20090302SDROS")</f>
        <v>20090302SDROS</v>
      </c>
      <c r="B1327" s="8">
        <f ca="1">IFERROR(__xludf.DUMMYFUNCTION("""COMPUTED_VALUE"""),10)</f>
        <v>10</v>
      </c>
      <c r="C1327" s="8" t="str">
        <f ca="1">IFERROR(__xludf.DUMMYFUNCTION("""COMPUTED_VALUE"""),"Male")</f>
        <v>Male</v>
      </c>
      <c r="D1327" s="8" t="str">
        <f ca="1">IFERROR(__xludf.DUMMYFUNCTION("""COMPUTED_VALUE"""),"Student")</f>
        <v>Student</v>
      </c>
      <c r="E1327" s="8" t="str">
        <f ca="1">IFERROR(__xludf.DUMMYFUNCTION("""COMPUTED_VALUE"""),"Apprehended/Killed by LE")</f>
        <v>Apprehended/Killed by LE</v>
      </c>
      <c r="F1327" s="8" t="str">
        <f ca="1">IFERROR(__xludf.DUMMYFUNCTION("""COMPUTED_VALUE"""),"No")</f>
        <v>No</v>
      </c>
      <c r="G1327" s="8" t="str">
        <f ca="1">IFERROR(__xludf.DUMMYFUNCTION("""COMPUTED_VALUE"""),"None")</f>
        <v>None</v>
      </c>
    </row>
    <row r="1328" spans="1:7" ht="12.75">
      <c r="A1328" s="8" t="str">
        <f ca="1">IFERROR(__xludf.DUMMYFUNCTION("""COMPUTED_VALUE"""),"20090223CTBRN")</f>
        <v>20090223CTBRN</v>
      </c>
      <c r="B1328" s="8">
        <f ca="1">IFERROR(__xludf.DUMMYFUNCTION("""COMPUTED_VALUE"""),19)</f>
        <v>19</v>
      </c>
      <c r="C1328" s="8" t="str">
        <f ca="1">IFERROR(__xludf.DUMMYFUNCTION("""COMPUTED_VALUE"""),"Male")</f>
        <v>Male</v>
      </c>
      <c r="D1328" s="8" t="str">
        <f ca="1">IFERROR(__xludf.DUMMYFUNCTION("""COMPUTED_VALUE"""),"Nonstudent")</f>
        <v>Nonstudent</v>
      </c>
      <c r="E1328" s="8" t="str">
        <f ca="1">IFERROR(__xludf.DUMMYFUNCTION("""COMPUTED_VALUE"""),"Fled/Escaped")</f>
        <v>Fled/Escaped</v>
      </c>
      <c r="F1328" s="8" t="str">
        <f ca="1">IFERROR(__xludf.DUMMYFUNCTION("""COMPUTED_VALUE"""),"No")</f>
        <v>No</v>
      </c>
      <c r="G1328" s="8" t="str">
        <f ca="1">IFERROR(__xludf.DUMMYFUNCTION("""COMPUTED_VALUE"""),"Wounded")</f>
        <v>Wounded</v>
      </c>
    </row>
    <row r="1329" spans="1:7" ht="12.75">
      <c r="A1329" s="8" t="str">
        <f ca="1">IFERROR(__xludf.DUMMYFUNCTION("""COMPUTED_VALUE"""),"20090220CAJOH")</f>
        <v>20090220CAJOH</v>
      </c>
      <c r="B1329" s="8"/>
      <c r="C1329" s="8" t="str">
        <f ca="1">IFERROR(__xludf.DUMMYFUNCTION("""COMPUTED_VALUE"""),"Male")</f>
        <v>Male</v>
      </c>
      <c r="D1329" s="8" t="str">
        <f ca="1">IFERROR(__xludf.DUMMYFUNCTION("""COMPUTED_VALUE"""),"Unknown")</f>
        <v>Unknown</v>
      </c>
      <c r="E1329" s="8" t="str">
        <f ca="1">IFERROR(__xludf.DUMMYFUNCTION("""COMPUTED_VALUE"""),"Fled/Escaped")</f>
        <v>Fled/Escaped</v>
      </c>
      <c r="F1329" s="8" t="str">
        <f ca="1">IFERROR(__xludf.DUMMYFUNCTION("""COMPUTED_VALUE"""),"No")</f>
        <v>No</v>
      </c>
      <c r="G1329" s="8" t="str">
        <f ca="1">IFERROR(__xludf.DUMMYFUNCTION("""COMPUTED_VALUE"""),"None")</f>
        <v>None</v>
      </c>
    </row>
    <row r="1330" spans="1:7" ht="12.75">
      <c r="A1330" s="8" t="str">
        <f ca="1">IFERROR(__xludf.DUMMYFUNCTION("""COMPUTED_VALUE"""),"20090217MICED")</f>
        <v>20090217MICED</v>
      </c>
      <c r="B1330" s="8">
        <f ca="1">IFERROR(__xludf.DUMMYFUNCTION("""COMPUTED_VALUE"""),17)</f>
        <v>17</v>
      </c>
      <c r="C1330" s="8" t="str">
        <f ca="1">IFERROR(__xludf.DUMMYFUNCTION("""COMPUTED_VALUE"""),"Male")</f>
        <v>Male</v>
      </c>
      <c r="D1330" s="8" t="str">
        <f ca="1">IFERROR(__xludf.DUMMYFUNCTION("""COMPUTED_VALUE"""),"Nonstudent")</f>
        <v>Nonstudent</v>
      </c>
      <c r="E1330" s="8" t="str">
        <f ca="1">IFERROR(__xludf.DUMMYFUNCTION("""COMPUTED_VALUE"""),"Fled/Escaped")</f>
        <v>Fled/Escaped</v>
      </c>
      <c r="F1330" s="8" t="str">
        <f ca="1">IFERROR(__xludf.DUMMYFUNCTION("""COMPUTED_VALUE"""),"No")</f>
        <v>No</v>
      </c>
      <c r="G1330" s="8" t="str">
        <f ca="1">IFERROR(__xludf.DUMMYFUNCTION("""COMPUTED_VALUE"""),"Wounded")</f>
        <v>Wounded</v>
      </c>
    </row>
    <row r="1331" spans="1:7" ht="12.75">
      <c r="A1331" s="8" t="str">
        <f ca="1">IFERROR(__xludf.DUMMYFUNCTION("""COMPUTED_VALUE"""),"20090217MICED")</f>
        <v>20090217MICED</v>
      </c>
      <c r="B1331" s="8">
        <f ca="1">IFERROR(__xludf.DUMMYFUNCTION("""COMPUTED_VALUE"""),19)</f>
        <v>19</v>
      </c>
      <c r="C1331" s="8" t="str">
        <f ca="1">IFERROR(__xludf.DUMMYFUNCTION("""COMPUTED_VALUE"""),"Male")</f>
        <v>Male</v>
      </c>
      <c r="D1331" s="8" t="str">
        <f ca="1">IFERROR(__xludf.DUMMYFUNCTION("""COMPUTED_VALUE"""),"Nonstudent")</f>
        <v>Nonstudent</v>
      </c>
      <c r="E1331" s="8" t="str">
        <f ca="1">IFERROR(__xludf.DUMMYFUNCTION("""COMPUTED_VALUE"""),"Fled/Escaped")</f>
        <v>Fled/Escaped</v>
      </c>
      <c r="F1331" s="8" t="str">
        <f ca="1">IFERROR(__xludf.DUMMYFUNCTION("""COMPUTED_VALUE"""),"No")</f>
        <v>No</v>
      </c>
      <c r="G1331" s="8" t="str">
        <f ca="1">IFERROR(__xludf.DUMMYFUNCTION("""COMPUTED_VALUE"""),"Wounded")</f>
        <v>Wounded</v>
      </c>
    </row>
    <row r="1332" spans="1:7" ht="12.75">
      <c r="A1332" s="8" t="str">
        <f ca="1">IFERROR(__xludf.DUMMYFUNCTION("""COMPUTED_VALUE"""),"20090211NCSCZ")</f>
        <v>20090211NCSCZ</v>
      </c>
      <c r="B1332" s="8">
        <f ca="1">IFERROR(__xludf.DUMMYFUNCTION("""COMPUTED_VALUE"""),11)</f>
        <v>11</v>
      </c>
      <c r="C1332" s="8" t="str">
        <f ca="1">IFERROR(__xludf.DUMMYFUNCTION("""COMPUTED_VALUE"""),"Male")</f>
        <v>Male</v>
      </c>
      <c r="D1332" s="8" t="str">
        <f ca="1">IFERROR(__xludf.DUMMYFUNCTION("""COMPUTED_VALUE"""),"Student")</f>
        <v>Student</v>
      </c>
      <c r="E1332" s="8" t="str">
        <f ca="1">IFERROR(__xludf.DUMMYFUNCTION("""COMPUTED_VALUE"""),"Surrendered")</f>
        <v>Surrendered</v>
      </c>
      <c r="F1332" s="8" t="str">
        <f ca="1">IFERROR(__xludf.DUMMYFUNCTION("""COMPUTED_VALUE"""),"No")</f>
        <v>No</v>
      </c>
      <c r="G1332" s="8" t="str">
        <f ca="1">IFERROR(__xludf.DUMMYFUNCTION("""COMPUTED_VALUE"""),"None")</f>
        <v>None</v>
      </c>
    </row>
    <row r="1333" spans="1:7" ht="12.75">
      <c r="A1333" s="8" t="str">
        <f ca="1">IFERROR(__xludf.DUMMYFUNCTION("""COMPUTED_VALUE"""),"20090210CABAE")</f>
        <v>20090210CABAE</v>
      </c>
      <c r="B1333" s="8">
        <f ca="1">IFERROR(__xludf.DUMMYFUNCTION("""COMPUTED_VALUE"""),9)</f>
        <v>9</v>
      </c>
      <c r="C1333" s="8" t="str">
        <f ca="1">IFERROR(__xludf.DUMMYFUNCTION("""COMPUTED_VALUE"""),"Male")</f>
        <v>Male</v>
      </c>
      <c r="D1333" s="8" t="str">
        <f ca="1">IFERROR(__xludf.DUMMYFUNCTION("""COMPUTED_VALUE"""),"Student")</f>
        <v>Student</v>
      </c>
      <c r="E1333" s="8" t="str">
        <f ca="1">IFERROR(__xludf.DUMMYFUNCTION("""COMPUTED_VALUE"""),"Unknown")</f>
        <v>Unknown</v>
      </c>
      <c r="F1333" s="8" t="str">
        <f ca="1">IFERROR(__xludf.DUMMYFUNCTION("""COMPUTED_VALUE"""),"No")</f>
        <v>No</v>
      </c>
      <c r="G1333" s="8" t="str">
        <f ca="1">IFERROR(__xludf.DUMMYFUNCTION("""COMPUTED_VALUE"""),"None")</f>
        <v>None</v>
      </c>
    </row>
    <row r="1334" spans="1:7" ht="12.75">
      <c r="A1334" s="8" t="str">
        <f ca="1">IFERROR(__xludf.DUMMYFUNCTION("""COMPUTED_VALUE"""),"20090127NCCLC")</f>
        <v>20090127NCCLC</v>
      </c>
      <c r="B1334" s="8">
        <f ca="1">IFERROR(__xludf.DUMMYFUNCTION("""COMPUTED_VALUE"""),18)</f>
        <v>18</v>
      </c>
      <c r="C1334" s="8" t="str">
        <f ca="1">IFERROR(__xludf.DUMMYFUNCTION("""COMPUTED_VALUE"""),"Male")</f>
        <v>Male</v>
      </c>
      <c r="D1334" s="8" t="str">
        <f ca="1">IFERROR(__xludf.DUMMYFUNCTION("""COMPUTED_VALUE"""),"Nonstudent Using Athletic Facilities/Attending Game")</f>
        <v>Nonstudent Using Athletic Facilities/Attending Game</v>
      </c>
      <c r="E1334" s="8" t="str">
        <f ca="1">IFERROR(__xludf.DUMMYFUNCTION("""COMPUTED_VALUE"""),"Fled/Apprehended")</f>
        <v>Fled/Apprehended</v>
      </c>
      <c r="F1334" s="8" t="str">
        <f ca="1">IFERROR(__xludf.DUMMYFUNCTION("""COMPUTED_VALUE"""),"No")</f>
        <v>No</v>
      </c>
      <c r="G1334" s="8" t="str">
        <f ca="1">IFERROR(__xludf.DUMMYFUNCTION("""COMPUTED_VALUE"""),"None")</f>
        <v>None</v>
      </c>
    </row>
    <row r="1335" spans="1:7" ht="12.75">
      <c r="A1335" s="8" t="str">
        <f ca="1">IFERROR(__xludf.DUMMYFUNCTION("""COMPUTED_VALUE"""),"20090123ILCAC")</f>
        <v>20090123ILCAC</v>
      </c>
      <c r="B1335" s="8">
        <f ca="1">IFERROR(__xludf.DUMMYFUNCTION("""COMPUTED_VALUE"""),18)</f>
        <v>18</v>
      </c>
      <c r="C1335" s="8" t="str">
        <f ca="1">IFERROR(__xludf.DUMMYFUNCTION("""COMPUTED_VALUE"""),"Male")</f>
        <v>Male</v>
      </c>
      <c r="D1335" s="8" t="str">
        <f ca="1">IFERROR(__xludf.DUMMYFUNCTION("""COMPUTED_VALUE"""),"Nonstudent Using Athletic Facilities/Attending Game")</f>
        <v>Nonstudent Using Athletic Facilities/Attending Game</v>
      </c>
      <c r="E1335" s="8" t="str">
        <f ca="1">IFERROR(__xludf.DUMMYFUNCTION("""COMPUTED_VALUE"""),"Fled/Apprehended")</f>
        <v>Fled/Apprehended</v>
      </c>
      <c r="F1335" s="8" t="str">
        <f ca="1">IFERROR(__xludf.DUMMYFUNCTION("""COMPUTED_VALUE"""),"No")</f>
        <v>No</v>
      </c>
      <c r="G1335" s="8" t="str">
        <f ca="1">IFERROR(__xludf.DUMMYFUNCTION("""COMPUTED_VALUE"""),"None")</f>
        <v>None</v>
      </c>
    </row>
    <row r="1336" spans="1:7" ht="12.75">
      <c r="A1336" s="8" t="str">
        <f ca="1">IFERROR(__xludf.DUMMYFUNCTION("""COMPUTED_VALUE"""),"20090120PAEAE")</f>
        <v>20090120PAEAE</v>
      </c>
      <c r="B1336" s="8">
        <f ca="1">IFERROR(__xludf.DUMMYFUNCTION("""COMPUTED_VALUE"""),15)</f>
        <v>15</v>
      </c>
      <c r="C1336" s="8" t="str">
        <f ca="1">IFERROR(__xludf.DUMMYFUNCTION("""COMPUTED_VALUE"""),"Male")</f>
        <v>Male</v>
      </c>
      <c r="D1336" s="8" t="str">
        <f ca="1">IFERROR(__xludf.DUMMYFUNCTION("""COMPUTED_VALUE"""),"No Relation")</f>
        <v>No Relation</v>
      </c>
      <c r="E1336" s="8" t="str">
        <f ca="1">IFERROR(__xludf.DUMMYFUNCTION("""COMPUTED_VALUE"""),"Fled/Apprehended")</f>
        <v>Fled/Apprehended</v>
      </c>
      <c r="F1336" s="8" t="str">
        <f ca="1">IFERROR(__xludf.DUMMYFUNCTION("""COMPUTED_VALUE"""),"No")</f>
        <v>No</v>
      </c>
      <c r="G1336" s="8" t="str">
        <f ca="1">IFERROR(__xludf.DUMMYFUNCTION("""COMPUTED_VALUE"""),"None")</f>
        <v>None</v>
      </c>
    </row>
    <row r="1337" spans="1:7" ht="12.75">
      <c r="A1337" s="8" t="str">
        <f ca="1">IFERROR(__xludf.DUMMYFUNCTION("""COMPUTED_VALUE"""),"20090120MIBEM")</f>
        <v>20090120MIBEM</v>
      </c>
      <c r="B1337" s="8">
        <f ca="1">IFERROR(__xludf.DUMMYFUNCTION("""COMPUTED_VALUE"""),18)</f>
        <v>18</v>
      </c>
      <c r="C1337" s="8" t="str">
        <f ca="1">IFERROR(__xludf.DUMMYFUNCTION("""COMPUTED_VALUE"""),"Male")</f>
        <v>Male</v>
      </c>
      <c r="D1337" s="8" t="str">
        <f ca="1">IFERROR(__xludf.DUMMYFUNCTION("""COMPUTED_VALUE"""),"Nonstudent Using Athletic Facilities/Attending Game")</f>
        <v>Nonstudent Using Athletic Facilities/Attending Game</v>
      </c>
      <c r="E1337" s="8" t="str">
        <f ca="1">IFERROR(__xludf.DUMMYFUNCTION("""COMPUTED_VALUE"""),"Fled/Apprehended")</f>
        <v>Fled/Apprehended</v>
      </c>
      <c r="F1337" s="8" t="str">
        <f ca="1">IFERROR(__xludf.DUMMYFUNCTION("""COMPUTED_VALUE"""),"No")</f>
        <v>No</v>
      </c>
      <c r="G1337" s="8" t="str">
        <f ca="1">IFERROR(__xludf.DUMMYFUNCTION("""COMPUTED_VALUE"""),"None")</f>
        <v>None</v>
      </c>
    </row>
    <row r="1338" spans="1:7" ht="12.75">
      <c r="A1338" s="8" t="str">
        <f ca="1">IFERROR(__xludf.DUMMYFUNCTION("""COMPUTED_VALUE"""),"20090120ILCOC")</f>
        <v>20090120ILCOC</v>
      </c>
      <c r="B1338" s="8">
        <f ca="1">IFERROR(__xludf.DUMMYFUNCTION("""COMPUTED_VALUE"""),16)</f>
        <v>16</v>
      </c>
      <c r="C1338" s="8" t="str">
        <f ca="1">IFERROR(__xludf.DUMMYFUNCTION("""COMPUTED_VALUE"""),"Male")</f>
        <v>Male</v>
      </c>
      <c r="D1338" s="8" t="str">
        <f ca="1">IFERROR(__xludf.DUMMYFUNCTION("""COMPUTED_VALUE"""),"Student")</f>
        <v>Student</v>
      </c>
      <c r="E1338" s="8" t="str">
        <f ca="1">IFERROR(__xludf.DUMMYFUNCTION("""COMPUTED_VALUE"""),"Fled/Apprehended")</f>
        <v>Fled/Apprehended</v>
      </c>
      <c r="F1338" s="8" t="str">
        <f ca="1">IFERROR(__xludf.DUMMYFUNCTION("""COMPUTED_VALUE"""),"No")</f>
        <v>No</v>
      </c>
      <c r="G1338" s="8" t="str">
        <f ca="1">IFERROR(__xludf.DUMMYFUNCTION("""COMPUTED_VALUE"""),"None")</f>
        <v>None</v>
      </c>
    </row>
    <row r="1339" spans="1:7" ht="12.75">
      <c r="A1339" s="8" t="str">
        <f ca="1">IFERROR(__xludf.DUMMYFUNCTION("""COMPUTED_VALUE"""),"20090120ILCOC")</f>
        <v>20090120ILCOC</v>
      </c>
      <c r="B1339" s="8">
        <f ca="1">IFERROR(__xludf.DUMMYFUNCTION("""COMPUTED_VALUE"""),16)</f>
        <v>16</v>
      </c>
      <c r="C1339" s="8" t="str">
        <f ca="1">IFERROR(__xludf.DUMMYFUNCTION("""COMPUTED_VALUE"""),"Male")</f>
        <v>Male</v>
      </c>
      <c r="D1339" s="8" t="str">
        <f ca="1">IFERROR(__xludf.DUMMYFUNCTION("""COMPUTED_VALUE"""),"Student")</f>
        <v>Student</v>
      </c>
      <c r="E1339" s="8" t="str">
        <f ca="1">IFERROR(__xludf.DUMMYFUNCTION("""COMPUTED_VALUE"""),"Fled/Apprehended")</f>
        <v>Fled/Apprehended</v>
      </c>
      <c r="F1339" s="8" t="str">
        <f ca="1">IFERROR(__xludf.DUMMYFUNCTION("""COMPUTED_VALUE"""),"No")</f>
        <v>No</v>
      </c>
      <c r="G1339" s="8" t="str">
        <f ca="1">IFERROR(__xludf.DUMMYFUNCTION("""COMPUTED_VALUE"""),"None")</f>
        <v>None</v>
      </c>
    </row>
    <row r="1340" spans="1:7" ht="12.75">
      <c r="A1340" s="8" t="str">
        <f ca="1">IFERROR(__xludf.DUMMYFUNCTION("""COMPUTED_VALUE"""),"20090114ILPEC")</f>
        <v>20090114ILPEC</v>
      </c>
      <c r="B1340" s="8"/>
      <c r="C1340" s="8"/>
      <c r="D1340" s="8" t="str">
        <f ca="1">IFERROR(__xludf.DUMMYFUNCTION("""COMPUTED_VALUE"""),"Unknown")</f>
        <v>Unknown</v>
      </c>
      <c r="E1340" s="8" t="str">
        <f ca="1">IFERROR(__xludf.DUMMYFUNCTION("""COMPUTED_VALUE"""),"Fled/Escaped")</f>
        <v>Fled/Escaped</v>
      </c>
      <c r="F1340" s="8" t="str">
        <f ca="1">IFERROR(__xludf.DUMMYFUNCTION("""COMPUTED_VALUE"""),"No")</f>
        <v>No</v>
      </c>
      <c r="G1340" s="8" t="str">
        <f ca="1">IFERROR(__xludf.DUMMYFUNCTION("""COMPUTED_VALUE"""),"None")</f>
        <v>None</v>
      </c>
    </row>
    <row r="1341" spans="1:7" ht="12.75">
      <c r="A1341" s="8" t="str">
        <f ca="1">IFERROR(__xludf.DUMMYFUNCTION("""COMPUTED_VALUE"""),"20090109ILDUC")</f>
        <v>20090109ILDUC</v>
      </c>
      <c r="B1341" s="8">
        <f ca="1">IFERROR(__xludf.DUMMYFUNCTION("""COMPUTED_VALUE"""),18)</f>
        <v>18</v>
      </c>
      <c r="C1341" s="8" t="str">
        <f ca="1">IFERROR(__xludf.DUMMYFUNCTION("""COMPUTED_VALUE"""),"Male")</f>
        <v>Male</v>
      </c>
      <c r="D1341" s="8" t="str">
        <f ca="1">IFERROR(__xludf.DUMMYFUNCTION("""COMPUTED_VALUE"""),"Student")</f>
        <v>Student</v>
      </c>
      <c r="E1341" s="8" t="str">
        <f ca="1">IFERROR(__xludf.DUMMYFUNCTION("""COMPUTED_VALUE"""),"Fled/Apprehended")</f>
        <v>Fled/Apprehended</v>
      </c>
      <c r="F1341" s="8" t="str">
        <f ca="1">IFERROR(__xludf.DUMMYFUNCTION("""COMPUTED_VALUE"""),"No")</f>
        <v>No</v>
      </c>
      <c r="G1341" s="8" t="str">
        <f ca="1">IFERROR(__xludf.DUMMYFUNCTION("""COMPUTED_VALUE"""),"None")</f>
        <v>None</v>
      </c>
    </row>
    <row r="1342" spans="1:7" ht="12.75">
      <c r="A1342" s="8" t="str">
        <f ca="1">IFERROR(__xludf.DUMMYFUNCTION("""COMPUTED_VALUE"""),"20090108DEWIN")</f>
        <v>20090108DEWIN</v>
      </c>
      <c r="B1342" s="8" t="str">
        <f ca="1">IFERROR(__xludf.DUMMYFUNCTION("""COMPUTED_VALUE"""),"Adult")</f>
        <v>Adult</v>
      </c>
      <c r="C1342" s="8" t="str">
        <f ca="1">IFERROR(__xludf.DUMMYFUNCTION("""COMPUTED_VALUE"""),"Female")</f>
        <v>Female</v>
      </c>
      <c r="D1342" s="8" t="str">
        <f ca="1">IFERROR(__xludf.DUMMYFUNCTION("""COMPUTED_VALUE"""),"Police Officer/SRO")</f>
        <v>Police Officer/SRO</v>
      </c>
      <c r="E1342" s="8" t="str">
        <f ca="1">IFERROR(__xludf.DUMMYFUNCTION("""COMPUTED_VALUE"""),"Law Enforcement")</f>
        <v>Law Enforcement</v>
      </c>
      <c r="F1342" s="8" t="str">
        <f ca="1">IFERROR(__xludf.DUMMYFUNCTION("""COMPUTED_VALUE"""),"No")</f>
        <v>No</v>
      </c>
      <c r="G1342" s="8" t="str">
        <f ca="1">IFERROR(__xludf.DUMMYFUNCTION("""COMPUTED_VALUE"""),"None")</f>
        <v>None</v>
      </c>
    </row>
    <row r="1343" spans="1:7" ht="12.75">
      <c r="A1343" s="8" t="str">
        <f ca="1">IFERROR(__xludf.DUMMYFUNCTION("""COMPUTED_VALUE"""),"20081231OKKEN")</f>
        <v>20081231OKKEN</v>
      </c>
      <c r="B1343" s="8">
        <f ca="1">IFERROR(__xludf.DUMMYFUNCTION("""COMPUTED_VALUE"""),68)</f>
        <v>68</v>
      </c>
      <c r="C1343" s="8" t="str">
        <f ca="1">IFERROR(__xludf.DUMMYFUNCTION("""COMPUTED_VALUE"""),"Male")</f>
        <v>Male</v>
      </c>
      <c r="D1343" s="8" t="str">
        <f ca="1">IFERROR(__xludf.DUMMYFUNCTION("""COMPUTED_VALUE"""),"Unknown")</f>
        <v>Unknown</v>
      </c>
      <c r="E1343" s="8" t="str">
        <f ca="1">IFERROR(__xludf.DUMMYFUNCTION("""COMPUTED_VALUE"""),"Suicide")</f>
        <v>Suicide</v>
      </c>
      <c r="F1343" s="8" t="str">
        <f ca="1">IFERROR(__xludf.DUMMYFUNCTION("""COMPUTED_VALUE"""),"Yes")</f>
        <v>Yes</v>
      </c>
      <c r="G1343" s="8" t="str">
        <f ca="1">IFERROR(__xludf.DUMMYFUNCTION("""COMPUTED_VALUE"""),"Suicide")</f>
        <v>Suicide</v>
      </c>
    </row>
    <row r="1344" spans="1:7" ht="12.75">
      <c r="A1344" s="8" t="str">
        <f ca="1">IFERROR(__xludf.DUMMYFUNCTION("""COMPUTED_VALUE"""),"20081231GASHS")</f>
        <v>20081231GASHS</v>
      </c>
      <c r="B1344" s="8">
        <f ca="1">IFERROR(__xludf.DUMMYFUNCTION("""COMPUTED_VALUE"""),18)</f>
        <v>18</v>
      </c>
      <c r="C1344" s="8" t="str">
        <f ca="1">IFERROR(__xludf.DUMMYFUNCTION("""COMPUTED_VALUE"""),"Female")</f>
        <v>Female</v>
      </c>
      <c r="D1344" s="8" t="str">
        <f ca="1">IFERROR(__xludf.DUMMYFUNCTION("""COMPUTED_VALUE"""),"Unknown")</f>
        <v>Unknown</v>
      </c>
      <c r="E1344" s="8" t="str">
        <f ca="1">IFERROR(__xludf.DUMMYFUNCTION("""COMPUTED_VALUE"""),"Unknown")</f>
        <v>Unknown</v>
      </c>
      <c r="F1344" s="8" t="str">
        <f ca="1">IFERROR(__xludf.DUMMYFUNCTION("""COMPUTED_VALUE"""),"No")</f>
        <v>No</v>
      </c>
      <c r="G1344" s="8" t="str">
        <f ca="1">IFERROR(__xludf.DUMMYFUNCTION("""COMPUTED_VALUE"""),"None")</f>
        <v>None</v>
      </c>
    </row>
    <row r="1345" spans="1:7" ht="12.75">
      <c r="A1345" s="8" t="str">
        <f ca="1">IFERROR(__xludf.DUMMYFUNCTION("""COMPUTED_VALUE"""),"20081227PAWIP")</f>
        <v>20081227PAWIP</v>
      </c>
      <c r="B1345" s="8"/>
      <c r="C1345" s="8"/>
      <c r="D1345" s="8" t="str">
        <f ca="1">IFERROR(__xludf.DUMMYFUNCTION("""COMPUTED_VALUE"""),"Unknown")</f>
        <v>Unknown</v>
      </c>
      <c r="E1345" s="8" t="str">
        <f ca="1">IFERROR(__xludf.DUMMYFUNCTION("""COMPUTED_VALUE"""),"Fled/Escaped")</f>
        <v>Fled/Escaped</v>
      </c>
      <c r="F1345" s="8" t="str">
        <f ca="1">IFERROR(__xludf.DUMMYFUNCTION("""COMPUTED_VALUE"""),"No")</f>
        <v>No</v>
      </c>
      <c r="G1345" s="8" t="str">
        <f ca="1">IFERROR(__xludf.DUMMYFUNCTION("""COMPUTED_VALUE"""),"None")</f>
        <v>None</v>
      </c>
    </row>
    <row r="1346" spans="1:7" ht="12.75">
      <c r="A1346" s="8" t="str">
        <f ca="1">IFERROR(__xludf.DUMMYFUNCTION("""COMPUTED_VALUE"""),"20081222FLLAL")</f>
        <v>20081222FLLAL</v>
      </c>
      <c r="B1346" s="8">
        <f ca="1">IFERROR(__xludf.DUMMYFUNCTION("""COMPUTED_VALUE"""),47)</f>
        <v>47</v>
      </c>
      <c r="C1346" s="8" t="str">
        <f ca="1">IFERROR(__xludf.DUMMYFUNCTION("""COMPUTED_VALUE"""),"Female")</f>
        <v>Female</v>
      </c>
      <c r="D1346" s="8" t="str">
        <f ca="1">IFERROR(__xludf.DUMMYFUNCTION("""COMPUTED_VALUE"""),"Unknown")</f>
        <v>Unknown</v>
      </c>
      <c r="E1346" s="8" t="str">
        <f ca="1">IFERROR(__xludf.DUMMYFUNCTION("""COMPUTED_VALUE"""),"Suicide")</f>
        <v>Suicide</v>
      </c>
      <c r="F1346" s="8" t="str">
        <f ca="1">IFERROR(__xludf.DUMMYFUNCTION("""COMPUTED_VALUE"""),"Yes")</f>
        <v>Yes</v>
      </c>
      <c r="G1346" s="8" t="str">
        <f ca="1">IFERROR(__xludf.DUMMYFUNCTION("""COMPUTED_VALUE"""),"Suicide")</f>
        <v>Suicide</v>
      </c>
    </row>
    <row r="1347" spans="1:7" ht="12.75">
      <c r="A1347" s="8" t="str">
        <f ca="1">IFERROR(__xludf.DUMMYFUNCTION("""COMPUTED_VALUE"""),"20081221SCSUS")</f>
        <v>20081221SCSUS</v>
      </c>
      <c r="B1347" s="8">
        <f ca="1">IFERROR(__xludf.DUMMYFUNCTION("""COMPUTED_VALUE"""),22)</f>
        <v>22</v>
      </c>
      <c r="C1347" s="8" t="str">
        <f ca="1">IFERROR(__xludf.DUMMYFUNCTION("""COMPUTED_VALUE"""),"Male")</f>
        <v>Male</v>
      </c>
      <c r="D1347" s="8" t="str">
        <f ca="1">IFERROR(__xludf.DUMMYFUNCTION("""COMPUTED_VALUE"""),"Unknown")</f>
        <v>Unknown</v>
      </c>
      <c r="E1347" s="8" t="str">
        <f ca="1">IFERROR(__xludf.DUMMYFUNCTION("""COMPUTED_VALUE"""),"Fled/Apprehended")</f>
        <v>Fled/Apprehended</v>
      </c>
      <c r="F1347" s="8" t="str">
        <f ca="1">IFERROR(__xludf.DUMMYFUNCTION("""COMPUTED_VALUE"""),"No")</f>
        <v>No</v>
      </c>
      <c r="G1347" s="8" t="str">
        <f ca="1">IFERROR(__xludf.DUMMYFUNCTION("""COMPUTED_VALUE"""),"None")</f>
        <v>None</v>
      </c>
    </row>
    <row r="1348" spans="1:7" ht="12.75">
      <c r="A1348" s="8" t="str">
        <f ca="1">IFERROR(__xludf.DUMMYFUNCTION("""COMPUTED_VALUE"""),"20081212NYWIM")</f>
        <v>20081212NYWIM</v>
      </c>
      <c r="B1348" s="8">
        <f ca="1">IFERROR(__xludf.DUMMYFUNCTION("""COMPUTED_VALUE"""),27)</f>
        <v>27</v>
      </c>
      <c r="C1348" s="8" t="str">
        <f ca="1">IFERROR(__xludf.DUMMYFUNCTION("""COMPUTED_VALUE"""),"Male")</f>
        <v>Male</v>
      </c>
      <c r="D1348" s="8" t="str">
        <f ca="1">IFERROR(__xludf.DUMMYFUNCTION("""COMPUTED_VALUE"""),"Unknown")</f>
        <v>Unknown</v>
      </c>
      <c r="E1348" s="8" t="str">
        <f ca="1">IFERROR(__xludf.DUMMYFUNCTION("""COMPUTED_VALUE"""),"Fled/Apprehended")</f>
        <v>Fled/Apprehended</v>
      </c>
      <c r="F1348" s="8" t="str">
        <f ca="1">IFERROR(__xludf.DUMMYFUNCTION("""COMPUTED_VALUE"""),"No")</f>
        <v>No</v>
      </c>
      <c r="G1348" s="8" t="str">
        <f ca="1">IFERROR(__xludf.DUMMYFUNCTION("""COMPUTED_VALUE"""),"None")</f>
        <v>None</v>
      </c>
    </row>
    <row r="1349" spans="1:7" ht="12.75">
      <c r="A1349" s="8" t="str">
        <f ca="1">IFERROR(__xludf.DUMMYFUNCTION("""COMPUTED_VALUE"""),"20081212NCGUA")</f>
        <v>20081212NCGUA</v>
      </c>
      <c r="B1349" s="8">
        <f ca="1">IFERROR(__xludf.DUMMYFUNCTION("""COMPUTED_VALUE"""),16)</f>
        <v>16</v>
      </c>
      <c r="C1349" s="8" t="str">
        <f ca="1">IFERROR(__xludf.DUMMYFUNCTION("""COMPUTED_VALUE"""),"Female")</f>
        <v>Female</v>
      </c>
      <c r="D1349" s="8" t="str">
        <f ca="1">IFERROR(__xludf.DUMMYFUNCTION("""COMPUTED_VALUE"""),"Unknown")</f>
        <v>Unknown</v>
      </c>
      <c r="E1349" s="8" t="str">
        <f ca="1">IFERROR(__xludf.DUMMYFUNCTION("""COMPUTED_VALUE"""),"Surrendered")</f>
        <v>Surrendered</v>
      </c>
      <c r="F1349" s="8" t="str">
        <f ca="1">IFERROR(__xludf.DUMMYFUNCTION("""COMPUTED_VALUE"""),"No")</f>
        <v>No</v>
      </c>
      <c r="G1349" s="8" t="str">
        <f ca="1">IFERROR(__xludf.DUMMYFUNCTION("""COMPUTED_VALUE"""),"None")</f>
        <v>None</v>
      </c>
    </row>
    <row r="1350" spans="1:7" ht="12.75">
      <c r="A1350" s="8" t="str">
        <f ca="1">IFERROR(__xludf.DUMMYFUNCTION("""COMPUTED_VALUE"""),"20081205MNSHF")</f>
        <v>20081205MNSHF</v>
      </c>
      <c r="B1350" s="8">
        <f ca="1">IFERROR(__xludf.DUMMYFUNCTION("""COMPUTED_VALUE"""),34)</f>
        <v>34</v>
      </c>
      <c r="C1350" s="8" t="str">
        <f ca="1">IFERROR(__xludf.DUMMYFUNCTION("""COMPUTED_VALUE"""),"Male")</f>
        <v>Male</v>
      </c>
      <c r="D1350" s="8" t="str">
        <f ca="1">IFERROR(__xludf.DUMMYFUNCTION("""COMPUTED_VALUE"""),"Teacher")</f>
        <v>Teacher</v>
      </c>
      <c r="E1350" s="8" t="str">
        <f ca="1">IFERROR(__xludf.DUMMYFUNCTION("""COMPUTED_VALUE"""),"Suicide")</f>
        <v>Suicide</v>
      </c>
      <c r="F1350" s="8" t="str">
        <f ca="1">IFERROR(__xludf.DUMMYFUNCTION("""COMPUTED_VALUE"""),"Yes")</f>
        <v>Yes</v>
      </c>
      <c r="G1350" s="8" t="str">
        <f ca="1">IFERROR(__xludf.DUMMYFUNCTION("""COMPUTED_VALUE"""),"Suicide")</f>
        <v>Suicide</v>
      </c>
    </row>
    <row r="1351" spans="1:7" ht="12.75">
      <c r="A1351" s="8" t="str">
        <f ca="1">IFERROR(__xludf.DUMMYFUNCTION("""COMPUTED_VALUE"""),"20081202CAKIK")</f>
        <v>20081202CAKIK</v>
      </c>
      <c r="B1351" s="8">
        <f ca="1">IFERROR(__xludf.DUMMYFUNCTION("""COMPUTED_VALUE"""),17)</f>
        <v>17</v>
      </c>
      <c r="C1351" s="8" t="str">
        <f ca="1">IFERROR(__xludf.DUMMYFUNCTION("""COMPUTED_VALUE"""),"Male")</f>
        <v>Male</v>
      </c>
      <c r="D1351" s="8" t="str">
        <f ca="1">IFERROR(__xludf.DUMMYFUNCTION("""COMPUTED_VALUE"""),"Unknown")</f>
        <v>Unknown</v>
      </c>
      <c r="E1351" s="8" t="str">
        <f ca="1">IFERROR(__xludf.DUMMYFUNCTION("""COMPUTED_VALUE"""),"Fled/Apprehended")</f>
        <v>Fled/Apprehended</v>
      </c>
      <c r="F1351" s="8" t="str">
        <f ca="1">IFERROR(__xludf.DUMMYFUNCTION("""COMPUTED_VALUE"""),"No")</f>
        <v>No</v>
      </c>
      <c r="G1351" s="8" t="str">
        <f ca="1">IFERROR(__xludf.DUMMYFUNCTION("""COMPUTED_VALUE"""),"None")</f>
        <v>None</v>
      </c>
    </row>
    <row r="1352" spans="1:7" ht="12.75">
      <c r="A1352" s="8" t="str">
        <f ca="1">IFERROR(__xludf.DUMMYFUNCTION("""COMPUTED_VALUE"""),"20081130CAOAG")</f>
        <v>20081130CAOAG</v>
      </c>
      <c r="B1352" s="8" t="str">
        <f ca="1">IFERROR(__xludf.DUMMYFUNCTION("""COMPUTED_VALUE"""),"Adult")</f>
        <v>Adult</v>
      </c>
      <c r="C1352" s="8" t="str">
        <f ca="1">IFERROR(__xludf.DUMMYFUNCTION("""COMPUTED_VALUE"""),"Male")</f>
        <v>Male</v>
      </c>
      <c r="D1352" s="8" t="str">
        <f ca="1">IFERROR(__xludf.DUMMYFUNCTION("""COMPUTED_VALUE"""),"No Relation")</f>
        <v>No Relation</v>
      </c>
      <c r="E1352" s="8" t="str">
        <f ca="1">IFERROR(__xludf.DUMMYFUNCTION("""COMPUTED_VALUE"""),"Fled/Escaped")</f>
        <v>Fled/Escaped</v>
      </c>
      <c r="F1352" s="8" t="str">
        <f ca="1">IFERROR(__xludf.DUMMYFUNCTION("""COMPUTED_VALUE"""),"No")</f>
        <v>No</v>
      </c>
      <c r="G1352" s="8" t="str">
        <f ca="1">IFERROR(__xludf.DUMMYFUNCTION("""COMPUTED_VALUE"""),"None")</f>
        <v>None</v>
      </c>
    </row>
    <row r="1353" spans="1:7" ht="12.75">
      <c r="A1353" s="8" t="str">
        <f ca="1">IFERROR(__xludf.DUMMYFUNCTION("""COMPUTED_VALUE"""),"20081125TXNOH")</f>
        <v>20081125TXNOH</v>
      </c>
      <c r="B1353" s="8">
        <f ca="1">IFERROR(__xludf.DUMMYFUNCTION("""COMPUTED_VALUE"""),18)</f>
        <v>18</v>
      </c>
      <c r="C1353" s="8" t="str">
        <f ca="1">IFERROR(__xludf.DUMMYFUNCTION("""COMPUTED_VALUE"""),"Male")</f>
        <v>Male</v>
      </c>
      <c r="D1353" s="8" t="str">
        <f ca="1">IFERROR(__xludf.DUMMYFUNCTION("""COMPUTED_VALUE"""),"Unknown")</f>
        <v>Unknown</v>
      </c>
      <c r="E1353" s="8" t="str">
        <f ca="1">IFERROR(__xludf.DUMMYFUNCTION("""COMPUTED_VALUE"""),"Fled/Escaped")</f>
        <v>Fled/Escaped</v>
      </c>
      <c r="F1353" s="8" t="str">
        <f ca="1">IFERROR(__xludf.DUMMYFUNCTION("""COMPUTED_VALUE"""),"No")</f>
        <v>No</v>
      </c>
      <c r="G1353" s="8" t="str">
        <f ca="1">IFERROR(__xludf.DUMMYFUNCTION("""COMPUTED_VALUE"""),"None")</f>
        <v>None</v>
      </c>
    </row>
    <row r="1354" spans="1:7" ht="12.75">
      <c r="A1354" s="8" t="str">
        <f ca="1">IFERROR(__xludf.DUMMYFUNCTION("""COMPUTED_VALUE"""),"20081118CACOO")</f>
        <v>20081118CACOO</v>
      </c>
      <c r="B1354" s="8">
        <f ca="1">IFERROR(__xludf.DUMMYFUNCTION("""COMPUTED_VALUE"""),13)</f>
        <v>13</v>
      </c>
      <c r="C1354" s="8" t="str">
        <f ca="1">IFERROR(__xludf.DUMMYFUNCTION("""COMPUTED_VALUE"""),"Male")</f>
        <v>Male</v>
      </c>
      <c r="D1354" s="8" t="str">
        <f ca="1">IFERROR(__xludf.DUMMYFUNCTION("""COMPUTED_VALUE"""),"Student")</f>
        <v>Student</v>
      </c>
      <c r="E1354" s="8" t="str">
        <f ca="1">IFERROR(__xludf.DUMMYFUNCTION("""COMPUTED_VALUE"""),"Surrendered")</f>
        <v>Surrendered</v>
      </c>
      <c r="F1354" s="8" t="str">
        <f ca="1">IFERROR(__xludf.DUMMYFUNCTION("""COMPUTED_VALUE"""),"No")</f>
        <v>No</v>
      </c>
      <c r="G1354" s="8" t="str">
        <f ca="1">IFERROR(__xludf.DUMMYFUNCTION("""COMPUTED_VALUE"""),"None")</f>
        <v>None</v>
      </c>
    </row>
    <row r="1355" spans="1:7" ht="12.75">
      <c r="A1355" s="8" t="str">
        <f ca="1">IFERROR(__xludf.DUMMYFUNCTION("""COMPUTED_VALUE"""),"20081118CACEC")</f>
        <v>20081118CACEC</v>
      </c>
      <c r="B1355" s="8">
        <f ca="1">IFERROR(__xludf.DUMMYFUNCTION("""COMPUTED_VALUE"""),18)</f>
        <v>18</v>
      </c>
      <c r="C1355" s="8" t="str">
        <f ca="1">IFERROR(__xludf.DUMMYFUNCTION("""COMPUTED_VALUE"""),"Male")</f>
        <v>Male</v>
      </c>
      <c r="D1355" s="8" t="str">
        <f ca="1">IFERROR(__xludf.DUMMYFUNCTION("""COMPUTED_VALUE"""),"Student")</f>
        <v>Student</v>
      </c>
      <c r="E1355" s="8" t="str">
        <f ca="1">IFERROR(__xludf.DUMMYFUNCTION("""COMPUTED_VALUE"""),"Fled/Apprehended")</f>
        <v>Fled/Apprehended</v>
      </c>
      <c r="F1355" s="8" t="str">
        <f ca="1">IFERROR(__xludf.DUMMYFUNCTION("""COMPUTED_VALUE"""),"No")</f>
        <v>No</v>
      </c>
      <c r="G1355" s="8" t="str">
        <f ca="1">IFERROR(__xludf.DUMMYFUNCTION("""COMPUTED_VALUE"""),"None")</f>
        <v>None</v>
      </c>
    </row>
    <row r="1356" spans="1:7" ht="12.75">
      <c r="A1356" s="8" t="str">
        <f ca="1">IFERROR(__xludf.DUMMYFUNCTION("""COMPUTED_VALUE"""),"20081115UTDES")</f>
        <v>20081115UTDES</v>
      </c>
      <c r="B1356" s="8">
        <f ca="1">IFERROR(__xludf.DUMMYFUNCTION("""COMPUTED_VALUE"""),15)</f>
        <v>15</v>
      </c>
      <c r="C1356" s="8" t="str">
        <f ca="1">IFERROR(__xludf.DUMMYFUNCTION("""COMPUTED_VALUE"""),"Male")</f>
        <v>Male</v>
      </c>
      <c r="D1356" s="8" t="str">
        <f ca="1">IFERROR(__xludf.DUMMYFUNCTION("""COMPUTED_VALUE"""),"Student")</f>
        <v>Student</v>
      </c>
      <c r="E1356" s="8" t="str">
        <f ca="1">IFERROR(__xludf.DUMMYFUNCTION("""COMPUTED_VALUE"""),"Other")</f>
        <v>Other</v>
      </c>
      <c r="F1356" s="8" t="str">
        <f ca="1">IFERROR(__xludf.DUMMYFUNCTION("""COMPUTED_VALUE"""),"No")</f>
        <v>No</v>
      </c>
      <c r="G1356" s="8" t="str">
        <f ca="1">IFERROR(__xludf.DUMMYFUNCTION("""COMPUTED_VALUE"""),"None")</f>
        <v>None</v>
      </c>
    </row>
    <row r="1357" spans="1:7" ht="12.75">
      <c r="A1357" s="8" t="str">
        <f ca="1">IFERROR(__xludf.DUMMYFUNCTION("""COMPUTED_VALUE"""),"20081115COTHL")</f>
        <v>20081115COTHL</v>
      </c>
      <c r="B1357" s="8">
        <f ca="1">IFERROR(__xludf.DUMMYFUNCTION("""COMPUTED_VALUE"""),18)</f>
        <v>18</v>
      </c>
      <c r="C1357" s="8" t="str">
        <f ca="1">IFERROR(__xludf.DUMMYFUNCTION("""COMPUTED_VALUE"""),"Male")</f>
        <v>Male</v>
      </c>
      <c r="D1357" s="8" t="str">
        <f ca="1">IFERROR(__xludf.DUMMYFUNCTION("""COMPUTED_VALUE"""),"Student")</f>
        <v>Student</v>
      </c>
      <c r="E1357" s="8" t="str">
        <f ca="1">IFERROR(__xludf.DUMMYFUNCTION("""COMPUTED_VALUE"""),"Apprehended/Killed by LE")</f>
        <v>Apprehended/Killed by LE</v>
      </c>
      <c r="F1357" s="8" t="str">
        <f ca="1">IFERROR(__xludf.DUMMYFUNCTION("""COMPUTED_VALUE"""),"No")</f>
        <v>No</v>
      </c>
      <c r="G1357" s="8" t="str">
        <f ca="1">IFERROR(__xludf.DUMMYFUNCTION("""COMPUTED_VALUE"""),"None")</f>
        <v>None</v>
      </c>
    </row>
    <row r="1358" spans="1:7" ht="12.75">
      <c r="A1358" s="8" t="str">
        <f ca="1">IFERROR(__xludf.DUMMYFUNCTION("""COMPUTED_VALUE"""),"20081112FLDIF")</f>
        <v>20081112FLDIF</v>
      </c>
      <c r="B1358" s="8">
        <f ca="1">IFERROR(__xludf.DUMMYFUNCTION("""COMPUTED_VALUE"""),15)</f>
        <v>15</v>
      </c>
      <c r="C1358" s="8" t="str">
        <f ca="1">IFERROR(__xludf.DUMMYFUNCTION("""COMPUTED_VALUE"""),"Female")</f>
        <v>Female</v>
      </c>
      <c r="D1358" s="8" t="str">
        <f ca="1">IFERROR(__xludf.DUMMYFUNCTION("""COMPUTED_VALUE"""),"Student")</f>
        <v>Student</v>
      </c>
      <c r="E1358" s="8" t="str">
        <f ca="1">IFERROR(__xludf.DUMMYFUNCTION("""COMPUTED_VALUE"""),"Fled/Apprehended")</f>
        <v>Fled/Apprehended</v>
      </c>
      <c r="F1358" s="8" t="str">
        <f ca="1">IFERROR(__xludf.DUMMYFUNCTION("""COMPUTED_VALUE"""),"No")</f>
        <v>No</v>
      </c>
      <c r="G1358" s="8" t="str">
        <f ca="1">IFERROR(__xludf.DUMMYFUNCTION("""COMPUTED_VALUE"""),"None")</f>
        <v>None</v>
      </c>
    </row>
    <row r="1359" spans="1:7" ht="12.75">
      <c r="A1359" s="8" t="str">
        <f ca="1">IFERROR(__xludf.DUMMYFUNCTION("""COMPUTED_VALUE"""),"20081103CAELO")</f>
        <v>20081103CAELO</v>
      </c>
      <c r="B1359" s="8"/>
      <c r="C1359" s="8"/>
      <c r="D1359" s="8" t="str">
        <f ca="1">IFERROR(__xludf.DUMMYFUNCTION("""COMPUTED_VALUE"""),"Unknown")</f>
        <v>Unknown</v>
      </c>
      <c r="E1359" s="8" t="str">
        <f ca="1">IFERROR(__xludf.DUMMYFUNCTION("""COMPUTED_VALUE"""),"Fled/Escaped")</f>
        <v>Fled/Escaped</v>
      </c>
      <c r="F1359" s="8" t="str">
        <f ca="1">IFERROR(__xludf.DUMMYFUNCTION("""COMPUTED_VALUE"""),"No")</f>
        <v>No</v>
      </c>
      <c r="G1359" s="8" t="str">
        <f ca="1">IFERROR(__xludf.DUMMYFUNCTION("""COMPUTED_VALUE"""),"None")</f>
        <v>None</v>
      </c>
    </row>
    <row r="1360" spans="1:7" ht="12.75">
      <c r="A1360" s="8" t="str">
        <f ca="1">IFERROR(__xludf.DUMMYFUNCTION("""COMPUTED_VALUE"""),"20081103CABEB")</f>
        <v>20081103CABEB</v>
      </c>
      <c r="B1360" s="8"/>
      <c r="C1360" s="8"/>
      <c r="D1360" s="8" t="str">
        <f ca="1">IFERROR(__xludf.DUMMYFUNCTION("""COMPUTED_VALUE"""),"Unknown")</f>
        <v>Unknown</v>
      </c>
      <c r="E1360" s="8" t="str">
        <f ca="1">IFERROR(__xludf.DUMMYFUNCTION("""COMPUTED_VALUE"""),"Fled/Escaped")</f>
        <v>Fled/Escaped</v>
      </c>
      <c r="F1360" s="8" t="str">
        <f ca="1">IFERROR(__xludf.DUMMYFUNCTION("""COMPUTED_VALUE"""),"No")</f>
        <v>No</v>
      </c>
      <c r="G1360" s="8" t="str">
        <f ca="1">IFERROR(__xludf.DUMMYFUNCTION("""COMPUTED_VALUE"""),"None")</f>
        <v>None</v>
      </c>
    </row>
    <row r="1361" spans="1:7" ht="12.75">
      <c r="A1361" s="8" t="str">
        <f ca="1">IFERROR(__xludf.DUMMYFUNCTION("""COMPUTED_VALUE"""),"20081031MESTS")</f>
        <v>20081031MESTS</v>
      </c>
      <c r="B1361" s="8">
        <f ca="1">IFERROR(__xludf.DUMMYFUNCTION("""COMPUTED_VALUE"""),55)</f>
        <v>55</v>
      </c>
      <c r="C1361" s="8" t="str">
        <f ca="1">IFERROR(__xludf.DUMMYFUNCTION("""COMPUTED_VALUE"""),"Male")</f>
        <v>Male</v>
      </c>
      <c r="D1361" s="8" t="str">
        <f ca="1">IFERROR(__xludf.DUMMYFUNCTION("""COMPUTED_VALUE"""),"No Relation")</f>
        <v>No Relation</v>
      </c>
      <c r="E1361" s="8" t="str">
        <f ca="1">IFERROR(__xludf.DUMMYFUNCTION("""COMPUTED_VALUE"""),"Apprehended/Killed by LE")</f>
        <v>Apprehended/Killed by LE</v>
      </c>
      <c r="F1361" s="8" t="str">
        <f ca="1">IFERROR(__xludf.DUMMYFUNCTION("""COMPUTED_VALUE"""),"No")</f>
        <v>No</v>
      </c>
      <c r="G1361" s="8" t="str">
        <f ca="1">IFERROR(__xludf.DUMMYFUNCTION("""COMPUTED_VALUE"""),"None")</f>
        <v>None</v>
      </c>
    </row>
    <row r="1362" spans="1:7" ht="12.75">
      <c r="A1362" s="8" t="str">
        <f ca="1">IFERROR(__xludf.DUMMYFUNCTION("""COMPUTED_VALUE"""),"20081029CAELG")</f>
        <v>20081029CAELG</v>
      </c>
      <c r="B1362" s="8">
        <f ca="1">IFERROR(__xludf.DUMMYFUNCTION("""COMPUTED_VALUE"""),10)</f>
        <v>10</v>
      </c>
      <c r="C1362" s="8" t="str">
        <f ca="1">IFERROR(__xludf.DUMMYFUNCTION("""COMPUTED_VALUE"""),"Male")</f>
        <v>Male</v>
      </c>
      <c r="D1362" s="8" t="str">
        <f ca="1">IFERROR(__xludf.DUMMYFUNCTION("""COMPUTED_VALUE"""),"Student")</f>
        <v>Student</v>
      </c>
      <c r="E1362" s="8" t="str">
        <f ca="1">IFERROR(__xludf.DUMMYFUNCTION("""COMPUTED_VALUE"""),"Subdued by Students/Staff/Other")</f>
        <v>Subdued by Students/Staff/Other</v>
      </c>
      <c r="F1362" s="8" t="str">
        <f ca="1">IFERROR(__xludf.DUMMYFUNCTION("""COMPUTED_VALUE"""),"No")</f>
        <v>No</v>
      </c>
      <c r="G1362" s="8" t="str">
        <f ca="1">IFERROR(__xludf.DUMMYFUNCTION("""COMPUTED_VALUE"""),"None")</f>
        <v>None</v>
      </c>
    </row>
    <row r="1363" spans="1:7" ht="12.75">
      <c r="A1363" s="8" t="str">
        <f ca="1">IFERROR(__xludf.DUMMYFUNCTION("""COMPUTED_VALUE"""),"20081023ALPRP")</f>
        <v>20081023ALPRP</v>
      </c>
      <c r="B1363" s="8">
        <f ca="1">IFERROR(__xludf.DUMMYFUNCTION("""COMPUTED_VALUE"""),50)</f>
        <v>50</v>
      </c>
      <c r="C1363" s="8" t="str">
        <f ca="1">IFERROR(__xludf.DUMMYFUNCTION("""COMPUTED_VALUE"""),"Male")</f>
        <v>Male</v>
      </c>
      <c r="D1363" s="8" t="str">
        <f ca="1">IFERROR(__xludf.DUMMYFUNCTION("""COMPUTED_VALUE"""),"Parent")</f>
        <v>Parent</v>
      </c>
      <c r="E1363" s="8" t="str">
        <f ca="1">IFERROR(__xludf.DUMMYFUNCTION("""COMPUTED_VALUE"""),"Surrendered")</f>
        <v>Surrendered</v>
      </c>
      <c r="F1363" s="8" t="str">
        <f ca="1">IFERROR(__xludf.DUMMYFUNCTION("""COMPUTED_VALUE"""),"No")</f>
        <v>No</v>
      </c>
      <c r="G1363" s="8" t="str">
        <f ca="1">IFERROR(__xludf.DUMMYFUNCTION("""COMPUTED_VALUE"""),"None")</f>
        <v>None</v>
      </c>
    </row>
    <row r="1364" spans="1:7" ht="12.75">
      <c r="A1364" s="8" t="str">
        <f ca="1">IFERROR(__xludf.DUMMYFUNCTION("""COMPUTED_VALUE"""),"20081020CAVAA")</f>
        <v>20081020CAVAA</v>
      </c>
      <c r="B1364" s="8">
        <f ca="1">IFERROR(__xludf.DUMMYFUNCTION("""COMPUTED_VALUE"""),14)</f>
        <v>14</v>
      </c>
      <c r="C1364" s="8" t="str">
        <f ca="1">IFERROR(__xludf.DUMMYFUNCTION("""COMPUTED_VALUE"""),"Male")</f>
        <v>Male</v>
      </c>
      <c r="D1364" s="8" t="str">
        <f ca="1">IFERROR(__xludf.DUMMYFUNCTION("""COMPUTED_VALUE"""),"Student")</f>
        <v>Student</v>
      </c>
      <c r="E1364" s="8" t="str">
        <f ca="1">IFERROR(__xludf.DUMMYFUNCTION("""COMPUTED_VALUE"""),"Suicide")</f>
        <v>Suicide</v>
      </c>
      <c r="F1364" s="8" t="str">
        <f ca="1">IFERROR(__xludf.DUMMYFUNCTION("""COMPUTED_VALUE"""),"Yes")</f>
        <v>Yes</v>
      </c>
      <c r="G1364" s="8" t="str">
        <f ca="1">IFERROR(__xludf.DUMMYFUNCTION("""COMPUTED_VALUE"""),"Suicide")</f>
        <v>Suicide</v>
      </c>
    </row>
    <row r="1365" spans="1:7" ht="12.75">
      <c r="A1365" s="8" t="str">
        <f ca="1">IFERROR(__xludf.DUMMYFUNCTION("""COMPUTED_VALUE"""),"20081016MIHED")</f>
        <v>20081016MIHED</v>
      </c>
      <c r="B1365" s="8">
        <f ca="1">IFERROR(__xludf.DUMMYFUNCTION("""COMPUTED_VALUE"""),15)</f>
        <v>15</v>
      </c>
      <c r="C1365" s="8" t="str">
        <f ca="1">IFERROR(__xludf.DUMMYFUNCTION("""COMPUTED_VALUE"""),"Male")</f>
        <v>Male</v>
      </c>
      <c r="D1365" s="8" t="str">
        <f ca="1">IFERROR(__xludf.DUMMYFUNCTION("""COMPUTED_VALUE"""),"Student")</f>
        <v>Student</v>
      </c>
      <c r="E1365" s="8" t="str">
        <f ca="1">IFERROR(__xludf.DUMMYFUNCTION("""COMPUTED_VALUE"""),"Fled/Apprehended")</f>
        <v>Fled/Apprehended</v>
      </c>
      <c r="F1365" s="8" t="str">
        <f ca="1">IFERROR(__xludf.DUMMYFUNCTION("""COMPUTED_VALUE"""),"No")</f>
        <v>No</v>
      </c>
      <c r="G1365" s="8" t="str">
        <f ca="1">IFERROR(__xludf.DUMMYFUNCTION("""COMPUTED_VALUE"""),"None")</f>
        <v>None</v>
      </c>
    </row>
    <row r="1366" spans="1:7" ht="12.75">
      <c r="A1366" s="8" t="str">
        <f ca="1">IFERROR(__xludf.DUMMYFUNCTION("""COMPUTED_VALUE"""),"20080919CAGEA")</f>
        <v>20080919CAGEA</v>
      </c>
      <c r="B1366" s="8"/>
      <c r="C1366" s="8" t="str">
        <f ca="1">IFERROR(__xludf.DUMMYFUNCTION("""COMPUTED_VALUE"""),"Male")</f>
        <v>Male</v>
      </c>
      <c r="D1366" s="8" t="str">
        <f ca="1">IFERROR(__xludf.DUMMYFUNCTION("""COMPUTED_VALUE"""),"Unknown")</f>
        <v>Unknown</v>
      </c>
      <c r="E1366" s="8" t="str">
        <f ca="1">IFERROR(__xludf.DUMMYFUNCTION("""COMPUTED_VALUE"""),"Fled/Escaped")</f>
        <v>Fled/Escaped</v>
      </c>
      <c r="F1366" s="8" t="str">
        <f ca="1">IFERROR(__xludf.DUMMYFUNCTION("""COMPUTED_VALUE"""),"No")</f>
        <v>No</v>
      </c>
      <c r="G1366" s="8" t="str">
        <f ca="1">IFERROR(__xludf.DUMMYFUNCTION("""COMPUTED_VALUE"""),"None")</f>
        <v>None</v>
      </c>
    </row>
    <row r="1367" spans="1:7" ht="12.75">
      <c r="A1367" s="8" t="str">
        <f ca="1">IFERROR(__xludf.DUMMYFUNCTION("""COMPUTED_VALUE"""),"20080915CAMIS")</f>
        <v>20080915CAMIS</v>
      </c>
      <c r="B1367" s="8">
        <f ca="1">IFERROR(__xludf.DUMMYFUNCTION("""COMPUTED_VALUE"""),17)</f>
        <v>17</v>
      </c>
      <c r="C1367" s="8" t="str">
        <f ca="1">IFERROR(__xludf.DUMMYFUNCTION("""COMPUTED_VALUE"""),"Male")</f>
        <v>Male</v>
      </c>
      <c r="D1367" s="8" t="str">
        <f ca="1">IFERROR(__xludf.DUMMYFUNCTION("""COMPUTED_VALUE"""),"Student")</f>
        <v>Student</v>
      </c>
      <c r="E1367" s="8" t="str">
        <f ca="1">IFERROR(__xludf.DUMMYFUNCTION("""COMPUTED_VALUE"""),"Suicide")</f>
        <v>Suicide</v>
      </c>
      <c r="F1367" s="8" t="str">
        <f ca="1">IFERROR(__xludf.DUMMYFUNCTION("""COMPUTED_VALUE"""),"Yes")</f>
        <v>Yes</v>
      </c>
      <c r="G1367" s="8" t="str">
        <f ca="1">IFERROR(__xludf.DUMMYFUNCTION("""COMPUTED_VALUE"""),"Suicide")</f>
        <v>Suicide</v>
      </c>
    </row>
    <row r="1368" spans="1:7" ht="12.75">
      <c r="A1368" s="8" t="str">
        <f ca="1">IFERROR(__xludf.DUMMYFUNCTION("""COMPUTED_VALUE"""),"20080902OHSOW")</f>
        <v>20080902OHSOW</v>
      </c>
      <c r="B1368" s="8">
        <f ca="1">IFERROR(__xludf.DUMMYFUNCTION("""COMPUTED_VALUE"""),15)</f>
        <v>15</v>
      </c>
      <c r="C1368" s="8" t="str">
        <f ca="1">IFERROR(__xludf.DUMMYFUNCTION("""COMPUTED_VALUE"""),"Male")</f>
        <v>Male</v>
      </c>
      <c r="D1368" s="8" t="str">
        <f ca="1">IFERROR(__xludf.DUMMYFUNCTION("""COMPUTED_VALUE"""),"Student")</f>
        <v>Student</v>
      </c>
      <c r="E1368" s="8" t="str">
        <f ca="1">IFERROR(__xludf.DUMMYFUNCTION("""COMPUTED_VALUE"""),"Surrendered")</f>
        <v>Surrendered</v>
      </c>
      <c r="F1368" s="8" t="str">
        <f ca="1">IFERROR(__xludf.DUMMYFUNCTION("""COMPUTED_VALUE"""),"No")</f>
        <v>No</v>
      </c>
      <c r="G1368" s="8" t="str">
        <f ca="1">IFERROR(__xludf.DUMMYFUNCTION("""COMPUTED_VALUE"""),"None")</f>
        <v>None</v>
      </c>
    </row>
    <row r="1369" spans="1:7" ht="12.75">
      <c r="A1369" s="8" t="str">
        <f ca="1">IFERROR(__xludf.DUMMYFUNCTION("""COMPUTED_VALUE"""),"20080821TNCEK")</f>
        <v>20080821TNCEK</v>
      </c>
      <c r="B1369" s="8">
        <f ca="1">IFERROR(__xludf.DUMMYFUNCTION("""COMPUTED_VALUE"""),15)</f>
        <v>15</v>
      </c>
      <c r="C1369" s="8" t="str">
        <f ca="1">IFERROR(__xludf.DUMMYFUNCTION("""COMPUTED_VALUE"""),"Male")</f>
        <v>Male</v>
      </c>
      <c r="D1369" s="8" t="str">
        <f ca="1">IFERROR(__xludf.DUMMYFUNCTION("""COMPUTED_VALUE"""),"Student")</f>
        <v>Student</v>
      </c>
      <c r="E1369" s="8" t="str">
        <f ca="1">IFERROR(__xludf.DUMMYFUNCTION("""COMPUTED_VALUE"""),"Fled/Apprehended")</f>
        <v>Fled/Apprehended</v>
      </c>
      <c r="F1369" s="8" t="str">
        <f ca="1">IFERROR(__xludf.DUMMYFUNCTION("""COMPUTED_VALUE"""),"No")</f>
        <v>No</v>
      </c>
      <c r="G1369" s="8" t="str">
        <f ca="1">IFERROR(__xludf.DUMMYFUNCTION("""COMPUTED_VALUE"""),"None")</f>
        <v>None</v>
      </c>
    </row>
    <row r="1370" spans="1:7" ht="12.75">
      <c r="A1370" s="8" t="str">
        <f ca="1">IFERROR(__xludf.DUMMYFUNCTION("""COMPUTED_VALUE"""),"20080814WALAF")</f>
        <v>20080814WALAF</v>
      </c>
      <c r="B1370" s="8">
        <f ca="1">IFERROR(__xludf.DUMMYFUNCTION("""COMPUTED_VALUE"""),17)</f>
        <v>17</v>
      </c>
      <c r="C1370" s="8" t="str">
        <f ca="1">IFERROR(__xludf.DUMMYFUNCTION("""COMPUTED_VALUE"""),"Male")</f>
        <v>Male</v>
      </c>
      <c r="D1370" s="8" t="str">
        <f ca="1">IFERROR(__xludf.DUMMYFUNCTION("""COMPUTED_VALUE"""),"Relative")</f>
        <v>Relative</v>
      </c>
      <c r="E1370" s="8" t="str">
        <f ca="1">IFERROR(__xludf.DUMMYFUNCTION("""COMPUTED_VALUE"""),"Fled/Apprehended")</f>
        <v>Fled/Apprehended</v>
      </c>
      <c r="F1370" s="8" t="str">
        <f ca="1">IFERROR(__xludf.DUMMYFUNCTION("""COMPUTED_VALUE"""),"No")</f>
        <v>No</v>
      </c>
      <c r="G1370" s="8" t="str">
        <f ca="1">IFERROR(__xludf.DUMMYFUNCTION("""COMPUTED_VALUE"""),"None")</f>
        <v>None</v>
      </c>
    </row>
    <row r="1371" spans="1:7" ht="12.75">
      <c r="A1371" s="8" t="str">
        <f ca="1">IFERROR(__xludf.DUMMYFUNCTION("""COMPUTED_VALUE"""),"20080811WAWAK")</f>
        <v>20080811WAWAK</v>
      </c>
      <c r="B1371" s="8">
        <f ca="1">IFERROR(__xludf.DUMMYFUNCTION("""COMPUTED_VALUE"""),49)</f>
        <v>49</v>
      </c>
      <c r="C1371" s="8" t="str">
        <f ca="1">IFERROR(__xludf.DUMMYFUNCTION("""COMPUTED_VALUE"""),"Male")</f>
        <v>Male</v>
      </c>
      <c r="D1371" s="8" t="str">
        <f ca="1">IFERROR(__xludf.DUMMYFUNCTION("""COMPUTED_VALUE"""),"No Relation")</f>
        <v>No Relation</v>
      </c>
      <c r="E1371" s="8" t="str">
        <f ca="1">IFERROR(__xludf.DUMMYFUNCTION("""COMPUTED_VALUE"""),"Unknown")</f>
        <v>Unknown</v>
      </c>
      <c r="F1371" s="8" t="str">
        <f ca="1">IFERROR(__xludf.DUMMYFUNCTION("""COMPUTED_VALUE"""),"No")</f>
        <v>No</v>
      </c>
      <c r="G1371" s="8" t="str">
        <f ca="1">IFERROR(__xludf.DUMMYFUNCTION("""COMPUTED_VALUE"""),"None")</f>
        <v>None</v>
      </c>
    </row>
    <row r="1372" spans="1:7" ht="12.75">
      <c r="A1372" s="8" t="str">
        <f ca="1">IFERROR(__xludf.DUMMYFUNCTION("""COMPUTED_VALUE"""),"20080516LAMAT")</f>
        <v>20080516LAMAT</v>
      </c>
      <c r="B1372" s="8" t="str">
        <f ca="1">IFERROR(__xludf.DUMMYFUNCTION("""COMPUTED_VALUE"""),"Teen")</f>
        <v>Teen</v>
      </c>
      <c r="C1372" s="8" t="str">
        <f ca="1">IFERROR(__xludf.DUMMYFUNCTION("""COMPUTED_VALUE"""),"Male")</f>
        <v>Male</v>
      </c>
      <c r="D1372" s="8" t="str">
        <f ca="1">IFERROR(__xludf.DUMMYFUNCTION("""COMPUTED_VALUE"""),"Student")</f>
        <v>Student</v>
      </c>
      <c r="E1372" s="8" t="str">
        <f ca="1">IFERROR(__xludf.DUMMYFUNCTION("""COMPUTED_VALUE"""),"Suicide")</f>
        <v>Suicide</v>
      </c>
      <c r="F1372" s="8" t="str">
        <f ca="1">IFERROR(__xludf.DUMMYFUNCTION("""COMPUTED_VALUE"""),"Yes")</f>
        <v>Yes</v>
      </c>
      <c r="G1372" s="8" t="str">
        <f ca="1">IFERROR(__xludf.DUMMYFUNCTION("""COMPUTED_VALUE"""),"Suicide")</f>
        <v>Suicide</v>
      </c>
    </row>
    <row r="1373" spans="1:7" ht="12.75">
      <c r="A1373" s="8" t="str">
        <f ca="1">IFERROR(__xludf.DUMMYFUNCTION("""COMPUTED_VALUE"""),"20080416CAROF")</f>
        <v>20080416CAROF</v>
      </c>
      <c r="B1373" s="8" t="str">
        <f ca="1">IFERROR(__xludf.DUMMYFUNCTION("""COMPUTED_VALUE"""),"Adult")</f>
        <v>Adult</v>
      </c>
      <c r="C1373" s="8"/>
      <c r="D1373" s="8" t="str">
        <f ca="1">IFERROR(__xludf.DUMMYFUNCTION("""COMPUTED_VALUE"""),"Police Officer/SRO")</f>
        <v>Police Officer/SRO</v>
      </c>
      <c r="E1373" s="8" t="str">
        <f ca="1">IFERROR(__xludf.DUMMYFUNCTION("""COMPUTED_VALUE"""),"Law Enforcement")</f>
        <v>Law Enforcement</v>
      </c>
      <c r="F1373" s="8" t="str">
        <f ca="1">IFERROR(__xludf.DUMMYFUNCTION("""COMPUTED_VALUE"""),"No")</f>
        <v>No</v>
      </c>
      <c r="G1373" s="8" t="str">
        <f ca="1">IFERROR(__xludf.DUMMYFUNCTION("""COMPUTED_VALUE"""),"None")</f>
        <v>None</v>
      </c>
    </row>
    <row r="1374" spans="1:7" ht="12.75">
      <c r="A1374" s="8" t="str">
        <f ca="1">IFERROR(__xludf.DUMMYFUNCTION("""COMPUTED_VALUE"""),"20080306ALDAM")</f>
        <v>20080306ALDAM</v>
      </c>
      <c r="B1374" s="8">
        <f ca="1">IFERROR(__xludf.DUMMYFUNCTION("""COMPUTED_VALUE"""),18)</f>
        <v>18</v>
      </c>
      <c r="C1374" s="8" t="str">
        <f ca="1">IFERROR(__xludf.DUMMYFUNCTION("""COMPUTED_VALUE"""),"Male")</f>
        <v>Male</v>
      </c>
      <c r="D1374" s="8" t="str">
        <f ca="1">IFERROR(__xludf.DUMMYFUNCTION("""COMPUTED_VALUE"""),"Student")</f>
        <v>Student</v>
      </c>
      <c r="E1374" s="8" t="str">
        <f ca="1">IFERROR(__xludf.DUMMYFUNCTION("""COMPUTED_VALUE"""),"Suicide")</f>
        <v>Suicide</v>
      </c>
      <c r="F1374" s="8" t="str">
        <f ca="1">IFERROR(__xludf.DUMMYFUNCTION("""COMPUTED_VALUE"""),"Yes")</f>
        <v>Yes</v>
      </c>
      <c r="G1374" s="8" t="str">
        <f ca="1">IFERROR(__xludf.DUMMYFUNCTION("""COMPUTED_VALUE"""),"Suicide")</f>
        <v>Suicide</v>
      </c>
    </row>
    <row r="1375" spans="1:7" ht="12.75">
      <c r="A1375" s="8" t="str">
        <f ca="1">IFERROR(__xludf.DUMMYFUNCTION("""COMPUTED_VALUE"""),"20080214CAEOO")</f>
        <v>20080214CAEOO</v>
      </c>
      <c r="B1375" s="8">
        <f ca="1">IFERROR(__xludf.DUMMYFUNCTION("""COMPUTED_VALUE"""),14)</f>
        <v>14</v>
      </c>
      <c r="C1375" s="8" t="str">
        <f ca="1">IFERROR(__xludf.DUMMYFUNCTION("""COMPUTED_VALUE"""),"Male")</f>
        <v>Male</v>
      </c>
      <c r="D1375" s="8" t="str">
        <f ca="1">IFERROR(__xludf.DUMMYFUNCTION("""COMPUTED_VALUE"""),"Student")</f>
        <v>Student</v>
      </c>
      <c r="E1375" s="8" t="str">
        <f ca="1">IFERROR(__xludf.DUMMYFUNCTION("""COMPUTED_VALUE"""),"Fled/Apprehended")</f>
        <v>Fled/Apprehended</v>
      </c>
      <c r="F1375" s="8" t="str">
        <f ca="1">IFERROR(__xludf.DUMMYFUNCTION("""COMPUTED_VALUE"""),"No")</f>
        <v>No</v>
      </c>
      <c r="G1375" s="8" t="str">
        <f ca="1">IFERROR(__xludf.DUMMYFUNCTION("""COMPUTED_VALUE"""),"None")</f>
        <v>None</v>
      </c>
    </row>
    <row r="1376" spans="1:7" ht="12.75">
      <c r="A1376" s="8" t="str">
        <f ca="1">IFERROR(__xludf.DUMMYFUNCTION("""COMPUTED_VALUE"""),"20080211TNMIM")</f>
        <v>20080211TNMIM</v>
      </c>
      <c r="B1376" s="8">
        <f ca="1">IFERROR(__xludf.DUMMYFUNCTION("""COMPUTED_VALUE"""),17)</f>
        <v>17</v>
      </c>
      <c r="C1376" s="8" t="str">
        <f ca="1">IFERROR(__xludf.DUMMYFUNCTION("""COMPUTED_VALUE"""),"Male")</f>
        <v>Male</v>
      </c>
      <c r="D1376" s="8" t="str">
        <f ca="1">IFERROR(__xludf.DUMMYFUNCTION("""COMPUTED_VALUE"""),"Student")</f>
        <v>Student</v>
      </c>
      <c r="E1376" s="8" t="str">
        <f ca="1">IFERROR(__xludf.DUMMYFUNCTION("""COMPUTED_VALUE"""),"Surrendered")</f>
        <v>Surrendered</v>
      </c>
      <c r="F1376" s="8" t="str">
        <f ca="1">IFERROR(__xludf.DUMMYFUNCTION("""COMPUTED_VALUE"""),"No")</f>
        <v>No</v>
      </c>
      <c r="G1376" s="8" t="str">
        <f ca="1">IFERROR(__xludf.DUMMYFUNCTION("""COMPUTED_VALUE"""),"None")</f>
        <v>None</v>
      </c>
    </row>
    <row r="1377" spans="1:7" ht="12.75">
      <c r="A1377" s="8" t="str">
        <f ca="1">IFERROR(__xludf.DUMMYFUNCTION("""COMPUTED_VALUE"""),"20080204TNHAM")</f>
        <v>20080204TNHAM</v>
      </c>
      <c r="B1377" s="8">
        <f ca="1">IFERROR(__xludf.DUMMYFUNCTION("""COMPUTED_VALUE"""),16)</f>
        <v>16</v>
      </c>
      <c r="C1377" s="8" t="str">
        <f ca="1">IFERROR(__xludf.DUMMYFUNCTION("""COMPUTED_VALUE"""),"Male")</f>
        <v>Male</v>
      </c>
      <c r="D1377" s="8" t="str">
        <f ca="1">IFERROR(__xludf.DUMMYFUNCTION("""COMPUTED_VALUE"""),"Student")</f>
        <v>Student</v>
      </c>
      <c r="E1377" s="8" t="str">
        <f ca="1">IFERROR(__xludf.DUMMYFUNCTION("""COMPUTED_VALUE"""),"Fled/Apprehended")</f>
        <v>Fled/Apprehended</v>
      </c>
      <c r="F1377" s="8" t="str">
        <f ca="1">IFERROR(__xludf.DUMMYFUNCTION("""COMPUTED_VALUE"""),"No")</f>
        <v>No</v>
      </c>
      <c r="G1377" s="8" t="str">
        <f ca="1">IFERROR(__xludf.DUMMYFUNCTION("""COMPUTED_VALUE"""),"None")</f>
        <v>None</v>
      </c>
    </row>
    <row r="1378" spans="1:7" ht="12.75">
      <c r="A1378" s="8" t="str">
        <f ca="1">IFERROR(__xludf.DUMMYFUNCTION("""COMPUTED_VALUE"""),"20071221CABAU")</f>
        <v>20071221CABAU</v>
      </c>
      <c r="B1378" s="8">
        <f ca="1">IFERROR(__xludf.DUMMYFUNCTION("""COMPUTED_VALUE"""),21)</f>
        <v>21</v>
      </c>
      <c r="C1378" s="8" t="str">
        <f ca="1">IFERROR(__xludf.DUMMYFUNCTION("""COMPUTED_VALUE"""),"Male")</f>
        <v>Male</v>
      </c>
      <c r="D1378" s="8" t="str">
        <f ca="1">IFERROR(__xludf.DUMMYFUNCTION("""COMPUTED_VALUE"""),"No Relation")</f>
        <v>No Relation</v>
      </c>
      <c r="E1378" s="8" t="str">
        <f ca="1">IFERROR(__xludf.DUMMYFUNCTION("""COMPUTED_VALUE"""),"Fled/Apprehended")</f>
        <v>Fled/Apprehended</v>
      </c>
      <c r="F1378" s="8" t="str">
        <f ca="1">IFERROR(__xludf.DUMMYFUNCTION("""COMPUTED_VALUE"""),"No")</f>
        <v>No</v>
      </c>
      <c r="G1378" s="8" t="str">
        <f ca="1">IFERROR(__xludf.DUMMYFUNCTION("""COMPUTED_VALUE"""),"None")</f>
        <v>None</v>
      </c>
    </row>
    <row r="1379" spans="1:7" ht="12.75">
      <c r="A1379" s="8" t="str">
        <f ca="1">IFERROR(__xludf.DUMMYFUNCTION("""COMPUTED_VALUE"""),"20071126NYHOH")</f>
        <v>20071126NYHOH</v>
      </c>
      <c r="B1379" s="8">
        <f ca="1">IFERROR(__xludf.DUMMYFUNCTION("""COMPUTED_VALUE"""),17)</f>
        <v>17</v>
      </c>
      <c r="C1379" s="8" t="str">
        <f ca="1">IFERROR(__xludf.DUMMYFUNCTION("""COMPUTED_VALUE"""),"Male")</f>
        <v>Male</v>
      </c>
      <c r="D1379" s="8" t="str">
        <f ca="1">IFERROR(__xludf.DUMMYFUNCTION("""COMPUTED_VALUE"""),"Student")</f>
        <v>Student</v>
      </c>
      <c r="E1379" s="8" t="str">
        <f ca="1">IFERROR(__xludf.DUMMYFUNCTION("""COMPUTED_VALUE"""),"Unknown")</f>
        <v>Unknown</v>
      </c>
      <c r="F1379" s="8" t="str">
        <f ca="1">IFERROR(__xludf.DUMMYFUNCTION("""COMPUTED_VALUE"""),"No")</f>
        <v>No</v>
      </c>
      <c r="G1379" s="8" t="str">
        <f ca="1">IFERROR(__xludf.DUMMYFUNCTION("""COMPUTED_VALUE"""),"None")</f>
        <v>None</v>
      </c>
    </row>
    <row r="1380" spans="1:7" ht="12.75">
      <c r="A1380" s="8" t="str">
        <f ca="1">IFERROR(__xludf.DUMMYFUNCTION("""COMPUTED_VALUE"""),"20071105LAJOR")</f>
        <v>20071105LAJOR</v>
      </c>
      <c r="B1380" s="8">
        <f ca="1">IFERROR(__xludf.DUMMYFUNCTION("""COMPUTED_VALUE"""),13)</f>
        <v>13</v>
      </c>
      <c r="C1380" s="8" t="str">
        <f ca="1">IFERROR(__xludf.DUMMYFUNCTION("""COMPUTED_VALUE"""),"Male")</f>
        <v>Male</v>
      </c>
      <c r="D1380" s="8" t="str">
        <f ca="1">IFERROR(__xludf.DUMMYFUNCTION("""COMPUTED_VALUE"""),"Student")</f>
        <v>Student</v>
      </c>
      <c r="E1380" s="8" t="str">
        <f ca="1">IFERROR(__xludf.DUMMYFUNCTION("""COMPUTED_VALUE"""),"Suicide")</f>
        <v>Suicide</v>
      </c>
      <c r="F1380" s="8" t="str">
        <f ca="1">IFERROR(__xludf.DUMMYFUNCTION("""COMPUTED_VALUE"""),"Yes")</f>
        <v>Yes</v>
      </c>
      <c r="G1380" s="8" t="str">
        <f ca="1">IFERROR(__xludf.DUMMYFUNCTION("""COMPUTED_VALUE"""),"Suicide")</f>
        <v>Suicide</v>
      </c>
    </row>
    <row r="1381" spans="1:7" ht="12.75">
      <c r="A1381" s="8" t="str">
        <f ca="1">IFERROR(__xludf.DUMMYFUNCTION("""COMPUTED_VALUE"""),"20071024TNMAM")</f>
        <v>20071024TNMAM</v>
      </c>
      <c r="B1381" s="8">
        <f ca="1">IFERROR(__xludf.DUMMYFUNCTION("""COMPUTED_VALUE"""),15)</f>
        <v>15</v>
      </c>
      <c r="C1381" s="8" t="str">
        <f ca="1">IFERROR(__xludf.DUMMYFUNCTION("""COMPUTED_VALUE"""),"Male")</f>
        <v>Male</v>
      </c>
      <c r="D1381" s="8" t="str">
        <f ca="1">IFERROR(__xludf.DUMMYFUNCTION("""COMPUTED_VALUE"""),"Student")</f>
        <v>Student</v>
      </c>
      <c r="E1381" s="8" t="str">
        <f ca="1">IFERROR(__xludf.DUMMYFUNCTION("""COMPUTED_VALUE"""),"Unknown")</f>
        <v>Unknown</v>
      </c>
      <c r="F1381" s="8" t="str">
        <f ca="1">IFERROR(__xludf.DUMMYFUNCTION("""COMPUTED_VALUE"""),"No")</f>
        <v>No</v>
      </c>
      <c r="G1381" s="8" t="str">
        <f ca="1">IFERROR(__xludf.DUMMYFUNCTION("""COMPUTED_VALUE"""),"None")</f>
        <v>None</v>
      </c>
    </row>
    <row r="1382" spans="1:7" ht="12.75">
      <c r="A1382" s="8" t="str">
        <f ca="1">IFERROR(__xludf.DUMMYFUNCTION("""COMPUTED_VALUE"""),"20071010OHSUC")</f>
        <v>20071010OHSUC</v>
      </c>
      <c r="B1382" s="8">
        <f ca="1">IFERROR(__xludf.DUMMYFUNCTION("""COMPUTED_VALUE"""),14)</f>
        <v>14</v>
      </c>
      <c r="C1382" s="8" t="str">
        <f ca="1">IFERROR(__xludf.DUMMYFUNCTION("""COMPUTED_VALUE"""),"Male")</f>
        <v>Male</v>
      </c>
      <c r="D1382" s="8" t="str">
        <f ca="1">IFERROR(__xludf.DUMMYFUNCTION("""COMPUTED_VALUE"""),"Student")</f>
        <v>Student</v>
      </c>
      <c r="E1382" s="8" t="str">
        <f ca="1">IFERROR(__xludf.DUMMYFUNCTION("""COMPUTED_VALUE"""),"Suicide")</f>
        <v>Suicide</v>
      </c>
      <c r="F1382" s="8" t="str">
        <f ca="1">IFERROR(__xludf.DUMMYFUNCTION("""COMPUTED_VALUE"""),"Yes")</f>
        <v>Yes</v>
      </c>
      <c r="G1382" s="8" t="str">
        <f ca="1">IFERROR(__xludf.DUMMYFUNCTION("""COMPUTED_VALUE"""),"Suicide")</f>
        <v>Suicide</v>
      </c>
    </row>
    <row r="1383" spans="1:7" ht="12.75">
      <c r="A1383" s="8" t="str">
        <f ca="1">IFERROR(__xludf.DUMMYFUNCTION("""COMPUTED_VALUE"""),"20071001CTPLM")</f>
        <v>20071001CTPLM</v>
      </c>
      <c r="B1383" s="8">
        <f ca="1">IFERROR(__xludf.DUMMYFUNCTION("""COMPUTED_VALUE"""),15)</f>
        <v>15</v>
      </c>
      <c r="C1383" s="8" t="str">
        <f ca="1">IFERROR(__xludf.DUMMYFUNCTION("""COMPUTED_VALUE"""),"Male")</f>
        <v>Male</v>
      </c>
      <c r="D1383" s="8" t="str">
        <f ca="1">IFERROR(__xludf.DUMMYFUNCTION("""COMPUTED_VALUE"""),"Student")</f>
        <v>Student</v>
      </c>
      <c r="E1383" s="8" t="str">
        <f ca="1">IFERROR(__xludf.DUMMYFUNCTION("""COMPUTED_VALUE"""),"Fled/Apprehended")</f>
        <v>Fled/Apprehended</v>
      </c>
      <c r="F1383" s="8" t="str">
        <f ca="1">IFERROR(__xludf.DUMMYFUNCTION("""COMPUTED_VALUE"""),"No")</f>
        <v>No</v>
      </c>
      <c r="G1383" s="8" t="str">
        <f ca="1">IFERROR(__xludf.DUMMYFUNCTION("""COMPUTED_VALUE"""),"None")</f>
        <v>None</v>
      </c>
    </row>
    <row r="1384" spans="1:7" ht="12.75">
      <c r="A1384" s="8" t="str">
        <f ca="1">IFERROR(__xludf.DUMMYFUNCTION("""COMPUTED_VALUE"""),"20070930AZSSP")</f>
        <v>20070930AZSSP</v>
      </c>
      <c r="B1384" s="8">
        <f ca="1">IFERROR(__xludf.DUMMYFUNCTION("""COMPUTED_VALUE"""),18)</f>
        <v>18</v>
      </c>
      <c r="C1384" s="8" t="str">
        <f ca="1">IFERROR(__xludf.DUMMYFUNCTION("""COMPUTED_VALUE"""),"Male")</f>
        <v>Male</v>
      </c>
      <c r="D1384" s="8" t="str">
        <f ca="1">IFERROR(__xludf.DUMMYFUNCTION("""COMPUTED_VALUE"""),"Unknown")</f>
        <v>Unknown</v>
      </c>
      <c r="E1384" s="8" t="str">
        <f ca="1">IFERROR(__xludf.DUMMYFUNCTION("""COMPUTED_VALUE"""),"Fled/Escaped")</f>
        <v>Fled/Escaped</v>
      </c>
      <c r="F1384" s="8" t="str">
        <f ca="1">IFERROR(__xludf.DUMMYFUNCTION("""COMPUTED_VALUE"""),"No")</f>
        <v>No</v>
      </c>
      <c r="G1384" s="8" t="str">
        <f ca="1">IFERROR(__xludf.DUMMYFUNCTION("""COMPUTED_VALUE"""),"None")</f>
        <v>None</v>
      </c>
    </row>
    <row r="1385" spans="1:7" ht="12.75">
      <c r="A1385" s="8" t="str">
        <f ca="1">IFERROR(__xludf.DUMMYFUNCTION("""COMPUTED_VALUE"""),"20070928CALAO")</f>
        <v>20070928CALAO</v>
      </c>
      <c r="B1385" s="8">
        <f ca="1">IFERROR(__xludf.DUMMYFUNCTION("""COMPUTED_VALUE"""),17)</f>
        <v>17</v>
      </c>
      <c r="C1385" s="8" t="str">
        <f ca="1">IFERROR(__xludf.DUMMYFUNCTION("""COMPUTED_VALUE"""),"Male")</f>
        <v>Male</v>
      </c>
      <c r="D1385" s="8" t="str">
        <f ca="1">IFERROR(__xludf.DUMMYFUNCTION("""COMPUTED_VALUE"""),"Student")</f>
        <v>Student</v>
      </c>
      <c r="E1385" s="8" t="str">
        <f ca="1">IFERROR(__xludf.DUMMYFUNCTION("""COMPUTED_VALUE"""),"Surrendered")</f>
        <v>Surrendered</v>
      </c>
      <c r="F1385" s="8" t="str">
        <f ca="1">IFERROR(__xludf.DUMMYFUNCTION("""COMPUTED_VALUE"""),"No")</f>
        <v>No</v>
      </c>
      <c r="G1385" s="8" t="str">
        <f ca="1">IFERROR(__xludf.DUMMYFUNCTION("""COMPUTED_VALUE"""),"None")</f>
        <v>None</v>
      </c>
    </row>
    <row r="1386" spans="1:7" ht="12.75">
      <c r="A1386" s="8" t="str">
        <f ca="1">IFERROR(__xludf.DUMMYFUNCTION("""COMPUTED_VALUE"""),"20070804NJMON")</f>
        <v>20070804NJMON</v>
      </c>
      <c r="B1386" s="8">
        <f ca="1">IFERROR(__xludf.DUMMYFUNCTION("""COMPUTED_VALUE"""),19)</f>
        <v>19</v>
      </c>
      <c r="C1386" s="8" t="str">
        <f ca="1">IFERROR(__xludf.DUMMYFUNCTION("""COMPUTED_VALUE"""),"Male")</f>
        <v>Male</v>
      </c>
      <c r="D1386" s="8" t="str">
        <f ca="1">IFERROR(__xludf.DUMMYFUNCTION("""COMPUTED_VALUE"""),"Unknown")</f>
        <v>Unknown</v>
      </c>
      <c r="E1386" s="8" t="str">
        <f ca="1">IFERROR(__xludf.DUMMYFUNCTION("""COMPUTED_VALUE"""),"Fled/Apprehended")</f>
        <v>Fled/Apprehended</v>
      </c>
      <c r="F1386" s="8" t="str">
        <f ca="1">IFERROR(__xludf.DUMMYFUNCTION("""COMPUTED_VALUE"""),"No")</f>
        <v>No</v>
      </c>
      <c r="G1386" s="8" t="str">
        <f ca="1">IFERROR(__xludf.DUMMYFUNCTION("""COMPUTED_VALUE"""),"None")</f>
        <v>None</v>
      </c>
    </row>
    <row r="1387" spans="1:7" ht="12.75">
      <c r="A1387" s="8" t="str">
        <f ca="1">IFERROR(__xludf.DUMMYFUNCTION("""COMPUTED_VALUE"""),"20070709ILCAC")</f>
        <v>20070709ILCAC</v>
      </c>
      <c r="B1387" s="8"/>
      <c r="C1387" s="8" t="str">
        <f ca="1">IFERROR(__xludf.DUMMYFUNCTION("""COMPUTED_VALUE"""),"Male")</f>
        <v>Male</v>
      </c>
      <c r="D1387" s="8" t="str">
        <f ca="1">IFERROR(__xludf.DUMMYFUNCTION("""COMPUTED_VALUE"""),"Unknown")</f>
        <v>Unknown</v>
      </c>
      <c r="E1387" s="8" t="str">
        <f ca="1">IFERROR(__xludf.DUMMYFUNCTION("""COMPUTED_VALUE"""),"Fled/Escaped")</f>
        <v>Fled/Escaped</v>
      </c>
      <c r="F1387" s="8" t="str">
        <f ca="1">IFERROR(__xludf.DUMMYFUNCTION("""COMPUTED_VALUE"""),"No")</f>
        <v>No</v>
      </c>
      <c r="G1387" s="8" t="str">
        <f ca="1">IFERROR(__xludf.DUMMYFUNCTION("""COMPUTED_VALUE"""),"None")</f>
        <v>None</v>
      </c>
    </row>
    <row r="1388" spans="1:7" ht="12.75">
      <c r="A1388" s="8" t="str">
        <f ca="1">IFERROR(__xludf.DUMMYFUNCTION("""COMPUTED_VALUE"""),"20070628TXDAD")</f>
        <v>20070628TXDAD</v>
      </c>
      <c r="B1388" s="8">
        <f ca="1">IFERROR(__xludf.DUMMYFUNCTION("""COMPUTED_VALUE"""),17)</f>
        <v>17</v>
      </c>
      <c r="C1388" s="8" t="str">
        <f ca="1">IFERROR(__xludf.DUMMYFUNCTION("""COMPUTED_VALUE"""),"Male")</f>
        <v>Male</v>
      </c>
      <c r="D1388" s="8" t="str">
        <f ca="1">IFERROR(__xludf.DUMMYFUNCTION("""COMPUTED_VALUE"""),"Rival School Student")</f>
        <v>Rival School Student</v>
      </c>
      <c r="E1388" s="8" t="str">
        <f ca="1">IFERROR(__xludf.DUMMYFUNCTION("""COMPUTED_VALUE"""),"Fled/Apprehended")</f>
        <v>Fled/Apprehended</v>
      </c>
      <c r="F1388" s="8" t="str">
        <f ca="1">IFERROR(__xludf.DUMMYFUNCTION("""COMPUTED_VALUE"""),"No")</f>
        <v>No</v>
      </c>
      <c r="G1388" s="8" t="str">
        <f ca="1">IFERROR(__xludf.DUMMYFUNCTION("""COMPUTED_VALUE"""),"None")</f>
        <v>None</v>
      </c>
    </row>
    <row r="1389" spans="1:7" ht="12.75">
      <c r="A1389" s="8" t="str">
        <f ca="1">IFERROR(__xludf.DUMMYFUNCTION("""COMPUTED_VALUE"""),"20070617SCBRB")</f>
        <v>20070617SCBRB</v>
      </c>
      <c r="B1389" s="8">
        <f ca="1">IFERROR(__xludf.DUMMYFUNCTION("""COMPUTED_VALUE"""),21)</f>
        <v>21</v>
      </c>
      <c r="C1389" s="8" t="str">
        <f ca="1">IFERROR(__xludf.DUMMYFUNCTION("""COMPUTED_VALUE"""),"Male")</f>
        <v>Male</v>
      </c>
      <c r="D1389" s="8" t="str">
        <f ca="1">IFERROR(__xludf.DUMMYFUNCTION("""COMPUTED_VALUE"""),"No Relation")</f>
        <v>No Relation</v>
      </c>
      <c r="E1389" s="8" t="str">
        <f ca="1">IFERROR(__xludf.DUMMYFUNCTION("""COMPUTED_VALUE"""),"Surrendered")</f>
        <v>Surrendered</v>
      </c>
      <c r="F1389" s="8" t="str">
        <f ca="1">IFERROR(__xludf.DUMMYFUNCTION("""COMPUTED_VALUE"""),"No")</f>
        <v>No</v>
      </c>
      <c r="G1389" s="8" t="str">
        <f ca="1">IFERROR(__xludf.DUMMYFUNCTION("""COMPUTED_VALUE"""),"None")</f>
        <v>None</v>
      </c>
    </row>
    <row r="1390" spans="1:7" ht="12.75">
      <c r="A1390" s="8" t="str">
        <f ca="1">IFERROR(__xludf.DUMMYFUNCTION("""COMPUTED_VALUE"""),"20070531NCNOG")</f>
        <v>20070531NCNOG</v>
      </c>
      <c r="B1390" s="8"/>
      <c r="C1390" s="8" t="str">
        <f ca="1">IFERROR(__xludf.DUMMYFUNCTION("""COMPUTED_VALUE"""),"Male")</f>
        <v>Male</v>
      </c>
      <c r="D1390" s="8" t="str">
        <f ca="1">IFERROR(__xludf.DUMMYFUNCTION("""COMPUTED_VALUE"""),"Unknown")</f>
        <v>Unknown</v>
      </c>
      <c r="E1390" s="8" t="str">
        <f ca="1">IFERROR(__xludf.DUMMYFUNCTION("""COMPUTED_VALUE"""),"Fled/Escaped")</f>
        <v>Fled/Escaped</v>
      </c>
      <c r="F1390" s="8" t="str">
        <f ca="1">IFERROR(__xludf.DUMMYFUNCTION("""COMPUTED_VALUE"""),"No")</f>
        <v>No</v>
      </c>
      <c r="G1390" s="8" t="str">
        <f ca="1">IFERROR(__xludf.DUMMYFUNCTION("""COMPUTED_VALUE"""),"None")</f>
        <v>None</v>
      </c>
    </row>
    <row r="1391" spans="1:7" ht="12.75">
      <c r="A1391" s="8" t="str">
        <f ca="1">IFERROR(__xludf.DUMMYFUNCTION("""COMPUTED_VALUE"""),"20070530NCVAG")</f>
        <v>20070530NCVAG</v>
      </c>
      <c r="B1391" s="8"/>
      <c r="C1391" s="8" t="str">
        <f ca="1">IFERROR(__xludf.DUMMYFUNCTION("""COMPUTED_VALUE"""),"Male")</f>
        <v>Male</v>
      </c>
      <c r="D1391" s="8" t="str">
        <f ca="1">IFERROR(__xludf.DUMMYFUNCTION("""COMPUTED_VALUE"""),"Unknown")</f>
        <v>Unknown</v>
      </c>
      <c r="E1391" s="8" t="str">
        <f ca="1">IFERROR(__xludf.DUMMYFUNCTION("""COMPUTED_VALUE"""),"Fled/Escaped")</f>
        <v>Fled/Escaped</v>
      </c>
      <c r="F1391" s="8" t="str">
        <f ca="1">IFERROR(__xludf.DUMMYFUNCTION("""COMPUTED_VALUE"""),"No")</f>
        <v>No</v>
      </c>
      <c r="G1391" s="8" t="str">
        <f ca="1">IFERROR(__xludf.DUMMYFUNCTION("""COMPUTED_VALUE"""),"None")</f>
        <v>None</v>
      </c>
    </row>
    <row r="1392" spans="1:7" ht="12.75">
      <c r="A1392" s="8" t="str">
        <f ca="1">IFERROR(__xludf.DUMMYFUNCTION("""COMPUTED_VALUE"""),"20070523RIOAC")</f>
        <v>20070523RIOAC</v>
      </c>
      <c r="B1392" s="8">
        <f ca="1">IFERROR(__xludf.DUMMYFUNCTION("""COMPUTED_VALUE"""),11)</f>
        <v>11</v>
      </c>
      <c r="C1392" s="8" t="str">
        <f ca="1">IFERROR(__xludf.DUMMYFUNCTION("""COMPUTED_VALUE"""),"Male")</f>
        <v>Male</v>
      </c>
      <c r="D1392" s="8" t="str">
        <f ca="1">IFERROR(__xludf.DUMMYFUNCTION("""COMPUTED_VALUE"""),"Student")</f>
        <v>Student</v>
      </c>
      <c r="E1392" s="8" t="str">
        <f ca="1">IFERROR(__xludf.DUMMYFUNCTION("""COMPUTED_VALUE"""),"Subdued by Students/Staff/Other")</f>
        <v>Subdued by Students/Staff/Other</v>
      </c>
      <c r="F1392" s="8" t="str">
        <f ca="1">IFERROR(__xludf.DUMMYFUNCTION("""COMPUTED_VALUE"""),"No")</f>
        <v>No</v>
      </c>
      <c r="G1392" s="8" t="str">
        <f ca="1">IFERROR(__xludf.DUMMYFUNCTION("""COMPUTED_VALUE"""),"None")</f>
        <v>None</v>
      </c>
    </row>
    <row r="1393" spans="1:7" ht="12.75">
      <c r="A1393" s="8" t="str">
        <f ca="1">IFERROR(__xludf.DUMMYFUNCTION("""COMPUTED_VALUE"""),"20070515TXLIL")</f>
        <v>20070515TXLIL</v>
      </c>
      <c r="B1393" s="8">
        <f ca="1">IFERROR(__xludf.DUMMYFUNCTION("""COMPUTED_VALUE"""),14)</f>
        <v>14</v>
      </c>
      <c r="C1393" s="8" t="str">
        <f ca="1">IFERROR(__xludf.DUMMYFUNCTION("""COMPUTED_VALUE"""),"Male")</f>
        <v>Male</v>
      </c>
      <c r="D1393" s="8" t="str">
        <f ca="1">IFERROR(__xludf.DUMMYFUNCTION("""COMPUTED_VALUE"""),"Student")</f>
        <v>Student</v>
      </c>
      <c r="E1393" s="8" t="str">
        <f ca="1">IFERROR(__xludf.DUMMYFUNCTION("""COMPUTED_VALUE"""),"Surrendered")</f>
        <v>Surrendered</v>
      </c>
      <c r="F1393" s="8" t="str">
        <f ca="1">IFERROR(__xludf.DUMMYFUNCTION("""COMPUTED_VALUE"""),"No")</f>
        <v>No</v>
      </c>
      <c r="G1393" s="8" t="str">
        <f ca="1">IFERROR(__xludf.DUMMYFUNCTION("""COMPUTED_VALUE"""),"None")</f>
        <v>None</v>
      </c>
    </row>
    <row r="1394" spans="1:7" ht="12.75">
      <c r="A1394" s="8" t="str">
        <f ca="1">IFERROR(__xludf.DUMMYFUNCTION("""COMPUTED_VALUE"""),"20070512TXWEM")</f>
        <v>20070512TXWEM</v>
      </c>
      <c r="B1394" s="8">
        <f ca="1">IFERROR(__xludf.DUMMYFUNCTION("""COMPUTED_VALUE"""),17)</f>
        <v>17</v>
      </c>
      <c r="C1394" s="8" t="str">
        <f ca="1">IFERROR(__xludf.DUMMYFUNCTION("""COMPUTED_VALUE"""),"Male")</f>
        <v>Male</v>
      </c>
      <c r="D1394" s="8" t="str">
        <f ca="1">IFERROR(__xludf.DUMMYFUNCTION("""COMPUTED_VALUE"""),"Student")</f>
        <v>Student</v>
      </c>
      <c r="E1394" s="8" t="str">
        <f ca="1">IFERROR(__xludf.DUMMYFUNCTION("""COMPUTED_VALUE"""),"Fled/Apprehended")</f>
        <v>Fled/Apprehended</v>
      </c>
      <c r="F1394" s="8" t="str">
        <f ca="1">IFERROR(__xludf.DUMMYFUNCTION("""COMPUTED_VALUE"""),"No")</f>
        <v>No</v>
      </c>
      <c r="G1394" s="8" t="str">
        <f ca="1">IFERROR(__xludf.DUMMYFUNCTION("""COMPUTED_VALUE"""),"None")</f>
        <v>None</v>
      </c>
    </row>
    <row r="1395" spans="1:7" ht="12.75">
      <c r="A1395" s="8" t="str">
        <f ca="1">IFERROR(__xludf.DUMMYFUNCTION("""COMPUTED_VALUE"""),"20070510MIHED")</f>
        <v>20070510MIHED</v>
      </c>
      <c r="B1395" s="8"/>
      <c r="C1395" s="8"/>
      <c r="D1395" s="8" t="str">
        <f ca="1">IFERROR(__xludf.DUMMYFUNCTION("""COMPUTED_VALUE"""),"Unknown")</f>
        <v>Unknown</v>
      </c>
      <c r="E1395" s="8" t="str">
        <f ca="1">IFERROR(__xludf.DUMMYFUNCTION("""COMPUTED_VALUE"""),"Fled/Escaped")</f>
        <v>Fled/Escaped</v>
      </c>
      <c r="F1395" s="8" t="str">
        <f ca="1">IFERROR(__xludf.DUMMYFUNCTION("""COMPUTED_VALUE"""),"No")</f>
        <v>No</v>
      </c>
      <c r="G1395" s="8" t="str">
        <f ca="1">IFERROR(__xludf.DUMMYFUNCTION("""COMPUTED_VALUE"""),"Wounded")</f>
        <v>Wounded</v>
      </c>
    </row>
    <row r="1396" spans="1:7" ht="12.75">
      <c r="A1396" s="8" t="str">
        <f ca="1">IFERROR(__xludf.DUMMYFUNCTION("""COMPUTED_VALUE"""),"20070504TXTIE")</f>
        <v>20070504TXTIE</v>
      </c>
      <c r="B1396" s="8">
        <f ca="1">IFERROR(__xludf.DUMMYFUNCTION("""COMPUTED_VALUE"""),15)</f>
        <v>15</v>
      </c>
      <c r="C1396" s="8" t="str">
        <f ca="1">IFERROR(__xludf.DUMMYFUNCTION("""COMPUTED_VALUE"""),"Female")</f>
        <v>Female</v>
      </c>
      <c r="D1396" s="8" t="str">
        <f ca="1">IFERROR(__xludf.DUMMYFUNCTION("""COMPUTED_VALUE"""),"Student")</f>
        <v>Student</v>
      </c>
      <c r="E1396" s="8" t="str">
        <f ca="1">IFERROR(__xludf.DUMMYFUNCTION("""COMPUTED_VALUE"""),"Suicide")</f>
        <v>Suicide</v>
      </c>
      <c r="F1396" s="8" t="str">
        <f ca="1">IFERROR(__xludf.DUMMYFUNCTION("""COMPUTED_VALUE"""),"Yes")</f>
        <v>Yes</v>
      </c>
      <c r="G1396" s="8" t="str">
        <f ca="1">IFERROR(__xludf.DUMMYFUNCTION("""COMPUTED_VALUE"""),"Suicide")</f>
        <v>Suicide</v>
      </c>
    </row>
    <row r="1397" spans="1:7" ht="12.75">
      <c r="A1397" s="8" t="str">
        <f ca="1">IFERROR(__xludf.DUMMYFUNCTION("""COMPUTED_VALUE"""),"20070503OHGED")</f>
        <v>20070503OHGED</v>
      </c>
      <c r="B1397" s="8">
        <f ca="1">IFERROR(__xludf.DUMMYFUNCTION("""COMPUTED_VALUE"""),16)</f>
        <v>16</v>
      </c>
      <c r="C1397" s="8" t="str">
        <f ca="1">IFERROR(__xludf.DUMMYFUNCTION("""COMPUTED_VALUE"""),"Male")</f>
        <v>Male</v>
      </c>
      <c r="D1397" s="8" t="str">
        <f ca="1">IFERROR(__xludf.DUMMYFUNCTION("""COMPUTED_VALUE"""),"Unknown")</f>
        <v>Unknown</v>
      </c>
      <c r="E1397" s="8" t="str">
        <f ca="1">IFERROR(__xludf.DUMMYFUNCTION("""COMPUTED_VALUE"""),"Apprehended/Killed by LE")</f>
        <v>Apprehended/Killed by LE</v>
      </c>
      <c r="F1397" s="8" t="str">
        <f ca="1">IFERROR(__xludf.DUMMYFUNCTION("""COMPUTED_VALUE"""),"No")</f>
        <v>No</v>
      </c>
      <c r="G1397" s="8" t="str">
        <f ca="1">IFERROR(__xludf.DUMMYFUNCTION("""COMPUTED_VALUE"""),"None")</f>
        <v>None</v>
      </c>
    </row>
    <row r="1398" spans="1:7" ht="12.75">
      <c r="A1398" s="8" t="str">
        <f ca="1">IFERROR(__xludf.DUMMYFUNCTION("""COMPUTED_VALUE"""),"20070418NCNOH")</f>
        <v>20070418NCNOH</v>
      </c>
      <c r="B1398" s="8">
        <f ca="1">IFERROR(__xludf.DUMMYFUNCTION("""COMPUTED_VALUE"""),16)</f>
        <v>16</v>
      </c>
      <c r="C1398" s="8" t="str">
        <f ca="1">IFERROR(__xludf.DUMMYFUNCTION("""COMPUTED_VALUE"""),"Male")</f>
        <v>Male</v>
      </c>
      <c r="D1398" s="8" t="str">
        <f ca="1">IFERROR(__xludf.DUMMYFUNCTION("""COMPUTED_VALUE"""),"Student")</f>
        <v>Student</v>
      </c>
      <c r="E1398" s="8" t="str">
        <f ca="1">IFERROR(__xludf.DUMMYFUNCTION("""COMPUTED_VALUE"""),"Suicide")</f>
        <v>Suicide</v>
      </c>
      <c r="F1398" s="8" t="str">
        <f ca="1">IFERROR(__xludf.DUMMYFUNCTION("""COMPUTED_VALUE"""),"Yes")</f>
        <v>Yes</v>
      </c>
      <c r="G1398" s="8" t="str">
        <f ca="1">IFERROR(__xludf.DUMMYFUNCTION("""COMPUTED_VALUE"""),"Suicide")</f>
        <v>Suicide</v>
      </c>
    </row>
    <row r="1399" spans="1:7" ht="12.75">
      <c r="A1399" s="8" t="str">
        <f ca="1">IFERROR(__xludf.DUMMYFUNCTION("""COMPUTED_VALUE"""),"20070410ORSPG")</f>
        <v>20070410ORSPG</v>
      </c>
      <c r="B1399" s="8">
        <f ca="1">IFERROR(__xludf.DUMMYFUNCTION("""COMPUTED_VALUE"""),15)</f>
        <v>15</v>
      </c>
      <c r="C1399" s="8" t="str">
        <f ca="1">IFERROR(__xludf.DUMMYFUNCTION("""COMPUTED_VALUE"""),"Male")</f>
        <v>Male</v>
      </c>
      <c r="D1399" s="8" t="str">
        <f ca="1">IFERROR(__xludf.DUMMYFUNCTION("""COMPUTED_VALUE"""),"Student")</f>
        <v>Student</v>
      </c>
      <c r="E1399" s="8" t="str">
        <f ca="1">IFERROR(__xludf.DUMMYFUNCTION("""COMPUTED_VALUE"""),"Fled/Apprehended")</f>
        <v>Fled/Apprehended</v>
      </c>
      <c r="F1399" s="8" t="str">
        <f ca="1">IFERROR(__xludf.DUMMYFUNCTION("""COMPUTED_VALUE"""),"No")</f>
        <v>No</v>
      </c>
      <c r="G1399" s="8" t="str">
        <f ca="1">IFERROR(__xludf.DUMMYFUNCTION("""COMPUTED_VALUE"""),"None")</f>
        <v>None</v>
      </c>
    </row>
    <row r="1400" spans="1:7" ht="12.75">
      <c r="A1400" s="8" t="str">
        <f ca="1">IFERROR(__xludf.DUMMYFUNCTION("""COMPUTED_VALUE"""),"20070410ILCHC")</f>
        <v>20070410ILCHC</v>
      </c>
      <c r="B1400" s="8">
        <f ca="1">IFERROR(__xludf.DUMMYFUNCTION("""COMPUTED_VALUE"""),15)</f>
        <v>15</v>
      </c>
      <c r="C1400" s="8" t="str">
        <f ca="1">IFERROR(__xludf.DUMMYFUNCTION("""COMPUTED_VALUE"""),"Male")</f>
        <v>Male</v>
      </c>
      <c r="D1400" s="8" t="str">
        <f ca="1">IFERROR(__xludf.DUMMYFUNCTION("""COMPUTED_VALUE"""),"Student")</f>
        <v>Student</v>
      </c>
      <c r="E1400" s="8" t="str">
        <f ca="1">IFERROR(__xludf.DUMMYFUNCTION("""COMPUTED_VALUE"""),"Fled/Apprehended")</f>
        <v>Fled/Apprehended</v>
      </c>
      <c r="F1400" s="8" t="str">
        <f ca="1">IFERROR(__xludf.DUMMYFUNCTION("""COMPUTED_VALUE"""),"No")</f>
        <v>No</v>
      </c>
      <c r="G1400" s="8" t="str">
        <f ca="1">IFERROR(__xludf.DUMMYFUNCTION("""COMPUTED_VALUE"""),"None")</f>
        <v>None</v>
      </c>
    </row>
    <row r="1401" spans="1:7" ht="12.75">
      <c r="A1401" s="8" t="str">
        <f ca="1">IFERROR(__xludf.DUMMYFUNCTION("""COMPUTED_VALUE"""),"20070329SCMYM")</f>
        <v>20070329SCMYM</v>
      </c>
      <c r="B1401" s="8">
        <f ca="1">IFERROR(__xludf.DUMMYFUNCTION("""COMPUTED_VALUE"""),18)</f>
        <v>18</v>
      </c>
      <c r="C1401" s="8" t="str">
        <f ca="1">IFERROR(__xludf.DUMMYFUNCTION("""COMPUTED_VALUE"""),"Male")</f>
        <v>Male</v>
      </c>
      <c r="D1401" s="8" t="str">
        <f ca="1">IFERROR(__xludf.DUMMYFUNCTION("""COMPUTED_VALUE"""),"Student")</f>
        <v>Student</v>
      </c>
      <c r="E1401" s="8" t="str">
        <f ca="1">IFERROR(__xludf.DUMMYFUNCTION("""COMPUTED_VALUE"""),"Surrendered")</f>
        <v>Surrendered</v>
      </c>
      <c r="F1401" s="8" t="str">
        <f ca="1">IFERROR(__xludf.DUMMYFUNCTION("""COMPUTED_VALUE"""),"No")</f>
        <v>No</v>
      </c>
      <c r="G1401" s="8" t="str">
        <f ca="1">IFERROR(__xludf.DUMMYFUNCTION("""COMPUTED_VALUE"""),"Wounded")</f>
        <v>Wounded</v>
      </c>
    </row>
    <row r="1402" spans="1:7" ht="12.75">
      <c r="A1402" s="8" t="str">
        <f ca="1">IFERROR(__xludf.DUMMYFUNCTION("""COMPUTED_VALUE"""),"20070327CTSAH")</f>
        <v>20070327CTSAH</v>
      </c>
      <c r="B1402" s="8"/>
      <c r="C1402" s="8" t="str">
        <f ca="1">IFERROR(__xludf.DUMMYFUNCTION("""COMPUTED_VALUE"""),"Male")</f>
        <v>Male</v>
      </c>
      <c r="D1402" s="8" t="str">
        <f ca="1">IFERROR(__xludf.DUMMYFUNCTION("""COMPUTED_VALUE"""),"Unknown")</f>
        <v>Unknown</v>
      </c>
      <c r="E1402" s="8" t="str">
        <f ca="1">IFERROR(__xludf.DUMMYFUNCTION("""COMPUTED_VALUE"""),"Fled/Escaped")</f>
        <v>Fled/Escaped</v>
      </c>
      <c r="F1402" s="8" t="str">
        <f ca="1">IFERROR(__xludf.DUMMYFUNCTION("""COMPUTED_VALUE"""),"No")</f>
        <v>No</v>
      </c>
      <c r="G1402" s="8" t="str">
        <f ca="1">IFERROR(__xludf.DUMMYFUNCTION("""COMPUTED_VALUE"""),"None")</f>
        <v>None</v>
      </c>
    </row>
    <row r="1403" spans="1:7" ht="12.75">
      <c r="A1403" s="8" t="str">
        <f ca="1">IFERROR(__xludf.DUMMYFUNCTION("""COMPUTED_VALUE"""),"20070323FLUNO")</f>
        <v>20070323FLUNO</v>
      </c>
      <c r="B1403" s="8">
        <f ca="1">IFERROR(__xludf.DUMMYFUNCTION("""COMPUTED_VALUE"""),10)</f>
        <v>10</v>
      </c>
      <c r="C1403" s="8" t="str">
        <f ca="1">IFERROR(__xludf.DUMMYFUNCTION("""COMPUTED_VALUE"""),"Male")</f>
        <v>Male</v>
      </c>
      <c r="D1403" s="8" t="str">
        <f ca="1">IFERROR(__xludf.DUMMYFUNCTION("""COMPUTED_VALUE"""),"Student")</f>
        <v>Student</v>
      </c>
      <c r="E1403" s="8" t="str">
        <f ca="1">IFERROR(__xludf.DUMMYFUNCTION("""COMPUTED_VALUE"""),"Unknown")</f>
        <v>Unknown</v>
      </c>
      <c r="F1403" s="8" t="str">
        <f ca="1">IFERROR(__xludf.DUMMYFUNCTION("""COMPUTED_VALUE"""),"No")</f>
        <v>No</v>
      </c>
      <c r="G1403" s="8" t="str">
        <f ca="1">IFERROR(__xludf.DUMMYFUNCTION("""COMPUTED_VALUE"""),"None")</f>
        <v>None</v>
      </c>
    </row>
    <row r="1404" spans="1:7" ht="12.75">
      <c r="A1404" s="8" t="str">
        <f ca="1">IFERROR(__xludf.DUMMYFUNCTION("""COMPUTED_VALUE"""),"20070308TNEAC")</f>
        <v>20070308TNEAC</v>
      </c>
      <c r="B1404" s="8">
        <f ca="1">IFERROR(__xludf.DUMMYFUNCTION("""COMPUTED_VALUE"""),62)</f>
        <v>62</v>
      </c>
      <c r="C1404" s="8" t="str">
        <f ca="1">IFERROR(__xludf.DUMMYFUNCTION("""COMPUTED_VALUE"""),"Male")</f>
        <v>Male</v>
      </c>
      <c r="D1404" s="8" t="str">
        <f ca="1">IFERROR(__xludf.DUMMYFUNCTION("""COMPUTED_VALUE"""),"Other Staff")</f>
        <v>Other Staff</v>
      </c>
      <c r="E1404" s="8" t="str">
        <f ca="1">IFERROR(__xludf.DUMMYFUNCTION("""COMPUTED_VALUE"""),"Suicide")</f>
        <v>Suicide</v>
      </c>
      <c r="F1404" s="8" t="str">
        <f ca="1">IFERROR(__xludf.DUMMYFUNCTION("""COMPUTED_VALUE"""),"No")</f>
        <v>No</v>
      </c>
      <c r="G1404" s="8" t="str">
        <f ca="1">IFERROR(__xludf.DUMMYFUNCTION("""COMPUTED_VALUE"""),"Wounded")</f>
        <v>Wounded</v>
      </c>
    </row>
    <row r="1405" spans="1:7" ht="12.75">
      <c r="A1405" s="8" t="str">
        <f ca="1">IFERROR(__xludf.DUMMYFUNCTION("""COMPUTED_VALUE"""),"20070307TXGRG")</f>
        <v>20070307TXGRG</v>
      </c>
      <c r="B1405" s="8">
        <f ca="1">IFERROR(__xludf.DUMMYFUNCTION("""COMPUTED_VALUE"""),16)</f>
        <v>16</v>
      </c>
      <c r="C1405" s="8" t="str">
        <f ca="1">IFERROR(__xludf.DUMMYFUNCTION("""COMPUTED_VALUE"""),"Male")</f>
        <v>Male</v>
      </c>
      <c r="D1405" s="8" t="str">
        <f ca="1">IFERROR(__xludf.DUMMYFUNCTION("""COMPUTED_VALUE"""),"Student")</f>
        <v>Student</v>
      </c>
      <c r="E1405" s="8" t="str">
        <f ca="1">IFERROR(__xludf.DUMMYFUNCTION("""COMPUTED_VALUE"""),"Suicide")</f>
        <v>Suicide</v>
      </c>
      <c r="F1405" s="8" t="str">
        <f ca="1">IFERROR(__xludf.DUMMYFUNCTION("""COMPUTED_VALUE"""),"Yes")</f>
        <v>Yes</v>
      </c>
      <c r="G1405" s="8" t="str">
        <f ca="1">IFERROR(__xludf.DUMMYFUNCTION("""COMPUTED_VALUE"""),"Suicide")</f>
        <v>Suicide</v>
      </c>
    </row>
    <row r="1406" spans="1:7" ht="12.75">
      <c r="A1406" s="8" t="str">
        <f ca="1">IFERROR(__xludf.DUMMYFUNCTION("""COMPUTED_VALUE"""),"20070307MIHEM")</f>
        <v>20070307MIHEM</v>
      </c>
      <c r="B1406" s="8">
        <f ca="1">IFERROR(__xludf.DUMMYFUNCTION("""COMPUTED_VALUE"""),17)</f>
        <v>17</v>
      </c>
      <c r="C1406" s="8" t="str">
        <f ca="1">IFERROR(__xludf.DUMMYFUNCTION("""COMPUTED_VALUE"""),"Male")</f>
        <v>Male</v>
      </c>
      <c r="D1406" s="8" t="str">
        <f ca="1">IFERROR(__xludf.DUMMYFUNCTION("""COMPUTED_VALUE"""),"Intimate Relationship")</f>
        <v>Intimate Relationship</v>
      </c>
      <c r="E1406" s="8" t="str">
        <f ca="1">IFERROR(__xludf.DUMMYFUNCTION("""COMPUTED_VALUE"""),"Suicide")</f>
        <v>Suicide</v>
      </c>
      <c r="F1406" s="8" t="str">
        <f ca="1">IFERROR(__xludf.DUMMYFUNCTION("""COMPUTED_VALUE"""),"Yes")</f>
        <v>Yes</v>
      </c>
      <c r="G1406" s="8" t="str">
        <f ca="1">IFERROR(__xludf.DUMMYFUNCTION("""COMPUTED_VALUE"""),"Suicide")</f>
        <v>Suicide</v>
      </c>
    </row>
    <row r="1407" spans="1:7" ht="12.75">
      <c r="A1407" s="8" t="str">
        <f ca="1">IFERROR(__xludf.DUMMYFUNCTION("""COMPUTED_VALUE"""),"20070307CACEC")</f>
        <v>20070307CACEC</v>
      </c>
      <c r="B1407" s="8"/>
      <c r="C1407" s="8" t="str">
        <f ca="1">IFERROR(__xludf.DUMMYFUNCTION("""COMPUTED_VALUE"""),"Male")</f>
        <v>Male</v>
      </c>
      <c r="D1407" s="8" t="str">
        <f ca="1">IFERROR(__xludf.DUMMYFUNCTION("""COMPUTED_VALUE"""),"No Relation")</f>
        <v>No Relation</v>
      </c>
      <c r="E1407" s="8" t="str">
        <f ca="1">IFERROR(__xludf.DUMMYFUNCTION("""COMPUTED_VALUE"""),"Fled/Escaped")</f>
        <v>Fled/Escaped</v>
      </c>
      <c r="F1407" s="8" t="str">
        <f ca="1">IFERROR(__xludf.DUMMYFUNCTION("""COMPUTED_VALUE"""),"No")</f>
        <v>No</v>
      </c>
      <c r="G1407" s="8" t="str">
        <f ca="1">IFERROR(__xludf.DUMMYFUNCTION("""COMPUTED_VALUE"""),"None")</f>
        <v>None</v>
      </c>
    </row>
    <row r="1408" spans="1:7" ht="12.75">
      <c r="A1408" s="8" t="str">
        <f ca="1">IFERROR(__xludf.DUMMYFUNCTION("""COMPUTED_VALUE"""),"20070227GACLA")</f>
        <v>20070227GACLA</v>
      </c>
      <c r="B1408" s="8">
        <f ca="1">IFERROR(__xludf.DUMMYFUNCTION("""COMPUTED_VALUE"""),10)</f>
        <v>10</v>
      </c>
      <c r="C1408" s="8" t="str">
        <f ca="1">IFERROR(__xludf.DUMMYFUNCTION("""COMPUTED_VALUE"""),"Male")</f>
        <v>Male</v>
      </c>
      <c r="D1408" s="8" t="str">
        <f ca="1">IFERROR(__xludf.DUMMYFUNCTION("""COMPUTED_VALUE"""),"Student")</f>
        <v>Student</v>
      </c>
      <c r="E1408" s="8" t="str">
        <f ca="1">IFERROR(__xludf.DUMMYFUNCTION("""COMPUTED_VALUE"""),"Unknown")</f>
        <v>Unknown</v>
      </c>
      <c r="F1408" s="8" t="str">
        <f ca="1">IFERROR(__xludf.DUMMYFUNCTION("""COMPUTED_VALUE"""),"No")</f>
        <v>No</v>
      </c>
      <c r="G1408" s="8" t="str">
        <f ca="1">IFERROR(__xludf.DUMMYFUNCTION("""COMPUTED_VALUE"""),"None")</f>
        <v>None</v>
      </c>
    </row>
    <row r="1409" spans="1:7" ht="12.75">
      <c r="A1409" s="8" t="str">
        <f ca="1">IFERROR(__xludf.DUMMYFUNCTION("""COMPUTED_VALUE"""),"20070226CASLA")</f>
        <v>20070226CASLA</v>
      </c>
      <c r="B1409" s="8">
        <f ca="1">IFERROR(__xludf.DUMMYFUNCTION("""COMPUTED_VALUE"""),12)</f>
        <v>12</v>
      </c>
      <c r="C1409" s="8" t="str">
        <f ca="1">IFERROR(__xludf.DUMMYFUNCTION("""COMPUTED_VALUE"""),"Male")</f>
        <v>Male</v>
      </c>
      <c r="D1409" s="8" t="str">
        <f ca="1">IFERROR(__xludf.DUMMYFUNCTION("""COMPUTED_VALUE"""),"Student")</f>
        <v>Student</v>
      </c>
      <c r="E1409" s="8" t="str">
        <f ca="1">IFERROR(__xludf.DUMMYFUNCTION("""COMPUTED_VALUE"""),"Unknown")</f>
        <v>Unknown</v>
      </c>
      <c r="F1409" s="8" t="str">
        <f ca="1">IFERROR(__xludf.DUMMYFUNCTION("""COMPUTED_VALUE"""),"No")</f>
        <v>No</v>
      </c>
      <c r="G1409" s="8" t="str">
        <f ca="1">IFERROR(__xludf.DUMMYFUNCTION("""COMPUTED_VALUE"""),"None")</f>
        <v>None</v>
      </c>
    </row>
    <row r="1410" spans="1:7" ht="12.75">
      <c r="A1410" s="8" t="str">
        <f ca="1">IFERROR(__xludf.DUMMYFUNCTION("""COMPUTED_VALUE"""),"20070208TXSTP")</f>
        <v>20070208TXSTP</v>
      </c>
      <c r="B1410" s="8" t="str">
        <f ca="1">IFERROR(__xludf.DUMMYFUNCTION("""COMPUTED_VALUE"""),"Teen")</f>
        <v>Teen</v>
      </c>
      <c r="C1410" s="8" t="str">
        <f ca="1">IFERROR(__xludf.DUMMYFUNCTION("""COMPUTED_VALUE"""),"Male")</f>
        <v>Male</v>
      </c>
      <c r="D1410" s="8" t="str">
        <f ca="1">IFERROR(__xludf.DUMMYFUNCTION("""COMPUTED_VALUE"""),"Student")</f>
        <v>Student</v>
      </c>
      <c r="E1410" s="8" t="str">
        <f ca="1">IFERROR(__xludf.DUMMYFUNCTION("""COMPUTED_VALUE"""),"Unknown")</f>
        <v>Unknown</v>
      </c>
      <c r="F1410" s="8" t="str">
        <f ca="1">IFERROR(__xludf.DUMMYFUNCTION("""COMPUTED_VALUE"""),"No")</f>
        <v>No</v>
      </c>
      <c r="G1410" s="8" t="str">
        <f ca="1">IFERROR(__xludf.DUMMYFUNCTION("""COMPUTED_VALUE"""),"None")</f>
        <v>None</v>
      </c>
    </row>
    <row r="1411" spans="1:7" ht="12.75">
      <c r="A1411" s="8" t="str">
        <f ca="1">IFERROR(__xludf.DUMMYFUNCTION("""COMPUTED_VALUE"""),"20070208ORCRP")</f>
        <v>20070208ORCRP</v>
      </c>
      <c r="B1411" s="8">
        <f ca="1">IFERROR(__xludf.DUMMYFUNCTION("""COMPUTED_VALUE"""),18)</f>
        <v>18</v>
      </c>
      <c r="C1411" s="8" t="str">
        <f ca="1">IFERROR(__xludf.DUMMYFUNCTION("""COMPUTED_VALUE"""),"Male")</f>
        <v>Male</v>
      </c>
      <c r="D1411" s="8" t="str">
        <f ca="1">IFERROR(__xludf.DUMMYFUNCTION("""COMPUTED_VALUE"""),"Student")</f>
        <v>Student</v>
      </c>
      <c r="E1411" s="8" t="str">
        <f ca="1">IFERROR(__xludf.DUMMYFUNCTION("""COMPUTED_VALUE"""),"Suicide")</f>
        <v>Suicide</v>
      </c>
      <c r="F1411" s="8" t="str">
        <f ca="1">IFERROR(__xludf.DUMMYFUNCTION("""COMPUTED_VALUE"""),"Yes")</f>
        <v>Yes</v>
      </c>
      <c r="G1411" s="8" t="str">
        <f ca="1">IFERROR(__xludf.DUMMYFUNCTION("""COMPUTED_VALUE"""),"Suicide")</f>
        <v>Suicide</v>
      </c>
    </row>
    <row r="1412" spans="1:7" ht="12.75">
      <c r="A1412" s="8" t="str">
        <f ca="1">IFERROR(__xludf.DUMMYFUNCTION("""COMPUTED_VALUE"""),"20070207FLPAJ")</f>
        <v>20070207FLPAJ</v>
      </c>
      <c r="B1412" s="8">
        <f ca="1">IFERROR(__xludf.DUMMYFUNCTION("""COMPUTED_VALUE"""),16)</f>
        <v>16</v>
      </c>
      <c r="C1412" s="8" t="str">
        <f ca="1">IFERROR(__xludf.DUMMYFUNCTION("""COMPUTED_VALUE"""),"Male")</f>
        <v>Male</v>
      </c>
      <c r="D1412" s="8" t="str">
        <f ca="1">IFERROR(__xludf.DUMMYFUNCTION("""COMPUTED_VALUE"""),"Student")</f>
        <v>Student</v>
      </c>
      <c r="E1412" s="8" t="str">
        <f ca="1">IFERROR(__xludf.DUMMYFUNCTION("""COMPUTED_VALUE"""),"Fled/Apprehended")</f>
        <v>Fled/Apprehended</v>
      </c>
      <c r="F1412" s="8" t="str">
        <f ca="1">IFERROR(__xludf.DUMMYFUNCTION("""COMPUTED_VALUE"""),"No")</f>
        <v>No</v>
      </c>
      <c r="G1412" s="8" t="str">
        <f ca="1">IFERROR(__xludf.DUMMYFUNCTION("""COMPUTED_VALUE"""),"None")</f>
        <v>None</v>
      </c>
    </row>
    <row r="1413" spans="1:7" ht="12.75">
      <c r="A1413" s="8" t="str">
        <f ca="1">IFERROR(__xludf.DUMMYFUNCTION("""COMPUTED_VALUE"""),"20070131ILHIC")</f>
        <v>20070131ILHIC</v>
      </c>
      <c r="B1413" s="8"/>
      <c r="C1413" s="8" t="str">
        <f ca="1">IFERROR(__xludf.DUMMYFUNCTION("""COMPUTED_VALUE"""),"Male")</f>
        <v>Male</v>
      </c>
      <c r="D1413" s="8" t="str">
        <f ca="1">IFERROR(__xludf.DUMMYFUNCTION("""COMPUTED_VALUE"""),"Nonstudent")</f>
        <v>Nonstudent</v>
      </c>
      <c r="E1413" s="8" t="str">
        <f ca="1">IFERROR(__xludf.DUMMYFUNCTION("""COMPUTED_VALUE"""),"Fled/Escaped")</f>
        <v>Fled/Escaped</v>
      </c>
      <c r="F1413" s="8" t="str">
        <f ca="1">IFERROR(__xludf.DUMMYFUNCTION("""COMPUTED_VALUE"""),"No")</f>
        <v>No</v>
      </c>
      <c r="G1413" s="8" t="str">
        <f ca="1">IFERROR(__xludf.DUMMYFUNCTION("""COMPUTED_VALUE"""),"None")</f>
        <v>None</v>
      </c>
    </row>
    <row r="1414" spans="1:7" ht="12.75">
      <c r="A1414" s="8" t="str">
        <f ca="1">IFERROR(__xludf.DUMMYFUNCTION("""COMPUTED_VALUE"""),"20070124TNHAS")</f>
        <v>20070124TNHAS</v>
      </c>
      <c r="B1414" s="8">
        <f ca="1">IFERROR(__xludf.DUMMYFUNCTION("""COMPUTED_VALUE"""),17)</f>
        <v>17</v>
      </c>
      <c r="C1414" s="8" t="str">
        <f ca="1">IFERROR(__xludf.DUMMYFUNCTION("""COMPUTED_VALUE"""),"Male")</f>
        <v>Male</v>
      </c>
      <c r="D1414" s="8" t="str">
        <f ca="1">IFERROR(__xludf.DUMMYFUNCTION("""COMPUTED_VALUE"""),"Student")</f>
        <v>Student</v>
      </c>
      <c r="E1414" s="8" t="str">
        <f ca="1">IFERROR(__xludf.DUMMYFUNCTION("""COMPUTED_VALUE"""),"Attempted Suicide")</f>
        <v>Attempted Suicide</v>
      </c>
      <c r="F1414" s="8" t="str">
        <f ca="1">IFERROR(__xludf.DUMMYFUNCTION("""COMPUTED_VALUE"""),"No")</f>
        <v>No</v>
      </c>
      <c r="G1414" s="8" t="str">
        <f ca="1">IFERROR(__xludf.DUMMYFUNCTION("""COMPUTED_VALUE"""),"Wounded")</f>
        <v>Wounded</v>
      </c>
    </row>
    <row r="1415" spans="1:7" ht="12.75">
      <c r="A1415" s="8" t="str">
        <f ca="1">IFERROR(__xludf.DUMMYFUNCTION("""COMPUTED_VALUE"""),"20070118PAWIP")</f>
        <v>20070118PAWIP</v>
      </c>
      <c r="B1415" s="8" t="str">
        <f ca="1">IFERROR(__xludf.DUMMYFUNCTION("""COMPUTED_VALUE"""),"Teen")</f>
        <v>Teen</v>
      </c>
      <c r="C1415" s="8" t="str">
        <f ca="1">IFERROR(__xludf.DUMMYFUNCTION("""COMPUTED_VALUE"""),"Male")</f>
        <v>Male</v>
      </c>
      <c r="D1415" s="8" t="str">
        <f ca="1">IFERROR(__xludf.DUMMYFUNCTION("""COMPUTED_VALUE"""),"Student")</f>
        <v>Student</v>
      </c>
      <c r="E1415" s="8" t="str">
        <f ca="1">IFERROR(__xludf.DUMMYFUNCTION("""COMPUTED_VALUE"""),"Fled/Escaped")</f>
        <v>Fled/Escaped</v>
      </c>
      <c r="F1415" s="8" t="str">
        <f ca="1">IFERROR(__xludf.DUMMYFUNCTION("""COMPUTED_VALUE"""),"No")</f>
        <v>No</v>
      </c>
      <c r="G1415" s="8" t="str">
        <f ca="1">IFERROR(__xludf.DUMMYFUNCTION("""COMPUTED_VALUE"""),"None")</f>
        <v>None</v>
      </c>
    </row>
    <row r="1416" spans="1:7" ht="12.75">
      <c r="A1416" s="8" t="str">
        <f ca="1">IFERROR(__xludf.DUMMYFUNCTION("""COMPUTED_VALUE"""),"20070109NVWEL")</f>
        <v>20070109NVWEL</v>
      </c>
      <c r="B1416" s="8" t="str">
        <f ca="1">IFERROR(__xludf.DUMMYFUNCTION("""COMPUTED_VALUE"""),"Adult")</f>
        <v>Adult</v>
      </c>
      <c r="C1416" s="8" t="str">
        <f ca="1">IFERROR(__xludf.DUMMYFUNCTION("""COMPUTED_VALUE"""),"Male")</f>
        <v>Male</v>
      </c>
      <c r="D1416" s="8" t="str">
        <f ca="1">IFERROR(__xludf.DUMMYFUNCTION("""COMPUTED_VALUE"""),"No Relation")</f>
        <v>No Relation</v>
      </c>
      <c r="E1416" s="8" t="str">
        <f ca="1">IFERROR(__xludf.DUMMYFUNCTION("""COMPUTED_VALUE"""),"Fled/Apprehended")</f>
        <v>Fled/Apprehended</v>
      </c>
      <c r="F1416" s="8" t="str">
        <f ca="1">IFERROR(__xludf.DUMMYFUNCTION("""COMPUTED_VALUE"""),"No")</f>
        <v>No</v>
      </c>
      <c r="G1416" s="8" t="str">
        <f ca="1">IFERROR(__xludf.DUMMYFUNCTION("""COMPUTED_VALUE"""),"None")</f>
        <v>None</v>
      </c>
    </row>
    <row r="1417" spans="1:7" ht="12.75">
      <c r="A1417" s="8" t="str">
        <f ca="1">IFERROR(__xludf.DUMMYFUNCTION("""COMPUTED_VALUE"""),"20070109CAGRV")</f>
        <v>20070109CAGRV</v>
      </c>
      <c r="B1417" s="8"/>
      <c r="C1417" s="8" t="str">
        <f ca="1">IFERROR(__xludf.DUMMYFUNCTION("""COMPUTED_VALUE"""),"Male")</f>
        <v>Male</v>
      </c>
      <c r="D1417" s="8" t="str">
        <f ca="1">IFERROR(__xludf.DUMMYFUNCTION("""COMPUTED_VALUE"""),"Unknown")</f>
        <v>Unknown</v>
      </c>
      <c r="E1417" s="8" t="str">
        <f ca="1">IFERROR(__xludf.DUMMYFUNCTION("""COMPUTED_VALUE"""),"Fled/Escaped")</f>
        <v>Fled/Escaped</v>
      </c>
      <c r="F1417" s="8" t="str">
        <f ca="1">IFERROR(__xludf.DUMMYFUNCTION("""COMPUTED_VALUE"""),"No")</f>
        <v>No</v>
      </c>
      <c r="G1417" s="8" t="str">
        <f ca="1">IFERROR(__xludf.DUMMYFUNCTION("""COMPUTED_VALUE"""),"None")</f>
        <v>None</v>
      </c>
    </row>
    <row r="1418" spans="1:7" ht="12.75">
      <c r="A1418" s="8" t="str">
        <f ca="1">IFERROR(__xludf.DUMMYFUNCTION("""COMPUTED_VALUE"""),"20070108OHROC")</f>
        <v>20070108OHROC</v>
      </c>
      <c r="B1418" s="8">
        <f ca="1">IFERROR(__xludf.DUMMYFUNCTION("""COMPUTED_VALUE"""),16)</f>
        <v>16</v>
      </c>
      <c r="C1418" s="8" t="str">
        <f ca="1">IFERROR(__xludf.DUMMYFUNCTION("""COMPUTED_VALUE"""),"Male")</f>
        <v>Male</v>
      </c>
      <c r="D1418" s="8" t="str">
        <f ca="1">IFERROR(__xludf.DUMMYFUNCTION("""COMPUTED_VALUE"""),"Student")</f>
        <v>Student</v>
      </c>
      <c r="E1418" s="8" t="str">
        <f ca="1">IFERROR(__xludf.DUMMYFUNCTION("""COMPUTED_VALUE"""),"Fled/Apprehended")</f>
        <v>Fled/Apprehended</v>
      </c>
      <c r="F1418" s="8" t="str">
        <f ca="1">IFERROR(__xludf.DUMMYFUNCTION("""COMPUTED_VALUE"""),"No")</f>
        <v>No</v>
      </c>
      <c r="G1418" s="8" t="str">
        <f ca="1">IFERROR(__xludf.DUMMYFUNCTION("""COMPUTED_VALUE"""),"None")</f>
        <v>None</v>
      </c>
    </row>
    <row r="1419" spans="1:7" ht="12.75">
      <c r="A1419" s="8" t="str">
        <f ca="1">IFERROR(__xludf.DUMMYFUNCTION("""COMPUTED_VALUE"""),"20070104MINOD")</f>
        <v>20070104MINOD</v>
      </c>
      <c r="B1419" s="8"/>
      <c r="C1419" s="8" t="str">
        <f ca="1">IFERROR(__xludf.DUMMYFUNCTION("""COMPUTED_VALUE"""),"Male")</f>
        <v>Male</v>
      </c>
      <c r="D1419" s="8" t="str">
        <f ca="1">IFERROR(__xludf.DUMMYFUNCTION("""COMPUTED_VALUE"""),"Unknown")</f>
        <v>Unknown</v>
      </c>
      <c r="E1419" s="8" t="str">
        <f ca="1">IFERROR(__xludf.DUMMYFUNCTION("""COMPUTED_VALUE"""),"Fled/Escaped")</f>
        <v>Fled/Escaped</v>
      </c>
      <c r="F1419" s="8" t="str">
        <f ca="1">IFERROR(__xludf.DUMMYFUNCTION("""COMPUTED_VALUE"""),"No")</f>
        <v>No</v>
      </c>
      <c r="G1419" s="8" t="str">
        <f ca="1">IFERROR(__xludf.DUMMYFUNCTION("""COMPUTED_VALUE"""),"None")</f>
        <v>None</v>
      </c>
    </row>
    <row r="1420" spans="1:7" ht="12.75">
      <c r="A1420" s="8" t="str">
        <f ca="1">IFERROR(__xludf.DUMMYFUNCTION("""COMPUTED_VALUE"""),"20070103WAHET")</f>
        <v>20070103WAHET</v>
      </c>
      <c r="B1420" s="8">
        <f ca="1">IFERROR(__xludf.DUMMYFUNCTION("""COMPUTED_VALUE"""),18)</f>
        <v>18</v>
      </c>
      <c r="C1420" s="8" t="str">
        <f ca="1">IFERROR(__xludf.DUMMYFUNCTION("""COMPUTED_VALUE"""),"Male")</f>
        <v>Male</v>
      </c>
      <c r="D1420" s="8" t="str">
        <f ca="1">IFERROR(__xludf.DUMMYFUNCTION("""COMPUTED_VALUE"""),"Student")</f>
        <v>Student</v>
      </c>
      <c r="E1420" s="8" t="str">
        <f ca="1">IFERROR(__xludf.DUMMYFUNCTION("""COMPUTED_VALUE"""),"Surrendered")</f>
        <v>Surrendered</v>
      </c>
      <c r="F1420" s="8" t="str">
        <f ca="1">IFERROR(__xludf.DUMMYFUNCTION("""COMPUTED_VALUE"""),"No")</f>
        <v>No</v>
      </c>
      <c r="G1420" s="8" t="str">
        <f ca="1">IFERROR(__xludf.DUMMYFUNCTION("""COMPUTED_VALUE"""),"None")</f>
        <v>None</v>
      </c>
    </row>
    <row r="1421" spans="1:7" ht="12.75">
      <c r="A1421" s="8" t="str">
        <f ca="1">IFERROR(__xludf.DUMMYFUNCTION("""COMPUTED_VALUE"""),"20070102NCWEF")</f>
        <v>20070102NCWEF</v>
      </c>
      <c r="B1421" s="8">
        <f ca="1">IFERROR(__xludf.DUMMYFUNCTION("""COMPUTED_VALUE"""),14)</f>
        <v>14</v>
      </c>
      <c r="C1421" s="8" t="str">
        <f ca="1">IFERROR(__xludf.DUMMYFUNCTION("""COMPUTED_VALUE"""),"Male")</f>
        <v>Male</v>
      </c>
      <c r="D1421" s="8" t="str">
        <f ca="1">IFERROR(__xludf.DUMMYFUNCTION("""COMPUTED_VALUE"""),"Student")</f>
        <v>Student</v>
      </c>
      <c r="E1421" s="8" t="str">
        <f ca="1">IFERROR(__xludf.DUMMYFUNCTION("""COMPUTED_VALUE"""),"Fled/Apprehended")</f>
        <v>Fled/Apprehended</v>
      </c>
      <c r="F1421" s="8" t="str">
        <f ca="1">IFERROR(__xludf.DUMMYFUNCTION("""COMPUTED_VALUE"""),"No")</f>
        <v>No</v>
      </c>
      <c r="G1421" s="8" t="str">
        <f ca="1">IFERROR(__xludf.DUMMYFUNCTION("""COMPUTED_VALUE"""),"None")</f>
        <v>None</v>
      </c>
    </row>
    <row r="1422" spans="1:7" ht="12.75">
      <c r="A1422" s="8" t="str">
        <f ca="1">IFERROR(__xludf.DUMMYFUNCTION("""COMPUTED_VALUE"""),"20061214PAMCC")</f>
        <v>20061214PAMCC</v>
      </c>
      <c r="B1422" s="8">
        <f ca="1">IFERROR(__xludf.DUMMYFUNCTION("""COMPUTED_VALUE"""),17)</f>
        <v>17</v>
      </c>
      <c r="C1422" s="8" t="str">
        <f ca="1">IFERROR(__xludf.DUMMYFUNCTION("""COMPUTED_VALUE"""),"Male")</f>
        <v>Male</v>
      </c>
      <c r="D1422" s="8" t="str">
        <f ca="1">IFERROR(__xludf.DUMMYFUNCTION("""COMPUTED_VALUE"""),"Student")</f>
        <v>Student</v>
      </c>
      <c r="E1422" s="8" t="str">
        <f ca="1">IFERROR(__xludf.DUMMYFUNCTION("""COMPUTED_VALUE"""),"Suicide")</f>
        <v>Suicide</v>
      </c>
      <c r="F1422" s="8" t="str">
        <f ca="1">IFERROR(__xludf.DUMMYFUNCTION("""COMPUTED_VALUE"""),"Yes")</f>
        <v>Yes</v>
      </c>
      <c r="G1422" s="8" t="str">
        <f ca="1">IFERROR(__xludf.DUMMYFUNCTION("""COMPUTED_VALUE"""),"Suicide")</f>
        <v>Suicide</v>
      </c>
    </row>
    <row r="1423" spans="1:7" ht="12.75">
      <c r="A1423" s="8" t="str">
        <f ca="1">IFERROR(__xludf.DUMMYFUNCTION("""COMPUTED_VALUE"""),"20061213PABAB")</f>
        <v>20061213PABAB</v>
      </c>
      <c r="B1423" s="8" t="str">
        <f ca="1">IFERROR(__xludf.DUMMYFUNCTION("""COMPUTED_VALUE"""),"Teen")</f>
        <v>Teen</v>
      </c>
      <c r="C1423" s="8" t="str">
        <f ca="1">IFERROR(__xludf.DUMMYFUNCTION("""COMPUTED_VALUE"""),"Male")</f>
        <v>Male</v>
      </c>
      <c r="D1423" s="8" t="str">
        <f ca="1">IFERROR(__xludf.DUMMYFUNCTION("""COMPUTED_VALUE"""),"Student")</f>
        <v>Student</v>
      </c>
      <c r="E1423" s="8" t="str">
        <f ca="1">IFERROR(__xludf.DUMMYFUNCTION("""COMPUTED_VALUE"""),"Unknown")</f>
        <v>Unknown</v>
      </c>
      <c r="F1423" s="8" t="str">
        <f ca="1">IFERROR(__xludf.DUMMYFUNCTION("""COMPUTED_VALUE"""),"No")</f>
        <v>No</v>
      </c>
      <c r="G1423" s="8" t="str">
        <f ca="1">IFERROR(__xludf.DUMMYFUNCTION("""COMPUTED_VALUE"""),"None")</f>
        <v>None</v>
      </c>
    </row>
    <row r="1424" spans="1:7" ht="12.75">
      <c r="A1424" s="8" t="str">
        <f ca="1">IFERROR(__xludf.DUMMYFUNCTION("""COMPUTED_VALUE"""),"20061212PASPS")</f>
        <v>20061212PASPS</v>
      </c>
      <c r="B1424" s="8">
        <f ca="1">IFERROR(__xludf.DUMMYFUNCTION("""COMPUTED_VALUE"""),16)</f>
        <v>16</v>
      </c>
      <c r="C1424" s="8" t="str">
        <f ca="1">IFERROR(__xludf.DUMMYFUNCTION("""COMPUTED_VALUE"""),"Male")</f>
        <v>Male</v>
      </c>
      <c r="D1424" s="8" t="str">
        <f ca="1">IFERROR(__xludf.DUMMYFUNCTION("""COMPUTED_VALUE"""),"Student")</f>
        <v>Student</v>
      </c>
      <c r="E1424" s="8" t="str">
        <f ca="1">IFERROR(__xludf.DUMMYFUNCTION("""COMPUTED_VALUE"""),"Suicide")</f>
        <v>Suicide</v>
      </c>
      <c r="F1424" s="8" t="str">
        <f ca="1">IFERROR(__xludf.DUMMYFUNCTION("""COMPUTED_VALUE"""),"Yes")</f>
        <v>Yes</v>
      </c>
      <c r="G1424" s="8" t="str">
        <f ca="1">IFERROR(__xludf.DUMMYFUNCTION("""COMPUTED_VALUE"""),"Suicide")</f>
        <v>Suicide</v>
      </c>
    </row>
    <row r="1425" spans="1:7" ht="12.75">
      <c r="A1425" s="8" t="str">
        <f ca="1">IFERROR(__xludf.DUMMYFUNCTION("""COMPUTED_VALUE"""),"20061211ILCLC")</f>
        <v>20061211ILCLC</v>
      </c>
      <c r="B1425" s="8">
        <f ca="1">IFERROR(__xludf.DUMMYFUNCTION("""COMPUTED_VALUE"""),17)</f>
        <v>17</v>
      </c>
      <c r="C1425" s="8" t="str">
        <f ca="1">IFERROR(__xludf.DUMMYFUNCTION("""COMPUTED_VALUE"""),"Male")</f>
        <v>Male</v>
      </c>
      <c r="D1425" s="8" t="str">
        <f ca="1">IFERROR(__xludf.DUMMYFUNCTION("""COMPUTED_VALUE"""),"Student")</f>
        <v>Student</v>
      </c>
      <c r="E1425" s="8" t="str">
        <f ca="1">IFERROR(__xludf.DUMMYFUNCTION("""COMPUTED_VALUE"""),"Fled/Apprehended")</f>
        <v>Fled/Apprehended</v>
      </c>
      <c r="F1425" s="8" t="str">
        <f ca="1">IFERROR(__xludf.DUMMYFUNCTION("""COMPUTED_VALUE"""),"No")</f>
        <v>No</v>
      </c>
      <c r="G1425" s="8" t="str">
        <f ca="1">IFERROR(__xludf.DUMMYFUNCTION("""COMPUTED_VALUE"""),"None")</f>
        <v>None</v>
      </c>
    </row>
    <row r="1426" spans="1:7" ht="12.75">
      <c r="A1426" s="8" t="str">
        <f ca="1">IFERROR(__xludf.DUMMYFUNCTION("""COMPUTED_VALUE"""),"20061207NENOO")</f>
        <v>20061207NENOO</v>
      </c>
      <c r="B1426" s="8">
        <f ca="1">IFERROR(__xludf.DUMMYFUNCTION("""COMPUTED_VALUE"""),17)</f>
        <v>17</v>
      </c>
      <c r="C1426" s="8" t="str">
        <f ca="1">IFERROR(__xludf.DUMMYFUNCTION("""COMPUTED_VALUE"""),"Male")</f>
        <v>Male</v>
      </c>
      <c r="D1426" s="8" t="str">
        <f ca="1">IFERROR(__xludf.DUMMYFUNCTION("""COMPUTED_VALUE"""),"Student")</f>
        <v>Student</v>
      </c>
      <c r="E1426" s="8" t="str">
        <f ca="1">IFERROR(__xludf.DUMMYFUNCTION("""COMPUTED_VALUE"""),"Fled/Apprehended")</f>
        <v>Fled/Apprehended</v>
      </c>
      <c r="F1426" s="8" t="str">
        <f ca="1">IFERROR(__xludf.DUMMYFUNCTION("""COMPUTED_VALUE"""),"No")</f>
        <v>No</v>
      </c>
      <c r="G1426" s="8" t="str">
        <f ca="1">IFERROR(__xludf.DUMMYFUNCTION("""COMPUTED_VALUE"""),"None")</f>
        <v>None</v>
      </c>
    </row>
    <row r="1427" spans="1:7" ht="12.75">
      <c r="A1427" s="8" t="str">
        <f ca="1">IFERROR(__xludf.DUMMYFUNCTION("""COMPUTED_VALUE"""),"20061201NCJOT")</f>
        <v>20061201NCJOT</v>
      </c>
      <c r="B1427" s="8">
        <f ca="1">IFERROR(__xludf.DUMMYFUNCTION("""COMPUTED_VALUE"""),20)</f>
        <v>20</v>
      </c>
      <c r="C1427" s="8" t="str">
        <f ca="1">IFERROR(__xludf.DUMMYFUNCTION("""COMPUTED_VALUE"""),"Male")</f>
        <v>Male</v>
      </c>
      <c r="D1427" s="8" t="str">
        <f ca="1">IFERROR(__xludf.DUMMYFUNCTION("""COMPUTED_VALUE"""),"Nonstudent Using Athletic Facilities/Attending Game")</f>
        <v>Nonstudent Using Athletic Facilities/Attending Game</v>
      </c>
      <c r="E1427" s="8" t="str">
        <f ca="1">IFERROR(__xludf.DUMMYFUNCTION("""COMPUTED_VALUE"""),"Fled/Apprehended")</f>
        <v>Fled/Apprehended</v>
      </c>
      <c r="F1427" s="8" t="str">
        <f ca="1">IFERROR(__xludf.DUMMYFUNCTION("""COMPUTED_VALUE"""),"No")</f>
        <v>No</v>
      </c>
      <c r="G1427" s="8" t="str">
        <f ca="1">IFERROR(__xludf.DUMMYFUNCTION("""COMPUTED_VALUE"""),"None")</f>
        <v>None</v>
      </c>
    </row>
    <row r="1428" spans="1:7" ht="12.75">
      <c r="A1428" s="8" t="str">
        <f ca="1">IFERROR(__xludf.DUMMYFUNCTION("""COMPUTED_VALUE"""),"20061122GASAA")</f>
        <v>20061122GASAA</v>
      </c>
      <c r="B1428" s="8"/>
      <c r="C1428" s="8" t="str">
        <f ca="1">IFERROR(__xludf.DUMMYFUNCTION("""COMPUTED_VALUE"""),"Male")</f>
        <v>Male</v>
      </c>
      <c r="D1428" s="8" t="str">
        <f ca="1">IFERROR(__xludf.DUMMYFUNCTION("""COMPUTED_VALUE"""),"Unknown")</f>
        <v>Unknown</v>
      </c>
      <c r="E1428" s="8" t="str">
        <f ca="1">IFERROR(__xludf.DUMMYFUNCTION("""COMPUTED_VALUE"""),"Fled/Escaped")</f>
        <v>Fled/Escaped</v>
      </c>
      <c r="F1428" s="8" t="str">
        <f ca="1">IFERROR(__xludf.DUMMYFUNCTION("""COMPUTED_VALUE"""),"No")</f>
        <v>No</v>
      </c>
      <c r="G1428" s="8" t="str">
        <f ca="1">IFERROR(__xludf.DUMMYFUNCTION("""COMPUTED_VALUE"""),"None")</f>
        <v>None</v>
      </c>
    </row>
    <row r="1429" spans="1:7" ht="12.75">
      <c r="A1429" s="8" t="str">
        <f ca="1">IFERROR(__xludf.DUMMYFUNCTION("""COMPUTED_VALUE"""),"20061111CALIO")</f>
        <v>20061111CALIO</v>
      </c>
      <c r="B1429" s="8" t="str">
        <f ca="1">IFERROR(__xludf.DUMMYFUNCTION("""COMPUTED_VALUE"""),"Adult")</f>
        <v>Adult</v>
      </c>
      <c r="C1429" s="8" t="str">
        <f ca="1">IFERROR(__xludf.DUMMYFUNCTION("""COMPUTED_VALUE"""),"Male")</f>
        <v>Male</v>
      </c>
      <c r="D1429" s="8" t="str">
        <f ca="1">IFERROR(__xludf.DUMMYFUNCTION("""COMPUTED_VALUE"""),"Nonstudent Using Athletic Facilities/Attending Game")</f>
        <v>Nonstudent Using Athletic Facilities/Attending Game</v>
      </c>
      <c r="E1429" s="8" t="str">
        <f ca="1">IFERROR(__xludf.DUMMYFUNCTION("""COMPUTED_VALUE"""),"Fled/Escaped")</f>
        <v>Fled/Escaped</v>
      </c>
      <c r="F1429" s="8" t="str">
        <f ca="1">IFERROR(__xludf.DUMMYFUNCTION("""COMPUTED_VALUE"""),"No")</f>
        <v>No</v>
      </c>
      <c r="G1429" s="8" t="str">
        <f ca="1">IFERROR(__xludf.DUMMYFUNCTION("""COMPUTED_VALUE"""),"None")</f>
        <v>None</v>
      </c>
    </row>
    <row r="1430" spans="1:7" ht="12.75">
      <c r="A1430" s="8" t="str">
        <f ca="1">IFERROR(__xludf.DUMMYFUNCTION("""COMPUTED_VALUE"""),"20061031TNHAK")</f>
        <v>20061031TNHAK</v>
      </c>
      <c r="B1430" s="8">
        <f ca="1">IFERROR(__xludf.DUMMYFUNCTION("""COMPUTED_VALUE"""),39)</f>
        <v>39</v>
      </c>
      <c r="C1430" s="8" t="str">
        <f ca="1">IFERROR(__xludf.DUMMYFUNCTION("""COMPUTED_VALUE"""),"Male")</f>
        <v>Male</v>
      </c>
      <c r="D1430" s="8" t="str">
        <f ca="1">IFERROR(__xludf.DUMMYFUNCTION("""COMPUTED_VALUE"""),"No Relation")</f>
        <v>No Relation</v>
      </c>
      <c r="E1430" s="8" t="str">
        <f ca="1">IFERROR(__xludf.DUMMYFUNCTION("""COMPUTED_VALUE"""),"Fled/Apprehended")</f>
        <v>Fled/Apprehended</v>
      </c>
      <c r="F1430" s="8" t="str">
        <f ca="1">IFERROR(__xludf.DUMMYFUNCTION("""COMPUTED_VALUE"""),"No")</f>
        <v>No</v>
      </c>
      <c r="G1430" s="8" t="str">
        <f ca="1">IFERROR(__xludf.DUMMYFUNCTION("""COMPUTED_VALUE"""),"None")</f>
        <v>None</v>
      </c>
    </row>
    <row r="1431" spans="1:7" ht="12.75">
      <c r="A1431" s="8" t="str">
        <f ca="1">IFERROR(__xludf.DUMMYFUNCTION("""COMPUTED_VALUE"""),"20061017TXSEK")</f>
        <v>20061017TXSEK</v>
      </c>
      <c r="B1431" s="8">
        <f ca="1">IFERROR(__xludf.DUMMYFUNCTION("""COMPUTED_VALUE"""),16)</f>
        <v>16</v>
      </c>
      <c r="C1431" s="8" t="str">
        <f ca="1">IFERROR(__xludf.DUMMYFUNCTION("""COMPUTED_VALUE"""),"Female")</f>
        <v>Female</v>
      </c>
      <c r="D1431" s="8" t="str">
        <f ca="1">IFERROR(__xludf.DUMMYFUNCTION("""COMPUTED_VALUE"""),"Student")</f>
        <v>Student</v>
      </c>
      <c r="E1431" s="8" t="str">
        <f ca="1">IFERROR(__xludf.DUMMYFUNCTION("""COMPUTED_VALUE"""),"Suicide")</f>
        <v>Suicide</v>
      </c>
      <c r="F1431" s="8" t="str">
        <f ca="1">IFERROR(__xludf.DUMMYFUNCTION("""COMPUTED_VALUE"""),"Yes")</f>
        <v>Yes</v>
      </c>
      <c r="G1431" s="8" t="str">
        <f ca="1">IFERROR(__xludf.DUMMYFUNCTION("""COMPUTED_VALUE"""),"Suicide")</f>
        <v>Suicide</v>
      </c>
    </row>
    <row r="1432" spans="1:7" ht="12.75">
      <c r="A1432" s="8" t="str">
        <f ca="1">IFERROR(__xludf.DUMMYFUNCTION("""COMPUTED_VALUE"""),"20061012MDGRB")</f>
        <v>20061012MDGRB</v>
      </c>
      <c r="B1432" s="8">
        <f ca="1">IFERROR(__xludf.DUMMYFUNCTION("""COMPUTED_VALUE"""),8)</f>
        <v>8</v>
      </c>
      <c r="C1432" s="8" t="str">
        <f ca="1">IFERROR(__xludf.DUMMYFUNCTION("""COMPUTED_VALUE"""),"Male")</f>
        <v>Male</v>
      </c>
      <c r="D1432" s="8" t="str">
        <f ca="1">IFERROR(__xludf.DUMMYFUNCTION("""COMPUTED_VALUE"""),"Student")</f>
        <v>Student</v>
      </c>
      <c r="E1432" s="8" t="str">
        <f ca="1">IFERROR(__xludf.DUMMYFUNCTION("""COMPUTED_VALUE"""),"Unknown")</f>
        <v>Unknown</v>
      </c>
      <c r="F1432" s="8" t="str">
        <f ca="1">IFERROR(__xludf.DUMMYFUNCTION("""COMPUTED_VALUE"""),"No")</f>
        <v>No</v>
      </c>
      <c r="G1432" s="8" t="str">
        <f ca="1">IFERROR(__xludf.DUMMYFUNCTION("""COMPUTED_VALUE"""),"None")</f>
        <v>None</v>
      </c>
    </row>
    <row r="1433" spans="1:7" ht="12.75">
      <c r="A1433" s="8" t="str">
        <f ca="1">IFERROR(__xludf.DUMMYFUNCTION("""COMPUTED_VALUE"""),"20061010NYPOP")</f>
        <v>20061010NYPOP</v>
      </c>
      <c r="B1433" s="8" t="str">
        <f ca="1">IFERROR(__xludf.DUMMYFUNCTION("""COMPUTED_VALUE"""),"Teen")</f>
        <v>Teen</v>
      </c>
      <c r="C1433" s="8" t="str">
        <f ca="1">IFERROR(__xludf.DUMMYFUNCTION("""COMPUTED_VALUE"""),"Male")</f>
        <v>Male</v>
      </c>
      <c r="D1433" s="8" t="str">
        <f ca="1">IFERROR(__xludf.DUMMYFUNCTION("""COMPUTED_VALUE"""),"Student")</f>
        <v>Student</v>
      </c>
      <c r="E1433" s="8" t="str">
        <f ca="1">IFERROR(__xludf.DUMMYFUNCTION("""COMPUTED_VALUE"""),"Fled/Apprehended")</f>
        <v>Fled/Apprehended</v>
      </c>
      <c r="F1433" s="8" t="str">
        <f ca="1">IFERROR(__xludf.DUMMYFUNCTION("""COMPUTED_VALUE"""),"No")</f>
        <v>No</v>
      </c>
      <c r="G1433" s="8" t="str">
        <f ca="1">IFERROR(__xludf.DUMMYFUNCTION("""COMPUTED_VALUE"""),"None")</f>
        <v>None</v>
      </c>
    </row>
    <row r="1434" spans="1:7" ht="12.75">
      <c r="A1434" s="8" t="str">
        <f ca="1">IFERROR(__xludf.DUMMYFUNCTION("""COMPUTED_VALUE"""),"20061009MOMEJ")</f>
        <v>20061009MOMEJ</v>
      </c>
      <c r="B1434" s="8">
        <f ca="1">IFERROR(__xludf.DUMMYFUNCTION("""COMPUTED_VALUE"""),13)</f>
        <v>13</v>
      </c>
      <c r="C1434" s="8" t="str">
        <f ca="1">IFERROR(__xludf.DUMMYFUNCTION("""COMPUTED_VALUE"""),"Male")</f>
        <v>Male</v>
      </c>
      <c r="D1434" s="8" t="str">
        <f ca="1">IFERROR(__xludf.DUMMYFUNCTION("""COMPUTED_VALUE"""),"Student")</f>
        <v>Student</v>
      </c>
      <c r="E1434" s="8" t="str">
        <f ca="1">IFERROR(__xludf.DUMMYFUNCTION("""COMPUTED_VALUE"""),"Surrendered")</f>
        <v>Surrendered</v>
      </c>
      <c r="F1434" s="8" t="str">
        <f ca="1">IFERROR(__xludf.DUMMYFUNCTION("""COMPUTED_VALUE"""),"No")</f>
        <v>No</v>
      </c>
      <c r="G1434" s="8" t="str">
        <f ca="1">IFERROR(__xludf.DUMMYFUNCTION("""COMPUTED_VALUE"""),"None")</f>
        <v>None</v>
      </c>
    </row>
    <row r="1435" spans="1:7" ht="12.75">
      <c r="A1435" s="8" t="str">
        <f ca="1">IFERROR(__xludf.DUMMYFUNCTION("""COMPUTED_VALUE"""),"20061002PAWEN")</f>
        <v>20061002PAWEN</v>
      </c>
      <c r="B1435" s="8">
        <f ca="1">IFERROR(__xludf.DUMMYFUNCTION("""COMPUTED_VALUE"""),32)</f>
        <v>32</v>
      </c>
      <c r="C1435" s="8" t="str">
        <f ca="1">IFERROR(__xludf.DUMMYFUNCTION("""COMPUTED_VALUE"""),"Male")</f>
        <v>Male</v>
      </c>
      <c r="D1435" s="8" t="str">
        <f ca="1">IFERROR(__xludf.DUMMYFUNCTION("""COMPUTED_VALUE"""),"No Relation")</f>
        <v>No Relation</v>
      </c>
      <c r="E1435" s="8" t="str">
        <f ca="1">IFERROR(__xludf.DUMMYFUNCTION("""COMPUTED_VALUE"""),"Suicide")</f>
        <v>Suicide</v>
      </c>
      <c r="F1435" s="8" t="str">
        <f ca="1">IFERROR(__xludf.DUMMYFUNCTION("""COMPUTED_VALUE"""),"Yes")</f>
        <v>Yes</v>
      </c>
      <c r="G1435" s="8" t="str">
        <f ca="1">IFERROR(__xludf.DUMMYFUNCTION("""COMPUTED_VALUE"""),"Suicide")</f>
        <v>Suicide</v>
      </c>
    </row>
    <row r="1436" spans="1:7" ht="12.75">
      <c r="A1436" s="8" t="str">
        <f ca="1">IFERROR(__xludf.DUMMYFUNCTION("""COMPUTED_VALUE"""),"20060929WIWEC")</f>
        <v>20060929WIWEC</v>
      </c>
      <c r="B1436" s="8">
        <f ca="1">IFERROR(__xludf.DUMMYFUNCTION("""COMPUTED_VALUE"""),15)</f>
        <v>15</v>
      </c>
      <c r="C1436" s="8" t="str">
        <f ca="1">IFERROR(__xludf.DUMMYFUNCTION("""COMPUTED_VALUE"""),"Male")</f>
        <v>Male</v>
      </c>
      <c r="D1436" s="8" t="str">
        <f ca="1">IFERROR(__xludf.DUMMYFUNCTION("""COMPUTED_VALUE"""),"Student")</f>
        <v>Student</v>
      </c>
      <c r="E1436" s="8" t="str">
        <f ca="1">IFERROR(__xludf.DUMMYFUNCTION("""COMPUTED_VALUE"""),"Subdued by Students/Staff/Other")</f>
        <v>Subdued by Students/Staff/Other</v>
      </c>
      <c r="F1436" s="8" t="str">
        <f ca="1">IFERROR(__xludf.DUMMYFUNCTION("""COMPUTED_VALUE"""),"No")</f>
        <v>No</v>
      </c>
      <c r="G1436" s="8" t="str">
        <f ca="1">IFERROR(__xludf.DUMMYFUNCTION("""COMPUTED_VALUE"""),"None")</f>
        <v>None</v>
      </c>
    </row>
    <row r="1437" spans="1:7" ht="12.75">
      <c r="A1437" s="8" t="str">
        <f ca="1">IFERROR(__xludf.DUMMYFUNCTION("""COMPUTED_VALUE"""),"20060927COPLB")</f>
        <v>20060927COPLB</v>
      </c>
      <c r="B1437" s="8">
        <f ca="1">IFERROR(__xludf.DUMMYFUNCTION("""COMPUTED_VALUE"""),53)</f>
        <v>53</v>
      </c>
      <c r="C1437" s="8" t="str">
        <f ca="1">IFERROR(__xludf.DUMMYFUNCTION("""COMPUTED_VALUE"""),"Male")</f>
        <v>Male</v>
      </c>
      <c r="D1437" s="8" t="str">
        <f ca="1">IFERROR(__xludf.DUMMYFUNCTION("""COMPUTED_VALUE"""),"Unknown")</f>
        <v>Unknown</v>
      </c>
      <c r="E1437" s="8" t="str">
        <f ca="1">IFERROR(__xludf.DUMMYFUNCTION("""COMPUTED_VALUE"""),"Suicide")</f>
        <v>Suicide</v>
      </c>
      <c r="F1437" s="8" t="str">
        <f ca="1">IFERROR(__xludf.DUMMYFUNCTION("""COMPUTED_VALUE"""),"Yes")</f>
        <v>Yes</v>
      </c>
      <c r="G1437" s="8" t="str">
        <f ca="1">IFERROR(__xludf.DUMMYFUNCTION("""COMPUTED_VALUE"""),"Suicide")</f>
        <v>Suicide</v>
      </c>
    </row>
    <row r="1438" spans="1:7" ht="12.75">
      <c r="A1438" s="8" t="str">
        <f ca="1">IFERROR(__xludf.DUMMYFUNCTION("""COMPUTED_VALUE"""),"20060921DCCAW")</f>
        <v>20060921DCCAW</v>
      </c>
      <c r="B1438" s="8">
        <f ca="1">IFERROR(__xludf.DUMMYFUNCTION("""COMPUTED_VALUE"""),17)</f>
        <v>17</v>
      </c>
      <c r="C1438" s="8" t="str">
        <f ca="1">IFERROR(__xludf.DUMMYFUNCTION("""COMPUTED_VALUE"""),"Male")</f>
        <v>Male</v>
      </c>
      <c r="D1438" s="8" t="str">
        <f ca="1">IFERROR(__xludf.DUMMYFUNCTION("""COMPUTED_VALUE"""),"Student")</f>
        <v>Student</v>
      </c>
      <c r="E1438" s="8" t="str">
        <f ca="1">IFERROR(__xludf.DUMMYFUNCTION("""COMPUTED_VALUE"""),"Fled/Apprehended")</f>
        <v>Fled/Apprehended</v>
      </c>
      <c r="F1438" s="8" t="str">
        <f ca="1">IFERROR(__xludf.DUMMYFUNCTION("""COMPUTED_VALUE"""),"No")</f>
        <v>No</v>
      </c>
      <c r="G1438" s="8" t="str">
        <f ca="1">IFERROR(__xludf.DUMMYFUNCTION("""COMPUTED_VALUE"""),"None")</f>
        <v>None</v>
      </c>
    </row>
    <row r="1439" spans="1:7" ht="12.75">
      <c r="A1439" s="8" t="str">
        <f ca="1">IFERROR(__xludf.DUMMYFUNCTION("""COMPUTED_VALUE"""),"20060913MOWEC")</f>
        <v>20060913MOWEC</v>
      </c>
      <c r="B1439" s="8">
        <f ca="1">IFERROR(__xludf.DUMMYFUNCTION("""COMPUTED_VALUE"""),17)</f>
        <v>17</v>
      </c>
      <c r="C1439" s="8" t="str">
        <f ca="1">IFERROR(__xludf.DUMMYFUNCTION("""COMPUTED_VALUE"""),"Male")</f>
        <v>Male</v>
      </c>
      <c r="D1439" s="8" t="str">
        <f ca="1">IFERROR(__xludf.DUMMYFUNCTION("""COMPUTED_VALUE"""),"Student")</f>
        <v>Student</v>
      </c>
      <c r="E1439" s="8" t="str">
        <f ca="1">IFERROR(__xludf.DUMMYFUNCTION("""COMPUTED_VALUE"""),"Apprehended/Killed by LE")</f>
        <v>Apprehended/Killed by LE</v>
      </c>
      <c r="F1439" s="8" t="str">
        <f ca="1">IFERROR(__xludf.DUMMYFUNCTION("""COMPUTED_VALUE"""),"No")</f>
        <v>No</v>
      </c>
      <c r="G1439" s="8" t="str">
        <f ca="1">IFERROR(__xludf.DUMMYFUNCTION("""COMPUTED_VALUE"""),"Wounded")</f>
        <v>Wounded</v>
      </c>
    </row>
    <row r="1440" spans="1:7" ht="12.75">
      <c r="A1440" s="8" t="str">
        <f ca="1">IFERROR(__xludf.DUMMYFUNCTION("""COMPUTED_VALUE"""),"20060908TXSOF")</f>
        <v>20060908TXSOF</v>
      </c>
      <c r="B1440" s="8" t="str">
        <f ca="1">IFERROR(__xludf.DUMMYFUNCTION("""COMPUTED_VALUE"""),"Adult")</f>
        <v>Adult</v>
      </c>
      <c r="C1440" s="8" t="str">
        <f ca="1">IFERROR(__xludf.DUMMYFUNCTION("""COMPUTED_VALUE"""),"Male")</f>
        <v>Male</v>
      </c>
      <c r="D1440" s="8" t="str">
        <f ca="1">IFERROR(__xludf.DUMMYFUNCTION("""COMPUTED_VALUE"""),"Police Officer/SRO")</f>
        <v>Police Officer/SRO</v>
      </c>
      <c r="E1440" s="8" t="str">
        <f ca="1">IFERROR(__xludf.DUMMYFUNCTION("""COMPUTED_VALUE"""),"Law Enforcement")</f>
        <v>Law Enforcement</v>
      </c>
      <c r="F1440" s="8" t="str">
        <f ca="1">IFERROR(__xludf.DUMMYFUNCTION("""COMPUTED_VALUE"""),"No")</f>
        <v>No</v>
      </c>
      <c r="G1440" s="8" t="str">
        <f ca="1">IFERROR(__xludf.DUMMYFUNCTION("""COMPUTED_VALUE"""),"None")</f>
        <v>None</v>
      </c>
    </row>
    <row r="1441" spans="1:7" ht="12.75">
      <c r="A1441" s="8" t="str">
        <f ca="1">IFERROR(__xludf.DUMMYFUNCTION("""COMPUTED_VALUE"""),"20060905TNKIM")</f>
        <v>20060905TNKIM</v>
      </c>
      <c r="B1441" s="8" t="str">
        <f ca="1">IFERROR(__xludf.DUMMYFUNCTION("""COMPUTED_VALUE"""),"Adult")</f>
        <v>Adult</v>
      </c>
      <c r="C1441" s="8"/>
      <c r="D1441" s="8" t="str">
        <f ca="1">IFERROR(__xludf.DUMMYFUNCTION("""COMPUTED_VALUE"""),"Parent")</f>
        <v>Parent</v>
      </c>
      <c r="E1441" s="8" t="str">
        <f ca="1">IFERROR(__xludf.DUMMYFUNCTION("""COMPUTED_VALUE"""),"Fled/Escaped")</f>
        <v>Fled/Escaped</v>
      </c>
      <c r="F1441" s="8" t="str">
        <f ca="1">IFERROR(__xludf.DUMMYFUNCTION("""COMPUTED_VALUE"""),"No")</f>
        <v>No</v>
      </c>
      <c r="G1441" s="8" t="str">
        <f ca="1">IFERROR(__xludf.DUMMYFUNCTION("""COMPUTED_VALUE"""),"None")</f>
        <v>None</v>
      </c>
    </row>
    <row r="1442" spans="1:7" ht="12.75">
      <c r="A1442" s="8" t="str">
        <f ca="1">IFERROR(__xludf.DUMMYFUNCTION("""COMPUTED_VALUE"""),"20060831ALOXO")</f>
        <v>20060831ALOXO</v>
      </c>
      <c r="B1442" s="8">
        <f ca="1">IFERROR(__xludf.DUMMYFUNCTION("""COMPUTED_VALUE"""),21)</f>
        <v>21</v>
      </c>
      <c r="C1442" s="8" t="str">
        <f ca="1">IFERROR(__xludf.DUMMYFUNCTION("""COMPUTED_VALUE"""),"Male")</f>
        <v>Male</v>
      </c>
      <c r="D1442" s="8" t="str">
        <f ca="1">IFERROR(__xludf.DUMMYFUNCTION("""COMPUTED_VALUE"""),"Nonstudent Using Athletic Facilities/Attending Game")</f>
        <v>Nonstudent Using Athletic Facilities/Attending Game</v>
      </c>
      <c r="E1442" s="8" t="str">
        <f ca="1">IFERROR(__xludf.DUMMYFUNCTION("""COMPUTED_VALUE"""),"Fled/Apprehended")</f>
        <v>Fled/Apprehended</v>
      </c>
      <c r="F1442" s="8" t="str">
        <f ca="1">IFERROR(__xludf.DUMMYFUNCTION("""COMPUTED_VALUE"""),"No")</f>
        <v>No</v>
      </c>
      <c r="G1442" s="8" t="str">
        <f ca="1">IFERROR(__xludf.DUMMYFUNCTION("""COMPUTED_VALUE"""),"None")</f>
        <v>None</v>
      </c>
    </row>
    <row r="1443" spans="1:7" ht="12.75">
      <c r="A1443" s="8" t="str">
        <f ca="1">IFERROR(__xludf.DUMMYFUNCTION("""COMPUTED_VALUE"""),"20060830NCORH")</f>
        <v>20060830NCORH</v>
      </c>
      <c r="B1443" s="8">
        <f ca="1">IFERROR(__xludf.DUMMYFUNCTION("""COMPUTED_VALUE"""),18)</f>
        <v>18</v>
      </c>
      <c r="C1443" s="8" t="str">
        <f ca="1">IFERROR(__xludf.DUMMYFUNCTION("""COMPUTED_VALUE"""),"Male")</f>
        <v>Male</v>
      </c>
      <c r="D1443" s="8" t="str">
        <f ca="1">IFERROR(__xludf.DUMMYFUNCTION("""COMPUTED_VALUE"""),"Former Student")</f>
        <v>Former Student</v>
      </c>
      <c r="E1443" s="8" t="str">
        <f ca="1">IFERROR(__xludf.DUMMYFUNCTION("""COMPUTED_VALUE"""),"Surrendered")</f>
        <v>Surrendered</v>
      </c>
      <c r="F1443" s="8" t="str">
        <f ca="1">IFERROR(__xludf.DUMMYFUNCTION("""COMPUTED_VALUE"""),"No")</f>
        <v>No</v>
      </c>
      <c r="G1443" s="8" t="str">
        <f ca="1">IFERROR(__xludf.DUMMYFUNCTION("""COMPUTED_VALUE"""),"None")</f>
        <v>None</v>
      </c>
    </row>
    <row r="1444" spans="1:7" ht="12.75">
      <c r="A1444" s="8" t="str">
        <f ca="1">IFERROR(__xludf.DUMMYFUNCTION("""COMPUTED_VALUE"""),"20060829DCANW")</f>
        <v>20060829DCANW</v>
      </c>
      <c r="B1444" s="8">
        <f ca="1">IFERROR(__xludf.DUMMYFUNCTION("""COMPUTED_VALUE"""),16)</f>
        <v>16</v>
      </c>
      <c r="C1444" s="8" t="str">
        <f ca="1">IFERROR(__xludf.DUMMYFUNCTION("""COMPUTED_VALUE"""),"Male")</f>
        <v>Male</v>
      </c>
      <c r="D1444" s="8" t="str">
        <f ca="1">IFERROR(__xludf.DUMMYFUNCTION("""COMPUTED_VALUE"""),"Student")</f>
        <v>Student</v>
      </c>
      <c r="E1444" s="8" t="str">
        <f ca="1">IFERROR(__xludf.DUMMYFUNCTION("""COMPUTED_VALUE"""),"Fled/Apprehended")</f>
        <v>Fled/Apprehended</v>
      </c>
      <c r="F1444" s="8" t="str">
        <f ca="1">IFERROR(__xludf.DUMMYFUNCTION("""COMPUTED_VALUE"""),"No")</f>
        <v>No</v>
      </c>
      <c r="G1444" s="8" t="str">
        <f ca="1">IFERROR(__xludf.DUMMYFUNCTION("""COMPUTED_VALUE"""),"None")</f>
        <v>None</v>
      </c>
    </row>
    <row r="1445" spans="1:7" ht="12.75">
      <c r="A1445" s="8" t="str">
        <f ca="1">IFERROR(__xludf.DUMMYFUNCTION("""COMPUTED_VALUE"""),"20060824VTESE")</f>
        <v>20060824VTESE</v>
      </c>
      <c r="B1445" s="8">
        <f ca="1">IFERROR(__xludf.DUMMYFUNCTION("""COMPUTED_VALUE"""),26)</f>
        <v>26</v>
      </c>
      <c r="C1445" s="8" t="str">
        <f ca="1">IFERROR(__xludf.DUMMYFUNCTION("""COMPUTED_VALUE"""),"Male")</f>
        <v>Male</v>
      </c>
      <c r="D1445" s="8" t="str">
        <f ca="1">IFERROR(__xludf.DUMMYFUNCTION("""COMPUTED_VALUE"""),"Intimate Relationship")</f>
        <v>Intimate Relationship</v>
      </c>
      <c r="E1445" s="8" t="str">
        <f ca="1">IFERROR(__xludf.DUMMYFUNCTION("""COMPUTED_VALUE"""),"Fled/Apprehended")</f>
        <v>Fled/Apprehended</v>
      </c>
      <c r="F1445" s="8" t="str">
        <f ca="1">IFERROR(__xludf.DUMMYFUNCTION("""COMPUTED_VALUE"""),"No")</f>
        <v>No</v>
      </c>
      <c r="G1445" s="8" t="str">
        <f ca="1">IFERROR(__xludf.DUMMYFUNCTION("""COMPUTED_VALUE"""),"Wounded")</f>
        <v>Wounded</v>
      </c>
    </row>
    <row r="1446" spans="1:7" ht="12.75">
      <c r="A1446" s="8" t="str">
        <f ca="1">IFERROR(__xludf.DUMMYFUNCTION("""COMPUTED_VALUE"""),"20060821INCAN")</f>
        <v>20060821INCAN</v>
      </c>
      <c r="B1446" s="8">
        <f ca="1">IFERROR(__xludf.DUMMYFUNCTION("""COMPUTED_VALUE"""),16)</f>
        <v>16</v>
      </c>
      <c r="C1446" s="8" t="str">
        <f ca="1">IFERROR(__xludf.DUMMYFUNCTION("""COMPUTED_VALUE"""),"Male")</f>
        <v>Male</v>
      </c>
      <c r="D1446" s="8" t="str">
        <f ca="1">IFERROR(__xludf.DUMMYFUNCTION("""COMPUTED_VALUE"""),"Student")</f>
        <v>Student</v>
      </c>
      <c r="E1446" s="8" t="str">
        <f ca="1">IFERROR(__xludf.DUMMYFUNCTION("""COMPUTED_VALUE"""),"Suicide")</f>
        <v>Suicide</v>
      </c>
      <c r="F1446" s="8" t="str">
        <f ca="1">IFERROR(__xludf.DUMMYFUNCTION("""COMPUTED_VALUE"""),"Yes")</f>
        <v>Yes</v>
      </c>
      <c r="G1446" s="8" t="str">
        <f ca="1">IFERROR(__xludf.DUMMYFUNCTION("""COMPUTED_VALUE"""),"Suicide")</f>
        <v>Suicide</v>
      </c>
    </row>
    <row r="1447" spans="1:7" ht="12.75">
      <c r="A1447" s="8" t="str">
        <f ca="1">IFERROR(__xludf.DUMMYFUNCTION("""COMPUTED_VALUE"""),"20060820GALYH")</f>
        <v>20060820GALYH</v>
      </c>
      <c r="B1447" s="8" t="str">
        <f ca="1">IFERROR(__xludf.DUMMYFUNCTION("""COMPUTED_VALUE"""),"Teen")</f>
        <v>Teen</v>
      </c>
      <c r="C1447" s="8" t="str">
        <f ca="1">IFERROR(__xludf.DUMMYFUNCTION("""COMPUTED_VALUE"""),"Male")</f>
        <v>Male</v>
      </c>
      <c r="D1447" s="8" t="str">
        <f ca="1">IFERROR(__xludf.DUMMYFUNCTION("""COMPUTED_VALUE"""),"Unknown")</f>
        <v>Unknown</v>
      </c>
      <c r="E1447" s="8" t="str">
        <f ca="1">IFERROR(__xludf.DUMMYFUNCTION("""COMPUTED_VALUE"""),"Fled/Escaped")</f>
        <v>Fled/Escaped</v>
      </c>
      <c r="F1447" s="8" t="str">
        <f ca="1">IFERROR(__xludf.DUMMYFUNCTION("""COMPUTED_VALUE"""),"No")</f>
        <v>No</v>
      </c>
      <c r="G1447" s="8" t="str">
        <f ca="1">IFERROR(__xludf.DUMMYFUNCTION("""COMPUTED_VALUE"""),"None")</f>
        <v>None</v>
      </c>
    </row>
    <row r="1448" spans="1:7" ht="12.75">
      <c r="A1448" s="8" t="str">
        <f ca="1">IFERROR(__xludf.DUMMYFUNCTION("""COMPUTED_VALUE"""),"20060819OHSOY")</f>
        <v>20060819OHSOY</v>
      </c>
      <c r="B1448" s="8">
        <f ca="1">IFERROR(__xludf.DUMMYFUNCTION("""COMPUTED_VALUE"""),25)</f>
        <v>25</v>
      </c>
      <c r="C1448" s="8" t="str">
        <f ca="1">IFERROR(__xludf.DUMMYFUNCTION("""COMPUTED_VALUE"""),"Male")</f>
        <v>Male</v>
      </c>
      <c r="D1448" s="8" t="str">
        <f ca="1">IFERROR(__xludf.DUMMYFUNCTION("""COMPUTED_VALUE"""),"Nonstudent Using Athletic Facilities/Attending Game")</f>
        <v>Nonstudent Using Athletic Facilities/Attending Game</v>
      </c>
      <c r="E1448" s="8" t="str">
        <f ca="1">IFERROR(__xludf.DUMMYFUNCTION("""COMPUTED_VALUE"""),"Fled/Apprehended")</f>
        <v>Fled/Apprehended</v>
      </c>
      <c r="F1448" s="8" t="str">
        <f ca="1">IFERROR(__xludf.DUMMYFUNCTION("""COMPUTED_VALUE"""),"No")</f>
        <v>No</v>
      </c>
      <c r="G1448" s="8" t="str">
        <f ca="1">IFERROR(__xludf.DUMMYFUNCTION("""COMPUTED_VALUE"""),"None")</f>
        <v>None</v>
      </c>
    </row>
    <row r="1449" spans="1:7" ht="12.75">
      <c r="A1449" s="8" t="str">
        <f ca="1">IFERROR(__xludf.DUMMYFUNCTION("""COMPUTED_VALUE"""),"20060817TXMEA")</f>
        <v>20060817TXMEA</v>
      </c>
      <c r="B1449" s="8">
        <f ca="1">IFERROR(__xludf.DUMMYFUNCTION("""COMPUTED_VALUE"""),20)</f>
        <v>20</v>
      </c>
      <c r="C1449" s="8" t="str">
        <f ca="1">IFERROR(__xludf.DUMMYFUNCTION("""COMPUTED_VALUE"""),"Male")</f>
        <v>Male</v>
      </c>
      <c r="D1449" s="8" t="str">
        <f ca="1">IFERROR(__xludf.DUMMYFUNCTION("""COMPUTED_VALUE"""),"No Relation")</f>
        <v>No Relation</v>
      </c>
      <c r="E1449" s="8" t="str">
        <f ca="1">IFERROR(__xludf.DUMMYFUNCTION("""COMPUTED_VALUE"""),"Fled/Apprehended")</f>
        <v>Fled/Apprehended</v>
      </c>
      <c r="F1449" s="8" t="str">
        <f ca="1">IFERROR(__xludf.DUMMYFUNCTION("""COMPUTED_VALUE"""),"No")</f>
        <v>No</v>
      </c>
      <c r="G1449" s="8" t="str">
        <f ca="1">IFERROR(__xludf.DUMMYFUNCTION("""COMPUTED_VALUE"""),"None")</f>
        <v>None</v>
      </c>
    </row>
    <row r="1450" spans="1:7" ht="12.75">
      <c r="A1450" s="8" t="str">
        <f ca="1">IFERROR(__xludf.DUMMYFUNCTION("""COMPUTED_VALUE"""),"20060817TXMEA")</f>
        <v>20060817TXMEA</v>
      </c>
      <c r="B1450" s="8">
        <f ca="1">IFERROR(__xludf.DUMMYFUNCTION("""COMPUTED_VALUE"""),17)</f>
        <v>17</v>
      </c>
      <c r="C1450" s="8" t="str">
        <f ca="1">IFERROR(__xludf.DUMMYFUNCTION("""COMPUTED_VALUE"""),"Male")</f>
        <v>Male</v>
      </c>
      <c r="D1450" s="8" t="str">
        <f ca="1">IFERROR(__xludf.DUMMYFUNCTION("""COMPUTED_VALUE"""),"No Relation")</f>
        <v>No Relation</v>
      </c>
      <c r="E1450" s="8" t="str">
        <f ca="1">IFERROR(__xludf.DUMMYFUNCTION("""COMPUTED_VALUE"""),"Fled/Apprehended")</f>
        <v>Fled/Apprehended</v>
      </c>
      <c r="F1450" s="8" t="str">
        <f ca="1">IFERROR(__xludf.DUMMYFUNCTION("""COMPUTED_VALUE"""),"No")</f>
        <v>No</v>
      </c>
      <c r="G1450" s="8" t="str">
        <f ca="1">IFERROR(__xludf.DUMMYFUNCTION("""COMPUTED_VALUE"""),"None")</f>
        <v>None</v>
      </c>
    </row>
    <row r="1451" spans="1:7" ht="12.75">
      <c r="A1451" s="8" t="str">
        <f ca="1">IFERROR(__xludf.DUMMYFUNCTION("""COMPUTED_VALUE"""),"20060815KYJTV")</f>
        <v>20060815KYJTV</v>
      </c>
      <c r="B1451" s="8">
        <f ca="1">IFERROR(__xludf.DUMMYFUNCTION("""COMPUTED_VALUE"""),13)</f>
        <v>13</v>
      </c>
      <c r="C1451" s="8" t="str">
        <f ca="1">IFERROR(__xludf.DUMMYFUNCTION("""COMPUTED_VALUE"""),"Male")</f>
        <v>Male</v>
      </c>
      <c r="D1451" s="8" t="str">
        <f ca="1">IFERROR(__xludf.DUMMYFUNCTION("""COMPUTED_VALUE"""),"Student")</f>
        <v>Student</v>
      </c>
      <c r="E1451" s="8" t="str">
        <f ca="1">IFERROR(__xludf.DUMMYFUNCTION("""COMPUTED_VALUE"""),"Surrendered")</f>
        <v>Surrendered</v>
      </c>
      <c r="F1451" s="8" t="str">
        <f ca="1">IFERROR(__xludf.DUMMYFUNCTION("""COMPUTED_VALUE"""),"No")</f>
        <v>No</v>
      </c>
      <c r="G1451" s="8" t="str">
        <f ca="1">IFERROR(__xludf.DUMMYFUNCTION("""COMPUTED_VALUE"""),"None")</f>
        <v>None</v>
      </c>
    </row>
    <row r="1452" spans="1:7" ht="12.75">
      <c r="A1452" s="8" t="str">
        <f ca="1">IFERROR(__xludf.DUMMYFUNCTION("""COMPUTED_VALUE"""),"20060731FLYOT")</f>
        <v>20060731FLYOT</v>
      </c>
      <c r="B1452" s="8">
        <f ca="1">IFERROR(__xludf.DUMMYFUNCTION("""COMPUTED_VALUE"""),54)</f>
        <v>54</v>
      </c>
      <c r="C1452" s="8" t="str">
        <f ca="1">IFERROR(__xludf.DUMMYFUNCTION("""COMPUTED_VALUE"""),"Male")</f>
        <v>Male</v>
      </c>
      <c r="D1452" s="8" t="str">
        <f ca="1">IFERROR(__xludf.DUMMYFUNCTION("""COMPUTED_VALUE"""),"Intimate Relationship")</f>
        <v>Intimate Relationship</v>
      </c>
      <c r="E1452" s="8" t="str">
        <f ca="1">IFERROR(__xludf.DUMMYFUNCTION("""COMPUTED_VALUE"""),"Suicide")</f>
        <v>Suicide</v>
      </c>
      <c r="F1452" s="8" t="str">
        <f ca="1">IFERROR(__xludf.DUMMYFUNCTION("""COMPUTED_VALUE"""),"Yes")</f>
        <v>Yes</v>
      </c>
      <c r="G1452" s="8" t="str">
        <f ca="1">IFERROR(__xludf.DUMMYFUNCTION("""COMPUTED_VALUE"""),"Suicide")</f>
        <v>Suicide</v>
      </c>
    </row>
    <row r="1453" spans="1:7" ht="12.75">
      <c r="A1453" s="8" t="str">
        <f ca="1">IFERROR(__xludf.DUMMYFUNCTION("""COMPUTED_VALUE"""),"20060615MIPED")</f>
        <v>20060615MIPED</v>
      </c>
      <c r="B1453" s="8" t="str">
        <f ca="1">IFERROR(__xludf.DUMMYFUNCTION("""COMPUTED_VALUE"""),"Adult")</f>
        <v>Adult</v>
      </c>
      <c r="C1453" s="8" t="str">
        <f ca="1">IFERROR(__xludf.DUMMYFUNCTION("""COMPUTED_VALUE"""),"Male")</f>
        <v>Male</v>
      </c>
      <c r="D1453" s="8" t="str">
        <f ca="1">IFERROR(__xludf.DUMMYFUNCTION("""COMPUTED_VALUE"""),"No Relation")</f>
        <v>No Relation</v>
      </c>
      <c r="E1453" s="8" t="str">
        <f ca="1">IFERROR(__xludf.DUMMYFUNCTION("""COMPUTED_VALUE"""),"Fled/Escaped")</f>
        <v>Fled/Escaped</v>
      </c>
      <c r="F1453" s="8" t="str">
        <f ca="1">IFERROR(__xludf.DUMMYFUNCTION("""COMPUTED_VALUE"""),"No")</f>
        <v>No</v>
      </c>
      <c r="G1453" s="8" t="str">
        <f ca="1">IFERROR(__xludf.DUMMYFUNCTION("""COMPUTED_VALUE"""),"None")</f>
        <v>None</v>
      </c>
    </row>
    <row r="1454" spans="1:7" ht="12.75">
      <c r="A1454" s="8" t="str">
        <f ca="1">IFERROR(__xludf.DUMMYFUNCTION("""COMPUTED_VALUE"""),"20060606INWIG")</f>
        <v>20060606INWIG</v>
      </c>
      <c r="B1454" s="8">
        <f ca="1">IFERROR(__xludf.DUMMYFUNCTION("""COMPUTED_VALUE"""),19)</f>
        <v>19</v>
      </c>
      <c r="C1454" s="8" t="str">
        <f ca="1">IFERROR(__xludf.DUMMYFUNCTION("""COMPUTED_VALUE"""),"Male")</f>
        <v>Male</v>
      </c>
      <c r="D1454" s="8" t="str">
        <f ca="1">IFERROR(__xludf.DUMMYFUNCTION("""COMPUTED_VALUE"""),"Relative")</f>
        <v>Relative</v>
      </c>
      <c r="E1454" s="8" t="str">
        <f ca="1">IFERROR(__xludf.DUMMYFUNCTION("""COMPUTED_VALUE"""),"Fled/Apprehended")</f>
        <v>Fled/Apprehended</v>
      </c>
      <c r="F1454" s="8" t="str">
        <f ca="1">IFERROR(__xludf.DUMMYFUNCTION("""COMPUTED_VALUE"""),"No")</f>
        <v>No</v>
      </c>
      <c r="G1454" s="8" t="str">
        <f ca="1">IFERROR(__xludf.DUMMYFUNCTION("""COMPUTED_VALUE"""),"None")</f>
        <v>None</v>
      </c>
    </row>
    <row r="1455" spans="1:7" ht="12.75">
      <c r="A1455" s="8" t="str">
        <f ca="1">IFERROR(__xludf.DUMMYFUNCTION("""COMPUTED_VALUE"""),"20060605CAVEL")</f>
        <v>20060605CAVEL</v>
      </c>
      <c r="B1455" s="8"/>
      <c r="C1455" s="8" t="str">
        <f ca="1">IFERROR(__xludf.DUMMYFUNCTION("""COMPUTED_VALUE"""),"Male")</f>
        <v>Male</v>
      </c>
      <c r="D1455" s="8" t="str">
        <f ca="1">IFERROR(__xludf.DUMMYFUNCTION("""COMPUTED_VALUE"""),"Unknown")</f>
        <v>Unknown</v>
      </c>
      <c r="E1455" s="8" t="str">
        <f ca="1">IFERROR(__xludf.DUMMYFUNCTION("""COMPUTED_VALUE"""),"Fled/Escaped")</f>
        <v>Fled/Escaped</v>
      </c>
      <c r="F1455" s="8" t="str">
        <f ca="1">IFERROR(__xludf.DUMMYFUNCTION("""COMPUTED_VALUE"""),"No")</f>
        <v>No</v>
      </c>
      <c r="G1455" s="8" t="str">
        <f ca="1">IFERROR(__xludf.DUMMYFUNCTION("""COMPUTED_VALUE"""),"None")</f>
        <v>None</v>
      </c>
    </row>
    <row r="1456" spans="1:7" ht="12.75">
      <c r="A1456" s="8" t="str">
        <f ca="1">IFERROR(__xludf.DUMMYFUNCTION("""COMPUTED_VALUE"""),"20060525PANON")</f>
        <v>20060525PANON</v>
      </c>
      <c r="B1456" s="8">
        <f ca="1">IFERROR(__xludf.DUMMYFUNCTION("""COMPUTED_VALUE"""),18)</f>
        <v>18</v>
      </c>
      <c r="C1456" s="8" t="str">
        <f ca="1">IFERROR(__xludf.DUMMYFUNCTION("""COMPUTED_VALUE"""),"Male")</f>
        <v>Male</v>
      </c>
      <c r="D1456" s="8" t="str">
        <f ca="1">IFERROR(__xludf.DUMMYFUNCTION("""COMPUTED_VALUE"""),"Student")</f>
        <v>Student</v>
      </c>
      <c r="E1456" s="8" t="str">
        <f ca="1">IFERROR(__xludf.DUMMYFUNCTION("""COMPUTED_VALUE"""),"Surrendered")</f>
        <v>Surrendered</v>
      </c>
      <c r="F1456" s="8" t="str">
        <f ca="1">IFERROR(__xludf.DUMMYFUNCTION("""COMPUTED_VALUE"""),"No")</f>
        <v>No</v>
      </c>
      <c r="G1456" s="8" t="str">
        <f ca="1">IFERROR(__xludf.DUMMYFUNCTION("""COMPUTED_VALUE"""),"None")</f>
        <v>None</v>
      </c>
    </row>
    <row r="1457" spans="1:7" ht="12.75">
      <c r="A1457" s="8" t="str">
        <f ca="1">IFERROR(__xludf.DUMMYFUNCTION("""COMPUTED_VALUE"""),"20060522SCBUI")</f>
        <v>20060522SCBUI</v>
      </c>
      <c r="B1457" s="8">
        <f ca="1">IFERROR(__xludf.DUMMYFUNCTION("""COMPUTED_VALUE"""),19)</f>
        <v>19</v>
      </c>
      <c r="C1457" s="8" t="str">
        <f ca="1">IFERROR(__xludf.DUMMYFUNCTION("""COMPUTED_VALUE"""),"Male")</f>
        <v>Male</v>
      </c>
      <c r="D1457" s="8" t="str">
        <f ca="1">IFERROR(__xludf.DUMMYFUNCTION("""COMPUTED_VALUE"""),"Student")</f>
        <v>Student</v>
      </c>
      <c r="E1457" s="8" t="str">
        <f ca="1">IFERROR(__xludf.DUMMYFUNCTION("""COMPUTED_VALUE"""),"Apprehended/Killed by SRO")</f>
        <v>Apprehended/Killed by SRO</v>
      </c>
      <c r="F1457" s="8" t="str">
        <f ca="1">IFERROR(__xludf.DUMMYFUNCTION("""COMPUTED_VALUE"""),"No")</f>
        <v>No</v>
      </c>
      <c r="G1457" s="8" t="str">
        <f ca="1">IFERROR(__xludf.DUMMYFUNCTION("""COMPUTED_VALUE"""),"None")</f>
        <v>None</v>
      </c>
    </row>
    <row r="1458" spans="1:7" ht="12.75">
      <c r="A1458" s="8" t="str">
        <f ca="1">IFERROR(__xludf.DUMMYFUNCTION("""COMPUTED_VALUE"""),"20060505FLPAM")</f>
        <v>20060505FLPAM</v>
      </c>
      <c r="B1458" s="8" t="str">
        <f ca="1">IFERROR(__xludf.DUMMYFUNCTION("""COMPUTED_VALUE"""),"Teen")</f>
        <v>Teen</v>
      </c>
      <c r="C1458" s="8" t="str">
        <f ca="1">IFERROR(__xludf.DUMMYFUNCTION("""COMPUTED_VALUE"""),"Male")</f>
        <v>Male</v>
      </c>
      <c r="D1458" s="8" t="str">
        <f ca="1">IFERROR(__xludf.DUMMYFUNCTION("""COMPUTED_VALUE"""),"Student")</f>
        <v>Student</v>
      </c>
      <c r="E1458" s="8" t="str">
        <f ca="1">IFERROR(__xludf.DUMMYFUNCTION("""COMPUTED_VALUE"""),"Fled/Escaped")</f>
        <v>Fled/Escaped</v>
      </c>
      <c r="F1458" s="8" t="str">
        <f ca="1">IFERROR(__xludf.DUMMYFUNCTION("""COMPUTED_VALUE"""),"No")</f>
        <v>No</v>
      </c>
      <c r="G1458" s="8" t="str">
        <f ca="1">IFERROR(__xludf.DUMMYFUNCTION("""COMPUTED_VALUE"""),"None")</f>
        <v>None</v>
      </c>
    </row>
    <row r="1459" spans="1:7" ht="12.75">
      <c r="A1459" s="8" t="str">
        <f ca="1">IFERROR(__xludf.DUMMYFUNCTION("""COMPUTED_VALUE"""),"20060424NCEAC")</f>
        <v>20060424NCEAC</v>
      </c>
      <c r="B1459" s="8">
        <f ca="1">IFERROR(__xludf.DUMMYFUNCTION("""COMPUTED_VALUE"""),17)</f>
        <v>17</v>
      </c>
      <c r="C1459" s="8" t="str">
        <f ca="1">IFERROR(__xludf.DUMMYFUNCTION("""COMPUTED_VALUE"""),"Male")</f>
        <v>Male</v>
      </c>
      <c r="D1459" s="8" t="str">
        <f ca="1">IFERROR(__xludf.DUMMYFUNCTION("""COMPUTED_VALUE"""),"Student")</f>
        <v>Student</v>
      </c>
      <c r="E1459" s="8" t="str">
        <f ca="1">IFERROR(__xludf.DUMMYFUNCTION("""COMPUTED_VALUE"""),"Fled/Apprehended")</f>
        <v>Fled/Apprehended</v>
      </c>
      <c r="F1459" s="8" t="str">
        <f ca="1">IFERROR(__xludf.DUMMYFUNCTION("""COMPUTED_VALUE"""),"No")</f>
        <v>No</v>
      </c>
      <c r="G1459" s="8" t="str">
        <f ca="1">IFERROR(__xludf.DUMMYFUNCTION("""COMPUTED_VALUE"""),"None")</f>
        <v>None</v>
      </c>
    </row>
    <row r="1460" spans="1:7" ht="12.75">
      <c r="A1460" s="8" t="str">
        <f ca="1">IFERROR(__xludf.DUMMYFUNCTION("""COMPUTED_VALUE"""),"20060418TXWEH")</f>
        <v>20060418TXWEH</v>
      </c>
      <c r="B1460" s="8"/>
      <c r="C1460" s="8" t="str">
        <f ca="1">IFERROR(__xludf.DUMMYFUNCTION("""COMPUTED_VALUE"""),"Male")</f>
        <v>Male</v>
      </c>
      <c r="D1460" s="8" t="str">
        <f ca="1">IFERROR(__xludf.DUMMYFUNCTION("""COMPUTED_VALUE"""),"No Relation")</f>
        <v>No Relation</v>
      </c>
      <c r="E1460" s="8" t="str">
        <f ca="1">IFERROR(__xludf.DUMMYFUNCTION("""COMPUTED_VALUE"""),"Fled/Escaped")</f>
        <v>Fled/Escaped</v>
      </c>
      <c r="F1460" s="8" t="str">
        <f ca="1">IFERROR(__xludf.DUMMYFUNCTION("""COMPUTED_VALUE"""),"No")</f>
        <v>No</v>
      </c>
      <c r="G1460" s="8" t="str">
        <f ca="1">IFERROR(__xludf.DUMMYFUNCTION("""COMPUTED_VALUE"""),"None")</f>
        <v>None</v>
      </c>
    </row>
    <row r="1461" spans="1:7" ht="12.75">
      <c r="A1461" s="8" t="str">
        <f ca="1">IFERROR(__xludf.DUMMYFUNCTION("""COMPUTED_VALUE"""),"20060405DCROW")</f>
        <v>20060405DCROW</v>
      </c>
      <c r="B1461" s="8"/>
      <c r="C1461" s="8"/>
      <c r="D1461" s="8" t="str">
        <f ca="1">IFERROR(__xludf.DUMMYFUNCTION("""COMPUTED_VALUE"""),"Unknown")</f>
        <v>Unknown</v>
      </c>
      <c r="E1461" s="8" t="str">
        <f ca="1">IFERROR(__xludf.DUMMYFUNCTION("""COMPUTED_VALUE"""),"Fled/Escaped")</f>
        <v>Fled/Escaped</v>
      </c>
      <c r="F1461" s="8" t="str">
        <f ca="1">IFERROR(__xludf.DUMMYFUNCTION("""COMPUTED_VALUE"""),"No")</f>
        <v>No</v>
      </c>
      <c r="G1461" s="8" t="str">
        <f ca="1">IFERROR(__xludf.DUMMYFUNCTION("""COMPUTED_VALUE"""),"None")</f>
        <v>None</v>
      </c>
    </row>
    <row r="1462" spans="1:7" ht="12.75">
      <c r="A1462" s="8" t="str">
        <f ca="1">IFERROR(__xludf.DUMMYFUNCTION("""COMPUTED_VALUE"""),"20060314NVPIR")</f>
        <v>20060314NVPIR</v>
      </c>
      <c r="B1462" s="8">
        <f ca="1">IFERROR(__xludf.DUMMYFUNCTION("""COMPUTED_VALUE"""),14)</f>
        <v>14</v>
      </c>
      <c r="C1462" s="8" t="str">
        <f ca="1">IFERROR(__xludf.DUMMYFUNCTION("""COMPUTED_VALUE"""),"Male")</f>
        <v>Male</v>
      </c>
      <c r="D1462" s="8" t="str">
        <f ca="1">IFERROR(__xludf.DUMMYFUNCTION("""COMPUTED_VALUE"""),"Student")</f>
        <v>Student</v>
      </c>
      <c r="E1462" s="8" t="str">
        <f ca="1">IFERROR(__xludf.DUMMYFUNCTION("""COMPUTED_VALUE"""),"Subdued by Students/Staff/Other")</f>
        <v>Subdued by Students/Staff/Other</v>
      </c>
      <c r="F1462" s="8" t="str">
        <f ca="1">IFERROR(__xludf.DUMMYFUNCTION("""COMPUTED_VALUE"""),"No")</f>
        <v>No</v>
      </c>
      <c r="G1462" s="8" t="str">
        <f ca="1">IFERROR(__xludf.DUMMYFUNCTION("""COMPUTED_VALUE"""),"None")</f>
        <v>None</v>
      </c>
    </row>
    <row r="1463" spans="1:7" ht="12.75">
      <c r="A1463" s="8" t="str">
        <f ca="1">IFERROR(__xludf.DUMMYFUNCTION("""COMPUTED_VALUE"""),"20060310NYISN")</f>
        <v>20060310NYISN</v>
      </c>
      <c r="B1463" s="8">
        <f ca="1">IFERROR(__xludf.DUMMYFUNCTION("""COMPUTED_VALUE"""),14)</f>
        <v>14</v>
      </c>
      <c r="C1463" s="8" t="str">
        <f ca="1">IFERROR(__xludf.DUMMYFUNCTION("""COMPUTED_VALUE"""),"Male")</f>
        <v>Male</v>
      </c>
      <c r="D1463" s="8" t="str">
        <f ca="1">IFERROR(__xludf.DUMMYFUNCTION("""COMPUTED_VALUE"""),"Student")</f>
        <v>Student</v>
      </c>
      <c r="E1463" s="8" t="str">
        <f ca="1">IFERROR(__xludf.DUMMYFUNCTION("""COMPUTED_VALUE"""),"Surrendered")</f>
        <v>Surrendered</v>
      </c>
      <c r="F1463" s="8" t="str">
        <f ca="1">IFERROR(__xludf.DUMMYFUNCTION("""COMPUTED_VALUE"""),"No")</f>
        <v>No</v>
      </c>
      <c r="G1463" s="8" t="str">
        <f ca="1">IFERROR(__xludf.DUMMYFUNCTION("""COMPUTED_VALUE"""),"None")</f>
        <v>None</v>
      </c>
    </row>
    <row r="1464" spans="1:7" ht="12.75">
      <c r="A1464" s="8" t="str">
        <f ca="1">IFERROR(__xludf.DUMMYFUNCTION("""COMPUTED_VALUE"""),"20060310NYISN")</f>
        <v>20060310NYISN</v>
      </c>
      <c r="B1464" s="8">
        <f ca="1">IFERROR(__xludf.DUMMYFUNCTION("""COMPUTED_VALUE"""),16)</f>
        <v>16</v>
      </c>
      <c r="C1464" s="8" t="str">
        <f ca="1">IFERROR(__xludf.DUMMYFUNCTION("""COMPUTED_VALUE"""),"Male")</f>
        <v>Male</v>
      </c>
      <c r="D1464" s="8" t="str">
        <f ca="1">IFERROR(__xludf.DUMMYFUNCTION("""COMPUTED_VALUE"""),"Student")</f>
        <v>Student</v>
      </c>
      <c r="E1464" s="8" t="str">
        <f ca="1">IFERROR(__xludf.DUMMYFUNCTION("""COMPUTED_VALUE"""),"Surrendered")</f>
        <v>Surrendered</v>
      </c>
      <c r="F1464" s="8" t="str">
        <f ca="1">IFERROR(__xludf.DUMMYFUNCTION("""COMPUTED_VALUE"""),"No")</f>
        <v>No</v>
      </c>
      <c r="G1464" s="8" t="str">
        <f ca="1">IFERROR(__xludf.DUMMYFUNCTION("""COMPUTED_VALUE"""),"None")</f>
        <v>None</v>
      </c>
    </row>
    <row r="1465" spans="1:7" ht="12.75">
      <c r="A1465" s="8" t="str">
        <f ca="1">IFERROR(__xludf.DUMMYFUNCTION("""COMPUTED_VALUE"""),"20060223ORROR")</f>
        <v>20060223ORROR</v>
      </c>
      <c r="B1465" s="8">
        <f ca="1">IFERROR(__xludf.DUMMYFUNCTION("""COMPUTED_VALUE"""),14)</f>
        <v>14</v>
      </c>
      <c r="C1465" s="8" t="str">
        <f ca="1">IFERROR(__xludf.DUMMYFUNCTION("""COMPUTED_VALUE"""),"Male")</f>
        <v>Male</v>
      </c>
      <c r="D1465" s="8" t="str">
        <f ca="1">IFERROR(__xludf.DUMMYFUNCTION("""COMPUTED_VALUE"""),"Student")</f>
        <v>Student</v>
      </c>
      <c r="E1465" s="8" t="str">
        <f ca="1">IFERROR(__xludf.DUMMYFUNCTION("""COMPUTED_VALUE"""),"Fled/Apprehended")</f>
        <v>Fled/Apprehended</v>
      </c>
      <c r="F1465" s="8" t="str">
        <f ca="1">IFERROR(__xludf.DUMMYFUNCTION("""COMPUTED_VALUE"""),"No")</f>
        <v>No</v>
      </c>
      <c r="G1465" s="8" t="str">
        <f ca="1">IFERROR(__xludf.DUMMYFUNCTION("""COMPUTED_VALUE"""),"None")</f>
        <v>None</v>
      </c>
    </row>
    <row r="1466" spans="1:7" ht="12.75">
      <c r="A1466" s="8" t="str">
        <f ca="1">IFERROR(__xludf.DUMMYFUNCTION("""COMPUTED_VALUE"""),"20060221PAWEP")</f>
        <v>20060221PAWEP</v>
      </c>
      <c r="B1466" s="8">
        <f ca="1">IFERROR(__xludf.DUMMYFUNCTION("""COMPUTED_VALUE"""),23)</f>
        <v>23</v>
      </c>
      <c r="C1466" s="8" t="str">
        <f ca="1">IFERROR(__xludf.DUMMYFUNCTION("""COMPUTED_VALUE"""),"Male")</f>
        <v>Male</v>
      </c>
      <c r="D1466" s="8" t="str">
        <f ca="1">IFERROR(__xludf.DUMMYFUNCTION("""COMPUTED_VALUE"""),"No Relation")</f>
        <v>No Relation</v>
      </c>
      <c r="E1466" s="8" t="str">
        <f ca="1">IFERROR(__xludf.DUMMYFUNCTION("""COMPUTED_VALUE"""),"Fled/Apprehended")</f>
        <v>Fled/Apprehended</v>
      </c>
      <c r="F1466" s="8" t="str">
        <f ca="1">IFERROR(__xludf.DUMMYFUNCTION("""COMPUTED_VALUE"""),"No")</f>
        <v>No</v>
      </c>
      <c r="G1466" s="8" t="str">
        <f ca="1">IFERROR(__xludf.DUMMYFUNCTION("""COMPUTED_VALUE"""),"None")</f>
        <v>None</v>
      </c>
    </row>
    <row r="1467" spans="1:7" ht="12.75">
      <c r="A1467" s="8" t="str">
        <f ca="1">IFERROR(__xludf.DUMMYFUNCTION("""COMPUTED_VALUE"""),"20060215PAWEY")</f>
        <v>20060215PAWEY</v>
      </c>
      <c r="B1467" s="8" t="str">
        <f ca="1">IFERROR(__xludf.DUMMYFUNCTION("""COMPUTED_VALUE"""),"Adult")</f>
        <v>Adult</v>
      </c>
      <c r="C1467" s="8" t="str">
        <f ca="1">IFERROR(__xludf.DUMMYFUNCTION("""COMPUTED_VALUE"""),"Male")</f>
        <v>Male</v>
      </c>
      <c r="D1467" s="8" t="str">
        <f ca="1">IFERROR(__xludf.DUMMYFUNCTION("""COMPUTED_VALUE"""),"Teacher")</f>
        <v>Teacher</v>
      </c>
      <c r="E1467" s="8" t="str">
        <f ca="1">IFERROR(__xludf.DUMMYFUNCTION("""COMPUTED_VALUE"""),"Suicide")</f>
        <v>Suicide</v>
      </c>
      <c r="F1467" s="8" t="str">
        <f ca="1">IFERROR(__xludf.DUMMYFUNCTION("""COMPUTED_VALUE"""),"Yes")</f>
        <v>Yes</v>
      </c>
      <c r="G1467" s="8" t="str">
        <f ca="1">IFERROR(__xludf.DUMMYFUNCTION("""COMPUTED_VALUE"""),"Suicide")</f>
        <v>Suicide</v>
      </c>
    </row>
    <row r="1468" spans="1:7" ht="12.75">
      <c r="A1468" s="8" t="str">
        <f ca="1">IFERROR(__xludf.DUMMYFUNCTION("""COMPUTED_VALUE"""),"20060209DEWIN")</f>
        <v>20060209DEWIN</v>
      </c>
      <c r="B1468" s="8"/>
      <c r="C1468" s="8" t="str">
        <f ca="1">IFERROR(__xludf.DUMMYFUNCTION("""COMPUTED_VALUE"""),"Male")</f>
        <v>Male</v>
      </c>
      <c r="D1468" s="8" t="str">
        <f ca="1">IFERROR(__xludf.DUMMYFUNCTION("""COMPUTED_VALUE"""),"Nonstudent Using Athletic Facilities/Attending Game")</f>
        <v>Nonstudent Using Athletic Facilities/Attending Game</v>
      </c>
      <c r="E1468" s="8" t="str">
        <f ca="1">IFERROR(__xludf.DUMMYFUNCTION("""COMPUTED_VALUE"""),"Fled/Escaped")</f>
        <v>Fled/Escaped</v>
      </c>
      <c r="F1468" s="8" t="str">
        <f ca="1">IFERROR(__xludf.DUMMYFUNCTION("""COMPUTED_VALUE"""),"No")</f>
        <v>No</v>
      </c>
      <c r="G1468" s="8" t="str">
        <f ca="1">IFERROR(__xludf.DUMMYFUNCTION("""COMPUTED_VALUE"""),"None")</f>
        <v>None</v>
      </c>
    </row>
    <row r="1469" spans="1:7" ht="12.75">
      <c r="A1469" s="8" t="str">
        <f ca="1">IFERROR(__xludf.DUMMYFUNCTION("""COMPUTED_VALUE"""),"20060203CALOC")</f>
        <v>20060203CALOC</v>
      </c>
      <c r="B1469" s="8">
        <f ca="1">IFERROR(__xludf.DUMMYFUNCTION("""COMPUTED_VALUE"""),9)</f>
        <v>9</v>
      </c>
      <c r="C1469" s="8" t="str">
        <f ca="1">IFERROR(__xludf.DUMMYFUNCTION("""COMPUTED_VALUE"""),"Male")</f>
        <v>Male</v>
      </c>
      <c r="D1469" s="8" t="str">
        <f ca="1">IFERROR(__xludf.DUMMYFUNCTION("""COMPUTED_VALUE"""),"Student")</f>
        <v>Student</v>
      </c>
      <c r="E1469" s="8" t="str">
        <f ca="1">IFERROR(__xludf.DUMMYFUNCTION("""COMPUTED_VALUE"""),"Unknown")</f>
        <v>Unknown</v>
      </c>
      <c r="F1469" s="8" t="str">
        <f ca="1">IFERROR(__xludf.DUMMYFUNCTION("""COMPUTED_VALUE"""),"No")</f>
        <v>No</v>
      </c>
      <c r="G1469" s="8" t="str">
        <f ca="1">IFERROR(__xludf.DUMMYFUNCTION("""COMPUTED_VALUE"""),"None")</f>
        <v>None</v>
      </c>
    </row>
    <row r="1470" spans="1:7" ht="12.75">
      <c r="A1470" s="8" t="str">
        <f ca="1">IFERROR(__xludf.DUMMYFUNCTION("""COMPUTED_VALUE"""),"20060130MTCMG")</f>
        <v>20060130MTCMG</v>
      </c>
      <c r="B1470" s="8">
        <f ca="1">IFERROR(__xludf.DUMMYFUNCTION("""COMPUTED_VALUE"""),16)</f>
        <v>16</v>
      </c>
      <c r="C1470" s="8" t="str">
        <f ca="1">IFERROR(__xludf.DUMMYFUNCTION("""COMPUTED_VALUE"""),"Male")</f>
        <v>Male</v>
      </c>
      <c r="D1470" s="8" t="str">
        <f ca="1">IFERROR(__xludf.DUMMYFUNCTION("""COMPUTED_VALUE"""),"Student")</f>
        <v>Student</v>
      </c>
      <c r="E1470" s="8" t="str">
        <f ca="1">IFERROR(__xludf.DUMMYFUNCTION("""COMPUTED_VALUE"""),"Suicide")</f>
        <v>Suicide</v>
      </c>
      <c r="F1470" s="8" t="str">
        <f ca="1">IFERROR(__xludf.DUMMYFUNCTION("""COMPUTED_VALUE"""),"Yes")</f>
        <v>Yes</v>
      </c>
      <c r="G1470" s="8" t="str">
        <f ca="1">IFERROR(__xludf.DUMMYFUNCTION("""COMPUTED_VALUE"""),"Suicide")</f>
        <v>Suicide</v>
      </c>
    </row>
    <row r="1471" spans="1:7" ht="12.75">
      <c r="A1471" s="8" t="str">
        <f ca="1">IFERROR(__xludf.DUMMYFUNCTION("""COMPUTED_VALUE"""),"20060127TXLAG")</f>
        <v>20060127TXLAG</v>
      </c>
      <c r="B1471" s="8">
        <f ca="1">IFERROR(__xludf.DUMMYFUNCTION("""COMPUTED_VALUE"""),16)</f>
        <v>16</v>
      </c>
      <c r="C1471" s="8" t="str">
        <f ca="1">IFERROR(__xludf.DUMMYFUNCTION("""COMPUTED_VALUE"""),"Male")</f>
        <v>Male</v>
      </c>
      <c r="D1471" s="8" t="str">
        <f ca="1">IFERROR(__xludf.DUMMYFUNCTION("""COMPUTED_VALUE"""),"Student")</f>
        <v>Student</v>
      </c>
      <c r="E1471" s="8" t="str">
        <f ca="1">IFERROR(__xludf.DUMMYFUNCTION("""COMPUTED_VALUE"""),"Unknown")</f>
        <v>Unknown</v>
      </c>
      <c r="F1471" s="8" t="str">
        <f ca="1">IFERROR(__xludf.DUMMYFUNCTION("""COMPUTED_VALUE"""),"No")</f>
        <v>No</v>
      </c>
      <c r="G1471" s="8" t="str">
        <f ca="1">IFERROR(__xludf.DUMMYFUNCTION("""COMPUTED_VALUE"""),"None")</f>
        <v>None</v>
      </c>
    </row>
    <row r="1472" spans="1:7" ht="12.75">
      <c r="A1472" s="8" t="str">
        <f ca="1">IFERROR(__xludf.DUMMYFUNCTION("""COMPUTED_VALUE"""),"20060123CAWIV")</f>
        <v>20060123CAWIV</v>
      </c>
      <c r="B1472" s="8">
        <f ca="1">IFERROR(__xludf.DUMMYFUNCTION("""COMPUTED_VALUE"""),14)</f>
        <v>14</v>
      </c>
      <c r="C1472" s="8" t="str">
        <f ca="1">IFERROR(__xludf.DUMMYFUNCTION("""COMPUTED_VALUE"""),"Male")</f>
        <v>Male</v>
      </c>
      <c r="D1472" s="8" t="str">
        <f ca="1">IFERROR(__xludf.DUMMYFUNCTION("""COMPUTED_VALUE"""),"Student")</f>
        <v>Student</v>
      </c>
      <c r="E1472" s="8" t="str">
        <f ca="1">IFERROR(__xludf.DUMMYFUNCTION("""COMPUTED_VALUE"""),"Unknown")</f>
        <v>Unknown</v>
      </c>
      <c r="F1472" s="8" t="str">
        <f ca="1">IFERROR(__xludf.DUMMYFUNCTION("""COMPUTED_VALUE"""),"No")</f>
        <v>No</v>
      </c>
      <c r="G1472" s="8" t="str">
        <f ca="1">IFERROR(__xludf.DUMMYFUNCTION("""COMPUTED_VALUE"""),"None")</f>
        <v>None</v>
      </c>
    </row>
    <row r="1473" spans="1:7" ht="12.75">
      <c r="A1473" s="8" t="str">
        <f ca="1">IFERROR(__xludf.DUMMYFUNCTION("""COMPUTED_VALUE"""),"20060119OHWIC")</f>
        <v>20060119OHWIC</v>
      </c>
      <c r="B1473" s="8">
        <f ca="1">IFERROR(__xludf.DUMMYFUNCTION("""COMPUTED_VALUE"""),19)</f>
        <v>19</v>
      </c>
      <c r="C1473" s="8" t="str">
        <f ca="1">IFERROR(__xludf.DUMMYFUNCTION("""COMPUTED_VALUE"""),"Male")</f>
        <v>Male</v>
      </c>
      <c r="D1473" s="8" t="str">
        <f ca="1">IFERROR(__xludf.DUMMYFUNCTION("""COMPUTED_VALUE"""),"Nonstudent")</f>
        <v>Nonstudent</v>
      </c>
      <c r="E1473" s="8" t="str">
        <f ca="1">IFERROR(__xludf.DUMMYFUNCTION("""COMPUTED_VALUE"""),"Fled/Apprehended")</f>
        <v>Fled/Apprehended</v>
      </c>
      <c r="F1473" s="8" t="str">
        <f ca="1">IFERROR(__xludf.DUMMYFUNCTION("""COMPUTED_VALUE"""),"No")</f>
        <v>No</v>
      </c>
      <c r="G1473" s="8" t="str">
        <f ca="1">IFERROR(__xludf.DUMMYFUNCTION("""COMPUTED_VALUE"""),"None")</f>
        <v>None</v>
      </c>
    </row>
    <row r="1474" spans="1:7" ht="12.75">
      <c r="A1474" s="8" t="str">
        <f ca="1">IFERROR(__xludf.DUMMYFUNCTION("""COMPUTED_VALUE"""),"20060119OHWIC")</f>
        <v>20060119OHWIC</v>
      </c>
      <c r="B1474" s="8">
        <f ca="1">IFERROR(__xludf.DUMMYFUNCTION("""COMPUTED_VALUE"""),20)</f>
        <v>20</v>
      </c>
      <c r="C1474" s="8" t="str">
        <f ca="1">IFERROR(__xludf.DUMMYFUNCTION("""COMPUTED_VALUE"""),"Male")</f>
        <v>Male</v>
      </c>
      <c r="D1474" s="8" t="str">
        <f ca="1">IFERROR(__xludf.DUMMYFUNCTION("""COMPUTED_VALUE"""),"Nonstudent")</f>
        <v>Nonstudent</v>
      </c>
      <c r="E1474" s="8" t="str">
        <f ca="1">IFERROR(__xludf.DUMMYFUNCTION("""COMPUTED_VALUE"""),"Fled/Apprehended")</f>
        <v>Fled/Apprehended</v>
      </c>
      <c r="F1474" s="8" t="str">
        <f ca="1">IFERROR(__xludf.DUMMYFUNCTION("""COMPUTED_VALUE"""),"No")</f>
        <v>No</v>
      </c>
      <c r="G1474" s="8" t="str">
        <f ca="1">IFERROR(__xludf.DUMMYFUNCTION("""COMPUTED_VALUE"""),"None")</f>
        <v>None</v>
      </c>
    </row>
    <row r="1475" spans="1:7" ht="12.75">
      <c r="A1475" s="8" t="str">
        <f ca="1">IFERROR(__xludf.DUMMYFUNCTION("""COMPUTED_VALUE"""),"20060118VAINC")</f>
        <v>20060118VAINC</v>
      </c>
      <c r="B1475" s="8">
        <f ca="1">IFERROR(__xludf.DUMMYFUNCTION("""COMPUTED_VALUE"""),20)</f>
        <v>20</v>
      </c>
      <c r="C1475" s="8" t="str">
        <f ca="1">IFERROR(__xludf.DUMMYFUNCTION("""COMPUTED_VALUE"""),"Male")</f>
        <v>Male</v>
      </c>
      <c r="D1475" s="8" t="str">
        <f ca="1">IFERROR(__xludf.DUMMYFUNCTION("""COMPUTED_VALUE"""),"Nonstudent")</f>
        <v>Nonstudent</v>
      </c>
      <c r="E1475" s="8" t="str">
        <f ca="1">IFERROR(__xludf.DUMMYFUNCTION("""COMPUTED_VALUE"""),"Fled/Apprehended")</f>
        <v>Fled/Apprehended</v>
      </c>
      <c r="F1475" s="8" t="str">
        <f ca="1">IFERROR(__xludf.DUMMYFUNCTION("""COMPUTED_VALUE"""),"No")</f>
        <v>No</v>
      </c>
      <c r="G1475" s="8" t="str">
        <f ca="1">IFERROR(__xludf.DUMMYFUNCTION("""COMPUTED_VALUE"""),"None")</f>
        <v>None</v>
      </c>
    </row>
    <row r="1476" spans="1:7" ht="12.75">
      <c r="A1476" s="8" t="str">
        <f ca="1">IFERROR(__xludf.DUMMYFUNCTION("""COMPUTED_VALUE"""),"20060118TXPAA")</f>
        <v>20060118TXPAA</v>
      </c>
      <c r="B1476" s="8" t="str">
        <f ca="1">IFERROR(__xludf.DUMMYFUNCTION("""COMPUTED_VALUE"""),"Teen")</f>
        <v>Teen</v>
      </c>
      <c r="C1476" s="8" t="str">
        <f ca="1">IFERROR(__xludf.DUMMYFUNCTION("""COMPUTED_VALUE"""),"Male")</f>
        <v>Male</v>
      </c>
      <c r="D1476" s="8" t="str">
        <f ca="1">IFERROR(__xludf.DUMMYFUNCTION("""COMPUTED_VALUE"""),"Student")</f>
        <v>Student</v>
      </c>
      <c r="E1476" s="8" t="str">
        <f ca="1">IFERROR(__xludf.DUMMYFUNCTION("""COMPUTED_VALUE"""),"Surrendered")</f>
        <v>Surrendered</v>
      </c>
      <c r="F1476" s="8" t="str">
        <f ca="1">IFERROR(__xludf.DUMMYFUNCTION("""COMPUTED_VALUE"""),"No")</f>
        <v>No</v>
      </c>
      <c r="G1476" s="8" t="str">
        <f ca="1">IFERROR(__xludf.DUMMYFUNCTION("""COMPUTED_VALUE"""),"None")</f>
        <v>None</v>
      </c>
    </row>
    <row r="1477" spans="1:7" ht="12.75">
      <c r="A1477" s="8" t="str">
        <f ca="1">IFERROR(__xludf.DUMMYFUNCTION("""COMPUTED_VALUE"""),"20060118MTFRA")</f>
        <v>20060118MTFRA</v>
      </c>
      <c r="B1477" s="8">
        <f ca="1">IFERROR(__xludf.DUMMYFUNCTION("""COMPUTED_VALUE"""),15)</f>
        <v>15</v>
      </c>
      <c r="C1477" s="8" t="str">
        <f ca="1">IFERROR(__xludf.DUMMYFUNCTION("""COMPUTED_VALUE"""),"Female")</f>
        <v>Female</v>
      </c>
      <c r="D1477" s="8" t="str">
        <f ca="1">IFERROR(__xludf.DUMMYFUNCTION("""COMPUTED_VALUE"""),"Student")</f>
        <v>Student</v>
      </c>
      <c r="E1477" s="8" t="str">
        <f ca="1">IFERROR(__xludf.DUMMYFUNCTION("""COMPUTED_VALUE"""),"Fled/Apprehended")</f>
        <v>Fled/Apprehended</v>
      </c>
      <c r="F1477" s="8" t="str">
        <f ca="1">IFERROR(__xludf.DUMMYFUNCTION("""COMPUTED_VALUE"""),"No")</f>
        <v>No</v>
      </c>
      <c r="G1477" s="8" t="str">
        <f ca="1">IFERROR(__xludf.DUMMYFUNCTION("""COMPUTED_VALUE"""),"None")</f>
        <v>None</v>
      </c>
    </row>
    <row r="1478" spans="1:7" ht="12.75">
      <c r="A1478" s="8" t="str">
        <f ca="1">IFERROR(__xludf.DUMMYFUNCTION("""COMPUTED_VALUE"""),"20060113MIOSD")</f>
        <v>20060113MIOSD</v>
      </c>
      <c r="B1478" s="8" t="str">
        <f ca="1">IFERROR(__xludf.DUMMYFUNCTION("""COMPUTED_VALUE"""),"Teen")</f>
        <v>Teen</v>
      </c>
      <c r="C1478" s="8" t="str">
        <f ca="1">IFERROR(__xludf.DUMMYFUNCTION("""COMPUTED_VALUE"""),"Male")</f>
        <v>Male</v>
      </c>
      <c r="D1478" s="8" t="str">
        <f ca="1">IFERROR(__xludf.DUMMYFUNCTION("""COMPUTED_VALUE"""),"Student")</f>
        <v>Student</v>
      </c>
      <c r="E1478" s="8" t="str">
        <f ca="1">IFERROR(__xludf.DUMMYFUNCTION("""COMPUTED_VALUE"""),"Fled/Apprehended")</f>
        <v>Fled/Apprehended</v>
      </c>
      <c r="F1478" s="8" t="str">
        <f ca="1">IFERROR(__xludf.DUMMYFUNCTION("""COMPUTED_VALUE"""),"No")</f>
        <v>No</v>
      </c>
      <c r="G1478" s="8" t="str">
        <f ca="1">IFERROR(__xludf.DUMMYFUNCTION("""COMPUTED_VALUE"""),"None")</f>
        <v>None</v>
      </c>
    </row>
    <row r="1479" spans="1:7" ht="12.75">
      <c r="A1479" s="8" t="str">
        <f ca="1">IFERROR(__xludf.DUMMYFUNCTION("""COMPUTED_VALUE"""),"20060113FLMIL")</f>
        <v>20060113FLMIL</v>
      </c>
      <c r="B1479" s="8">
        <f ca="1">IFERROR(__xludf.DUMMYFUNCTION("""COMPUTED_VALUE"""),15)</f>
        <v>15</v>
      </c>
      <c r="C1479" s="8" t="str">
        <f ca="1">IFERROR(__xludf.DUMMYFUNCTION("""COMPUTED_VALUE"""),"Male")</f>
        <v>Male</v>
      </c>
      <c r="D1479" s="8" t="str">
        <f ca="1">IFERROR(__xludf.DUMMYFUNCTION("""COMPUTED_VALUE"""),"Student")</f>
        <v>Student</v>
      </c>
      <c r="E1479" s="8" t="str">
        <f ca="1">IFERROR(__xludf.DUMMYFUNCTION("""COMPUTED_VALUE"""),"Apprehended/Killed by LE")</f>
        <v>Apprehended/Killed by LE</v>
      </c>
      <c r="F1479" s="8" t="str">
        <f ca="1">IFERROR(__xludf.DUMMYFUNCTION("""COMPUTED_VALUE"""),"Yes")</f>
        <v>Yes</v>
      </c>
      <c r="G1479" s="8" t="str">
        <f ca="1">IFERROR(__xludf.DUMMYFUNCTION("""COMPUTED_VALUE"""),"Fatal")</f>
        <v>Fatal</v>
      </c>
    </row>
    <row r="1480" spans="1:7" ht="12.75">
      <c r="A1480" s="8" t="str">
        <f ca="1">IFERROR(__xludf.DUMMYFUNCTION("""COMPUTED_VALUE"""),"20060113ALPIP")</f>
        <v>20060113ALPIP</v>
      </c>
      <c r="B1480" s="8">
        <f ca="1">IFERROR(__xludf.DUMMYFUNCTION("""COMPUTED_VALUE"""),20)</f>
        <v>20</v>
      </c>
      <c r="C1480" s="8" t="str">
        <f ca="1">IFERROR(__xludf.DUMMYFUNCTION("""COMPUTED_VALUE"""),"Male")</f>
        <v>Male</v>
      </c>
      <c r="D1480" s="8" t="str">
        <f ca="1">IFERROR(__xludf.DUMMYFUNCTION("""COMPUTED_VALUE"""),"Nonstudent Using Athletic Facilities/Attending Game")</f>
        <v>Nonstudent Using Athletic Facilities/Attending Game</v>
      </c>
      <c r="E1480" s="8" t="str">
        <f ca="1">IFERROR(__xludf.DUMMYFUNCTION("""COMPUTED_VALUE"""),"Apprehended/Killed by LE")</f>
        <v>Apprehended/Killed by LE</v>
      </c>
      <c r="F1480" s="8" t="str">
        <f ca="1">IFERROR(__xludf.DUMMYFUNCTION("""COMPUTED_VALUE"""),"No")</f>
        <v>No</v>
      </c>
      <c r="G1480" s="8" t="str">
        <f ca="1">IFERROR(__xludf.DUMMYFUNCTION("""COMPUTED_VALUE"""),"None")</f>
        <v>None</v>
      </c>
    </row>
    <row r="1481" spans="1:7" ht="12.75">
      <c r="A1481" s="8" t="str">
        <f ca="1">IFERROR(__xludf.DUMMYFUNCTION("""COMPUTED_VALUE"""),"20060111WIMAM")</f>
        <v>20060111WIMAM</v>
      </c>
      <c r="B1481" s="8"/>
      <c r="C1481" s="8"/>
      <c r="D1481" s="8" t="str">
        <f ca="1">IFERROR(__xludf.DUMMYFUNCTION("""COMPUTED_VALUE"""),"Unknown")</f>
        <v>Unknown</v>
      </c>
      <c r="E1481" s="8" t="str">
        <f ca="1">IFERROR(__xludf.DUMMYFUNCTION("""COMPUTED_VALUE"""),"Fled/Escaped")</f>
        <v>Fled/Escaped</v>
      </c>
      <c r="F1481" s="8" t="str">
        <f ca="1">IFERROR(__xludf.DUMMYFUNCTION("""COMPUTED_VALUE"""),"No")</f>
        <v>No</v>
      </c>
      <c r="G1481" s="8" t="str">
        <f ca="1">IFERROR(__xludf.DUMMYFUNCTION("""COMPUTED_VALUE"""),"None")</f>
        <v>None</v>
      </c>
    </row>
    <row r="1482" spans="1:7" ht="12.75">
      <c r="A1482" s="8" t="str">
        <f ca="1">IFERROR(__xludf.DUMMYFUNCTION("""COMPUTED_VALUE"""),"20060110DEMOW")</f>
        <v>20060110DEMOW</v>
      </c>
      <c r="B1482" s="8" t="str">
        <f ca="1">IFERROR(__xludf.DUMMYFUNCTION("""COMPUTED_VALUE"""),"Teen")</f>
        <v>Teen</v>
      </c>
      <c r="C1482" s="8" t="str">
        <f ca="1">IFERROR(__xludf.DUMMYFUNCTION("""COMPUTED_VALUE"""),"Male")</f>
        <v>Male</v>
      </c>
      <c r="D1482" s="8" t="str">
        <f ca="1">IFERROR(__xludf.DUMMYFUNCTION("""COMPUTED_VALUE"""),"Student")</f>
        <v>Student</v>
      </c>
      <c r="E1482" s="8" t="str">
        <f ca="1">IFERROR(__xludf.DUMMYFUNCTION("""COMPUTED_VALUE"""),"Fled/Escaped")</f>
        <v>Fled/Escaped</v>
      </c>
      <c r="F1482" s="8" t="str">
        <f ca="1">IFERROR(__xludf.DUMMYFUNCTION("""COMPUTED_VALUE"""),"No")</f>
        <v>No</v>
      </c>
      <c r="G1482" s="8" t="str">
        <f ca="1">IFERROR(__xludf.DUMMYFUNCTION("""COMPUTED_VALUE"""),"None")</f>
        <v>None</v>
      </c>
    </row>
    <row r="1483" spans="1:7" ht="12.75">
      <c r="A1483" s="8" t="str">
        <f ca="1">IFERROR(__xludf.DUMMYFUNCTION("""COMPUTED_VALUE"""),"20060103NJLIJ")</f>
        <v>20060103NJLIJ</v>
      </c>
      <c r="B1483" s="8" t="str">
        <f ca="1">IFERROR(__xludf.DUMMYFUNCTION("""COMPUTED_VALUE"""),"Teen")</f>
        <v>Teen</v>
      </c>
      <c r="C1483" s="8" t="str">
        <f ca="1">IFERROR(__xludf.DUMMYFUNCTION("""COMPUTED_VALUE"""),"Male")</f>
        <v>Male</v>
      </c>
      <c r="D1483" s="8" t="str">
        <f ca="1">IFERROR(__xludf.DUMMYFUNCTION("""COMPUTED_VALUE"""),"Student")</f>
        <v>Student</v>
      </c>
      <c r="E1483" s="8" t="str">
        <f ca="1">IFERROR(__xludf.DUMMYFUNCTION("""COMPUTED_VALUE"""),"Fled/Escaped")</f>
        <v>Fled/Escaped</v>
      </c>
      <c r="F1483" s="8" t="str">
        <f ca="1">IFERROR(__xludf.DUMMYFUNCTION("""COMPUTED_VALUE"""),"No")</f>
        <v>No</v>
      </c>
      <c r="G1483" s="8" t="str">
        <f ca="1">IFERROR(__xludf.DUMMYFUNCTION("""COMPUTED_VALUE"""),"None")</f>
        <v>None</v>
      </c>
    </row>
    <row r="1484" spans="1:7" ht="12.75">
      <c r="A1484" s="8" t="str">
        <f ca="1">IFERROR(__xludf.DUMMYFUNCTION("""COMPUTED_VALUE"""),"20051206MICED")</f>
        <v>20051206MICED</v>
      </c>
      <c r="B1484" s="8"/>
      <c r="C1484" s="8"/>
      <c r="D1484" s="8" t="str">
        <f ca="1">IFERROR(__xludf.DUMMYFUNCTION("""COMPUTED_VALUE"""),"Nonstudent")</f>
        <v>Nonstudent</v>
      </c>
      <c r="E1484" s="8" t="str">
        <f ca="1">IFERROR(__xludf.DUMMYFUNCTION("""COMPUTED_VALUE"""),"Fled/Escaped")</f>
        <v>Fled/Escaped</v>
      </c>
      <c r="F1484" s="8" t="str">
        <f ca="1">IFERROR(__xludf.DUMMYFUNCTION("""COMPUTED_VALUE"""),"No")</f>
        <v>No</v>
      </c>
      <c r="G1484" s="8" t="str">
        <f ca="1">IFERROR(__xludf.DUMMYFUNCTION("""COMPUTED_VALUE"""),"None")</f>
        <v>None</v>
      </c>
    </row>
    <row r="1485" spans="1:7" ht="12.75">
      <c r="A1485" s="8" t="str">
        <f ca="1">IFERROR(__xludf.DUMMYFUNCTION("""COMPUTED_VALUE"""),"20051206CASAG")</f>
        <v>20051206CASAG</v>
      </c>
      <c r="B1485" s="8"/>
      <c r="C1485" s="8" t="str">
        <f ca="1">IFERROR(__xludf.DUMMYFUNCTION("""COMPUTED_VALUE"""),"Male")</f>
        <v>Male</v>
      </c>
      <c r="D1485" s="8" t="str">
        <f ca="1">IFERROR(__xludf.DUMMYFUNCTION("""COMPUTED_VALUE"""),"Unknown")</f>
        <v>Unknown</v>
      </c>
      <c r="E1485" s="8" t="str">
        <f ca="1">IFERROR(__xludf.DUMMYFUNCTION("""COMPUTED_VALUE"""),"Fled/Escaped")</f>
        <v>Fled/Escaped</v>
      </c>
      <c r="F1485" s="8" t="str">
        <f ca="1">IFERROR(__xludf.DUMMYFUNCTION("""COMPUTED_VALUE"""),"No")</f>
        <v>No</v>
      </c>
      <c r="G1485" s="8" t="str">
        <f ca="1">IFERROR(__xludf.DUMMYFUNCTION("""COMPUTED_VALUE"""),"None")</f>
        <v>None</v>
      </c>
    </row>
    <row r="1486" spans="1:7" ht="12.75">
      <c r="A1486" s="8" t="str">
        <f ca="1">IFERROR(__xludf.DUMMYFUNCTION("""COMPUTED_VALUE"""),"20051205MABOR")</f>
        <v>20051205MABOR</v>
      </c>
      <c r="B1486" s="8">
        <f ca="1">IFERROR(__xludf.DUMMYFUNCTION("""COMPUTED_VALUE"""),17)</f>
        <v>17</v>
      </c>
      <c r="C1486" s="8" t="str">
        <f ca="1">IFERROR(__xludf.DUMMYFUNCTION("""COMPUTED_VALUE"""),"Male")</f>
        <v>Male</v>
      </c>
      <c r="D1486" s="8" t="str">
        <f ca="1">IFERROR(__xludf.DUMMYFUNCTION("""COMPUTED_VALUE"""),"Student")</f>
        <v>Student</v>
      </c>
      <c r="E1486" s="8" t="str">
        <f ca="1">IFERROR(__xludf.DUMMYFUNCTION("""COMPUTED_VALUE"""),"Surrendered")</f>
        <v>Surrendered</v>
      </c>
      <c r="F1486" s="8" t="str">
        <f ca="1">IFERROR(__xludf.DUMMYFUNCTION("""COMPUTED_VALUE"""),"No")</f>
        <v>No</v>
      </c>
      <c r="G1486" s="8" t="str">
        <f ca="1">IFERROR(__xludf.DUMMYFUNCTION("""COMPUTED_VALUE"""),"None")</f>
        <v>None</v>
      </c>
    </row>
    <row r="1487" spans="1:7" ht="12.75">
      <c r="A1487" s="8" t="str">
        <f ca="1">IFERROR(__xludf.DUMMYFUNCTION("""COMPUTED_VALUE"""),"20051116TXIRS")</f>
        <v>20051116TXIRS</v>
      </c>
      <c r="B1487" s="8" t="str">
        <f ca="1">IFERROR(__xludf.DUMMYFUNCTION("""COMPUTED_VALUE"""),"Adult")</f>
        <v>Adult</v>
      </c>
      <c r="C1487" s="8" t="str">
        <f ca="1">IFERROR(__xludf.DUMMYFUNCTION("""COMPUTED_VALUE"""),"Male")</f>
        <v>Male</v>
      </c>
      <c r="D1487" s="8" t="str">
        <f ca="1">IFERROR(__xludf.DUMMYFUNCTION("""COMPUTED_VALUE"""),"Police Officer/SRO")</f>
        <v>Police Officer/SRO</v>
      </c>
      <c r="E1487" s="8" t="str">
        <f ca="1">IFERROR(__xludf.DUMMYFUNCTION("""COMPUTED_VALUE"""),"Law Enforcement")</f>
        <v>Law Enforcement</v>
      </c>
      <c r="F1487" s="8" t="str">
        <f ca="1">IFERROR(__xludf.DUMMYFUNCTION("""COMPUTED_VALUE"""),"No")</f>
        <v>No</v>
      </c>
      <c r="G1487" s="8" t="str">
        <f ca="1">IFERROR(__xludf.DUMMYFUNCTION("""COMPUTED_VALUE"""),"None")</f>
        <v>None</v>
      </c>
    </row>
    <row r="1488" spans="1:7" ht="12.75">
      <c r="A1488" s="8" t="str">
        <f ca="1">IFERROR(__xludf.DUMMYFUNCTION("""COMPUTED_VALUE"""),"20051115FLPAM")</f>
        <v>20051115FLPAM</v>
      </c>
      <c r="B1488" s="8">
        <f ca="1">IFERROR(__xludf.DUMMYFUNCTION("""COMPUTED_VALUE"""),17)</f>
        <v>17</v>
      </c>
      <c r="C1488" s="8" t="str">
        <f ca="1">IFERROR(__xludf.DUMMYFUNCTION("""COMPUTED_VALUE"""),"Female")</f>
        <v>Female</v>
      </c>
      <c r="D1488" s="8" t="str">
        <f ca="1">IFERROR(__xludf.DUMMYFUNCTION("""COMPUTED_VALUE"""),"Student")</f>
        <v>Student</v>
      </c>
      <c r="E1488" s="8" t="str">
        <f ca="1">IFERROR(__xludf.DUMMYFUNCTION("""COMPUTED_VALUE"""),"Surrendered")</f>
        <v>Surrendered</v>
      </c>
      <c r="F1488" s="8" t="str">
        <f ca="1">IFERROR(__xludf.DUMMYFUNCTION("""COMPUTED_VALUE"""),"No")</f>
        <v>No</v>
      </c>
      <c r="G1488" s="8" t="str">
        <f ca="1">IFERROR(__xludf.DUMMYFUNCTION("""COMPUTED_VALUE"""),"None")</f>
        <v>None</v>
      </c>
    </row>
    <row r="1489" spans="1:7" ht="12.75">
      <c r="A1489" s="8" t="str">
        <f ca="1">IFERROR(__xludf.DUMMYFUNCTION("""COMPUTED_VALUE"""),"20051108TNCAJ")</f>
        <v>20051108TNCAJ</v>
      </c>
      <c r="B1489" s="8">
        <f ca="1">IFERROR(__xludf.DUMMYFUNCTION("""COMPUTED_VALUE"""),15)</f>
        <v>15</v>
      </c>
      <c r="C1489" s="8" t="str">
        <f ca="1">IFERROR(__xludf.DUMMYFUNCTION("""COMPUTED_VALUE"""),"Male")</f>
        <v>Male</v>
      </c>
      <c r="D1489" s="8" t="str">
        <f ca="1">IFERROR(__xludf.DUMMYFUNCTION("""COMPUTED_VALUE"""),"Student")</f>
        <v>Student</v>
      </c>
      <c r="E1489" s="8" t="str">
        <f ca="1">IFERROR(__xludf.DUMMYFUNCTION("""COMPUTED_VALUE"""),"Subdued by Students/Staff/Other")</f>
        <v>Subdued by Students/Staff/Other</v>
      </c>
      <c r="F1489" s="8" t="str">
        <f ca="1">IFERROR(__xludf.DUMMYFUNCTION("""COMPUTED_VALUE"""),"No")</f>
        <v>No</v>
      </c>
      <c r="G1489" s="8" t="str">
        <f ca="1">IFERROR(__xludf.DUMMYFUNCTION("""COMPUTED_VALUE"""),"None")</f>
        <v>None</v>
      </c>
    </row>
    <row r="1490" spans="1:7" ht="12.75">
      <c r="A1490" s="8" t="str">
        <f ca="1">IFERROR(__xludf.DUMMYFUNCTION("""COMPUTED_VALUE"""),"20051028NYFAF")</f>
        <v>20051028NYFAF</v>
      </c>
      <c r="B1490" s="8"/>
      <c r="C1490" s="8" t="str">
        <f ca="1">IFERROR(__xludf.DUMMYFUNCTION("""COMPUTED_VALUE"""),"Male")</f>
        <v>Male</v>
      </c>
      <c r="D1490" s="8" t="str">
        <f ca="1">IFERROR(__xludf.DUMMYFUNCTION("""COMPUTED_VALUE"""),"Unknown")</f>
        <v>Unknown</v>
      </c>
      <c r="E1490" s="8" t="str">
        <f ca="1">IFERROR(__xludf.DUMMYFUNCTION("""COMPUTED_VALUE"""),"Fled/Escaped")</f>
        <v>Fled/Escaped</v>
      </c>
      <c r="F1490" s="8" t="str">
        <f ca="1">IFERROR(__xludf.DUMMYFUNCTION("""COMPUTED_VALUE"""),"No")</f>
        <v>No</v>
      </c>
      <c r="G1490" s="8" t="str">
        <f ca="1">IFERROR(__xludf.DUMMYFUNCTION("""COMPUTED_VALUE"""),"None")</f>
        <v>None</v>
      </c>
    </row>
    <row r="1491" spans="1:7" ht="12.75">
      <c r="A1491" s="8" t="str">
        <f ca="1">IFERROR(__xludf.DUMMYFUNCTION("""COMPUTED_VALUE"""),"20051028MDANA")</f>
        <v>20051028MDANA</v>
      </c>
      <c r="B1491" s="8">
        <f ca="1">IFERROR(__xludf.DUMMYFUNCTION("""COMPUTED_VALUE"""),17)</f>
        <v>17</v>
      </c>
      <c r="C1491" s="8" t="str">
        <f ca="1">IFERROR(__xludf.DUMMYFUNCTION("""COMPUTED_VALUE"""),"Male")</f>
        <v>Male</v>
      </c>
      <c r="D1491" s="8" t="str">
        <f ca="1">IFERROR(__xludf.DUMMYFUNCTION("""COMPUTED_VALUE"""),"Student")</f>
        <v>Student</v>
      </c>
      <c r="E1491" s="8" t="str">
        <f ca="1">IFERROR(__xludf.DUMMYFUNCTION("""COMPUTED_VALUE"""),"Fled/Apprehended")</f>
        <v>Fled/Apprehended</v>
      </c>
      <c r="F1491" s="8" t="str">
        <f ca="1">IFERROR(__xludf.DUMMYFUNCTION("""COMPUTED_VALUE"""),"No")</f>
        <v>No</v>
      </c>
      <c r="G1491" s="8" t="str">
        <f ca="1">IFERROR(__xludf.DUMMYFUNCTION("""COMPUTED_VALUE"""),"None")</f>
        <v>None</v>
      </c>
    </row>
    <row r="1492" spans="1:7" ht="12.75">
      <c r="A1492" s="8" t="str">
        <f ca="1">IFERROR(__xludf.DUMMYFUNCTION("""COMPUTED_VALUE"""),"20051027CABIF")</f>
        <v>20051027CABIF</v>
      </c>
      <c r="B1492" s="8" t="str">
        <f ca="1">IFERROR(__xludf.DUMMYFUNCTION("""COMPUTED_VALUE"""),"Adult")</f>
        <v>Adult</v>
      </c>
      <c r="C1492" s="8" t="str">
        <f ca="1">IFERROR(__xludf.DUMMYFUNCTION("""COMPUTED_VALUE"""),"Male")</f>
        <v>Male</v>
      </c>
      <c r="D1492" s="8" t="str">
        <f ca="1">IFERROR(__xludf.DUMMYFUNCTION("""COMPUTED_VALUE"""),"No Relation")</f>
        <v>No Relation</v>
      </c>
      <c r="E1492" s="8" t="str">
        <f ca="1">IFERROR(__xludf.DUMMYFUNCTION("""COMPUTED_VALUE"""),"Fled/Escaped")</f>
        <v>Fled/Escaped</v>
      </c>
      <c r="F1492" s="8" t="str">
        <f ca="1">IFERROR(__xludf.DUMMYFUNCTION("""COMPUTED_VALUE"""),"No")</f>
        <v>No</v>
      </c>
      <c r="G1492" s="8" t="str">
        <f ca="1">IFERROR(__xludf.DUMMYFUNCTION("""COMPUTED_VALUE"""),"None")</f>
        <v>None</v>
      </c>
    </row>
    <row r="1493" spans="1:7" ht="12.75">
      <c r="A1493" s="8" t="str">
        <f ca="1">IFERROR(__xludf.DUMMYFUNCTION("""COMPUTED_VALUE"""),"20051020MISAS")</f>
        <v>20051020MISAS</v>
      </c>
      <c r="B1493" s="8">
        <f ca="1">IFERROR(__xludf.DUMMYFUNCTION("""COMPUTED_VALUE"""),15)</f>
        <v>15</v>
      </c>
      <c r="C1493" s="8" t="str">
        <f ca="1">IFERROR(__xludf.DUMMYFUNCTION("""COMPUTED_VALUE"""),"Male")</f>
        <v>Male</v>
      </c>
      <c r="D1493" s="8" t="str">
        <f ca="1">IFERROR(__xludf.DUMMYFUNCTION("""COMPUTED_VALUE"""),"Student")</f>
        <v>Student</v>
      </c>
      <c r="E1493" s="8" t="str">
        <f ca="1">IFERROR(__xludf.DUMMYFUNCTION("""COMPUTED_VALUE"""),"Fled/Apprehended")</f>
        <v>Fled/Apprehended</v>
      </c>
      <c r="F1493" s="8" t="str">
        <f ca="1">IFERROR(__xludf.DUMMYFUNCTION("""COMPUTED_VALUE"""),"No")</f>
        <v>No</v>
      </c>
      <c r="G1493" s="8" t="str">
        <f ca="1">IFERROR(__xludf.DUMMYFUNCTION("""COMPUTED_VALUE"""),"None")</f>
        <v>None</v>
      </c>
    </row>
    <row r="1494" spans="1:7" ht="12.75">
      <c r="A1494" s="8" t="str">
        <f ca="1">IFERROR(__xludf.DUMMYFUNCTION("""COMPUTED_VALUE"""),"20051019CASAS")</f>
        <v>20051019CASAS</v>
      </c>
      <c r="B1494" s="8">
        <f ca="1">IFERROR(__xludf.DUMMYFUNCTION("""COMPUTED_VALUE"""),17)</f>
        <v>17</v>
      </c>
      <c r="C1494" s="8" t="str">
        <f ca="1">IFERROR(__xludf.DUMMYFUNCTION("""COMPUTED_VALUE"""),"Male")</f>
        <v>Male</v>
      </c>
      <c r="D1494" s="8" t="str">
        <f ca="1">IFERROR(__xludf.DUMMYFUNCTION("""COMPUTED_VALUE"""),"Student")</f>
        <v>Student</v>
      </c>
      <c r="E1494" s="8" t="str">
        <f ca="1">IFERROR(__xludf.DUMMYFUNCTION("""COMPUTED_VALUE"""),"Fled/Apprehended")</f>
        <v>Fled/Apprehended</v>
      </c>
      <c r="F1494" s="8" t="str">
        <f ca="1">IFERROR(__xludf.DUMMYFUNCTION("""COMPUTED_VALUE"""),"No")</f>
        <v>No</v>
      </c>
      <c r="G1494" s="8" t="str">
        <f ca="1">IFERROR(__xludf.DUMMYFUNCTION("""COMPUTED_VALUE"""),"None")</f>
        <v>None</v>
      </c>
    </row>
    <row r="1495" spans="1:7" ht="12.75">
      <c r="A1495" s="8" t="str">
        <f ca="1">IFERROR(__xludf.DUMMYFUNCTION("""COMPUTED_VALUE"""),"20051014NYSAN")</f>
        <v>20051014NYSAN</v>
      </c>
      <c r="B1495" s="8" t="str">
        <f ca="1">IFERROR(__xludf.DUMMYFUNCTION("""COMPUTED_VALUE"""),"Teen")</f>
        <v>Teen</v>
      </c>
      <c r="C1495" s="8" t="str">
        <f ca="1">IFERROR(__xludf.DUMMYFUNCTION("""COMPUTED_VALUE"""),"Male")</f>
        <v>Male</v>
      </c>
      <c r="D1495" s="8" t="str">
        <f ca="1">IFERROR(__xludf.DUMMYFUNCTION("""COMPUTED_VALUE"""),"Student")</f>
        <v>Student</v>
      </c>
      <c r="E1495" s="8" t="str">
        <f ca="1">IFERROR(__xludf.DUMMYFUNCTION("""COMPUTED_VALUE"""),"Fled/Escaped")</f>
        <v>Fled/Escaped</v>
      </c>
      <c r="F1495" s="8" t="str">
        <f ca="1">IFERROR(__xludf.DUMMYFUNCTION("""COMPUTED_VALUE"""),"No")</f>
        <v>No</v>
      </c>
      <c r="G1495" s="8" t="str">
        <f ca="1">IFERROR(__xludf.DUMMYFUNCTION("""COMPUTED_VALUE"""),"None")</f>
        <v>None</v>
      </c>
    </row>
    <row r="1496" spans="1:7" ht="12.75">
      <c r="A1496" s="8" t="str">
        <f ca="1">IFERROR(__xludf.DUMMYFUNCTION("""COMPUTED_VALUE"""),"20051011MIFAF")</f>
        <v>20051011MIFAF</v>
      </c>
      <c r="B1496" s="8">
        <f ca="1">IFERROR(__xludf.DUMMYFUNCTION("""COMPUTED_VALUE"""),17)</f>
        <v>17</v>
      </c>
      <c r="C1496" s="8" t="str">
        <f ca="1">IFERROR(__xludf.DUMMYFUNCTION("""COMPUTED_VALUE"""),"Male")</f>
        <v>Male</v>
      </c>
      <c r="D1496" s="8" t="str">
        <f ca="1">IFERROR(__xludf.DUMMYFUNCTION("""COMPUTED_VALUE"""),"Student")</f>
        <v>Student</v>
      </c>
      <c r="E1496" s="8" t="str">
        <f ca="1">IFERROR(__xludf.DUMMYFUNCTION("""COMPUTED_VALUE"""),"Surrendered")</f>
        <v>Surrendered</v>
      </c>
      <c r="F1496" s="8" t="str">
        <f ca="1">IFERROR(__xludf.DUMMYFUNCTION("""COMPUTED_VALUE"""),"No")</f>
        <v>No</v>
      </c>
      <c r="G1496" s="8" t="str">
        <f ca="1">IFERROR(__xludf.DUMMYFUNCTION("""COMPUTED_VALUE"""),"None")</f>
        <v>None</v>
      </c>
    </row>
    <row r="1497" spans="1:7" ht="12.75">
      <c r="A1497" s="8" t="str">
        <f ca="1">IFERROR(__xludf.DUMMYFUNCTION("""COMPUTED_VALUE"""),"20050924MISAS")</f>
        <v>20050924MISAS</v>
      </c>
      <c r="B1497" s="8"/>
      <c r="C1497" s="8"/>
      <c r="D1497" s="8" t="str">
        <f ca="1">IFERROR(__xludf.DUMMYFUNCTION("""COMPUTED_VALUE"""),"Unknown")</f>
        <v>Unknown</v>
      </c>
      <c r="E1497" s="8" t="str">
        <f ca="1">IFERROR(__xludf.DUMMYFUNCTION("""COMPUTED_VALUE"""),"Fled/Escaped")</f>
        <v>Fled/Escaped</v>
      </c>
      <c r="F1497" s="8" t="str">
        <f ca="1">IFERROR(__xludf.DUMMYFUNCTION("""COMPUTED_VALUE"""),"No")</f>
        <v>No</v>
      </c>
      <c r="G1497" s="8" t="str">
        <f ca="1">IFERROR(__xludf.DUMMYFUNCTION("""COMPUTED_VALUE"""),"None")</f>
        <v>None</v>
      </c>
    </row>
    <row r="1498" spans="1:7" ht="12.75">
      <c r="A1498" s="8" t="str">
        <f ca="1">IFERROR(__xludf.DUMMYFUNCTION("""COMPUTED_VALUE"""),"20050913ILHAC")</f>
        <v>20050913ILHAC</v>
      </c>
      <c r="B1498" s="8">
        <f ca="1">IFERROR(__xludf.DUMMYFUNCTION("""COMPUTED_VALUE"""),15)</f>
        <v>15</v>
      </c>
      <c r="C1498" s="8" t="str">
        <f ca="1">IFERROR(__xludf.DUMMYFUNCTION("""COMPUTED_VALUE"""),"Male")</f>
        <v>Male</v>
      </c>
      <c r="D1498" s="8" t="str">
        <f ca="1">IFERROR(__xludf.DUMMYFUNCTION("""COMPUTED_VALUE"""),"Student")</f>
        <v>Student</v>
      </c>
      <c r="E1498" s="8" t="str">
        <f ca="1">IFERROR(__xludf.DUMMYFUNCTION("""COMPUTED_VALUE"""),"Apprehended/Killed by LE")</f>
        <v>Apprehended/Killed by LE</v>
      </c>
      <c r="F1498" s="8" t="str">
        <f ca="1">IFERROR(__xludf.DUMMYFUNCTION("""COMPUTED_VALUE"""),"No")</f>
        <v>No</v>
      </c>
      <c r="G1498" s="8" t="str">
        <f ca="1">IFERROR(__xludf.DUMMYFUNCTION("""COMPUTED_VALUE"""),"None")</f>
        <v>None</v>
      </c>
    </row>
    <row r="1499" spans="1:7" ht="12.75">
      <c r="A1499" s="8" t="str">
        <f ca="1">IFERROR(__xludf.DUMMYFUNCTION("""COMPUTED_VALUE"""),"20050902FLSOJ")</f>
        <v>20050902FLSOJ</v>
      </c>
      <c r="B1499" s="8">
        <f ca="1">IFERROR(__xludf.DUMMYFUNCTION("""COMPUTED_VALUE"""),21)</f>
        <v>21</v>
      </c>
      <c r="C1499" s="8" t="str">
        <f ca="1">IFERROR(__xludf.DUMMYFUNCTION("""COMPUTED_VALUE"""),"Male")</f>
        <v>Male</v>
      </c>
      <c r="D1499" s="8" t="str">
        <f ca="1">IFERROR(__xludf.DUMMYFUNCTION("""COMPUTED_VALUE"""),"No Relation")</f>
        <v>No Relation</v>
      </c>
      <c r="E1499" s="8" t="str">
        <f ca="1">IFERROR(__xludf.DUMMYFUNCTION("""COMPUTED_VALUE"""),"Fled/Escaped")</f>
        <v>Fled/Escaped</v>
      </c>
      <c r="F1499" s="8" t="str">
        <f ca="1">IFERROR(__xludf.DUMMYFUNCTION("""COMPUTED_VALUE"""),"No")</f>
        <v>No</v>
      </c>
      <c r="G1499" s="8" t="str">
        <f ca="1">IFERROR(__xludf.DUMMYFUNCTION("""COMPUTED_VALUE"""),"None")</f>
        <v>None</v>
      </c>
    </row>
    <row r="1500" spans="1:7" ht="12.75">
      <c r="A1500" s="8" t="str">
        <f ca="1">IFERROR(__xludf.DUMMYFUNCTION("""COMPUTED_VALUE"""),"20050901AKDIA")</f>
        <v>20050901AKDIA</v>
      </c>
      <c r="B1500" s="8">
        <f ca="1">IFERROR(__xludf.DUMMYFUNCTION("""COMPUTED_VALUE"""),15)</f>
        <v>15</v>
      </c>
      <c r="C1500" s="8" t="str">
        <f ca="1">IFERROR(__xludf.DUMMYFUNCTION("""COMPUTED_VALUE"""),"Male")</f>
        <v>Male</v>
      </c>
      <c r="D1500" s="8" t="str">
        <f ca="1">IFERROR(__xludf.DUMMYFUNCTION("""COMPUTED_VALUE"""),"Student")</f>
        <v>Student</v>
      </c>
      <c r="E1500" s="8" t="str">
        <f ca="1">IFERROR(__xludf.DUMMYFUNCTION("""COMPUTED_VALUE"""),"Fled/Apprehended")</f>
        <v>Fled/Apprehended</v>
      </c>
      <c r="F1500" s="8" t="str">
        <f ca="1">IFERROR(__xludf.DUMMYFUNCTION("""COMPUTED_VALUE"""),"No")</f>
        <v>No</v>
      </c>
      <c r="G1500" s="8" t="str">
        <f ca="1">IFERROR(__xludf.DUMMYFUNCTION("""COMPUTED_VALUE"""),"None")</f>
        <v>None</v>
      </c>
    </row>
    <row r="1501" spans="1:7" ht="12.75">
      <c r="A1501" s="8" t="str">
        <f ca="1">IFERROR(__xludf.DUMMYFUNCTION("""COMPUTED_VALUE"""),"20050825TNMAD")</f>
        <v>20050825TNMAD</v>
      </c>
      <c r="B1501" s="8" t="str">
        <f ca="1">IFERROR(__xludf.DUMMYFUNCTION("""COMPUTED_VALUE"""),"Teen")</f>
        <v>Teen</v>
      </c>
      <c r="C1501" s="8" t="str">
        <f ca="1">IFERROR(__xludf.DUMMYFUNCTION("""COMPUTED_VALUE"""),"Male")</f>
        <v>Male</v>
      </c>
      <c r="D1501" s="8" t="str">
        <f ca="1">IFERROR(__xludf.DUMMYFUNCTION("""COMPUTED_VALUE"""),"Student")</f>
        <v>Student</v>
      </c>
      <c r="E1501" s="8" t="str">
        <f ca="1">IFERROR(__xludf.DUMMYFUNCTION("""COMPUTED_VALUE"""),"Apprehended/Killed by LE")</f>
        <v>Apprehended/Killed by LE</v>
      </c>
      <c r="F1501" s="8" t="str">
        <f ca="1">IFERROR(__xludf.DUMMYFUNCTION("""COMPUTED_VALUE"""),"No")</f>
        <v>No</v>
      </c>
      <c r="G1501" s="8" t="str">
        <f ca="1">IFERROR(__xludf.DUMMYFUNCTION("""COMPUTED_VALUE"""),"None")</f>
        <v>None</v>
      </c>
    </row>
    <row r="1502" spans="1:7" ht="12.75">
      <c r="A1502" s="8" t="str">
        <f ca="1">IFERROR(__xludf.DUMMYFUNCTION("""COMPUTED_VALUE"""),"20050819GAMOM")</f>
        <v>20050819GAMOM</v>
      </c>
      <c r="B1502" s="8"/>
      <c r="C1502" s="8" t="str">
        <f ca="1">IFERROR(__xludf.DUMMYFUNCTION("""COMPUTED_VALUE"""),"Male")</f>
        <v>Male</v>
      </c>
      <c r="D1502" s="8" t="str">
        <f ca="1">IFERROR(__xludf.DUMMYFUNCTION("""COMPUTED_VALUE"""),"Unknown")</f>
        <v>Unknown</v>
      </c>
      <c r="E1502" s="8" t="str">
        <f ca="1">IFERROR(__xludf.DUMMYFUNCTION("""COMPUTED_VALUE"""),"Fled/Escaped")</f>
        <v>Fled/Escaped</v>
      </c>
      <c r="F1502" s="8" t="str">
        <f ca="1">IFERROR(__xludf.DUMMYFUNCTION("""COMPUTED_VALUE"""),"No")</f>
        <v>No</v>
      </c>
      <c r="G1502" s="8" t="str">
        <f ca="1">IFERROR(__xludf.DUMMYFUNCTION("""COMPUTED_VALUE"""),"None")</f>
        <v>None</v>
      </c>
    </row>
    <row r="1503" spans="1:7" ht="12.75">
      <c r="A1503" s="8" t="str">
        <f ca="1">IFERROR(__xludf.DUMMYFUNCTION("""COMPUTED_VALUE"""),"20050817CAPLB")</f>
        <v>20050817CAPLB</v>
      </c>
      <c r="B1503" s="8">
        <f ca="1">IFERROR(__xludf.DUMMYFUNCTION("""COMPUTED_VALUE"""),26)</f>
        <v>26</v>
      </c>
      <c r="C1503" s="8" t="str">
        <f ca="1">IFERROR(__xludf.DUMMYFUNCTION("""COMPUTED_VALUE"""),"Male")</f>
        <v>Male</v>
      </c>
      <c r="D1503" s="8" t="str">
        <f ca="1">IFERROR(__xludf.DUMMYFUNCTION("""COMPUTED_VALUE"""),"No Relation")</f>
        <v>No Relation</v>
      </c>
      <c r="E1503" s="8" t="str">
        <f ca="1">IFERROR(__xludf.DUMMYFUNCTION("""COMPUTED_VALUE"""),"Fled/Apprehended")</f>
        <v>Fled/Apprehended</v>
      </c>
      <c r="F1503" s="8" t="str">
        <f ca="1">IFERROR(__xludf.DUMMYFUNCTION("""COMPUTED_VALUE"""),"No")</f>
        <v>No</v>
      </c>
      <c r="G1503" s="8" t="str">
        <f ca="1">IFERROR(__xludf.DUMMYFUNCTION("""COMPUTED_VALUE"""),"None")</f>
        <v>None</v>
      </c>
    </row>
    <row r="1504" spans="1:7" ht="12.75">
      <c r="A1504" s="8" t="str">
        <f ca="1">IFERROR(__xludf.DUMMYFUNCTION("""COMPUTED_VALUE"""),"20050816VICOE")</f>
        <v>20050816VICOE</v>
      </c>
      <c r="B1504" s="8" t="str">
        <f ca="1">IFERROR(__xludf.DUMMYFUNCTION("""COMPUTED_VALUE"""),"Adult")</f>
        <v>Adult</v>
      </c>
      <c r="C1504" s="8" t="str">
        <f ca="1">IFERROR(__xludf.DUMMYFUNCTION("""COMPUTED_VALUE"""),"Male")</f>
        <v>Male</v>
      </c>
      <c r="D1504" s="8" t="str">
        <f ca="1">IFERROR(__xludf.DUMMYFUNCTION("""COMPUTED_VALUE"""),"No Relation")</f>
        <v>No Relation</v>
      </c>
      <c r="E1504" s="8" t="str">
        <f ca="1">IFERROR(__xludf.DUMMYFUNCTION("""COMPUTED_VALUE"""),"Fled/Escaped")</f>
        <v>Fled/Escaped</v>
      </c>
      <c r="F1504" s="8" t="str">
        <f ca="1">IFERROR(__xludf.DUMMYFUNCTION("""COMPUTED_VALUE"""),"No")</f>
        <v>No</v>
      </c>
      <c r="G1504" s="8" t="str">
        <f ca="1">IFERROR(__xludf.DUMMYFUNCTION("""COMPUTED_VALUE"""),"None")</f>
        <v>None</v>
      </c>
    </row>
    <row r="1505" spans="1:7" ht="12.75">
      <c r="A1505" s="8" t="str">
        <f ca="1">IFERROR(__xludf.DUMMYFUNCTION("""COMPUTED_VALUE"""),"20050816VICOE")</f>
        <v>20050816VICOE</v>
      </c>
      <c r="B1505" s="8" t="str">
        <f ca="1">IFERROR(__xludf.DUMMYFUNCTION("""COMPUTED_VALUE"""),"Adult")</f>
        <v>Adult</v>
      </c>
      <c r="C1505" s="8" t="str">
        <f ca="1">IFERROR(__xludf.DUMMYFUNCTION("""COMPUTED_VALUE"""),"Male")</f>
        <v>Male</v>
      </c>
      <c r="D1505" s="8" t="str">
        <f ca="1">IFERROR(__xludf.DUMMYFUNCTION("""COMPUTED_VALUE"""),"No Relation")</f>
        <v>No Relation</v>
      </c>
      <c r="E1505" s="8" t="str">
        <f ca="1">IFERROR(__xludf.DUMMYFUNCTION("""COMPUTED_VALUE"""),"Fled/Escaped")</f>
        <v>Fled/Escaped</v>
      </c>
      <c r="F1505" s="8" t="str">
        <f ca="1">IFERROR(__xludf.DUMMYFUNCTION("""COMPUTED_VALUE"""),"No")</f>
        <v>No</v>
      </c>
      <c r="G1505" s="8" t="str">
        <f ca="1">IFERROR(__xludf.DUMMYFUNCTION("""COMPUTED_VALUE"""),"None")</f>
        <v>None</v>
      </c>
    </row>
    <row r="1506" spans="1:7" ht="12.75">
      <c r="A1506" s="8" t="str">
        <f ca="1">IFERROR(__xludf.DUMMYFUNCTION("""COMPUTED_VALUE"""),"20050718NJWEN")</f>
        <v>20050718NJWEN</v>
      </c>
      <c r="B1506" s="8">
        <f ca="1">IFERROR(__xludf.DUMMYFUNCTION("""COMPUTED_VALUE"""),25)</f>
        <v>25</v>
      </c>
      <c r="C1506" s="8" t="str">
        <f ca="1">IFERROR(__xludf.DUMMYFUNCTION("""COMPUTED_VALUE"""),"Male")</f>
        <v>Male</v>
      </c>
      <c r="D1506" s="8" t="str">
        <f ca="1">IFERROR(__xludf.DUMMYFUNCTION("""COMPUTED_VALUE"""),"Relative")</f>
        <v>Relative</v>
      </c>
      <c r="E1506" s="8" t="str">
        <f ca="1">IFERROR(__xludf.DUMMYFUNCTION("""COMPUTED_VALUE"""),"Fled/Apprehended")</f>
        <v>Fled/Apprehended</v>
      </c>
      <c r="F1506" s="8" t="str">
        <f ca="1">IFERROR(__xludf.DUMMYFUNCTION("""COMPUTED_VALUE"""),"No")</f>
        <v>No</v>
      </c>
      <c r="G1506" s="8" t="str">
        <f ca="1">IFERROR(__xludf.DUMMYFUNCTION("""COMPUTED_VALUE"""),"Wounded")</f>
        <v>Wounded</v>
      </c>
    </row>
    <row r="1507" spans="1:7" ht="12.75">
      <c r="A1507" s="8" t="str">
        <f ca="1">IFERROR(__xludf.DUMMYFUNCTION("""COMPUTED_VALUE"""),"20050612NJBAA")</f>
        <v>20050612NJBAA</v>
      </c>
      <c r="B1507" s="8" t="str">
        <f ca="1">IFERROR(__xludf.DUMMYFUNCTION("""COMPUTED_VALUE"""),"Adult")</f>
        <v>Adult</v>
      </c>
      <c r="C1507" s="8" t="str">
        <f ca="1">IFERROR(__xludf.DUMMYFUNCTION("""COMPUTED_VALUE"""),"Male")</f>
        <v>Male</v>
      </c>
      <c r="D1507" s="8" t="str">
        <f ca="1">IFERROR(__xludf.DUMMYFUNCTION("""COMPUTED_VALUE"""),"No Relation")</f>
        <v>No Relation</v>
      </c>
      <c r="E1507" s="8" t="str">
        <f ca="1">IFERROR(__xludf.DUMMYFUNCTION("""COMPUTED_VALUE"""),"Fled/Escaped")</f>
        <v>Fled/Escaped</v>
      </c>
      <c r="F1507" s="8" t="str">
        <f ca="1">IFERROR(__xludf.DUMMYFUNCTION("""COMPUTED_VALUE"""),"No")</f>
        <v>No</v>
      </c>
      <c r="G1507" s="8" t="str">
        <f ca="1">IFERROR(__xludf.DUMMYFUNCTION("""COMPUTED_VALUE"""),"None")</f>
        <v>None</v>
      </c>
    </row>
    <row r="1508" spans="1:7" ht="12.75">
      <c r="A1508" s="8" t="str">
        <f ca="1">IFERROR(__xludf.DUMMYFUNCTION("""COMPUTED_VALUE"""),"20050608NYARP")</f>
        <v>20050608NYARP</v>
      </c>
      <c r="B1508" s="8">
        <f ca="1">IFERROR(__xludf.DUMMYFUNCTION("""COMPUTED_VALUE"""),17)</f>
        <v>17</v>
      </c>
      <c r="C1508" s="8" t="str">
        <f ca="1">IFERROR(__xludf.DUMMYFUNCTION("""COMPUTED_VALUE"""),"Male")</f>
        <v>Male</v>
      </c>
      <c r="D1508" s="8" t="str">
        <f ca="1">IFERROR(__xludf.DUMMYFUNCTION("""COMPUTED_VALUE"""),"Student")</f>
        <v>Student</v>
      </c>
      <c r="E1508" s="8" t="str">
        <f ca="1">IFERROR(__xludf.DUMMYFUNCTION("""COMPUTED_VALUE"""),"Fled/Apprehended")</f>
        <v>Fled/Apprehended</v>
      </c>
      <c r="F1508" s="8" t="str">
        <f ca="1">IFERROR(__xludf.DUMMYFUNCTION("""COMPUTED_VALUE"""),"No")</f>
        <v>No</v>
      </c>
      <c r="G1508" s="8" t="str">
        <f ca="1">IFERROR(__xludf.DUMMYFUNCTION("""COMPUTED_VALUE"""),"None")</f>
        <v>None</v>
      </c>
    </row>
    <row r="1509" spans="1:7" ht="12.75">
      <c r="A1509" s="8" t="str">
        <f ca="1">IFERROR(__xludf.DUMMYFUNCTION("""COMPUTED_VALUE"""),"20050524LABOS")</f>
        <v>20050524LABOS</v>
      </c>
      <c r="B1509" s="8">
        <f ca="1">IFERROR(__xludf.DUMMYFUNCTION("""COMPUTED_VALUE"""),16)</f>
        <v>16</v>
      </c>
      <c r="C1509" s="8" t="str">
        <f ca="1">IFERROR(__xludf.DUMMYFUNCTION("""COMPUTED_VALUE"""),"Male")</f>
        <v>Male</v>
      </c>
      <c r="D1509" s="8" t="str">
        <f ca="1">IFERROR(__xludf.DUMMYFUNCTION("""COMPUTED_VALUE"""),"Student")</f>
        <v>Student</v>
      </c>
      <c r="E1509" s="8" t="str">
        <f ca="1">IFERROR(__xludf.DUMMYFUNCTION("""COMPUTED_VALUE"""),"Fled/Apprehended")</f>
        <v>Fled/Apprehended</v>
      </c>
      <c r="F1509" s="8" t="str">
        <f ca="1">IFERROR(__xludf.DUMMYFUNCTION("""COMPUTED_VALUE"""),"No")</f>
        <v>No</v>
      </c>
      <c r="G1509" s="8" t="str">
        <f ca="1">IFERROR(__xludf.DUMMYFUNCTION("""COMPUTED_VALUE"""),"Wounded")</f>
        <v>Wounded</v>
      </c>
    </row>
    <row r="1510" spans="1:7" ht="12.75">
      <c r="A1510" s="8" t="str">
        <f ca="1">IFERROR(__xludf.DUMMYFUNCTION("""COMPUTED_VALUE"""),"20050524COACD")</f>
        <v>20050524COACD</v>
      </c>
      <c r="B1510" s="8"/>
      <c r="C1510" s="8"/>
      <c r="D1510" s="8" t="str">
        <f ca="1">IFERROR(__xludf.DUMMYFUNCTION("""COMPUTED_VALUE"""),"Unknown")</f>
        <v>Unknown</v>
      </c>
      <c r="E1510" s="8" t="str">
        <f ca="1">IFERROR(__xludf.DUMMYFUNCTION("""COMPUTED_VALUE"""),"Fled/Escaped")</f>
        <v>Fled/Escaped</v>
      </c>
      <c r="F1510" s="8" t="str">
        <f ca="1">IFERROR(__xludf.DUMMYFUNCTION("""COMPUTED_VALUE"""),"No")</f>
        <v>No</v>
      </c>
      <c r="G1510" s="8" t="str">
        <f ca="1">IFERROR(__xludf.DUMMYFUNCTION("""COMPUTED_VALUE"""),"None")</f>
        <v>None</v>
      </c>
    </row>
    <row r="1511" spans="1:7" ht="12.75">
      <c r="A1511" s="8" t="str">
        <f ca="1">IFERROR(__xludf.DUMMYFUNCTION("""COMPUTED_VALUE"""),"20050520ILLOM")</f>
        <v>20050520ILLOM</v>
      </c>
      <c r="B1511" s="8">
        <f ca="1">IFERROR(__xludf.DUMMYFUNCTION("""COMPUTED_VALUE"""),19)</f>
        <v>19</v>
      </c>
      <c r="C1511" s="8" t="str">
        <f ca="1">IFERROR(__xludf.DUMMYFUNCTION("""COMPUTED_VALUE"""),"Male")</f>
        <v>Male</v>
      </c>
      <c r="D1511" s="8" t="str">
        <f ca="1">IFERROR(__xludf.DUMMYFUNCTION("""COMPUTED_VALUE"""),"Former Student")</f>
        <v>Former Student</v>
      </c>
      <c r="E1511" s="8" t="str">
        <f ca="1">IFERROR(__xludf.DUMMYFUNCTION("""COMPUTED_VALUE"""),"Unknown")</f>
        <v>Unknown</v>
      </c>
      <c r="F1511" s="8" t="str">
        <f ca="1">IFERROR(__xludf.DUMMYFUNCTION("""COMPUTED_VALUE"""),"No")</f>
        <v>No</v>
      </c>
      <c r="G1511" s="8" t="str">
        <f ca="1">IFERROR(__xludf.DUMMYFUNCTION("""COMPUTED_VALUE"""),"None")</f>
        <v>None</v>
      </c>
    </row>
    <row r="1512" spans="1:7" ht="12.75">
      <c r="A1512" s="8" t="str">
        <f ca="1">IFERROR(__xludf.DUMMYFUNCTION("""COMPUTED_VALUE"""),"20050517PAHIL")</f>
        <v>20050517PAHIL</v>
      </c>
      <c r="B1512" s="8">
        <f ca="1">IFERROR(__xludf.DUMMYFUNCTION("""COMPUTED_VALUE"""),47)</f>
        <v>47</v>
      </c>
      <c r="C1512" s="8" t="str">
        <f ca="1">IFERROR(__xludf.DUMMYFUNCTION("""COMPUTED_VALUE"""),"Male")</f>
        <v>Male</v>
      </c>
      <c r="D1512" s="8" t="str">
        <f ca="1">IFERROR(__xludf.DUMMYFUNCTION("""COMPUTED_VALUE"""),"Intimate Relationship")</f>
        <v>Intimate Relationship</v>
      </c>
      <c r="E1512" s="8" t="str">
        <f ca="1">IFERROR(__xludf.DUMMYFUNCTION("""COMPUTED_VALUE"""),"Suicide")</f>
        <v>Suicide</v>
      </c>
      <c r="F1512" s="8" t="str">
        <f ca="1">IFERROR(__xludf.DUMMYFUNCTION("""COMPUTED_VALUE"""),"Yes")</f>
        <v>Yes</v>
      </c>
      <c r="G1512" s="8" t="str">
        <f ca="1">IFERROR(__xludf.DUMMYFUNCTION("""COMPUTED_VALUE"""),"Suicide")</f>
        <v>Suicide</v>
      </c>
    </row>
    <row r="1513" spans="1:7" ht="12.75">
      <c r="A1513" s="8" t="str">
        <f ca="1">IFERROR(__xludf.DUMMYFUNCTION("""COMPUTED_VALUE"""),"20050514TXBER")</f>
        <v>20050514TXBER</v>
      </c>
      <c r="B1513" s="8">
        <f ca="1">IFERROR(__xludf.DUMMYFUNCTION("""COMPUTED_VALUE"""),17)</f>
        <v>17</v>
      </c>
      <c r="C1513" s="8" t="str">
        <f ca="1">IFERROR(__xludf.DUMMYFUNCTION("""COMPUTED_VALUE"""),"Male")</f>
        <v>Male</v>
      </c>
      <c r="D1513" s="8" t="str">
        <f ca="1">IFERROR(__xludf.DUMMYFUNCTION("""COMPUTED_VALUE"""),"Rival School Student")</f>
        <v>Rival School Student</v>
      </c>
      <c r="E1513" s="8" t="str">
        <f ca="1">IFERROR(__xludf.DUMMYFUNCTION("""COMPUTED_VALUE"""),"Fled/Apprehended")</f>
        <v>Fled/Apprehended</v>
      </c>
      <c r="F1513" s="8" t="str">
        <f ca="1">IFERROR(__xludf.DUMMYFUNCTION("""COMPUTED_VALUE"""),"No")</f>
        <v>No</v>
      </c>
      <c r="G1513" s="8" t="str">
        <f ca="1">IFERROR(__xludf.DUMMYFUNCTION("""COMPUTED_VALUE"""),"None")</f>
        <v>None</v>
      </c>
    </row>
    <row r="1514" spans="1:7" ht="12.75">
      <c r="A1514" s="8" t="str">
        <f ca="1">IFERROR(__xludf.DUMMYFUNCTION("""COMPUTED_VALUE"""),"20050429OHDAC")</f>
        <v>20050429OHDAC</v>
      </c>
      <c r="B1514" s="8">
        <f ca="1">IFERROR(__xludf.DUMMYFUNCTION("""COMPUTED_VALUE"""),17)</f>
        <v>17</v>
      </c>
      <c r="C1514" s="8" t="str">
        <f ca="1">IFERROR(__xludf.DUMMYFUNCTION("""COMPUTED_VALUE"""),"Male")</f>
        <v>Male</v>
      </c>
      <c r="D1514" s="8" t="str">
        <f ca="1">IFERROR(__xludf.DUMMYFUNCTION("""COMPUTED_VALUE"""),"Unknown")</f>
        <v>Unknown</v>
      </c>
      <c r="E1514" s="8" t="str">
        <f ca="1">IFERROR(__xludf.DUMMYFUNCTION("""COMPUTED_VALUE"""),"Fled/Apprehended")</f>
        <v>Fled/Apprehended</v>
      </c>
      <c r="F1514" s="8" t="str">
        <f ca="1">IFERROR(__xludf.DUMMYFUNCTION("""COMPUTED_VALUE"""),"No")</f>
        <v>No</v>
      </c>
      <c r="G1514" s="8" t="str">
        <f ca="1">IFERROR(__xludf.DUMMYFUNCTION("""COMPUTED_VALUE"""),"None")</f>
        <v>None</v>
      </c>
    </row>
    <row r="1515" spans="1:7" ht="12.75">
      <c r="A1515" s="8" t="str">
        <f ca="1">IFERROR(__xludf.DUMMYFUNCTION("""COMPUTED_VALUE"""),"20050427LALER")</f>
        <v>20050427LALER</v>
      </c>
      <c r="B1515" s="8">
        <f ca="1">IFERROR(__xludf.DUMMYFUNCTION("""COMPUTED_VALUE"""),15)</f>
        <v>15</v>
      </c>
      <c r="C1515" s="8" t="str">
        <f ca="1">IFERROR(__xludf.DUMMYFUNCTION("""COMPUTED_VALUE"""),"Male")</f>
        <v>Male</v>
      </c>
      <c r="D1515" s="8" t="str">
        <f ca="1">IFERROR(__xludf.DUMMYFUNCTION("""COMPUTED_VALUE"""),"Student")</f>
        <v>Student</v>
      </c>
      <c r="E1515" s="8" t="str">
        <f ca="1">IFERROR(__xludf.DUMMYFUNCTION("""COMPUTED_VALUE"""),"Fled/Apprehended")</f>
        <v>Fled/Apprehended</v>
      </c>
      <c r="F1515" s="8" t="str">
        <f ca="1">IFERROR(__xludf.DUMMYFUNCTION("""COMPUTED_VALUE"""),"No")</f>
        <v>No</v>
      </c>
      <c r="G1515" s="8" t="str">
        <f ca="1">IFERROR(__xludf.DUMMYFUNCTION("""COMPUTED_VALUE"""),"None")</f>
        <v>None</v>
      </c>
    </row>
    <row r="1516" spans="1:7" ht="12.75">
      <c r="A1516" s="8" t="str">
        <f ca="1">IFERROR(__xludf.DUMMYFUNCTION("""COMPUTED_VALUE"""),"20050407TXCAC")</f>
        <v>20050407TXCAC</v>
      </c>
      <c r="B1516" s="8">
        <f ca="1">IFERROR(__xludf.DUMMYFUNCTION("""COMPUTED_VALUE"""),45)</f>
        <v>45</v>
      </c>
      <c r="C1516" s="8" t="str">
        <f ca="1">IFERROR(__xludf.DUMMYFUNCTION("""COMPUTED_VALUE"""),"Male")</f>
        <v>Male</v>
      </c>
      <c r="D1516" s="8" t="str">
        <f ca="1">IFERROR(__xludf.DUMMYFUNCTION("""COMPUTED_VALUE"""),"Parent")</f>
        <v>Parent</v>
      </c>
      <c r="E1516" s="8" t="str">
        <f ca="1">IFERROR(__xludf.DUMMYFUNCTION("""COMPUTED_VALUE"""),"Fled/Apprehended")</f>
        <v>Fled/Apprehended</v>
      </c>
      <c r="F1516" s="8" t="str">
        <f ca="1">IFERROR(__xludf.DUMMYFUNCTION("""COMPUTED_VALUE"""),"No")</f>
        <v>No</v>
      </c>
      <c r="G1516" s="8" t="str">
        <f ca="1">IFERROR(__xludf.DUMMYFUNCTION("""COMPUTED_VALUE"""),"None")</f>
        <v>None</v>
      </c>
    </row>
    <row r="1517" spans="1:7" ht="12.75">
      <c r="A1517" s="8" t="str">
        <f ca="1">IFERROR(__xludf.DUMMYFUNCTION("""COMPUTED_VALUE"""),"20050330TNEAM")</f>
        <v>20050330TNEAM</v>
      </c>
      <c r="B1517" s="8">
        <f ca="1">IFERROR(__xludf.DUMMYFUNCTION("""COMPUTED_VALUE"""),17)</f>
        <v>17</v>
      </c>
      <c r="C1517" s="8" t="str">
        <f ca="1">IFERROR(__xludf.DUMMYFUNCTION("""COMPUTED_VALUE"""),"Male")</f>
        <v>Male</v>
      </c>
      <c r="D1517" s="8" t="str">
        <f ca="1">IFERROR(__xludf.DUMMYFUNCTION("""COMPUTED_VALUE"""),"Student")</f>
        <v>Student</v>
      </c>
      <c r="E1517" s="8" t="str">
        <f ca="1">IFERROR(__xludf.DUMMYFUNCTION("""COMPUTED_VALUE"""),"Fled/Apprehended")</f>
        <v>Fled/Apprehended</v>
      </c>
      <c r="F1517" s="8" t="str">
        <f ca="1">IFERROR(__xludf.DUMMYFUNCTION("""COMPUTED_VALUE"""),"No")</f>
        <v>No</v>
      </c>
      <c r="G1517" s="8" t="str">
        <f ca="1">IFERROR(__xludf.DUMMYFUNCTION("""COMPUTED_VALUE"""),"Wounded")</f>
        <v>Wounded</v>
      </c>
    </row>
    <row r="1518" spans="1:7" ht="12.75">
      <c r="A1518" s="8" t="str">
        <f ca="1">IFERROR(__xludf.DUMMYFUNCTION("""COMPUTED_VALUE"""),"20050324TNFAM")</f>
        <v>20050324TNFAM</v>
      </c>
      <c r="B1518" s="8">
        <f ca="1">IFERROR(__xludf.DUMMYFUNCTION("""COMPUTED_VALUE"""),17)</f>
        <v>17</v>
      </c>
      <c r="C1518" s="8" t="str">
        <f ca="1">IFERROR(__xludf.DUMMYFUNCTION("""COMPUTED_VALUE"""),"Female")</f>
        <v>Female</v>
      </c>
      <c r="D1518" s="8" t="str">
        <f ca="1">IFERROR(__xludf.DUMMYFUNCTION("""COMPUTED_VALUE"""),"Student")</f>
        <v>Student</v>
      </c>
      <c r="E1518" s="8" t="str">
        <f ca="1">IFERROR(__xludf.DUMMYFUNCTION("""COMPUTED_VALUE"""),"Unknown")</f>
        <v>Unknown</v>
      </c>
      <c r="F1518" s="8" t="str">
        <f ca="1">IFERROR(__xludf.DUMMYFUNCTION("""COMPUTED_VALUE"""),"No")</f>
        <v>No</v>
      </c>
      <c r="G1518" s="8" t="str">
        <f ca="1">IFERROR(__xludf.DUMMYFUNCTION("""COMPUTED_VALUE"""),"Wounded")</f>
        <v>Wounded</v>
      </c>
    </row>
    <row r="1519" spans="1:7" ht="12.75">
      <c r="A1519" s="8" t="str">
        <f ca="1">IFERROR(__xludf.DUMMYFUNCTION("""COMPUTED_VALUE"""),"20050321NYNEB")</f>
        <v>20050321NYNEB</v>
      </c>
      <c r="B1519" s="8">
        <f ca="1">IFERROR(__xludf.DUMMYFUNCTION("""COMPUTED_VALUE"""),15)</f>
        <v>15</v>
      </c>
      <c r="C1519" s="8" t="str">
        <f ca="1">IFERROR(__xludf.DUMMYFUNCTION("""COMPUTED_VALUE"""),"Male")</f>
        <v>Male</v>
      </c>
      <c r="D1519" s="8" t="str">
        <f ca="1">IFERROR(__xludf.DUMMYFUNCTION("""COMPUTED_VALUE"""),"Student")</f>
        <v>Student</v>
      </c>
      <c r="E1519" s="8" t="str">
        <f ca="1">IFERROR(__xludf.DUMMYFUNCTION("""COMPUTED_VALUE"""),"Fled/Apprehended")</f>
        <v>Fled/Apprehended</v>
      </c>
      <c r="F1519" s="8" t="str">
        <f ca="1">IFERROR(__xludf.DUMMYFUNCTION("""COMPUTED_VALUE"""),"No")</f>
        <v>No</v>
      </c>
      <c r="G1519" s="8" t="str">
        <f ca="1">IFERROR(__xludf.DUMMYFUNCTION("""COMPUTED_VALUE"""),"Wounded")</f>
        <v>Wounded</v>
      </c>
    </row>
    <row r="1520" spans="1:7" ht="12.75">
      <c r="A1520" s="8" t="str">
        <f ca="1">IFERROR(__xludf.DUMMYFUNCTION("""COMPUTED_VALUE"""),"20050321MNRER")</f>
        <v>20050321MNRER</v>
      </c>
      <c r="B1520" s="8">
        <f ca="1">IFERROR(__xludf.DUMMYFUNCTION("""COMPUTED_VALUE"""),16)</f>
        <v>16</v>
      </c>
      <c r="C1520" s="8" t="str">
        <f ca="1">IFERROR(__xludf.DUMMYFUNCTION("""COMPUTED_VALUE"""),"Male")</f>
        <v>Male</v>
      </c>
      <c r="D1520" s="8" t="str">
        <f ca="1">IFERROR(__xludf.DUMMYFUNCTION("""COMPUTED_VALUE"""),"Former Student")</f>
        <v>Former Student</v>
      </c>
      <c r="E1520" s="8" t="str">
        <f ca="1">IFERROR(__xludf.DUMMYFUNCTION("""COMPUTED_VALUE"""),"Suicide")</f>
        <v>Suicide</v>
      </c>
      <c r="F1520" s="8" t="str">
        <f ca="1">IFERROR(__xludf.DUMMYFUNCTION("""COMPUTED_VALUE"""),"Yes")</f>
        <v>Yes</v>
      </c>
      <c r="G1520" s="8" t="str">
        <f ca="1">IFERROR(__xludf.DUMMYFUNCTION("""COMPUTED_VALUE"""),"Suicide")</f>
        <v>Suicide</v>
      </c>
    </row>
    <row r="1521" spans="1:7" ht="12.75">
      <c r="A1521" s="8" t="str">
        <f ca="1">IFERROR(__xludf.DUMMYFUNCTION("""COMPUTED_VALUE"""),"20050317LAOPA")</f>
        <v>20050317LAOPA</v>
      </c>
      <c r="B1521" s="8"/>
      <c r="C1521" s="8" t="str">
        <f ca="1">IFERROR(__xludf.DUMMYFUNCTION("""COMPUTED_VALUE"""),"Male")</f>
        <v>Male</v>
      </c>
      <c r="D1521" s="8" t="str">
        <f ca="1">IFERROR(__xludf.DUMMYFUNCTION("""COMPUTED_VALUE"""),"Student")</f>
        <v>Student</v>
      </c>
      <c r="E1521" s="8" t="str">
        <f ca="1">IFERROR(__xludf.DUMMYFUNCTION("""COMPUTED_VALUE"""),"Fled/Escaped")</f>
        <v>Fled/Escaped</v>
      </c>
      <c r="F1521" s="8" t="str">
        <f ca="1">IFERROR(__xludf.DUMMYFUNCTION("""COMPUTED_VALUE"""),"No")</f>
        <v>No</v>
      </c>
      <c r="G1521" s="8" t="str">
        <f ca="1">IFERROR(__xludf.DUMMYFUNCTION("""COMPUTED_VALUE"""),"None")</f>
        <v>None</v>
      </c>
    </row>
    <row r="1522" spans="1:7" ht="12.75">
      <c r="A1522" s="8" t="str">
        <f ca="1">IFERROR(__xludf.DUMMYFUNCTION("""COMPUTED_VALUE"""),"20050317CALOL")</f>
        <v>20050317CALOL</v>
      </c>
      <c r="B1522" s="8">
        <f ca="1">IFERROR(__xludf.DUMMYFUNCTION("""COMPUTED_VALUE"""),18)</f>
        <v>18</v>
      </c>
      <c r="C1522" s="8" t="str">
        <f ca="1">IFERROR(__xludf.DUMMYFUNCTION("""COMPUTED_VALUE"""),"Male")</f>
        <v>Male</v>
      </c>
      <c r="D1522" s="8" t="str">
        <f ca="1">IFERROR(__xludf.DUMMYFUNCTION("""COMPUTED_VALUE"""),"No Relation")</f>
        <v>No Relation</v>
      </c>
      <c r="E1522" s="8" t="str">
        <f ca="1">IFERROR(__xludf.DUMMYFUNCTION("""COMPUTED_VALUE"""),"Fled/Apprehended")</f>
        <v>Fled/Apprehended</v>
      </c>
      <c r="F1522" s="8" t="str">
        <f ca="1">IFERROR(__xludf.DUMMYFUNCTION("""COMPUTED_VALUE"""),"No")</f>
        <v>No</v>
      </c>
      <c r="G1522" s="8" t="str">
        <f ca="1">IFERROR(__xludf.DUMMYFUNCTION("""COMPUTED_VALUE"""),"None")</f>
        <v>None</v>
      </c>
    </row>
    <row r="1523" spans="1:7" ht="12.75">
      <c r="A1523" s="8" t="str">
        <f ca="1">IFERROR(__xludf.DUMMYFUNCTION("""COMPUTED_VALUE"""),"20050316PACAP")</f>
        <v>20050316PACAP</v>
      </c>
      <c r="B1523" s="8">
        <f ca="1">IFERROR(__xludf.DUMMYFUNCTION("""COMPUTED_VALUE"""),21)</f>
        <v>21</v>
      </c>
      <c r="C1523" s="8" t="str">
        <f ca="1">IFERROR(__xludf.DUMMYFUNCTION("""COMPUTED_VALUE"""),"Male")</f>
        <v>Male</v>
      </c>
      <c r="D1523" s="8" t="str">
        <f ca="1">IFERROR(__xludf.DUMMYFUNCTION("""COMPUTED_VALUE"""),"No Relation")</f>
        <v>No Relation</v>
      </c>
      <c r="E1523" s="8" t="str">
        <f ca="1">IFERROR(__xludf.DUMMYFUNCTION("""COMPUTED_VALUE"""),"Fled/Apprehended")</f>
        <v>Fled/Apprehended</v>
      </c>
      <c r="F1523" s="8" t="str">
        <f ca="1">IFERROR(__xludf.DUMMYFUNCTION("""COMPUTED_VALUE"""),"No")</f>
        <v>No</v>
      </c>
      <c r="G1523" s="8" t="str">
        <f ca="1">IFERROR(__xludf.DUMMYFUNCTION("""COMPUTED_VALUE"""),"None")</f>
        <v>None</v>
      </c>
    </row>
    <row r="1524" spans="1:7" ht="12.75">
      <c r="A1524" s="8" t="str">
        <f ca="1">IFERROR(__xludf.DUMMYFUNCTION("""COMPUTED_VALUE"""),"20050314OHLEC")</f>
        <v>20050314OHLEC</v>
      </c>
      <c r="B1524" s="8">
        <f ca="1">IFERROR(__xludf.DUMMYFUNCTION("""COMPUTED_VALUE"""),7)</f>
        <v>7</v>
      </c>
      <c r="C1524" s="8" t="str">
        <f ca="1">IFERROR(__xludf.DUMMYFUNCTION("""COMPUTED_VALUE"""),"Male")</f>
        <v>Male</v>
      </c>
      <c r="D1524" s="8" t="str">
        <f ca="1">IFERROR(__xludf.DUMMYFUNCTION("""COMPUTED_VALUE"""),"Student")</f>
        <v>Student</v>
      </c>
      <c r="E1524" s="8" t="str">
        <f ca="1">IFERROR(__xludf.DUMMYFUNCTION("""COMPUTED_VALUE"""),"Surrendered")</f>
        <v>Surrendered</v>
      </c>
      <c r="F1524" s="8" t="str">
        <f ca="1">IFERROR(__xludf.DUMMYFUNCTION("""COMPUTED_VALUE"""),"No")</f>
        <v>No</v>
      </c>
      <c r="G1524" s="8" t="str">
        <f ca="1">IFERROR(__xludf.DUMMYFUNCTION("""COMPUTED_VALUE"""),"None")</f>
        <v>None</v>
      </c>
    </row>
    <row r="1525" spans="1:7" ht="12.75">
      <c r="A1525" s="8" t="str">
        <f ca="1">IFERROR(__xludf.DUMMYFUNCTION("""COMPUTED_VALUE"""),"20050310TXZAD")</f>
        <v>20050310TXZAD</v>
      </c>
      <c r="B1525" s="8"/>
      <c r="C1525" s="8" t="str">
        <f ca="1">IFERROR(__xludf.DUMMYFUNCTION("""COMPUTED_VALUE"""),"Male")</f>
        <v>Male</v>
      </c>
      <c r="D1525" s="8" t="str">
        <f ca="1">IFERROR(__xludf.DUMMYFUNCTION("""COMPUTED_VALUE"""),"Unknown")</f>
        <v>Unknown</v>
      </c>
      <c r="E1525" s="8" t="str">
        <f ca="1">IFERROR(__xludf.DUMMYFUNCTION("""COMPUTED_VALUE"""),"Fled/Escaped")</f>
        <v>Fled/Escaped</v>
      </c>
      <c r="F1525" s="8" t="str">
        <f ca="1">IFERROR(__xludf.DUMMYFUNCTION("""COMPUTED_VALUE"""),"No")</f>
        <v>No</v>
      </c>
      <c r="G1525" s="8" t="str">
        <f ca="1">IFERROR(__xludf.DUMMYFUNCTION("""COMPUTED_VALUE"""),"None")</f>
        <v>None</v>
      </c>
    </row>
    <row r="1526" spans="1:7" ht="12.75">
      <c r="A1526" s="8" t="str">
        <f ca="1">IFERROR(__xludf.DUMMYFUNCTION("""COMPUTED_VALUE"""),"20050309TNMAN")</f>
        <v>20050309TNMAN</v>
      </c>
      <c r="B1526" s="8">
        <f ca="1">IFERROR(__xludf.DUMMYFUNCTION("""COMPUTED_VALUE"""),16)</f>
        <v>16</v>
      </c>
      <c r="C1526" s="8" t="str">
        <f ca="1">IFERROR(__xludf.DUMMYFUNCTION("""COMPUTED_VALUE"""),"Male")</f>
        <v>Male</v>
      </c>
      <c r="D1526" s="8" t="str">
        <f ca="1">IFERROR(__xludf.DUMMYFUNCTION("""COMPUTED_VALUE"""),"Former Student")</f>
        <v>Former Student</v>
      </c>
      <c r="E1526" s="8" t="str">
        <f ca="1">IFERROR(__xludf.DUMMYFUNCTION("""COMPUTED_VALUE"""),"Fled/Escaped")</f>
        <v>Fled/Escaped</v>
      </c>
      <c r="F1526" s="8" t="str">
        <f ca="1">IFERROR(__xludf.DUMMYFUNCTION("""COMPUTED_VALUE"""),"No")</f>
        <v>No</v>
      </c>
      <c r="G1526" s="8" t="str">
        <f ca="1">IFERROR(__xludf.DUMMYFUNCTION("""COMPUTED_VALUE"""),"None")</f>
        <v>None</v>
      </c>
    </row>
    <row r="1527" spans="1:7" ht="12.75">
      <c r="A1527" s="8" t="str">
        <f ca="1">IFERROR(__xludf.DUMMYFUNCTION("""COMPUTED_VALUE"""),"20050302TNSTD")</f>
        <v>20050302TNSTD</v>
      </c>
      <c r="B1527" s="8">
        <f ca="1">IFERROR(__xludf.DUMMYFUNCTION("""COMPUTED_VALUE"""),14)</f>
        <v>14</v>
      </c>
      <c r="C1527" s="8" t="str">
        <f ca="1">IFERROR(__xludf.DUMMYFUNCTION("""COMPUTED_VALUE"""),"Male")</f>
        <v>Male</v>
      </c>
      <c r="D1527" s="8" t="str">
        <f ca="1">IFERROR(__xludf.DUMMYFUNCTION("""COMPUTED_VALUE"""),"Student")</f>
        <v>Student</v>
      </c>
      <c r="E1527" s="8" t="str">
        <f ca="1">IFERROR(__xludf.DUMMYFUNCTION("""COMPUTED_VALUE"""),"Fled/Apprehended")</f>
        <v>Fled/Apprehended</v>
      </c>
      <c r="F1527" s="8" t="str">
        <f ca="1">IFERROR(__xludf.DUMMYFUNCTION("""COMPUTED_VALUE"""),"No")</f>
        <v>No</v>
      </c>
      <c r="G1527" s="8" t="str">
        <f ca="1">IFERROR(__xludf.DUMMYFUNCTION("""COMPUTED_VALUE"""),"None")</f>
        <v>None</v>
      </c>
    </row>
    <row r="1528" spans="1:7" ht="12.75">
      <c r="A1528" s="8" t="str">
        <f ca="1">IFERROR(__xludf.DUMMYFUNCTION("""COMPUTED_VALUE"""),"20050208ILBOC")</f>
        <v>20050208ILBOC</v>
      </c>
      <c r="B1528" s="8" t="str">
        <f ca="1">IFERROR(__xludf.DUMMYFUNCTION("""COMPUTED_VALUE"""),"Teen")</f>
        <v>Teen</v>
      </c>
      <c r="C1528" s="8" t="str">
        <f ca="1">IFERROR(__xludf.DUMMYFUNCTION("""COMPUTED_VALUE"""),"Male")</f>
        <v>Male</v>
      </c>
      <c r="D1528" s="8" t="str">
        <f ca="1">IFERROR(__xludf.DUMMYFUNCTION("""COMPUTED_VALUE"""),"Student")</f>
        <v>Student</v>
      </c>
      <c r="E1528" s="8" t="str">
        <f ca="1">IFERROR(__xludf.DUMMYFUNCTION("""COMPUTED_VALUE"""),"Fled/Escaped")</f>
        <v>Fled/Escaped</v>
      </c>
      <c r="F1528" s="8" t="str">
        <f ca="1">IFERROR(__xludf.DUMMYFUNCTION("""COMPUTED_VALUE"""),"No")</f>
        <v>No</v>
      </c>
      <c r="G1528" s="8" t="str">
        <f ca="1">IFERROR(__xludf.DUMMYFUNCTION("""COMPUTED_VALUE"""),"None")</f>
        <v>None</v>
      </c>
    </row>
    <row r="1529" spans="1:7" ht="12.75">
      <c r="A1529" s="8" t="str">
        <f ca="1">IFERROR(__xludf.DUMMYFUNCTION("""COMPUTED_VALUE"""),"20050204GAMCA")</f>
        <v>20050204GAMCA</v>
      </c>
      <c r="B1529" s="8">
        <f ca="1">IFERROR(__xludf.DUMMYFUNCTION("""COMPUTED_VALUE"""),19)</f>
        <v>19</v>
      </c>
      <c r="C1529" s="8" t="str">
        <f ca="1">IFERROR(__xludf.DUMMYFUNCTION("""COMPUTED_VALUE"""),"Male")</f>
        <v>Male</v>
      </c>
      <c r="D1529" s="8" t="str">
        <f ca="1">IFERROR(__xludf.DUMMYFUNCTION("""COMPUTED_VALUE"""),"Relative")</f>
        <v>Relative</v>
      </c>
      <c r="E1529" s="8" t="str">
        <f ca="1">IFERROR(__xludf.DUMMYFUNCTION("""COMPUTED_VALUE"""),"Unknown")</f>
        <v>Unknown</v>
      </c>
      <c r="F1529" s="8" t="str">
        <f ca="1">IFERROR(__xludf.DUMMYFUNCTION("""COMPUTED_VALUE"""),"No")</f>
        <v>No</v>
      </c>
      <c r="G1529" s="8" t="str">
        <f ca="1">IFERROR(__xludf.DUMMYFUNCTION("""COMPUTED_VALUE"""),"None")</f>
        <v>None</v>
      </c>
    </row>
    <row r="1530" spans="1:7" ht="12.75">
      <c r="A1530" s="8" t="str">
        <f ca="1">IFERROR(__xludf.DUMMYFUNCTION("""COMPUTED_VALUE"""),"20050126ILWOP")</f>
        <v>20050126ILWOP</v>
      </c>
      <c r="B1530" s="8">
        <f ca="1">IFERROR(__xludf.DUMMYFUNCTION("""COMPUTED_VALUE"""),15)</f>
        <v>15</v>
      </c>
      <c r="C1530" s="8" t="str">
        <f ca="1">IFERROR(__xludf.DUMMYFUNCTION("""COMPUTED_VALUE"""),"Male")</f>
        <v>Male</v>
      </c>
      <c r="D1530" s="8" t="str">
        <f ca="1">IFERROR(__xludf.DUMMYFUNCTION("""COMPUTED_VALUE"""),"Student")</f>
        <v>Student</v>
      </c>
      <c r="E1530" s="8" t="str">
        <f ca="1">IFERROR(__xludf.DUMMYFUNCTION("""COMPUTED_VALUE"""),"Fled/Apprehended")</f>
        <v>Fled/Apprehended</v>
      </c>
      <c r="F1530" s="8" t="str">
        <f ca="1">IFERROR(__xludf.DUMMYFUNCTION("""COMPUTED_VALUE"""),"No")</f>
        <v>No</v>
      </c>
      <c r="G1530" s="8" t="str">
        <f ca="1">IFERROR(__xludf.DUMMYFUNCTION("""COMPUTED_VALUE"""),"None")</f>
        <v>None</v>
      </c>
    </row>
    <row r="1531" spans="1:7" ht="12.75">
      <c r="A1531" s="8" t="str">
        <f ca="1">IFERROR(__xludf.DUMMYFUNCTION("""COMPUTED_VALUE"""),"20050105PAMUN")</f>
        <v>20050105PAMUN</v>
      </c>
      <c r="B1531" s="8">
        <f ca="1">IFERROR(__xludf.DUMMYFUNCTION("""COMPUTED_VALUE"""),16)</f>
        <v>16</v>
      </c>
      <c r="C1531" s="8" t="str">
        <f ca="1">IFERROR(__xludf.DUMMYFUNCTION("""COMPUTED_VALUE"""),"Male")</f>
        <v>Male</v>
      </c>
      <c r="D1531" s="8" t="str">
        <f ca="1">IFERROR(__xludf.DUMMYFUNCTION("""COMPUTED_VALUE"""),"Unknown")</f>
        <v>Unknown</v>
      </c>
      <c r="E1531" s="8" t="str">
        <f ca="1">IFERROR(__xludf.DUMMYFUNCTION("""COMPUTED_VALUE"""),"Fled/Apprehended")</f>
        <v>Fled/Apprehended</v>
      </c>
      <c r="F1531" s="8" t="str">
        <f ca="1">IFERROR(__xludf.DUMMYFUNCTION("""COMPUTED_VALUE"""),"No")</f>
        <v>No</v>
      </c>
      <c r="G1531" s="8" t="str">
        <f ca="1">IFERROR(__xludf.DUMMYFUNCTION("""COMPUTED_VALUE"""),"None")</f>
        <v>None</v>
      </c>
    </row>
    <row r="1532" spans="1:7" ht="12.75">
      <c r="A1532" s="8" t="str">
        <f ca="1">IFERROR(__xludf.DUMMYFUNCTION("""COMPUTED_VALUE"""),"20041231TXRIR")</f>
        <v>20041231TXRIR</v>
      </c>
      <c r="B1532" s="8">
        <f ca="1">IFERROR(__xludf.DUMMYFUNCTION("""COMPUTED_VALUE"""),38)</f>
        <v>38</v>
      </c>
      <c r="C1532" s="8" t="str">
        <f ca="1">IFERROR(__xludf.DUMMYFUNCTION("""COMPUTED_VALUE"""),"Male")</f>
        <v>Male</v>
      </c>
      <c r="D1532" s="8" t="str">
        <f ca="1">IFERROR(__xludf.DUMMYFUNCTION("""COMPUTED_VALUE"""),"Other Staff")</f>
        <v>Other Staff</v>
      </c>
      <c r="E1532" s="8" t="str">
        <f ca="1">IFERROR(__xludf.DUMMYFUNCTION("""COMPUTED_VALUE"""),"Suicide")</f>
        <v>Suicide</v>
      </c>
      <c r="F1532" s="8" t="str">
        <f ca="1">IFERROR(__xludf.DUMMYFUNCTION("""COMPUTED_VALUE"""),"Yes")</f>
        <v>Yes</v>
      </c>
      <c r="G1532" s="8" t="str">
        <f ca="1">IFERROR(__xludf.DUMMYFUNCTION("""COMPUTED_VALUE"""),"Suicide")</f>
        <v>Suicide</v>
      </c>
    </row>
    <row r="1533" spans="1:7" ht="12.75">
      <c r="A1533" s="8" t="str">
        <f ca="1">IFERROR(__xludf.DUMMYFUNCTION("""COMPUTED_VALUE"""),"20041213LALAL")</f>
        <v>20041213LALAL</v>
      </c>
      <c r="B1533" s="8"/>
      <c r="C1533" s="8" t="str">
        <f ca="1">IFERROR(__xludf.DUMMYFUNCTION("""COMPUTED_VALUE"""),"Male")</f>
        <v>Male</v>
      </c>
      <c r="D1533" s="8" t="str">
        <f ca="1">IFERROR(__xludf.DUMMYFUNCTION("""COMPUTED_VALUE"""),"Unknown")</f>
        <v>Unknown</v>
      </c>
      <c r="E1533" s="8" t="str">
        <f ca="1">IFERROR(__xludf.DUMMYFUNCTION("""COMPUTED_VALUE"""),"Fled/Escaped")</f>
        <v>Fled/Escaped</v>
      </c>
      <c r="F1533" s="8" t="str">
        <f ca="1">IFERROR(__xludf.DUMMYFUNCTION("""COMPUTED_VALUE"""),"No")</f>
        <v>No</v>
      </c>
      <c r="G1533" s="8" t="str">
        <f ca="1">IFERROR(__xludf.DUMMYFUNCTION("""COMPUTED_VALUE"""),"None")</f>
        <v>None</v>
      </c>
    </row>
    <row r="1534" spans="1:7" ht="12.75">
      <c r="A1534" s="8" t="str">
        <f ca="1">IFERROR(__xludf.DUMMYFUNCTION("""COMPUTED_VALUE"""),"20041209WALAS")</f>
        <v>20041209WALAS</v>
      </c>
      <c r="B1534" s="8">
        <f ca="1">IFERROR(__xludf.DUMMYFUNCTION("""COMPUTED_VALUE"""),16)</f>
        <v>16</v>
      </c>
      <c r="C1534" s="8" t="str">
        <f ca="1">IFERROR(__xludf.DUMMYFUNCTION("""COMPUTED_VALUE"""),"Male")</f>
        <v>Male</v>
      </c>
      <c r="D1534" s="8" t="str">
        <f ca="1">IFERROR(__xludf.DUMMYFUNCTION("""COMPUTED_VALUE"""),"Student")</f>
        <v>Student</v>
      </c>
      <c r="E1534" s="8" t="str">
        <f ca="1">IFERROR(__xludf.DUMMYFUNCTION("""COMPUTED_VALUE"""),"Suicide")</f>
        <v>Suicide</v>
      </c>
      <c r="F1534" s="8" t="str">
        <f ca="1">IFERROR(__xludf.DUMMYFUNCTION("""COMPUTED_VALUE"""),"Yes")</f>
        <v>Yes</v>
      </c>
      <c r="G1534" s="8" t="str">
        <f ca="1">IFERROR(__xludf.DUMMYFUNCTION("""COMPUTED_VALUE"""),"Suicide")</f>
        <v>Suicide</v>
      </c>
    </row>
    <row r="1535" spans="1:7" ht="12.75">
      <c r="A1535" s="8" t="str">
        <f ca="1">IFERROR(__xludf.DUMMYFUNCTION("""COMPUTED_VALUE"""),"20041119FLTEJ")</f>
        <v>20041119FLTEJ</v>
      </c>
      <c r="B1535" s="8" t="str">
        <f ca="1">IFERROR(__xludf.DUMMYFUNCTION("""COMPUTED_VALUE"""),"Teen")</f>
        <v>Teen</v>
      </c>
      <c r="C1535" s="8" t="str">
        <f ca="1">IFERROR(__xludf.DUMMYFUNCTION("""COMPUTED_VALUE"""),"Male")</f>
        <v>Male</v>
      </c>
      <c r="D1535" s="8" t="str">
        <f ca="1">IFERROR(__xludf.DUMMYFUNCTION("""COMPUTED_VALUE"""),"Student")</f>
        <v>Student</v>
      </c>
      <c r="E1535" s="8" t="str">
        <f ca="1">IFERROR(__xludf.DUMMYFUNCTION("""COMPUTED_VALUE"""),"Surrendered")</f>
        <v>Surrendered</v>
      </c>
      <c r="F1535" s="8" t="str">
        <f ca="1">IFERROR(__xludf.DUMMYFUNCTION("""COMPUTED_VALUE"""),"No")</f>
        <v>No</v>
      </c>
      <c r="G1535" s="8" t="str">
        <f ca="1">IFERROR(__xludf.DUMMYFUNCTION("""COMPUTED_VALUE"""),"None")</f>
        <v>None</v>
      </c>
    </row>
    <row r="1536" spans="1:7" ht="12.75">
      <c r="A1536" s="8" t="str">
        <f ca="1">IFERROR(__xludf.DUMMYFUNCTION("""COMPUTED_VALUE"""),"20041117FLAPA")</f>
        <v>20041117FLAPA</v>
      </c>
      <c r="B1536" s="8">
        <f ca="1">IFERROR(__xludf.DUMMYFUNCTION("""COMPUTED_VALUE"""),14)</f>
        <v>14</v>
      </c>
      <c r="C1536" s="8" t="str">
        <f ca="1">IFERROR(__xludf.DUMMYFUNCTION("""COMPUTED_VALUE"""),"Male")</f>
        <v>Male</v>
      </c>
      <c r="D1536" s="8" t="str">
        <f ca="1">IFERROR(__xludf.DUMMYFUNCTION("""COMPUTED_VALUE"""),"Student")</f>
        <v>Student</v>
      </c>
      <c r="E1536" s="8" t="str">
        <f ca="1">IFERROR(__xludf.DUMMYFUNCTION("""COMPUTED_VALUE"""),"Apprehended/Killed by LE")</f>
        <v>Apprehended/Killed by LE</v>
      </c>
      <c r="F1536" s="8" t="str">
        <f ca="1">IFERROR(__xludf.DUMMYFUNCTION("""COMPUTED_VALUE"""),"No")</f>
        <v>No</v>
      </c>
      <c r="G1536" s="8" t="str">
        <f ca="1">IFERROR(__xludf.DUMMYFUNCTION("""COMPUTED_VALUE"""),"None")</f>
        <v>None</v>
      </c>
    </row>
    <row r="1537" spans="1:7" ht="12.75">
      <c r="A1537" s="8" t="str">
        <f ca="1">IFERROR(__xludf.DUMMYFUNCTION("""COMPUTED_VALUE"""),"20041116SCBAB")</f>
        <v>20041116SCBAB</v>
      </c>
      <c r="B1537" s="8">
        <f ca="1">IFERROR(__xludf.DUMMYFUNCTION("""COMPUTED_VALUE"""),20)</f>
        <v>20</v>
      </c>
      <c r="C1537" s="8" t="str">
        <f ca="1">IFERROR(__xludf.DUMMYFUNCTION("""COMPUTED_VALUE"""),"Male")</f>
        <v>Male</v>
      </c>
      <c r="D1537" s="8" t="str">
        <f ca="1">IFERROR(__xludf.DUMMYFUNCTION("""COMPUTED_VALUE"""),"Nonstudent Using Athletic Facilities/Attending Game")</f>
        <v>Nonstudent Using Athletic Facilities/Attending Game</v>
      </c>
      <c r="E1537" s="8" t="str">
        <f ca="1">IFERROR(__xludf.DUMMYFUNCTION("""COMPUTED_VALUE"""),"Fled/Apprehended")</f>
        <v>Fled/Apprehended</v>
      </c>
      <c r="F1537" s="8" t="str">
        <f ca="1">IFERROR(__xludf.DUMMYFUNCTION("""COMPUTED_VALUE"""),"No")</f>
        <v>No</v>
      </c>
      <c r="G1537" s="8" t="str">
        <f ca="1">IFERROR(__xludf.DUMMYFUNCTION("""COMPUTED_VALUE"""),"None")</f>
        <v>None</v>
      </c>
    </row>
    <row r="1538" spans="1:7" ht="12.75">
      <c r="A1538" s="8" t="str">
        <f ca="1">IFERROR(__xludf.DUMMYFUNCTION("""COMPUTED_VALUE"""),"20041115INBRG")</f>
        <v>20041115INBRG</v>
      </c>
      <c r="B1538" s="8">
        <f ca="1">IFERROR(__xludf.DUMMYFUNCTION("""COMPUTED_VALUE"""),22)</f>
        <v>22</v>
      </c>
      <c r="C1538" s="8" t="str">
        <f ca="1">IFERROR(__xludf.DUMMYFUNCTION("""COMPUTED_VALUE"""),"Male")</f>
        <v>Male</v>
      </c>
      <c r="D1538" s="8" t="str">
        <f ca="1">IFERROR(__xludf.DUMMYFUNCTION("""COMPUTED_VALUE"""),"Parent")</f>
        <v>Parent</v>
      </c>
      <c r="E1538" s="8" t="str">
        <f ca="1">IFERROR(__xludf.DUMMYFUNCTION("""COMPUTED_VALUE"""),"Fled/Apprehended")</f>
        <v>Fled/Apprehended</v>
      </c>
      <c r="F1538" s="8" t="str">
        <f ca="1">IFERROR(__xludf.DUMMYFUNCTION("""COMPUTED_VALUE"""),"No")</f>
        <v>No</v>
      </c>
      <c r="G1538" s="8" t="str">
        <f ca="1">IFERROR(__xludf.DUMMYFUNCTION("""COMPUTED_VALUE"""),"None")</f>
        <v>None</v>
      </c>
    </row>
    <row r="1539" spans="1:7" ht="12.75">
      <c r="A1539" s="8" t="str">
        <f ca="1">IFERROR(__xludf.DUMMYFUNCTION("""COMPUTED_VALUE"""),"20041115INBRG")</f>
        <v>20041115INBRG</v>
      </c>
      <c r="B1539" s="8">
        <f ca="1">IFERROR(__xludf.DUMMYFUNCTION("""COMPUTED_VALUE"""),22)</f>
        <v>22</v>
      </c>
      <c r="C1539" s="8" t="str">
        <f ca="1">IFERROR(__xludf.DUMMYFUNCTION("""COMPUTED_VALUE"""),"Male")</f>
        <v>Male</v>
      </c>
      <c r="D1539" s="8" t="str">
        <f ca="1">IFERROR(__xludf.DUMMYFUNCTION("""COMPUTED_VALUE"""),"Parent")</f>
        <v>Parent</v>
      </c>
      <c r="E1539" s="8" t="str">
        <f ca="1">IFERROR(__xludf.DUMMYFUNCTION("""COMPUTED_VALUE"""),"Fled/Apprehended")</f>
        <v>Fled/Apprehended</v>
      </c>
      <c r="F1539" s="8" t="str">
        <f ca="1">IFERROR(__xludf.DUMMYFUNCTION("""COMPUTED_VALUE"""),"No")</f>
        <v>No</v>
      </c>
      <c r="G1539" s="8" t="str">
        <f ca="1">IFERROR(__xludf.DUMMYFUNCTION("""COMPUTED_VALUE"""),"None")</f>
        <v>None</v>
      </c>
    </row>
    <row r="1540" spans="1:7" ht="12.75">
      <c r="A1540" s="8" t="str">
        <f ca="1">IFERROR(__xludf.DUMMYFUNCTION("""COMPUTED_VALUE"""),"20041115ALPAB")</f>
        <v>20041115ALPAB</v>
      </c>
      <c r="B1540" s="8">
        <f ca="1">IFERROR(__xludf.DUMMYFUNCTION("""COMPUTED_VALUE"""),20)</f>
        <v>20</v>
      </c>
      <c r="C1540" s="8" t="str">
        <f ca="1">IFERROR(__xludf.DUMMYFUNCTION("""COMPUTED_VALUE"""),"Male")</f>
        <v>Male</v>
      </c>
      <c r="D1540" s="8" t="str">
        <f ca="1">IFERROR(__xludf.DUMMYFUNCTION("""COMPUTED_VALUE"""),"Nonstudent Using Athletic Facilities/Attending Game")</f>
        <v>Nonstudent Using Athletic Facilities/Attending Game</v>
      </c>
      <c r="E1540" s="8" t="str">
        <f ca="1">IFERROR(__xludf.DUMMYFUNCTION("""COMPUTED_VALUE"""),"Fled/Apprehended")</f>
        <v>Fled/Apprehended</v>
      </c>
      <c r="F1540" s="8" t="str">
        <f ca="1">IFERROR(__xludf.DUMMYFUNCTION("""COMPUTED_VALUE"""),"No")</f>
        <v>No</v>
      </c>
      <c r="G1540" s="8" t="str">
        <f ca="1">IFERROR(__xludf.DUMMYFUNCTION("""COMPUTED_VALUE"""),"None")</f>
        <v>None</v>
      </c>
    </row>
    <row r="1541" spans="1:7" ht="12.75">
      <c r="A1541" s="8" t="str">
        <f ca="1">IFERROR(__xludf.DUMMYFUNCTION("""COMPUTED_VALUE"""),"20041022CATYH")</f>
        <v>20041022CATYH</v>
      </c>
      <c r="B1541" s="8"/>
      <c r="C1541" s="8"/>
      <c r="D1541" s="8" t="str">
        <f ca="1">IFERROR(__xludf.DUMMYFUNCTION("""COMPUTED_VALUE"""),"Unknown")</f>
        <v>Unknown</v>
      </c>
      <c r="E1541" s="8" t="str">
        <f ca="1">IFERROR(__xludf.DUMMYFUNCTION("""COMPUTED_VALUE"""),"Fled/Escaped")</f>
        <v>Fled/Escaped</v>
      </c>
      <c r="F1541" s="8" t="str">
        <f ca="1">IFERROR(__xludf.DUMMYFUNCTION("""COMPUTED_VALUE"""),"No")</f>
        <v>No</v>
      </c>
      <c r="G1541" s="8" t="str">
        <f ca="1">IFERROR(__xludf.DUMMYFUNCTION("""COMPUTED_VALUE"""),"None")</f>
        <v>None</v>
      </c>
    </row>
    <row r="1542" spans="1:7" ht="12.75">
      <c r="A1542" s="8" t="str">
        <f ca="1">IFERROR(__xludf.DUMMYFUNCTION("""COMPUTED_VALUE"""),"20041021MDTHB")</f>
        <v>20041021MDTHB</v>
      </c>
      <c r="B1542" s="8">
        <f ca="1">IFERROR(__xludf.DUMMYFUNCTION("""COMPUTED_VALUE"""),16)</f>
        <v>16</v>
      </c>
      <c r="C1542" s="8" t="str">
        <f ca="1">IFERROR(__xludf.DUMMYFUNCTION("""COMPUTED_VALUE"""),"Male")</f>
        <v>Male</v>
      </c>
      <c r="D1542" s="8" t="str">
        <f ca="1">IFERROR(__xludf.DUMMYFUNCTION("""COMPUTED_VALUE"""),"Student")</f>
        <v>Student</v>
      </c>
      <c r="E1542" s="8" t="str">
        <f ca="1">IFERROR(__xludf.DUMMYFUNCTION("""COMPUTED_VALUE"""),"Fled/Apprehended")</f>
        <v>Fled/Apprehended</v>
      </c>
      <c r="F1542" s="8" t="str">
        <f ca="1">IFERROR(__xludf.DUMMYFUNCTION("""COMPUTED_VALUE"""),"No")</f>
        <v>No</v>
      </c>
      <c r="G1542" s="8" t="str">
        <f ca="1">IFERROR(__xludf.DUMMYFUNCTION("""COMPUTED_VALUE"""),"None")</f>
        <v>None</v>
      </c>
    </row>
    <row r="1543" spans="1:7" ht="12.75">
      <c r="A1543" s="8" t="str">
        <f ca="1">IFERROR(__xludf.DUMMYFUNCTION("""COMPUTED_VALUE"""),"20041015CABIB")</f>
        <v>20041015CABIB</v>
      </c>
      <c r="B1543" s="8">
        <f ca="1">IFERROR(__xludf.DUMMYFUNCTION("""COMPUTED_VALUE"""),19)</f>
        <v>19</v>
      </c>
      <c r="C1543" s="8" t="str">
        <f ca="1">IFERROR(__xludf.DUMMYFUNCTION("""COMPUTED_VALUE"""),"Male")</f>
        <v>Male</v>
      </c>
      <c r="D1543" s="8" t="str">
        <f ca="1">IFERROR(__xludf.DUMMYFUNCTION("""COMPUTED_VALUE"""),"Unknown")</f>
        <v>Unknown</v>
      </c>
      <c r="E1543" s="8" t="str">
        <f ca="1">IFERROR(__xludf.DUMMYFUNCTION("""COMPUTED_VALUE"""),"Fled/Apprehended")</f>
        <v>Fled/Apprehended</v>
      </c>
      <c r="F1543" s="8" t="str">
        <f ca="1">IFERROR(__xludf.DUMMYFUNCTION("""COMPUTED_VALUE"""),"No")</f>
        <v>No</v>
      </c>
      <c r="G1543" s="8" t="str">
        <f ca="1">IFERROR(__xludf.DUMMYFUNCTION("""COMPUTED_VALUE"""),"None")</f>
        <v>None</v>
      </c>
    </row>
    <row r="1544" spans="1:7" ht="12.75">
      <c r="A1544" s="8" t="str">
        <f ca="1">IFERROR(__xludf.DUMMYFUNCTION("""COMPUTED_VALUE"""),"20041012CALAS")</f>
        <v>20041012CALAS</v>
      </c>
      <c r="B1544" s="8">
        <f ca="1">IFERROR(__xludf.DUMMYFUNCTION("""COMPUTED_VALUE"""),25)</f>
        <v>25</v>
      </c>
      <c r="C1544" s="8" t="str">
        <f ca="1">IFERROR(__xludf.DUMMYFUNCTION("""COMPUTED_VALUE"""),"Male")</f>
        <v>Male</v>
      </c>
      <c r="D1544" s="8" t="str">
        <f ca="1">IFERROR(__xludf.DUMMYFUNCTION("""COMPUTED_VALUE"""),"No Relation")</f>
        <v>No Relation</v>
      </c>
      <c r="E1544" s="8" t="str">
        <f ca="1">IFERROR(__xludf.DUMMYFUNCTION("""COMPUTED_VALUE"""),"Apprehended/Killed by Other")</f>
        <v>Apprehended/Killed by Other</v>
      </c>
      <c r="F1544" s="8" t="str">
        <f ca="1">IFERROR(__xludf.DUMMYFUNCTION("""COMPUTED_VALUE"""),"Yes")</f>
        <v>Yes</v>
      </c>
      <c r="G1544" s="8" t="str">
        <f ca="1">IFERROR(__xludf.DUMMYFUNCTION("""COMPUTED_VALUE"""),"Fatal")</f>
        <v>Fatal</v>
      </c>
    </row>
    <row r="1545" spans="1:7" ht="12.75">
      <c r="A1545" s="8" t="str">
        <f ca="1">IFERROR(__xludf.DUMMYFUNCTION("""COMPUTED_VALUE"""),"20041012CALAS")</f>
        <v>20041012CALAS</v>
      </c>
      <c r="B1545" s="8">
        <f ca="1">IFERROR(__xludf.DUMMYFUNCTION("""COMPUTED_VALUE"""),25)</f>
        <v>25</v>
      </c>
      <c r="C1545" s="8" t="str">
        <f ca="1">IFERROR(__xludf.DUMMYFUNCTION("""COMPUTED_VALUE"""),"Male")</f>
        <v>Male</v>
      </c>
      <c r="D1545" s="8" t="str">
        <f ca="1">IFERROR(__xludf.DUMMYFUNCTION("""COMPUTED_VALUE"""),"No Relation")</f>
        <v>No Relation</v>
      </c>
      <c r="E1545" s="8" t="str">
        <f ca="1">IFERROR(__xludf.DUMMYFUNCTION("""COMPUTED_VALUE"""),"Apprehended/Killed by Other")</f>
        <v>Apprehended/Killed by Other</v>
      </c>
      <c r="F1545" s="8" t="str">
        <f ca="1">IFERROR(__xludf.DUMMYFUNCTION("""COMPUTED_VALUE"""),"Yes")</f>
        <v>Yes</v>
      </c>
      <c r="G1545" s="8" t="str">
        <f ca="1">IFERROR(__xludf.DUMMYFUNCTION("""COMPUTED_VALUE"""),"Fatal")</f>
        <v>Fatal</v>
      </c>
    </row>
    <row r="1546" spans="1:7" ht="12.75">
      <c r="A1546" s="8" t="str">
        <f ca="1">IFERROR(__xludf.DUMMYFUNCTION("""COMPUTED_VALUE"""),"20041007MANEN")</f>
        <v>20041007MANEN</v>
      </c>
      <c r="B1546" s="8">
        <f ca="1">IFERROR(__xludf.DUMMYFUNCTION("""COMPUTED_VALUE"""),15)</f>
        <v>15</v>
      </c>
      <c r="C1546" s="8" t="str">
        <f ca="1">IFERROR(__xludf.DUMMYFUNCTION("""COMPUTED_VALUE"""),"Male")</f>
        <v>Male</v>
      </c>
      <c r="D1546" s="8" t="str">
        <f ca="1">IFERROR(__xludf.DUMMYFUNCTION("""COMPUTED_VALUE"""),"Student")</f>
        <v>Student</v>
      </c>
      <c r="E1546" s="8" t="str">
        <f ca="1">IFERROR(__xludf.DUMMYFUNCTION("""COMPUTED_VALUE"""),"Suicide")</f>
        <v>Suicide</v>
      </c>
      <c r="F1546" s="8" t="str">
        <f ca="1">IFERROR(__xludf.DUMMYFUNCTION("""COMPUTED_VALUE"""),"Yes")</f>
        <v>Yes</v>
      </c>
      <c r="G1546" s="8" t="str">
        <f ca="1">IFERROR(__xludf.DUMMYFUNCTION("""COMPUTED_VALUE"""),"Suicide")</f>
        <v>Suicide</v>
      </c>
    </row>
    <row r="1547" spans="1:7" ht="12.75">
      <c r="A1547" s="8" t="str">
        <f ca="1">IFERROR(__xludf.DUMMYFUNCTION("""COMPUTED_VALUE"""),"20041002NEJEG")</f>
        <v>20041002NEJEG</v>
      </c>
      <c r="B1547" s="8">
        <f ca="1">IFERROR(__xludf.DUMMYFUNCTION("""COMPUTED_VALUE"""),20)</f>
        <v>20</v>
      </c>
      <c r="C1547" s="8" t="str">
        <f ca="1">IFERROR(__xludf.DUMMYFUNCTION("""COMPUTED_VALUE"""),"Male")</f>
        <v>Male</v>
      </c>
      <c r="D1547" s="8" t="str">
        <f ca="1">IFERROR(__xludf.DUMMYFUNCTION("""COMPUTED_VALUE"""),"No Relation")</f>
        <v>No Relation</v>
      </c>
      <c r="E1547" s="8" t="str">
        <f ca="1">IFERROR(__xludf.DUMMYFUNCTION("""COMPUTED_VALUE"""),"Fled/Apprehended")</f>
        <v>Fled/Apprehended</v>
      </c>
      <c r="F1547" s="8" t="str">
        <f ca="1">IFERROR(__xludf.DUMMYFUNCTION("""COMPUTED_VALUE"""),"No")</f>
        <v>No</v>
      </c>
      <c r="G1547" s="8" t="str">
        <f ca="1">IFERROR(__xludf.DUMMYFUNCTION("""COMPUTED_VALUE"""),"None")</f>
        <v>None</v>
      </c>
    </row>
    <row r="1548" spans="1:7" ht="12.75">
      <c r="A1548" s="8" t="str">
        <f ca="1">IFERROR(__xludf.DUMMYFUNCTION("""COMPUTED_VALUE"""),"20040915INWIG")</f>
        <v>20040915INWIG</v>
      </c>
      <c r="B1548" s="8">
        <f ca="1">IFERROR(__xludf.DUMMYFUNCTION("""COMPUTED_VALUE"""),16)</f>
        <v>16</v>
      </c>
      <c r="C1548" s="8" t="str">
        <f ca="1">IFERROR(__xludf.DUMMYFUNCTION("""COMPUTED_VALUE"""),"Male")</f>
        <v>Male</v>
      </c>
      <c r="D1548" s="8" t="str">
        <f ca="1">IFERROR(__xludf.DUMMYFUNCTION("""COMPUTED_VALUE"""),"Student")</f>
        <v>Student</v>
      </c>
      <c r="E1548" s="8" t="str">
        <f ca="1">IFERROR(__xludf.DUMMYFUNCTION("""COMPUTED_VALUE"""),"Fled/Apprehended")</f>
        <v>Fled/Apprehended</v>
      </c>
      <c r="F1548" s="8" t="str">
        <f ca="1">IFERROR(__xludf.DUMMYFUNCTION("""COMPUTED_VALUE"""),"No")</f>
        <v>No</v>
      </c>
      <c r="G1548" s="8" t="str">
        <f ca="1">IFERROR(__xludf.DUMMYFUNCTION("""COMPUTED_VALUE"""),"None")</f>
        <v>None</v>
      </c>
    </row>
    <row r="1549" spans="1:7" ht="12.75">
      <c r="A1549" s="8" t="str">
        <f ca="1">IFERROR(__xludf.DUMMYFUNCTION("""COMPUTED_VALUE"""),"20040912LABON")</f>
        <v>20040912LABON</v>
      </c>
      <c r="B1549" s="8">
        <f ca="1">IFERROR(__xludf.DUMMYFUNCTION("""COMPUTED_VALUE"""),34)</f>
        <v>34</v>
      </c>
      <c r="C1549" s="8" t="str">
        <f ca="1">IFERROR(__xludf.DUMMYFUNCTION("""COMPUTED_VALUE"""),"Female")</f>
        <v>Female</v>
      </c>
      <c r="D1549" s="8" t="str">
        <f ca="1">IFERROR(__xludf.DUMMYFUNCTION("""COMPUTED_VALUE"""),"Unknown")</f>
        <v>Unknown</v>
      </c>
      <c r="E1549" s="8" t="str">
        <f ca="1">IFERROR(__xludf.DUMMYFUNCTION("""COMPUTED_VALUE"""),"Unknown")</f>
        <v>Unknown</v>
      </c>
      <c r="F1549" s="8" t="str">
        <f ca="1">IFERROR(__xludf.DUMMYFUNCTION("""COMPUTED_VALUE"""),"No")</f>
        <v>No</v>
      </c>
      <c r="G1549" s="8" t="str">
        <f ca="1">IFERROR(__xludf.DUMMYFUNCTION("""COMPUTED_VALUE"""),"None")</f>
        <v>None</v>
      </c>
    </row>
    <row r="1550" spans="1:7" ht="12.75">
      <c r="A1550" s="8" t="str">
        <f ca="1">IFERROR(__xludf.DUMMYFUNCTION("""COMPUTED_VALUE"""),"20040830ILPRM")</f>
        <v>20040830ILPRM</v>
      </c>
      <c r="B1550" s="8" t="str">
        <f ca="1">IFERROR(__xludf.DUMMYFUNCTION("""COMPUTED_VALUE"""),"Adult")</f>
        <v>Adult</v>
      </c>
      <c r="C1550" s="8" t="str">
        <f ca="1">IFERROR(__xludf.DUMMYFUNCTION("""COMPUTED_VALUE"""),"Male")</f>
        <v>Male</v>
      </c>
      <c r="D1550" s="8" t="str">
        <f ca="1">IFERROR(__xludf.DUMMYFUNCTION("""COMPUTED_VALUE"""),"No Relation")</f>
        <v>No Relation</v>
      </c>
      <c r="E1550" s="8" t="str">
        <f ca="1">IFERROR(__xludf.DUMMYFUNCTION("""COMPUTED_VALUE"""),"Fled/Escaped")</f>
        <v>Fled/Escaped</v>
      </c>
      <c r="F1550" s="8" t="str">
        <f ca="1">IFERROR(__xludf.DUMMYFUNCTION("""COMPUTED_VALUE"""),"No")</f>
        <v>No</v>
      </c>
      <c r="G1550" s="8" t="str">
        <f ca="1">IFERROR(__xludf.DUMMYFUNCTION("""COMPUTED_VALUE"""),"None")</f>
        <v>None</v>
      </c>
    </row>
    <row r="1551" spans="1:7" ht="12.75">
      <c r="A1551" s="8" t="str">
        <f ca="1">IFERROR(__xludf.DUMMYFUNCTION("""COMPUTED_VALUE"""),"20040824TNHAM")</f>
        <v>20040824TNHAM</v>
      </c>
      <c r="B1551" s="8">
        <f ca="1">IFERROR(__xludf.DUMMYFUNCTION("""COMPUTED_VALUE"""),16)</f>
        <v>16</v>
      </c>
      <c r="C1551" s="8" t="str">
        <f ca="1">IFERROR(__xludf.DUMMYFUNCTION("""COMPUTED_VALUE"""),"Male")</f>
        <v>Male</v>
      </c>
      <c r="D1551" s="8" t="str">
        <f ca="1">IFERROR(__xludf.DUMMYFUNCTION("""COMPUTED_VALUE"""),"Student")</f>
        <v>Student</v>
      </c>
      <c r="E1551" s="8" t="str">
        <f ca="1">IFERROR(__xludf.DUMMYFUNCTION("""COMPUTED_VALUE"""),"Unknown")</f>
        <v>Unknown</v>
      </c>
      <c r="F1551" s="8" t="str">
        <f ca="1">IFERROR(__xludf.DUMMYFUNCTION("""COMPUTED_VALUE"""),"No")</f>
        <v>No</v>
      </c>
      <c r="G1551" s="8" t="str">
        <f ca="1">IFERROR(__xludf.DUMMYFUNCTION("""COMPUTED_VALUE"""),"None")</f>
        <v>None</v>
      </c>
    </row>
    <row r="1552" spans="1:7" ht="12.75">
      <c r="A1552" s="8" t="str">
        <f ca="1">IFERROR(__xludf.DUMMYFUNCTION("""COMPUTED_VALUE"""),"20040803ALHUB")</f>
        <v>20040803ALHUB</v>
      </c>
      <c r="B1552" s="8">
        <f ca="1">IFERROR(__xludf.DUMMYFUNCTION("""COMPUTED_VALUE"""),17)</f>
        <v>17</v>
      </c>
      <c r="C1552" s="8" t="str">
        <f ca="1">IFERROR(__xludf.DUMMYFUNCTION("""COMPUTED_VALUE"""),"Male")</f>
        <v>Male</v>
      </c>
      <c r="D1552" s="8" t="str">
        <f ca="1">IFERROR(__xludf.DUMMYFUNCTION("""COMPUTED_VALUE"""),"Student")</f>
        <v>Student</v>
      </c>
      <c r="E1552" s="8" t="str">
        <f ca="1">IFERROR(__xludf.DUMMYFUNCTION("""COMPUTED_VALUE"""),"Fled/Apprehended")</f>
        <v>Fled/Apprehended</v>
      </c>
      <c r="F1552" s="8" t="str">
        <f ca="1">IFERROR(__xludf.DUMMYFUNCTION("""COMPUTED_VALUE"""),"No")</f>
        <v>No</v>
      </c>
      <c r="G1552" s="8" t="str">
        <f ca="1">IFERROR(__xludf.DUMMYFUNCTION("""COMPUTED_VALUE"""),"None")</f>
        <v>None</v>
      </c>
    </row>
    <row r="1553" spans="1:7" ht="12.75">
      <c r="A1553" s="8" t="str">
        <f ca="1">IFERROR(__xludf.DUMMYFUNCTION("""COMPUTED_VALUE"""),"20040609CACAO")</f>
        <v>20040609CACAO</v>
      </c>
      <c r="B1553" s="8"/>
      <c r="C1553" s="8" t="str">
        <f ca="1">IFERROR(__xludf.DUMMYFUNCTION("""COMPUTED_VALUE"""),"Male")</f>
        <v>Male</v>
      </c>
      <c r="D1553" s="8" t="str">
        <f ca="1">IFERROR(__xludf.DUMMYFUNCTION("""COMPUTED_VALUE"""),"Unknown")</f>
        <v>Unknown</v>
      </c>
      <c r="E1553" s="8" t="str">
        <f ca="1">IFERROR(__xludf.DUMMYFUNCTION("""COMPUTED_VALUE"""),"Fled/Escaped")</f>
        <v>Fled/Escaped</v>
      </c>
      <c r="F1553" s="8" t="str">
        <f ca="1">IFERROR(__xludf.DUMMYFUNCTION("""COMPUTED_VALUE"""),"No")</f>
        <v>No</v>
      </c>
      <c r="G1553" s="8" t="str">
        <f ca="1">IFERROR(__xludf.DUMMYFUNCTION("""COMPUTED_VALUE"""),"None")</f>
        <v>None</v>
      </c>
    </row>
    <row r="1554" spans="1:7" ht="12.75">
      <c r="A1554" s="8" t="str">
        <f ca="1">IFERROR(__xludf.DUMMYFUNCTION("""COMPUTED_VALUE"""),"20040524UTWES")</f>
        <v>20040524UTWES</v>
      </c>
      <c r="B1554" s="8">
        <f ca="1">IFERROR(__xludf.DUMMYFUNCTION("""COMPUTED_VALUE"""),52)</f>
        <v>52</v>
      </c>
      <c r="C1554" s="8" t="str">
        <f ca="1">IFERROR(__xludf.DUMMYFUNCTION("""COMPUTED_VALUE"""),"Male")</f>
        <v>Male</v>
      </c>
      <c r="D1554" s="8" t="str">
        <f ca="1">IFERROR(__xludf.DUMMYFUNCTION("""COMPUTED_VALUE"""),"Intimate Relationship")</f>
        <v>Intimate Relationship</v>
      </c>
      <c r="E1554" s="8" t="str">
        <f ca="1">IFERROR(__xludf.DUMMYFUNCTION("""COMPUTED_VALUE"""),"Suicide")</f>
        <v>Suicide</v>
      </c>
      <c r="F1554" s="8" t="str">
        <f ca="1">IFERROR(__xludf.DUMMYFUNCTION("""COMPUTED_VALUE"""),"Yes")</f>
        <v>Yes</v>
      </c>
      <c r="G1554" s="8" t="str">
        <f ca="1">IFERROR(__xludf.DUMMYFUNCTION("""COMPUTED_VALUE"""),"Suicide")</f>
        <v>Suicide</v>
      </c>
    </row>
    <row r="1555" spans="1:7" ht="12.75">
      <c r="A1555" s="8" t="str">
        <f ca="1">IFERROR(__xludf.DUMMYFUNCTION("""COMPUTED_VALUE"""),"20040512CAEAM")</f>
        <v>20040512CAEAM</v>
      </c>
      <c r="B1555" s="8">
        <f ca="1">IFERROR(__xludf.DUMMYFUNCTION("""COMPUTED_VALUE"""),20)</f>
        <v>20</v>
      </c>
      <c r="C1555" s="8" t="str">
        <f ca="1">IFERROR(__xludf.DUMMYFUNCTION("""COMPUTED_VALUE"""),"Male")</f>
        <v>Male</v>
      </c>
      <c r="D1555" s="8" t="str">
        <f ca="1">IFERROR(__xludf.DUMMYFUNCTION("""COMPUTED_VALUE"""),"Gang Member")</f>
        <v>Gang Member</v>
      </c>
      <c r="E1555" s="8" t="str">
        <f ca="1">IFERROR(__xludf.DUMMYFUNCTION("""COMPUTED_VALUE"""),"Fled/Apprehended")</f>
        <v>Fled/Apprehended</v>
      </c>
      <c r="F1555" s="8" t="str">
        <f ca="1">IFERROR(__xludf.DUMMYFUNCTION("""COMPUTED_VALUE"""),"No")</f>
        <v>No</v>
      </c>
      <c r="G1555" s="8" t="str">
        <f ca="1">IFERROR(__xludf.DUMMYFUNCTION("""COMPUTED_VALUE"""),"None")</f>
        <v>None</v>
      </c>
    </row>
    <row r="1556" spans="1:7" ht="12.75">
      <c r="A1556" s="8" t="str">
        <f ca="1">IFERROR(__xludf.DUMMYFUNCTION("""COMPUTED_VALUE"""),"20040507MDRAR")</f>
        <v>20040507MDRAR</v>
      </c>
      <c r="B1556" s="8">
        <f ca="1">IFERROR(__xludf.DUMMYFUNCTION("""COMPUTED_VALUE"""),17)</f>
        <v>17</v>
      </c>
      <c r="C1556" s="8" t="str">
        <f ca="1">IFERROR(__xludf.DUMMYFUNCTION("""COMPUTED_VALUE"""),"Male")</f>
        <v>Male</v>
      </c>
      <c r="D1556" s="8" t="str">
        <f ca="1">IFERROR(__xludf.DUMMYFUNCTION("""COMPUTED_VALUE"""),"Unknown")</f>
        <v>Unknown</v>
      </c>
      <c r="E1556" s="8" t="str">
        <f ca="1">IFERROR(__xludf.DUMMYFUNCTION("""COMPUTED_VALUE"""),"Fled/Apprehended")</f>
        <v>Fled/Apprehended</v>
      </c>
      <c r="F1556" s="8" t="str">
        <f ca="1">IFERROR(__xludf.DUMMYFUNCTION("""COMPUTED_VALUE"""),"No")</f>
        <v>No</v>
      </c>
      <c r="G1556" s="8" t="str">
        <f ca="1">IFERROR(__xludf.DUMMYFUNCTION("""COMPUTED_VALUE"""),"None")</f>
        <v>None</v>
      </c>
    </row>
    <row r="1557" spans="1:7" ht="12.75">
      <c r="A1557" s="8" t="str">
        <f ca="1">IFERROR(__xludf.DUMMYFUNCTION("""COMPUTED_VALUE"""),"20040507MDRAR")</f>
        <v>20040507MDRAR</v>
      </c>
      <c r="B1557" s="8">
        <f ca="1">IFERROR(__xludf.DUMMYFUNCTION("""COMPUTED_VALUE"""),21)</f>
        <v>21</v>
      </c>
      <c r="C1557" s="8" t="str">
        <f ca="1">IFERROR(__xludf.DUMMYFUNCTION("""COMPUTED_VALUE"""),"Male")</f>
        <v>Male</v>
      </c>
      <c r="D1557" s="8" t="str">
        <f ca="1">IFERROR(__xludf.DUMMYFUNCTION("""COMPUTED_VALUE"""),"Student")</f>
        <v>Student</v>
      </c>
      <c r="E1557" s="8" t="str">
        <f ca="1">IFERROR(__xludf.DUMMYFUNCTION("""COMPUTED_VALUE"""),"Fled/Apprehended")</f>
        <v>Fled/Apprehended</v>
      </c>
      <c r="F1557" s="8" t="str">
        <f ca="1">IFERROR(__xludf.DUMMYFUNCTION("""COMPUTED_VALUE"""),"No")</f>
        <v>No</v>
      </c>
      <c r="G1557" s="8" t="str">
        <f ca="1">IFERROR(__xludf.DUMMYFUNCTION("""COMPUTED_VALUE"""),"None")</f>
        <v>None</v>
      </c>
    </row>
    <row r="1558" spans="1:7" ht="12.75">
      <c r="A1558" s="8" t="str">
        <f ca="1">IFERROR(__xludf.DUMMYFUNCTION("""COMPUTED_VALUE"""),"20040504TXKAH")</f>
        <v>20040504TXKAH</v>
      </c>
      <c r="B1558" s="8" t="str">
        <f ca="1">IFERROR(__xludf.DUMMYFUNCTION("""COMPUTED_VALUE"""),"Teen")</f>
        <v>Teen</v>
      </c>
      <c r="C1558" s="8" t="str">
        <f ca="1">IFERROR(__xludf.DUMMYFUNCTION("""COMPUTED_VALUE"""),"Male")</f>
        <v>Male</v>
      </c>
      <c r="D1558" s="8" t="str">
        <f ca="1">IFERROR(__xludf.DUMMYFUNCTION("""COMPUTED_VALUE"""),"Unknown")</f>
        <v>Unknown</v>
      </c>
      <c r="E1558" s="8" t="str">
        <f ca="1">IFERROR(__xludf.DUMMYFUNCTION("""COMPUTED_VALUE"""),"Fled/Escaped")</f>
        <v>Fled/Escaped</v>
      </c>
      <c r="F1558" s="8" t="str">
        <f ca="1">IFERROR(__xludf.DUMMYFUNCTION("""COMPUTED_VALUE"""),"No")</f>
        <v>No</v>
      </c>
      <c r="G1558" s="8" t="str">
        <f ca="1">IFERROR(__xludf.DUMMYFUNCTION("""COMPUTED_VALUE"""),"None")</f>
        <v>None</v>
      </c>
    </row>
    <row r="1559" spans="1:7" ht="12.75">
      <c r="A1559" s="8" t="str">
        <f ca="1">IFERROR(__xludf.DUMMYFUNCTION("""COMPUTED_VALUE"""),"20040317WACRJ")</f>
        <v>20040317WACRJ</v>
      </c>
      <c r="B1559" s="8">
        <f ca="1">IFERROR(__xludf.DUMMYFUNCTION("""COMPUTED_VALUE"""),13)</f>
        <v>13</v>
      </c>
      <c r="C1559" s="8" t="str">
        <f ca="1">IFERROR(__xludf.DUMMYFUNCTION("""COMPUTED_VALUE"""),"Male")</f>
        <v>Male</v>
      </c>
      <c r="D1559" s="8" t="str">
        <f ca="1">IFERROR(__xludf.DUMMYFUNCTION("""COMPUTED_VALUE"""),"Student")</f>
        <v>Student</v>
      </c>
      <c r="E1559" s="8" t="str">
        <f ca="1">IFERROR(__xludf.DUMMYFUNCTION("""COMPUTED_VALUE"""),"Suicide")</f>
        <v>Suicide</v>
      </c>
      <c r="F1559" s="8" t="str">
        <f ca="1">IFERROR(__xludf.DUMMYFUNCTION("""COMPUTED_VALUE"""),"Yes")</f>
        <v>Yes</v>
      </c>
      <c r="G1559" s="8" t="str">
        <f ca="1">IFERROR(__xludf.DUMMYFUNCTION("""COMPUTED_VALUE"""),"Suicide")</f>
        <v>Suicide</v>
      </c>
    </row>
    <row r="1560" spans="1:7" ht="12.75">
      <c r="A1560" s="8" t="str">
        <f ca="1">IFERROR(__xludf.DUMMYFUNCTION("""COMPUTED_VALUE"""),"20040305CASAL")</f>
        <v>20040305CASAL</v>
      </c>
      <c r="B1560" s="8"/>
      <c r="C1560" s="8" t="str">
        <f ca="1">IFERROR(__xludf.DUMMYFUNCTION("""COMPUTED_VALUE"""),"Male")</f>
        <v>Male</v>
      </c>
      <c r="D1560" s="8" t="str">
        <f ca="1">IFERROR(__xludf.DUMMYFUNCTION("""COMPUTED_VALUE"""),"Unknown")</f>
        <v>Unknown</v>
      </c>
      <c r="E1560" s="8" t="str">
        <f ca="1">IFERROR(__xludf.DUMMYFUNCTION("""COMPUTED_VALUE"""),"Fled/Escaped")</f>
        <v>Fled/Escaped</v>
      </c>
      <c r="F1560" s="8" t="str">
        <f ca="1">IFERROR(__xludf.DUMMYFUNCTION("""COMPUTED_VALUE"""),"No")</f>
        <v>No</v>
      </c>
      <c r="G1560" s="8" t="str">
        <f ca="1">IFERROR(__xludf.DUMMYFUNCTION("""COMPUTED_VALUE"""),"None")</f>
        <v>None</v>
      </c>
    </row>
    <row r="1561" spans="1:7" ht="12.75">
      <c r="A1561" s="8" t="str">
        <f ca="1">IFERROR(__xludf.DUMMYFUNCTION("""COMPUTED_VALUE"""),"20040220LAGAS")</f>
        <v>20040220LAGAS</v>
      </c>
      <c r="B1561" s="8">
        <f ca="1">IFERROR(__xludf.DUMMYFUNCTION("""COMPUTED_VALUE"""),41)</f>
        <v>41</v>
      </c>
      <c r="C1561" s="8" t="str">
        <f ca="1">IFERROR(__xludf.DUMMYFUNCTION("""COMPUTED_VALUE"""),"Male")</f>
        <v>Male</v>
      </c>
      <c r="D1561" s="8" t="str">
        <f ca="1">IFERROR(__xludf.DUMMYFUNCTION("""COMPUTED_VALUE"""),"Intimate Relationship")</f>
        <v>Intimate Relationship</v>
      </c>
      <c r="E1561" s="8" t="str">
        <f ca="1">IFERROR(__xludf.DUMMYFUNCTION("""COMPUTED_VALUE"""),"Fled/Escaped")</f>
        <v>Fled/Escaped</v>
      </c>
      <c r="F1561" s="8" t="str">
        <f ca="1">IFERROR(__xludf.DUMMYFUNCTION("""COMPUTED_VALUE"""),"Yes")</f>
        <v>Yes</v>
      </c>
      <c r="G1561" s="8" t="str">
        <f ca="1">IFERROR(__xludf.DUMMYFUNCTION("""COMPUTED_VALUE"""),"Suicide")</f>
        <v>Suicide</v>
      </c>
    </row>
    <row r="1562" spans="1:7" ht="12.75">
      <c r="A1562" s="8" t="str">
        <f ca="1">IFERROR(__xludf.DUMMYFUNCTION("""COMPUTED_VALUE"""),"20040213OHCOD")</f>
        <v>20040213OHCOD</v>
      </c>
      <c r="B1562" s="8">
        <f ca="1">IFERROR(__xludf.DUMMYFUNCTION("""COMPUTED_VALUE"""),17)</f>
        <v>17</v>
      </c>
      <c r="C1562" s="8" t="str">
        <f ca="1">IFERROR(__xludf.DUMMYFUNCTION("""COMPUTED_VALUE"""),"Male")</f>
        <v>Male</v>
      </c>
      <c r="D1562" s="8" t="str">
        <f ca="1">IFERROR(__xludf.DUMMYFUNCTION("""COMPUTED_VALUE"""),"Student")</f>
        <v>Student</v>
      </c>
      <c r="E1562" s="8" t="str">
        <f ca="1">IFERROR(__xludf.DUMMYFUNCTION("""COMPUTED_VALUE"""),"Fled/Apprehended")</f>
        <v>Fled/Apprehended</v>
      </c>
      <c r="F1562" s="8" t="str">
        <f ca="1">IFERROR(__xludf.DUMMYFUNCTION("""COMPUTED_VALUE"""),"No")</f>
        <v>No</v>
      </c>
      <c r="G1562" s="8" t="str">
        <f ca="1">IFERROR(__xludf.DUMMYFUNCTION("""COMPUTED_VALUE"""),"None")</f>
        <v>None</v>
      </c>
    </row>
    <row r="1563" spans="1:7" ht="12.75">
      <c r="A1563" s="8" t="str">
        <f ca="1">IFERROR(__xludf.DUMMYFUNCTION("""COMPUTED_VALUE"""),"20040211PATMP")</f>
        <v>20040211PATMP</v>
      </c>
      <c r="B1563" s="8">
        <f ca="1">IFERROR(__xludf.DUMMYFUNCTION("""COMPUTED_VALUE"""),22)</f>
        <v>22</v>
      </c>
      <c r="C1563" s="8" t="str">
        <f ca="1">IFERROR(__xludf.DUMMYFUNCTION("""COMPUTED_VALUE"""),"Male")</f>
        <v>Male</v>
      </c>
      <c r="D1563" s="8" t="str">
        <f ca="1">IFERROR(__xludf.DUMMYFUNCTION("""COMPUTED_VALUE"""),"No Relation")</f>
        <v>No Relation</v>
      </c>
      <c r="E1563" s="8" t="str">
        <f ca="1">IFERROR(__xludf.DUMMYFUNCTION("""COMPUTED_VALUE"""),"Fled/Apprehended")</f>
        <v>Fled/Apprehended</v>
      </c>
      <c r="F1563" s="8" t="str">
        <f ca="1">IFERROR(__xludf.DUMMYFUNCTION("""COMPUTED_VALUE"""),"No")</f>
        <v>No</v>
      </c>
      <c r="G1563" s="8" t="str">
        <f ca="1">IFERROR(__xludf.DUMMYFUNCTION("""COMPUTED_VALUE"""),"None")</f>
        <v>None</v>
      </c>
    </row>
    <row r="1564" spans="1:7" ht="12.75">
      <c r="A1564" s="8" t="str">
        <f ca="1">IFERROR(__xludf.DUMMYFUNCTION("""COMPUTED_VALUE"""),"20040211PATMP")</f>
        <v>20040211PATMP</v>
      </c>
      <c r="B1564" s="8">
        <f ca="1">IFERROR(__xludf.DUMMYFUNCTION("""COMPUTED_VALUE"""),21)</f>
        <v>21</v>
      </c>
      <c r="C1564" s="8" t="str">
        <f ca="1">IFERROR(__xludf.DUMMYFUNCTION("""COMPUTED_VALUE"""),"Male")</f>
        <v>Male</v>
      </c>
      <c r="D1564" s="8" t="str">
        <f ca="1">IFERROR(__xludf.DUMMYFUNCTION("""COMPUTED_VALUE"""),"No Relation")</f>
        <v>No Relation</v>
      </c>
      <c r="E1564" s="8" t="str">
        <f ca="1">IFERROR(__xludf.DUMMYFUNCTION("""COMPUTED_VALUE"""),"Fled/Apprehended")</f>
        <v>Fled/Apprehended</v>
      </c>
      <c r="F1564" s="8" t="str">
        <f ca="1">IFERROR(__xludf.DUMMYFUNCTION("""COMPUTED_VALUE"""),"No")</f>
        <v>No</v>
      </c>
      <c r="G1564" s="8" t="str">
        <f ca="1">IFERROR(__xludf.DUMMYFUNCTION("""COMPUTED_VALUE"""),"None")</f>
        <v>None</v>
      </c>
    </row>
    <row r="1565" spans="1:7" ht="12.75">
      <c r="A1565" s="8" t="str">
        <f ca="1">IFERROR(__xludf.DUMMYFUNCTION("""COMPUTED_VALUE"""),"20040209NYCOE")</f>
        <v>20040209NYCOE</v>
      </c>
      <c r="B1565" s="8">
        <f ca="1">IFERROR(__xludf.DUMMYFUNCTION("""COMPUTED_VALUE"""),16)</f>
        <v>16</v>
      </c>
      <c r="C1565" s="8" t="str">
        <f ca="1">IFERROR(__xludf.DUMMYFUNCTION("""COMPUTED_VALUE"""),"Male")</f>
        <v>Male</v>
      </c>
      <c r="D1565" s="8" t="str">
        <f ca="1">IFERROR(__xludf.DUMMYFUNCTION("""COMPUTED_VALUE"""),"Student")</f>
        <v>Student</v>
      </c>
      <c r="E1565" s="8" t="str">
        <f ca="1">IFERROR(__xludf.DUMMYFUNCTION("""COMPUTED_VALUE"""),"Subdued by Students/Staff/Other")</f>
        <v>Subdued by Students/Staff/Other</v>
      </c>
      <c r="F1565" s="8" t="str">
        <f ca="1">IFERROR(__xludf.DUMMYFUNCTION("""COMPUTED_VALUE"""),"No")</f>
        <v>No</v>
      </c>
      <c r="G1565" s="8" t="str">
        <f ca="1">IFERROR(__xludf.DUMMYFUNCTION("""COMPUTED_VALUE"""),"None")</f>
        <v>None</v>
      </c>
    </row>
    <row r="1566" spans="1:7" ht="12.75">
      <c r="A1566" s="8" t="str">
        <f ca="1">IFERROR(__xludf.DUMMYFUNCTION("""COMPUTED_VALUE"""),"20040206LAFAS")</f>
        <v>20040206LAFAS</v>
      </c>
      <c r="B1566" s="8" t="str">
        <f ca="1">IFERROR(__xludf.DUMMYFUNCTION("""COMPUTED_VALUE"""),"Adult")</f>
        <v>Adult</v>
      </c>
      <c r="C1566" s="8"/>
      <c r="D1566" s="8" t="str">
        <f ca="1">IFERROR(__xludf.DUMMYFUNCTION("""COMPUTED_VALUE"""),"Police Officer/SRO")</f>
        <v>Police Officer/SRO</v>
      </c>
      <c r="E1566" s="8" t="str">
        <f ca="1">IFERROR(__xludf.DUMMYFUNCTION("""COMPUTED_VALUE"""),"Law Enforcement")</f>
        <v>Law Enforcement</v>
      </c>
      <c r="F1566" s="8" t="str">
        <f ca="1">IFERROR(__xludf.DUMMYFUNCTION("""COMPUTED_VALUE"""),"No")</f>
        <v>No</v>
      </c>
      <c r="G1566" s="8" t="str">
        <f ca="1">IFERROR(__xludf.DUMMYFUNCTION("""COMPUTED_VALUE"""),"None")</f>
        <v>None</v>
      </c>
    </row>
    <row r="1567" spans="1:7" ht="12.75">
      <c r="A1567" s="8" t="str">
        <f ca="1">IFERROR(__xludf.DUMMYFUNCTION("""COMPUTED_VALUE"""),"20040203TXYOH")</f>
        <v>20040203TXYOH</v>
      </c>
      <c r="B1567" s="8">
        <f ca="1">IFERROR(__xludf.DUMMYFUNCTION("""COMPUTED_VALUE"""),12)</f>
        <v>12</v>
      </c>
      <c r="C1567" s="8" t="str">
        <f ca="1">IFERROR(__xludf.DUMMYFUNCTION("""COMPUTED_VALUE"""),"Male")</f>
        <v>Male</v>
      </c>
      <c r="D1567" s="8" t="str">
        <f ca="1">IFERROR(__xludf.DUMMYFUNCTION("""COMPUTED_VALUE"""),"Student")</f>
        <v>Student</v>
      </c>
      <c r="E1567" s="8" t="str">
        <f ca="1">IFERROR(__xludf.DUMMYFUNCTION("""COMPUTED_VALUE"""),"Surrendered")</f>
        <v>Surrendered</v>
      </c>
      <c r="F1567" s="8" t="str">
        <f ca="1">IFERROR(__xludf.DUMMYFUNCTION("""COMPUTED_VALUE"""),"No")</f>
        <v>No</v>
      </c>
      <c r="G1567" s="8" t="str">
        <f ca="1">IFERROR(__xludf.DUMMYFUNCTION("""COMPUTED_VALUE"""),"Wounded")</f>
        <v>Wounded</v>
      </c>
    </row>
    <row r="1568" spans="1:7" ht="12.75">
      <c r="A1568" s="8" t="str">
        <f ca="1">IFERROR(__xludf.DUMMYFUNCTION("""COMPUTED_VALUE"""),"20040202DCBAW")</f>
        <v>20040202DCBAW</v>
      </c>
      <c r="B1568" s="8">
        <f ca="1">IFERROR(__xludf.DUMMYFUNCTION("""COMPUTED_VALUE"""),18)</f>
        <v>18</v>
      </c>
      <c r="C1568" s="8" t="str">
        <f ca="1">IFERROR(__xludf.DUMMYFUNCTION("""COMPUTED_VALUE"""),"Male")</f>
        <v>Male</v>
      </c>
      <c r="D1568" s="8" t="str">
        <f ca="1">IFERROR(__xludf.DUMMYFUNCTION("""COMPUTED_VALUE"""),"Student")</f>
        <v>Student</v>
      </c>
      <c r="E1568" s="8" t="str">
        <f ca="1">IFERROR(__xludf.DUMMYFUNCTION("""COMPUTED_VALUE"""),"Fled/Apprehended")</f>
        <v>Fled/Apprehended</v>
      </c>
      <c r="F1568" s="8" t="str">
        <f ca="1">IFERROR(__xludf.DUMMYFUNCTION("""COMPUTED_VALUE"""),"No")</f>
        <v>No</v>
      </c>
      <c r="G1568" s="8" t="str">
        <f ca="1">IFERROR(__xludf.DUMMYFUNCTION("""COMPUTED_VALUE"""),"None")</f>
        <v>None</v>
      </c>
    </row>
    <row r="1569" spans="1:7" ht="12.75">
      <c r="A1569" s="8" t="str">
        <f ca="1">IFERROR(__xludf.DUMMYFUNCTION("""COMPUTED_VALUE"""),"20040121NVFAH")</f>
        <v>20040121NVFAH</v>
      </c>
      <c r="B1569" s="8">
        <f ca="1">IFERROR(__xludf.DUMMYFUNCTION("""COMPUTED_VALUE"""),40)</f>
        <v>40</v>
      </c>
      <c r="C1569" s="8" t="str">
        <f ca="1">IFERROR(__xludf.DUMMYFUNCTION("""COMPUTED_VALUE"""),"Male")</f>
        <v>Male</v>
      </c>
      <c r="D1569" s="8" t="str">
        <f ca="1">IFERROR(__xludf.DUMMYFUNCTION("""COMPUTED_VALUE"""),"Intimate Relationship")</f>
        <v>Intimate Relationship</v>
      </c>
      <c r="E1569" s="8" t="str">
        <f ca="1">IFERROR(__xludf.DUMMYFUNCTION("""COMPUTED_VALUE"""),"Apprehended/Killed by LE")</f>
        <v>Apprehended/Killed by LE</v>
      </c>
      <c r="F1569" s="8" t="str">
        <f ca="1">IFERROR(__xludf.DUMMYFUNCTION("""COMPUTED_VALUE"""),"Yes")</f>
        <v>Yes</v>
      </c>
      <c r="G1569" s="8" t="str">
        <f ca="1">IFERROR(__xludf.DUMMYFUNCTION("""COMPUTED_VALUE"""),"Fatal")</f>
        <v>Fatal</v>
      </c>
    </row>
    <row r="1570" spans="1:7" ht="12.75">
      <c r="A1570" s="8" t="str">
        <f ca="1">IFERROR(__xludf.DUMMYFUNCTION("""COMPUTED_VALUE"""),"20040115CAPOP")</f>
        <v>20040115CAPOP</v>
      </c>
      <c r="B1570" s="8">
        <f ca="1">IFERROR(__xludf.DUMMYFUNCTION("""COMPUTED_VALUE"""),17)</f>
        <v>17</v>
      </c>
      <c r="C1570" s="8" t="str">
        <f ca="1">IFERROR(__xludf.DUMMYFUNCTION("""COMPUTED_VALUE"""),"Male")</f>
        <v>Male</v>
      </c>
      <c r="D1570" s="8" t="str">
        <f ca="1">IFERROR(__xludf.DUMMYFUNCTION("""COMPUTED_VALUE"""),"Student")</f>
        <v>Student</v>
      </c>
      <c r="E1570" s="8" t="str">
        <f ca="1">IFERROR(__xludf.DUMMYFUNCTION("""COMPUTED_VALUE"""),"Unknown")</f>
        <v>Unknown</v>
      </c>
      <c r="F1570" s="8" t="str">
        <f ca="1">IFERROR(__xludf.DUMMYFUNCTION("""COMPUTED_VALUE"""),"No")</f>
        <v>No</v>
      </c>
      <c r="G1570" s="8" t="str">
        <f ca="1">IFERROR(__xludf.DUMMYFUNCTION("""COMPUTED_VALUE"""),"None")</f>
        <v>None</v>
      </c>
    </row>
    <row r="1571" spans="1:7" ht="12.75">
      <c r="A1571" s="8" t="str">
        <f ca="1">IFERROR(__xludf.DUMMYFUNCTION("""COMPUTED_VALUE"""),"20031229FLABE")</f>
        <v>20031229FLABE</v>
      </c>
      <c r="B1571" s="8">
        <f ca="1">IFERROR(__xludf.DUMMYFUNCTION("""COMPUTED_VALUE"""),16)</f>
        <v>16</v>
      </c>
      <c r="C1571" s="8" t="str">
        <f ca="1">IFERROR(__xludf.DUMMYFUNCTION("""COMPUTED_VALUE"""),"Male")</f>
        <v>Male</v>
      </c>
      <c r="D1571" s="8" t="str">
        <f ca="1">IFERROR(__xludf.DUMMYFUNCTION("""COMPUTED_VALUE"""),"Unknown")</f>
        <v>Unknown</v>
      </c>
      <c r="E1571" s="8" t="str">
        <f ca="1">IFERROR(__xludf.DUMMYFUNCTION("""COMPUTED_VALUE"""),"Fled/Apprehended")</f>
        <v>Fled/Apprehended</v>
      </c>
      <c r="F1571" s="8" t="str">
        <f ca="1">IFERROR(__xludf.DUMMYFUNCTION("""COMPUTED_VALUE"""),"No")</f>
        <v>No</v>
      </c>
      <c r="G1571" s="8" t="str">
        <f ca="1">IFERROR(__xludf.DUMMYFUNCTION("""COMPUTED_VALUE"""),"Wounded")</f>
        <v>Wounded</v>
      </c>
    </row>
    <row r="1572" spans="1:7" ht="12.75">
      <c r="A1572" s="8" t="str">
        <f ca="1">IFERROR(__xludf.DUMMYFUNCTION("""COMPUTED_VALUE"""),"20031222NJCOW")</f>
        <v>20031222NJCOW</v>
      </c>
      <c r="B1572" s="8">
        <f ca="1">IFERROR(__xludf.DUMMYFUNCTION("""COMPUTED_VALUE"""),23)</f>
        <v>23</v>
      </c>
      <c r="C1572" s="8" t="str">
        <f ca="1">IFERROR(__xludf.DUMMYFUNCTION("""COMPUTED_VALUE"""),"Male")</f>
        <v>Male</v>
      </c>
      <c r="D1572" s="8" t="str">
        <f ca="1">IFERROR(__xludf.DUMMYFUNCTION("""COMPUTED_VALUE"""),"Nonstudent Using Athletic Facilities/Attending Game")</f>
        <v>Nonstudent Using Athletic Facilities/Attending Game</v>
      </c>
      <c r="E1572" s="8" t="str">
        <f ca="1">IFERROR(__xludf.DUMMYFUNCTION("""COMPUTED_VALUE"""),"Fled/Apprehended")</f>
        <v>Fled/Apprehended</v>
      </c>
      <c r="F1572" s="8" t="str">
        <f ca="1">IFERROR(__xludf.DUMMYFUNCTION("""COMPUTED_VALUE"""),"No")</f>
        <v>No</v>
      </c>
      <c r="G1572" s="8" t="str">
        <f ca="1">IFERROR(__xludf.DUMMYFUNCTION("""COMPUTED_VALUE"""),"None")</f>
        <v>None</v>
      </c>
    </row>
    <row r="1573" spans="1:7" ht="12.75">
      <c r="A1573" s="8" t="str">
        <f ca="1">IFERROR(__xludf.DUMMYFUNCTION("""COMPUTED_VALUE"""),"20031217MDOLM")</f>
        <v>20031217MDOLM</v>
      </c>
      <c r="B1573" s="8"/>
      <c r="C1573" s="8"/>
      <c r="D1573" s="8" t="str">
        <f ca="1">IFERROR(__xludf.DUMMYFUNCTION("""COMPUTED_VALUE"""),"Unknown")</f>
        <v>Unknown</v>
      </c>
      <c r="E1573" s="8" t="str">
        <f ca="1">IFERROR(__xludf.DUMMYFUNCTION("""COMPUTED_VALUE"""),"Fled/Escaped")</f>
        <v>Fled/Escaped</v>
      </c>
      <c r="F1573" s="8" t="str">
        <f ca="1">IFERROR(__xludf.DUMMYFUNCTION("""COMPUTED_VALUE"""),"No")</f>
        <v>No</v>
      </c>
      <c r="G1573" s="8" t="str">
        <f ca="1">IFERROR(__xludf.DUMMYFUNCTION("""COMPUTED_VALUE"""),"None")</f>
        <v>None</v>
      </c>
    </row>
    <row r="1574" spans="1:7" ht="12.75">
      <c r="A1574" s="8" t="str">
        <f ca="1">IFERROR(__xludf.DUMMYFUNCTION("""COMPUTED_VALUE"""),"20031205ILCAC")</f>
        <v>20031205ILCAC</v>
      </c>
      <c r="B1574" s="8">
        <f ca="1">IFERROR(__xludf.DUMMYFUNCTION("""COMPUTED_VALUE"""),17)</f>
        <v>17</v>
      </c>
      <c r="C1574" s="8" t="str">
        <f ca="1">IFERROR(__xludf.DUMMYFUNCTION("""COMPUTED_VALUE"""),"Male")</f>
        <v>Male</v>
      </c>
      <c r="D1574" s="8" t="str">
        <f ca="1">IFERROR(__xludf.DUMMYFUNCTION("""COMPUTED_VALUE"""),"Student")</f>
        <v>Student</v>
      </c>
      <c r="E1574" s="8" t="str">
        <f ca="1">IFERROR(__xludf.DUMMYFUNCTION("""COMPUTED_VALUE"""),"Fled/Apprehended")</f>
        <v>Fled/Apprehended</v>
      </c>
      <c r="F1574" s="8" t="str">
        <f ca="1">IFERROR(__xludf.DUMMYFUNCTION("""COMPUTED_VALUE"""),"No")</f>
        <v>No</v>
      </c>
      <c r="G1574" s="8" t="str">
        <f ca="1">IFERROR(__xludf.DUMMYFUNCTION("""COMPUTED_VALUE"""),"None")</f>
        <v>None</v>
      </c>
    </row>
    <row r="1575" spans="1:7" ht="12.75">
      <c r="A1575" s="8" t="str">
        <f ca="1">IFERROR(__xludf.DUMMYFUNCTION("""COMPUTED_VALUE"""),"20031204OKDOO")</f>
        <v>20031204OKDOO</v>
      </c>
      <c r="B1575" s="8">
        <f ca="1">IFERROR(__xludf.DUMMYFUNCTION("""COMPUTED_VALUE"""),18)</f>
        <v>18</v>
      </c>
      <c r="C1575" s="8" t="str">
        <f ca="1">IFERROR(__xludf.DUMMYFUNCTION("""COMPUTED_VALUE"""),"Male")</f>
        <v>Male</v>
      </c>
      <c r="D1575" s="8" t="str">
        <f ca="1">IFERROR(__xludf.DUMMYFUNCTION("""COMPUTED_VALUE"""),"Student")</f>
        <v>Student</v>
      </c>
      <c r="E1575" s="8" t="str">
        <f ca="1">IFERROR(__xludf.DUMMYFUNCTION("""COMPUTED_VALUE"""),"Fled/Apprehended")</f>
        <v>Fled/Apprehended</v>
      </c>
      <c r="F1575" s="8" t="str">
        <f ca="1">IFERROR(__xludf.DUMMYFUNCTION("""COMPUTED_VALUE"""),"No")</f>
        <v>No</v>
      </c>
      <c r="G1575" s="8" t="str">
        <f ca="1">IFERROR(__xludf.DUMMYFUNCTION("""COMPUTED_VALUE"""),"None")</f>
        <v>None</v>
      </c>
    </row>
    <row r="1576" spans="1:7" ht="12.75">
      <c r="A1576" s="8" t="str">
        <f ca="1">IFERROR(__xludf.DUMMYFUNCTION("""COMPUTED_VALUE"""),"20031202ILFEC")</f>
        <v>20031202ILFEC</v>
      </c>
      <c r="B1576" s="8" t="str">
        <f ca="1">IFERROR(__xludf.DUMMYFUNCTION("""COMPUTED_VALUE"""),"Adult")</f>
        <v>Adult</v>
      </c>
      <c r="C1576" s="8" t="str">
        <f ca="1">IFERROR(__xludf.DUMMYFUNCTION("""COMPUTED_VALUE"""),"Male")</f>
        <v>Male</v>
      </c>
      <c r="D1576" s="8" t="str">
        <f ca="1">IFERROR(__xludf.DUMMYFUNCTION("""COMPUTED_VALUE"""),"Police Officer/SRO")</f>
        <v>Police Officer/SRO</v>
      </c>
      <c r="E1576" s="8" t="str">
        <f ca="1">IFERROR(__xludf.DUMMYFUNCTION("""COMPUTED_VALUE"""),"Apprehended/Killed by LE")</f>
        <v>Apprehended/Killed by LE</v>
      </c>
      <c r="F1576" s="8" t="str">
        <f ca="1">IFERROR(__xludf.DUMMYFUNCTION("""COMPUTED_VALUE"""),"Yes")</f>
        <v>Yes</v>
      </c>
      <c r="G1576" s="8" t="str">
        <f ca="1">IFERROR(__xludf.DUMMYFUNCTION("""COMPUTED_VALUE"""),"Fatal")</f>
        <v>Fatal</v>
      </c>
    </row>
    <row r="1577" spans="1:7" ht="12.75">
      <c r="A1577" s="8" t="str">
        <f ca="1">IFERROR(__xludf.DUMMYFUNCTION("""COMPUTED_VALUE"""),"20031113NCEAC")</f>
        <v>20031113NCEAC</v>
      </c>
      <c r="B1577" s="8">
        <f ca="1">IFERROR(__xludf.DUMMYFUNCTION("""COMPUTED_VALUE"""),15)</f>
        <v>15</v>
      </c>
      <c r="C1577" s="8" t="str">
        <f ca="1">IFERROR(__xludf.DUMMYFUNCTION("""COMPUTED_VALUE"""),"Male")</f>
        <v>Male</v>
      </c>
      <c r="D1577" s="8" t="str">
        <f ca="1">IFERROR(__xludf.DUMMYFUNCTION("""COMPUTED_VALUE"""),"Student")</f>
        <v>Student</v>
      </c>
      <c r="E1577" s="8" t="str">
        <f ca="1">IFERROR(__xludf.DUMMYFUNCTION("""COMPUTED_VALUE"""),"Unknown")</f>
        <v>Unknown</v>
      </c>
      <c r="F1577" s="8" t="str">
        <f ca="1">IFERROR(__xludf.DUMMYFUNCTION("""COMPUTED_VALUE"""),"No")</f>
        <v>No</v>
      </c>
      <c r="G1577" s="8" t="str">
        <f ca="1">IFERROR(__xludf.DUMMYFUNCTION("""COMPUTED_VALUE"""),"None")</f>
        <v>None</v>
      </c>
    </row>
    <row r="1578" spans="1:7" ht="12.75">
      <c r="A1578" s="8" t="str">
        <f ca="1">IFERROR(__xludf.DUMMYFUNCTION("""COMPUTED_VALUE"""),"20031108TXHIS")</f>
        <v>20031108TXHIS</v>
      </c>
      <c r="B1578" s="8">
        <f ca="1">IFERROR(__xludf.DUMMYFUNCTION("""COMPUTED_VALUE"""),21)</f>
        <v>21</v>
      </c>
      <c r="C1578" s="8" t="str">
        <f ca="1">IFERROR(__xludf.DUMMYFUNCTION("""COMPUTED_VALUE"""),"Male")</f>
        <v>Male</v>
      </c>
      <c r="D1578" s="8" t="str">
        <f ca="1">IFERROR(__xludf.DUMMYFUNCTION("""COMPUTED_VALUE"""),"Nonstudent Using Athletic Facilities/Attending Game")</f>
        <v>Nonstudent Using Athletic Facilities/Attending Game</v>
      </c>
      <c r="E1578" s="8" t="str">
        <f ca="1">IFERROR(__xludf.DUMMYFUNCTION("""COMPUTED_VALUE"""),"Fled/Apprehended")</f>
        <v>Fled/Apprehended</v>
      </c>
      <c r="F1578" s="8" t="str">
        <f ca="1">IFERROR(__xludf.DUMMYFUNCTION("""COMPUTED_VALUE"""),"No")</f>
        <v>No</v>
      </c>
      <c r="G1578" s="8" t="str">
        <f ca="1">IFERROR(__xludf.DUMMYFUNCTION("""COMPUTED_VALUE"""),"None")</f>
        <v>None</v>
      </c>
    </row>
    <row r="1579" spans="1:7" ht="12.75">
      <c r="A1579" s="8" t="str">
        <f ca="1">IFERROR(__xludf.DUMMYFUNCTION("""COMPUTED_VALUE"""),"20031030DCANW")</f>
        <v>20031030DCANW</v>
      </c>
      <c r="B1579" s="8"/>
      <c r="C1579" s="8" t="str">
        <f ca="1">IFERROR(__xludf.DUMMYFUNCTION("""COMPUTED_VALUE"""),"Male")</f>
        <v>Male</v>
      </c>
      <c r="D1579" s="8" t="str">
        <f ca="1">IFERROR(__xludf.DUMMYFUNCTION("""COMPUTED_VALUE"""),"Unknown")</f>
        <v>Unknown</v>
      </c>
      <c r="E1579" s="8" t="str">
        <f ca="1">IFERROR(__xludf.DUMMYFUNCTION("""COMPUTED_VALUE"""),"Fled/Escaped")</f>
        <v>Fled/Escaped</v>
      </c>
      <c r="F1579" s="8" t="str">
        <f ca="1">IFERROR(__xludf.DUMMYFUNCTION("""COMPUTED_VALUE"""),"No")</f>
        <v>No</v>
      </c>
      <c r="G1579" s="8" t="str">
        <f ca="1">IFERROR(__xludf.DUMMYFUNCTION("""COMPUTED_VALUE"""),"None")</f>
        <v>None</v>
      </c>
    </row>
    <row r="1580" spans="1:7" ht="12.75">
      <c r="A1580" s="8" t="str">
        <f ca="1">IFERROR(__xludf.DUMMYFUNCTION("""COMPUTED_VALUE"""),"20031029LAMAM")</f>
        <v>20031029LAMAM</v>
      </c>
      <c r="B1580" s="8">
        <f ca="1">IFERROR(__xludf.DUMMYFUNCTION("""COMPUTED_VALUE"""),14)</f>
        <v>14</v>
      </c>
      <c r="C1580" s="8" t="str">
        <f ca="1">IFERROR(__xludf.DUMMYFUNCTION("""COMPUTED_VALUE"""),"Male")</f>
        <v>Male</v>
      </c>
      <c r="D1580" s="8" t="str">
        <f ca="1">IFERROR(__xludf.DUMMYFUNCTION("""COMPUTED_VALUE"""),"Student")</f>
        <v>Student</v>
      </c>
      <c r="E1580" s="8" t="str">
        <f ca="1">IFERROR(__xludf.DUMMYFUNCTION("""COMPUTED_VALUE"""),"Apprehended/Killed by LE")</f>
        <v>Apprehended/Killed by LE</v>
      </c>
      <c r="F1580" s="8" t="str">
        <f ca="1">IFERROR(__xludf.DUMMYFUNCTION("""COMPUTED_VALUE"""),"No")</f>
        <v>No</v>
      </c>
      <c r="G1580" s="8" t="str">
        <f ca="1">IFERROR(__xludf.DUMMYFUNCTION("""COMPUTED_VALUE"""),"None")</f>
        <v>None</v>
      </c>
    </row>
    <row r="1581" spans="1:7" ht="12.75">
      <c r="A1581" s="8" t="str">
        <f ca="1">IFERROR(__xludf.DUMMYFUNCTION("""COMPUTED_VALUE"""),"20031007OHKEA")</f>
        <v>20031007OHKEA</v>
      </c>
      <c r="B1581" s="8">
        <f ca="1">IFERROR(__xludf.DUMMYFUNCTION("""COMPUTED_VALUE"""),17)</f>
        <v>17</v>
      </c>
      <c r="C1581" s="8" t="str">
        <f ca="1">IFERROR(__xludf.DUMMYFUNCTION("""COMPUTED_VALUE"""),"Male")</f>
        <v>Male</v>
      </c>
      <c r="D1581" s="8" t="str">
        <f ca="1">IFERROR(__xludf.DUMMYFUNCTION("""COMPUTED_VALUE"""),"Student")</f>
        <v>Student</v>
      </c>
      <c r="E1581" s="8" t="str">
        <f ca="1">IFERROR(__xludf.DUMMYFUNCTION("""COMPUTED_VALUE"""),"Fled/Apprehended")</f>
        <v>Fled/Apprehended</v>
      </c>
      <c r="F1581" s="8" t="str">
        <f ca="1">IFERROR(__xludf.DUMMYFUNCTION("""COMPUTED_VALUE"""),"No")</f>
        <v>No</v>
      </c>
      <c r="G1581" s="8" t="str">
        <f ca="1">IFERROR(__xludf.DUMMYFUNCTION("""COMPUTED_VALUE"""),"None")</f>
        <v>None</v>
      </c>
    </row>
    <row r="1582" spans="1:7" ht="12.75">
      <c r="A1582" s="8" t="str">
        <f ca="1">IFERROR(__xludf.DUMMYFUNCTION("""COMPUTED_VALUE"""),"20031001CARIS")</f>
        <v>20031001CARIS</v>
      </c>
      <c r="B1582" s="8">
        <f ca="1">IFERROR(__xludf.DUMMYFUNCTION("""COMPUTED_VALUE"""),18)</f>
        <v>18</v>
      </c>
      <c r="C1582" s="8" t="str">
        <f ca="1">IFERROR(__xludf.DUMMYFUNCTION("""COMPUTED_VALUE"""),"Male")</f>
        <v>Male</v>
      </c>
      <c r="D1582" s="8" t="str">
        <f ca="1">IFERROR(__xludf.DUMMYFUNCTION("""COMPUTED_VALUE"""),"Police Officer/SRO")</f>
        <v>Police Officer/SRO</v>
      </c>
      <c r="E1582" s="8" t="str">
        <f ca="1">IFERROR(__xludf.DUMMYFUNCTION("""COMPUTED_VALUE"""),"Apprehended/Killed by LE")</f>
        <v>Apprehended/Killed by LE</v>
      </c>
      <c r="F1582" s="8" t="str">
        <f ca="1">IFERROR(__xludf.DUMMYFUNCTION("""COMPUTED_VALUE"""),"No")</f>
        <v>No</v>
      </c>
      <c r="G1582" s="8" t="str">
        <f ca="1">IFERROR(__xludf.DUMMYFUNCTION("""COMPUTED_VALUE"""),"Wounded")</f>
        <v>Wounded</v>
      </c>
    </row>
    <row r="1583" spans="1:7" ht="12.75">
      <c r="A1583" s="8" t="str">
        <f ca="1">IFERROR(__xludf.DUMMYFUNCTION("""COMPUTED_VALUE"""),"20030925NCBUL")</f>
        <v>20030925NCBUL</v>
      </c>
      <c r="B1583" s="8">
        <f ca="1">IFERROR(__xludf.DUMMYFUNCTION("""COMPUTED_VALUE"""),13)</f>
        <v>13</v>
      </c>
      <c r="C1583" s="8" t="str">
        <f ca="1">IFERROR(__xludf.DUMMYFUNCTION("""COMPUTED_VALUE"""),"Male")</f>
        <v>Male</v>
      </c>
      <c r="D1583" s="8" t="str">
        <f ca="1">IFERROR(__xludf.DUMMYFUNCTION("""COMPUTED_VALUE"""),"Student")</f>
        <v>Student</v>
      </c>
      <c r="E1583" s="8" t="str">
        <f ca="1">IFERROR(__xludf.DUMMYFUNCTION("""COMPUTED_VALUE"""),"Apprehended/Killed by LE")</f>
        <v>Apprehended/Killed by LE</v>
      </c>
      <c r="F1583" s="8" t="str">
        <f ca="1">IFERROR(__xludf.DUMMYFUNCTION("""COMPUTED_VALUE"""),"No")</f>
        <v>No</v>
      </c>
      <c r="G1583" s="8" t="str">
        <f ca="1">IFERROR(__xludf.DUMMYFUNCTION("""COMPUTED_VALUE"""),"None")</f>
        <v>None</v>
      </c>
    </row>
    <row r="1584" spans="1:7" ht="12.75">
      <c r="A1584" s="8" t="str">
        <f ca="1">IFERROR(__xludf.DUMMYFUNCTION("""COMPUTED_VALUE"""),"20030924MNROC")</f>
        <v>20030924MNROC</v>
      </c>
      <c r="B1584" s="8">
        <f ca="1">IFERROR(__xludf.DUMMYFUNCTION("""COMPUTED_VALUE"""),16)</f>
        <v>16</v>
      </c>
      <c r="C1584" s="8" t="str">
        <f ca="1">IFERROR(__xludf.DUMMYFUNCTION("""COMPUTED_VALUE"""),"Male")</f>
        <v>Male</v>
      </c>
      <c r="D1584" s="8" t="str">
        <f ca="1">IFERROR(__xludf.DUMMYFUNCTION("""COMPUTED_VALUE"""),"Student")</f>
        <v>Student</v>
      </c>
      <c r="E1584" s="8" t="str">
        <f ca="1">IFERROR(__xludf.DUMMYFUNCTION("""COMPUTED_VALUE"""),"Surrendered")</f>
        <v>Surrendered</v>
      </c>
      <c r="F1584" s="8" t="str">
        <f ca="1">IFERROR(__xludf.DUMMYFUNCTION("""COMPUTED_VALUE"""),"No")</f>
        <v>No</v>
      </c>
      <c r="G1584" s="8" t="str">
        <f ca="1">IFERROR(__xludf.DUMMYFUNCTION("""COMPUTED_VALUE"""),"None")</f>
        <v>None</v>
      </c>
    </row>
    <row r="1585" spans="1:7" ht="12.75">
      <c r="A1585" s="8" t="str">
        <f ca="1">IFERROR(__xludf.DUMMYFUNCTION("""COMPUTED_VALUE"""),"20030922WALES")</f>
        <v>20030922WALES</v>
      </c>
      <c r="B1585" s="8">
        <f ca="1">IFERROR(__xludf.DUMMYFUNCTION("""COMPUTED_VALUE"""),16)</f>
        <v>16</v>
      </c>
      <c r="C1585" s="8" t="str">
        <f ca="1">IFERROR(__xludf.DUMMYFUNCTION("""COMPUTED_VALUE"""),"Male")</f>
        <v>Male</v>
      </c>
      <c r="D1585" s="8" t="str">
        <f ca="1">IFERROR(__xludf.DUMMYFUNCTION("""COMPUTED_VALUE"""),"Student")</f>
        <v>Student</v>
      </c>
      <c r="E1585" s="8" t="str">
        <f ca="1">IFERROR(__xludf.DUMMYFUNCTION("""COMPUTED_VALUE"""),"Apprehended/Killed by LE")</f>
        <v>Apprehended/Killed by LE</v>
      </c>
      <c r="F1585" s="8" t="str">
        <f ca="1">IFERROR(__xludf.DUMMYFUNCTION("""COMPUTED_VALUE"""),"No")</f>
        <v>No</v>
      </c>
      <c r="G1585" s="8" t="str">
        <f ca="1">IFERROR(__xludf.DUMMYFUNCTION("""COMPUTED_VALUE"""),"None")</f>
        <v>None</v>
      </c>
    </row>
    <row r="1586" spans="1:7" ht="12.75">
      <c r="A1586" s="8" t="str">
        <f ca="1">IFERROR(__xludf.DUMMYFUNCTION("""COMPUTED_VALUE"""),"20030917MDOKE")</f>
        <v>20030917MDOKE</v>
      </c>
      <c r="B1586" s="8">
        <f ca="1">IFERROR(__xludf.DUMMYFUNCTION("""COMPUTED_VALUE"""),13)</f>
        <v>13</v>
      </c>
      <c r="C1586" s="8" t="str">
        <f ca="1">IFERROR(__xludf.DUMMYFUNCTION("""COMPUTED_VALUE"""),"Male")</f>
        <v>Male</v>
      </c>
      <c r="D1586" s="8" t="str">
        <f ca="1">IFERROR(__xludf.DUMMYFUNCTION("""COMPUTED_VALUE"""),"Student")</f>
        <v>Student</v>
      </c>
      <c r="E1586" s="8" t="str">
        <f ca="1">IFERROR(__xludf.DUMMYFUNCTION("""COMPUTED_VALUE"""),"Surrendered")</f>
        <v>Surrendered</v>
      </c>
      <c r="F1586" s="8" t="str">
        <f ca="1">IFERROR(__xludf.DUMMYFUNCTION("""COMPUTED_VALUE"""),"No")</f>
        <v>No</v>
      </c>
      <c r="G1586" s="8" t="str">
        <f ca="1">IFERROR(__xludf.DUMMYFUNCTION("""COMPUTED_VALUE"""),"None")</f>
        <v>None</v>
      </c>
    </row>
    <row r="1587" spans="1:7" ht="12.75">
      <c r="A1587" s="8" t="str">
        <f ca="1">IFERROR(__xludf.DUMMYFUNCTION("""COMPUTED_VALUE"""),"20030917MACHB")</f>
        <v>20030917MACHB</v>
      </c>
      <c r="B1587" s="8">
        <f ca="1">IFERROR(__xludf.DUMMYFUNCTION("""COMPUTED_VALUE"""),14)</f>
        <v>14</v>
      </c>
      <c r="C1587" s="8" t="str">
        <f ca="1">IFERROR(__xludf.DUMMYFUNCTION("""COMPUTED_VALUE"""),"Male")</f>
        <v>Male</v>
      </c>
      <c r="D1587" s="8" t="str">
        <f ca="1">IFERROR(__xludf.DUMMYFUNCTION("""COMPUTED_VALUE"""),"Student")</f>
        <v>Student</v>
      </c>
      <c r="E1587" s="8" t="str">
        <f ca="1">IFERROR(__xludf.DUMMYFUNCTION("""COMPUTED_VALUE"""),"Fled/Apprehended")</f>
        <v>Fled/Apprehended</v>
      </c>
      <c r="F1587" s="8" t="str">
        <f ca="1">IFERROR(__xludf.DUMMYFUNCTION("""COMPUTED_VALUE"""),"No")</f>
        <v>No</v>
      </c>
      <c r="G1587" s="8" t="str">
        <f ca="1">IFERROR(__xludf.DUMMYFUNCTION("""COMPUTED_VALUE"""),"None")</f>
        <v>None</v>
      </c>
    </row>
    <row r="1588" spans="1:7" ht="12.75">
      <c r="A1588" s="8" t="str">
        <f ca="1">IFERROR(__xludf.DUMMYFUNCTION("""COMPUTED_VALUE"""),"20030910MSVIV")</f>
        <v>20030910MSVIV</v>
      </c>
      <c r="B1588" s="8">
        <f ca="1">IFERROR(__xludf.DUMMYFUNCTION("""COMPUTED_VALUE"""),20)</f>
        <v>20</v>
      </c>
      <c r="C1588" s="8" t="str">
        <f ca="1">IFERROR(__xludf.DUMMYFUNCTION("""COMPUTED_VALUE"""),"Male")</f>
        <v>Male</v>
      </c>
      <c r="D1588" s="8" t="str">
        <f ca="1">IFERROR(__xludf.DUMMYFUNCTION("""COMPUTED_VALUE"""),"No Relation")</f>
        <v>No Relation</v>
      </c>
      <c r="E1588" s="8" t="str">
        <f ca="1">IFERROR(__xludf.DUMMYFUNCTION("""COMPUTED_VALUE"""),"Fled/Apprehended")</f>
        <v>Fled/Apprehended</v>
      </c>
      <c r="F1588" s="8" t="str">
        <f ca="1">IFERROR(__xludf.DUMMYFUNCTION("""COMPUTED_VALUE"""),"No")</f>
        <v>No</v>
      </c>
      <c r="G1588" s="8" t="str">
        <f ca="1">IFERROR(__xludf.DUMMYFUNCTION("""COMPUTED_VALUE"""),"None")</f>
        <v>None</v>
      </c>
    </row>
    <row r="1589" spans="1:7" ht="12.75">
      <c r="A1589" s="8" t="str">
        <f ca="1">IFERROR(__xludf.DUMMYFUNCTION("""COMPUTED_VALUE"""),"20030604PAROW")</f>
        <v>20030604PAROW</v>
      </c>
      <c r="B1589" s="8">
        <f ca="1">IFERROR(__xludf.DUMMYFUNCTION("""COMPUTED_VALUE"""),12)</f>
        <v>12</v>
      </c>
      <c r="C1589" s="8" t="str">
        <f ca="1">IFERROR(__xludf.DUMMYFUNCTION("""COMPUTED_VALUE"""),"Male")</f>
        <v>Male</v>
      </c>
      <c r="D1589" s="8" t="str">
        <f ca="1">IFERROR(__xludf.DUMMYFUNCTION("""COMPUTED_VALUE"""),"Student")</f>
        <v>Student</v>
      </c>
      <c r="E1589" s="8" t="str">
        <f ca="1">IFERROR(__xludf.DUMMYFUNCTION("""COMPUTED_VALUE"""),"Suicide")</f>
        <v>Suicide</v>
      </c>
      <c r="F1589" s="8" t="str">
        <f ca="1">IFERROR(__xludf.DUMMYFUNCTION("""COMPUTED_VALUE"""),"Yes")</f>
        <v>Yes</v>
      </c>
      <c r="G1589" s="8" t="str">
        <f ca="1">IFERROR(__xludf.DUMMYFUNCTION("""COMPUTED_VALUE"""),"Suicide")</f>
        <v>Suicide</v>
      </c>
    </row>
    <row r="1590" spans="1:7" ht="12.75">
      <c r="A1590" s="8" t="str">
        <f ca="1">IFERROR(__xludf.DUMMYFUNCTION("""COMPUTED_VALUE"""),"20030513PAFOJ")</f>
        <v>20030513PAFOJ</v>
      </c>
      <c r="B1590" s="8">
        <f ca="1">IFERROR(__xludf.DUMMYFUNCTION("""COMPUTED_VALUE"""),18)</f>
        <v>18</v>
      </c>
      <c r="C1590" s="8" t="str">
        <f ca="1">IFERROR(__xludf.DUMMYFUNCTION("""COMPUTED_VALUE"""),"Male")</f>
        <v>Male</v>
      </c>
      <c r="D1590" s="8" t="str">
        <f ca="1">IFERROR(__xludf.DUMMYFUNCTION("""COMPUTED_VALUE"""),"Student")</f>
        <v>Student</v>
      </c>
      <c r="E1590" s="8" t="str">
        <f ca="1">IFERROR(__xludf.DUMMYFUNCTION("""COMPUTED_VALUE"""),"Suicide")</f>
        <v>Suicide</v>
      </c>
      <c r="F1590" s="8" t="str">
        <f ca="1">IFERROR(__xludf.DUMMYFUNCTION("""COMPUTED_VALUE"""),"Yes")</f>
        <v>Yes</v>
      </c>
      <c r="G1590" s="8" t="str">
        <f ca="1">IFERROR(__xludf.DUMMYFUNCTION("""COMPUTED_VALUE"""),"Suicide")</f>
        <v>Suicide</v>
      </c>
    </row>
    <row r="1591" spans="1:7" ht="12.75">
      <c r="A1591" s="8" t="str">
        <f ca="1">IFERROR(__xludf.DUMMYFUNCTION("""COMPUTED_VALUE"""),"20030424PARER")</f>
        <v>20030424PARER</v>
      </c>
      <c r="B1591" s="8">
        <f ca="1">IFERROR(__xludf.DUMMYFUNCTION("""COMPUTED_VALUE"""),14)</f>
        <v>14</v>
      </c>
      <c r="C1591" s="8" t="str">
        <f ca="1">IFERROR(__xludf.DUMMYFUNCTION("""COMPUTED_VALUE"""),"Male")</f>
        <v>Male</v>
      </c>
      <c r="D1591" s="8" t="str">
        <f ca="1">IFERROR(__xludf.DUMMYFUNCTION("""COMPUTED_VALUE"""),"Student")</f>
        <v>Student</v>
      </c>
      <c r="E1591" s="8" t="str">
        <f ca="1">IFERROR(__xludf.DUMMYFUNCTION("""COMPUTED_VALUE"""),"Suicide")</f>
        <v>Suicide</v>
      </c>
      <c r="F1591" s="8" t="str">
        <f ca="1">IFERROR(__xludf.DUMMYFUNCTION("""COMPUTED_VALUE"""),"Yes")</f>
        <v>Yes</v>
      </c>
      <c r="G1591" s="8" t="str">
        <f ca="1">IFERROR(__xludf.DUMMYFUNCTION("""COMPUTED_VALUE"""),"Suicide")</f>
        <v>Suicide</v>
      </c>
    </row>
    <row r="1592" spans="1:7" ht="12.75">
      <c r="A1592" s="8" t="str">
        <f ca="1">IFERROR(__xludf.DUMMYFUNCTION("""COMPUTED_VALUE"""),"20030416TXGRA")</f>
        <v>20030416TXGRA</v>
      </c>
      <c r="B1592" s="8">
        <f ca="1">IFERROR(__xludf.DUMMYFUNCTION("""COMPUTED_VALUE"""),12)</f>
        <v>12</v>
      </c>
      <c r="C1592" s="8" t="str">
        <f ca="1">IFERROR(__xludf.DUMMYFUNCTION("""COMPUTED_VALUE"""),"Female")</f>
        <v>Female</v>
      </c>
      <c r="D1592" s="8" t="str">
        <f ca="1">IFERROR(__xludf.DUMMYFUNCTION("""COMPUTED_VALUE"""),"Student")</f>
        <v>Student</v>
      </c>
      <c r="E1592" s="8" t="str">
        <f ca="1">IFERROR(__xludf.DUMMYFUNCTION("""COMPUTED_VALUE"""),"Suicide")</f>
        <v>Suicide</v>
      </c>
      <c r="F1592" s="8" t="str">
        <f ca="1">IFERROR(__xludf.DUMMYFUNCTION("""COMPUTED_VALUE"""),"Yes")</f>
        <v>Yes</v>
      </c>
      <c r="G1592" s="8" t="str">
        <f ca="1">IFERROR(__xludf.DUMMYFUNCTION("""COMPUTED_VALUE"""),"Suicide")</f>
        <v>Suicide</v>
      </c>
    </row>
    <row r="1593" spans="1:7" ht="12.75">
      <c r="A1593" s="8" t="str">
        <f ca="1">IFERROR(__xludf.DUMMYFUNCTION("""COMPUTED_VALUE"""),"20030414LAJON")</f>
        <v>20030414LAJON</v>
      </c>
      <c r="B1593" s="8">
        <f ca="1">IFERROR(__xludf.DUMMYFUNCTION("""COMPUTED_VALUE"""),17)</f>
        <v>17</v>
      </c>
      <c r="C1593" s="8" t="str">
        <f ca="1">IFERROR(__xludf.DUMMYFUNCTION("""COMPUTED_VALUE"""),"Male")</f>
        <v>Male</v>
      </c>
      <c r="D1593" s="8" t="str">
        <f ca="1">IFERROR(__xludf.DUMMYFUNCTION("""COMPUTED_VALUE"""),"Rival School Student")</f>
        <v>Rival School Student</v>
      </c>
      <c r="E1593" s="8" t="str">
        <f ca="1">IFERROR(__xludf.DUMMYFUNCTION("""COMPUTED_VALUE"""),"Fled/Apprehended")</f>
        <v>Fled/Apprehended</v>
      </c>
      <c r="F1593" s="8" t="str">
        <f ca="1">IFERROR(__xludf.DUMMYFUNCTION("""COMPUTED_VALUE"""),"No")</f>
        <v>No</v>
      </c>
      <c r="G1593" s="8" t="str">
        <f ca="1">IFERROR(__xludf.DUMMYFUNCTION("""COMPUTED_VALUE"""),"None")</f>
        <v>None</v>
      </c>
    </row>
    <row r="1594" spans="1:7" ht="12.75">
      <c r="A1594" s="8" t="str">
        <f ca="1">IFERROR(__xludf.DUMMYFUNCTION("""COMPUTED_VALUE"""),"20030414LAJON")</f>
        <v>20030414LAJON</v>
      </c>
      <c r="B1594" s="8">
        <f ca="1">IFERROR(__xludf.DUMMYFUNCTION("""COMPUTED_VALUE"""),17)</f>
        <v>17</v>
      </c>
      <c r="C1594" s="8" t="str">
        <f ca="1">IFERROR(__xludf.DUMMYFUNCTION("""COMPUTED_VALUE"""),"Male")</f>
        <v>Male</v>
      </c>
      <c r="D1594" s="8" t="str">
        <f ca="1">IFERROR(__xludf.DUMMYFUNCTION("""COMPUTED_VALUE"""),"Rival School Student")</f>
        <v>Rival School Student</v>
      </c>
      <c r="E1594" s="8" t="str">
        <f ca="1">IFERROR(__xludf.DUMMYFUNCTION("""COMPUTED_VALUE"""),"Fled/Apprehended")</f>
        <v>Fled/Apprehended</v>
      </c>
      <c r="F1594" s="8" t="str">
        <f ca="1">IFERROR(__xludf.DUMMYFUNCTION("""COMPUTED_VALUE"""),"No")</f>
        <v>No</v>
      </c>
      <c r="G1594" s="8" t="str">
        <f ca="1">IFERROR(__xludf.DUMMYFUNCTION("""COMPUTED_VALUE"""),"None")</f>
        <v>None</v>
      </c>
    </row>
    <row r="1595" spans="1:7" ht="12.75">
      <c r="A1595" s="8" t="str">
        <f ca="1">IFERROR(__xludf.DUMMYFUNCTION("""COMPUTED_VALUE"""),"20030414LAJON")</f>
        <v>20030414LAJON</v>
      </c>
      <c r="B1595" s="8">
        <f ca="1">IFERROR(__xludf.DUMMYFUNCTION("""COMPUTED_VALUE"""),18)</f>
        <v>18</v>
      </c>
      <c r="C1595" s="8" t="str">
        <f ca="1">IFERROR(__xludf.DUMMYFUNCTION("""COMPUTED_VALUE"""),"Male")</f>
        <v>Male</v>
      </c>
      <c r="D1595" s="8" t="str">
        <f ca="1">IFERROR(__xludf.DUMMYFUNCTION("""COMPUTED_VALUE"""),"Rival School Student")</f>
        <v>Rival School Student</v>
      </c>
      <c r="E1595" s="8" t="str">
        <f ca="1">IFERROR(__xludf.DUMMYFUNCTION("""COMPUTED_VALUE"""),"Fled/Apprehended")</f>
        <v>Fled/Apprehended</v>
      </c>
      <c r="F1595" s="8" t="str">
        <f ca="1">IFERROR(__xludf.DUMMYFUNCTION("""COMPUTED_VALUE"""),"No")</f>
        <v>No</v>
      </c>
      <c r="G1595" s="8" t="str">
        <f ca="1">IFERROR(__xludf.DUMMYFUNCTION("""COMPUTED_VALUE"""),"None")</f>
        <v>None</v>
      </c>
    </row>
    <row r="1596" spans="1:7" ht="12.75">
      <c r="A1596" s="8" t="str">
        <f ca="1">IFERROR(__xludf.DUMMYFUNCTION("""COMPUTED_VALUE"""),"20030414LAFAS")</f>
        <v>20030414LAFAS</v>
      </c>
      <c r="B1596" s="8">
        <f ca="1">IFERROR(__xludf.DUMMYFUNCTION("""COMPUTED_VALUE"""),18)</f>
        <v>18</v>
      </c>
      <c r="C1596" s="8" t="str">
        <f ca="1">IFERROR(__xludf.DUMMYFUNCTION("""COMPUTED_VALUE"""),"Male")</f>
        <v>Male</v>
      </c>
      <c r="D1596" s="8" t="str">
        <f ca="1">IFERROR(__xludf.DUMMYFUNCTION("""COMPUTED_VALUE"""),"Student")</f>
        <v>Student</v>
      </c>
      <c r="E1596" s="8" t="str">
        <f ca="1">IFERROR(__xludf.DUMMYFUNCTION("""COMPUTED_VALUE"""),"Fled/Apprehended")</f>
        <v>Fled/Apprehended</v>
      </c>
      <c r="F1596" s="8" t="str">
        <f ca="1">IFERROR(__xludf.DUMMYFUNCTION("""COMPUTED_VALUE"""),"No")</f>
        <v>No</v>
      </c>
      <c r="G1596" s="8" t="str">
        <f ca="1">IFERROR(__xludf.DUMMYFUNCTION("""COMPUTED_VALUE"""),"None")</f>
        <v>None</v>
      </c>
    </row>
    <row r="1597" spans="1:7" ht="12.75">
      <c r="A1597" s="8" t="str">
        <f ca="1">IFERROR(__xludf.DUMMYFUNCTION("""COMPUTED_VALUE"""),"20030410CAWAW")</f>
        <v>20030410CAWAW</v>
      </c>
      <c r="B1597" s="8">
        <f ca="1">IFERROR(__xludf.DUMMYFUNCTION("""COMPUTED_VALUE"""),18)</f>
        <v>18</v>
      </c>
      <c r="C1597" s="8" t="str">
        <f ca="1">IFERROR(__xludf.DUMMYFUNCTION("""COMPUTED_VALUE"""),"Male")</f>
        <v>Male</v>
      </c>
      <c r="D1597" s="8" t="str">
        <f ca="1">IFERROR(__xludf.DUMMYFUNCTION("""COMPUTED_VALUE"""),"Student")</f>
        <v>Student</v>
      </c>
      <c r="E1597" s="8" t="str">
        <f ca="1">IFERROR(__xludf.DUMMYFUNCTION("""COMPUTED_VALUE"""),"Suicide")</f>
        <v>Suicide</v>
      </c>
      <c r="F1597" s="8" t="str">
        <f ca="1">IFERROR(__xludf.DUMMYFUNCTION("""COMPUTED_VALUE"""),"Yes")</f>
        <v>Yes</v>
      </c>
      <c r="G1597" s="8" t="str">
        <f ca="1">IFERROR(__xludf.DUMMYFUNCTION("""COMPUTED_VALUE"""),"Suicide")</f>
        <v>Suicide</v>
      </c>
    </row>
    <row r="1598" spans="1:7" ht="12.75">
      <c r="A1598" s="8" t="str">
        <f ca="1">IFERROR(__xludf.DUMMYFUNCTION("""COMPUTED_VALUE"""),"20030401DCCAW")</f>
        <v>20030401DCCAW</v>
      </c>
      <c r="B1598" s="8">
        <f ca="1">IFERROR(__xludf.DUMMYFUNCTION("""COMPUTED_VALUE"""),15)</f>
        <v>15</v>
      </c>
      <c r="C1598" s="8" t="str">
        <f ca="1">IFERROR(__xludf.DUMMYFUNCTION("""COMPUTED_VALUE"""),"Male")</f>
        <v>Male</v>
      </c>
      <c r="D1598" s="8" t="str">
        <f ca="1">IFERROR(__xludf.DUMMYFUNCTION("""COMPUTED_VALUE"""),"Student")</f>
        <v>Student</v>
      </c>
      <c r="E1598" s="8" t="str">
        <f ca="1">IFERROR(__xludf.DUMMYFUNCTION("""COMPUTED_VALUE"""),"Fled/Apprehended")</f>
        <v>Fled/Apprehended</v>
      </c>
      <c r="F1598" s="8" t="str">
        <f ca="1">IFERROR(__xludf.DUMMYFUNCTION("""COMPUTED_VALUE"""),"No")</f>
        <v>No</v>
      </c>
      <c r="G1598" s="8" t="str">
        <f ca="1">IFERROR(__xludf.DUMMYFUNCTION("""COMPUTED_VALUE"""),"None")</f>
        <v>None</v>
      </c>
    </row>
    <row r="1599" spans="1:7" ht="12.75">
      <c r="A1599" s="8" t="str">
        <f ca="1">IFERROR(__xludf.DUMMYFUNCTION("""COMPUTED_VALUE"""),"20030330CAROW")</f>
        <v>20030330CAROW</v>
      </c>
      <c r="B1599" s="8">
        <f ca="1">IFERROR(__xludf.DUMMYFUNCTION("""COMPUTED_VALUE"""),20)</f>
        <v>20</v>
      </c>
      <c r="C1599" s="8" t="str">
        <f ca="1">IFERROR(__xludf.DUMMYFUNCTION("""COMPUTED_VALUE"""),"Male")</f>
        <v>Male</v>
      </c>
      <c r="D1599" s="8" t="str">
        <f ca="1">IFERROR(__xludf.DUMMYFUNCTION("""COMPUTED_VALUE"""),"No Relation")</f>
        <v>No Relation</v>
      </c>
      <c r="E1599" s="8" t="str">
        <f ca="1">IFERROR(__xludf.DUMMYFUNCTION("""COMPUTED_VALUE"""),"Fled/Apprehended")</f>
        <v>Fled/Apprehended</v>
      </c>
      <c r="F1599" s="8" t="str">
        <f ca="1">IFERROR(__xludf.DUMMYFUNCTION("""COMPUTED_VALUE"""),"No")</f>
        <v>No</v>
      </c>
      <c r="G1599" s="8" t="str">
        <f ca="1">IFERROR(__xludf.DUMMYFUNCTION("""COMPUTED_VALUE"""),"None")</f>
        <v>None</v>
      </c>
    </row>
    <row r="1600" spans="1:7" ht="12.75">
      <c r="A1600" s="8" t="str">
        <f ca="1">IFERROR(__xludf.DUMMYFUNCTION("""COMPUTED_VALUE"""),"20030321MSNOM")</f>
        <v>20030321MSNOM</v>
      </c>
      <c r="B1600" s="8">
        <f ca="1">IFERROR(__xludf.DUMMYFUNCTION("""COMPUTED_VALUE"""),15)</f>
        <v>15</v>
      </c>
      <c r="C1600" s="8" t="str">
        <f ca="1">IFERROR(__xludf.DUMMYFUNCTION("""COMPUTED_VALUE"""),"Male")</f>
        <v>Male</v>
      </c>
      <c r="D1600" s="8" t="str">
        <f ca="1">IFERROR(__xludf.DUMMYFUNCTION("""COMPUTED_VALUE"""),"Student")</f>
        <v>Student</v>
      </c>
      <c r="E1600" s="8" t="str">
        <f ca="1">IFERROR(__xludf.DUMMYFUNCTION("""COMPUTED_VALUE"""),"Suicide")</f>
        <v>Suicide</v>
      </c>
      <c r="F1600" s="8" t="str">
        <f ca="1">IFERROR(__xludf.DUMMYFUNCTION("""COMPUTED_VALUE"""),"Yes")</f>
        <v>Yes</v>
      </c>
      <c r="G1600" s="8" t="str">
        <f ca="1">IFERROR(__xludf.DUMMYFUNCTION("""COMPUTED_VALUE"""),"Suicide")</f>
        <v>Suicide</v>
      </c>
    </row>
    <row r="1601" spans="1:7" ht="12.75">
      <c r="A1601" s="8" t="str">
        <f ca="1">IFERROR(__xludf.DUMMYFUNCTION("""COMPUTED_VALUE"""),"20030318IACLG")</f>
        <v>20030318IACLG</v>
      </c>
      <c r="B1601" s="8">
        <f ca="1">IFERROR(__xludf.DUMMYFUNCTION("""COMPUTED_VALUE"""),17)</f>
        <v>17</v>
      </c>
      <c r="C1601" s="8" t="str">
        <f ca="1">IFERROR(__xludf.DUMMYFUNCTION("""COMPUTED_VALUE"""),"Male")</f>
        <v>Male</v>
      </c>
      <c r="D1601" s="8" t="str">
        <f ca="1">IFERROR(__xludf.DUMMYFUNCTION("""COMPUTED_VALUE"""),"Student")</f>
        <v>Student</v>
      </c>
      <c r="E1601" s="8" t="str">
        <f ca="1">IFERROR(__xludf.DUMMYFUNCTION("""COMPUTED_VALUE"""),"Attempted Suicide")</f>
        <v>Attempted Suicide</v>
      </c>
      <c r="F1601" s="8" t="str">
        <f ca="1">IFERROR(__xludf.DUMMYFUNCTION("""COMPUTED_VALUE"""),"No")</f>
        <v>No</v>
      </c>
      <c r="G1601" s="8" t="str">
        <f ca="1">IFERROR(__xludf.DUMMYFUNCTION("""COMPUTED_VALUE"""),"Wounded")</f>
        <v>Wounded</v>
      </c>
    </row>
    <row r="1602" spans="1:7" ht="12.75">
      <c r="A1602" s="8" t="str">
        <f ca="1">IFERROR(__xludf.DUMMYFUNCTION("""COMPUTED_VALUE"""),"20030205CORAW")</f>
        <v>20030205CORAW</v>
      </c>
      <c r="B1602" s="8">
        <f ca="1">IFERROR(__xludf.DUMMYFUNCTION("""COMPUTED_VALUE"""),14)</f>
        <v>14</v>
      </c>
      <c r="C1602" s="8" t="str">
        <f ca="1">IFERROR(__xludf.DUMMYFUNCTION("""COMPUTED_VALUE"""),"Male")</f>
        <v>Male</v>
      </c>
      <c r="D1602" s="8" t="str">
        <f ca="1">IFERROR(__xludf.DUMMYFUNCTION("""COMPUTED_VALUE"""),"Student")</f>
        <v>Student</v>
      </c>
      <c r="E1602" s="8" t="str">
        <f ca="1">IFERROR(__xludf.DUMMYFUNCTION("""COMPUTED_VALUE"""),"Fled/Apprehended")</f>
        <v>Fled/Apprehended</v>
      </c>
      <c r="F1602" s="8" t="str">
        <f ca="1">IFERROR(__xludf.DUMMYFUNCTION("""COMPUTED_VALUE"""),"No")</f>
        <v>No</v>
      </c>
      <c r="G1602" s="8" t="str">
        <f ca="1">IFERROR(__xludf.DUMMYFUNCTION("""COMPUTED_VALUE"""),"None")</f>
        <v>None</v>
      </c>
    </row>
    <row r="1603" spans="1:7" ht="12.75">
      <c r="A1603" s="8" t="str">
        <f ca="1">IFERROR(__xludf.DUMMYFUNCTION("""COMPUTED_VALUE"""),"20030130OKJEJ")</f>
        <v>20030130OKJEJ</v>
      </c>
      <c r="B1603" s="8">
        <f ca="1">IFERROR(__xludf.DUMMYFUNCTION("""COMPUTED_VALUE"""),17)</f>
        <v>17</v>
      </c>
      <c r="C1603" s="8" t="str">
        <f ca="1">IFERROR(__xludf.DUMMYFUNCTION("""COMPUTED_VALUE"""),"Male")</f>
        <v>Male</v>
      </c>
      <c r="D1603" s="8" t="str">
        <f ca="1">IFERROR(__xludf.DUMMYFUNCTION("""COMPUTED_VALUE"""),"Student")</f>
        <v>Student</v>
      </c>
      <c r="E1603" s="8" t="str">
        <f ca="1">IFERROR(__xludf.DUMMYFUNCTION("""COMPUTED_VALUE"""),"Surrendered")</f>
        <v>Surrendered</v>
      </c>
      <c r="F1603" s="8" t="str">
        <f ca="1">IFERROR(__xludf.DUMMYFUNCTION("""COMPUTED_VALUE"""),"No")</f>
        <v>No</v>
      </c>
      <c r="G1603" s="8" t="str">
        <f ca="1">IFERROR(__xludf.DUMMYFUNCTION("""COMPUTED_VALUE"""),"None")</f>
        <v>None</v>
      </c>
    </row>
    <row r="1604" spans="1:7" ht="12.75">
      <c r="A1604" s="8" t="str">
        <f ca="1">IFERROR(__xludf.DUMMYFUNCTION("""COMPUTED_VALUE"""),"20030121KYWEO")</f>
        <v>20030121KYWEO</v>
      </c>
      <c r="B1604" s="8">
        <f ca="1">IFERROR(__xludf.DUMMYFUNCTION("""COMPUTED_VALUE"""),12)</f>
        <v>12</v>
      </c>
      <c r="C1604" s="8" t="str">
        <f ca="1">IFERROR(__xludf.DUMMYFUNCTION("""COMPUTED_VALUE"""),"Male")</f>
        <v>Male</v>
      </c>
      <c r="D1604" s="8" t="str">
        <f ca="1">IFERROR(__xludf.DUMMYFUNCTION("""COMPUTED_VALUE"""),"Student")</f>
        <v>Student</v>
      </c>
      <c r="E1604" s="8" t="str">
        <f ca="1">IFERROR(__xludf.DUMMYFUNCTION("""COMPUTED_VALUE"""),"Surrendered")</f>
        <v>Surrendered</v>
      </c>
      <c r="F1604" s="8" t="str">
        <f ca="1">IFERROR(__xludf.DUMMYFUNCTION("""COMPUTED_VALUE"""),"No")</f>
        <v>No</v>
      </c>
      <c r="G1604" s="8" t="str">
        <f ca="1">IFERROR(__xludf.DUMMYFUNCTION("""COMPUTED_VALUE"""),"None")</f>
        <v>None</v>
      </c>
    </row>
    <row r="1605" spans="1:7" ht="12.75">
      <c r="A1605" s="8" t="str">
        <f ca="1">IFERROR(__xludf.DUMMYFUNCTION("""COMPUTED_VALUE"""),"20021216ILENC")</f>
        <v>20021216ILENC</v>
      </c>
      <c r="B1605" s="8">
        <f ca="1">IFERROR(__xludf.DUMMYFUNCTION("""COMPUTED_VALUE"""),17)</f>
        <v>17</v>
      </c>
      <c r="C1605" s="8" t="str">
        <f ca="1">IFERROR(__xludf.DUMMYFUNCTION("""COMPUTED_VALUE"""),"Male")</f>
        <v>Male</v>
      </c>
      <c r="D1605" s="8" t="str">
        <f ca="1">IFERROR(__xludf.DUMMYFUNCTION("""COMPUTED_VALUE"""),"Student")</f>
        <v>Student</v>
      </c>
      <c r="E1605" s="8" t="str">
        <f ca="1">IFERROR(__xludf.DUMMYFUNCTION("""COMPUTED_VALUE"""),"Fled/Apprehended")</f>
        <v>Fled/Apprehended</v>
      </c>
      <c r="F1605" s="8" t="str">
        <f ca="1">IFERROR(__xludf.DUMMYFUNCTION("""COMPUTED_VALUE"""),"No")</f>
        <v>No</v>
      </c>
      <c r="G1605" s="8" t="str">
        <f ca="1">IFERROR(__xludf.DUMMYFUNCTION("""COMPUTED_VALUE"""),"None")</f>
        <v>None</v>
      </c>
    </row>
    <row r="1606" spans="1:7" ht="12.75">
      <c r="A1606" s="8" t="str">
        <f ca="1">IFERROR(__xludf.DUMMYFUNCTION("""COMPUTED_VALUE"""),"20021212WAWIC")</f>
        <v>20021212WAWIC</v>
      </c>
      <c r="B1606" s="8">
        <f ca="1">IFERROR(__xludf.DUMMYFUNCTION("""COMPUTED_VALUE"""),13)</f>
        <v>13</v>
      </c>
      <c r="C1606" s="8" t="str">
        <f ca="1">IFERROR(__xludf.DUMMYFUNCTION("""COMPUTED_VALUE"""),"Male")</f>
        <v>Male</v>
      </c>
      <c r="D1606" s="8" t="str">
        <f ca="1">IFERROR(__xludf.DUMMYFUNCTION("""COMPUTED_VALUE"""),"Student")</f>
        <v>Student</v>
      </c>
      <c r="E1606" s="8" t="str">
        <f ca="1">IFERROR(__xludf.DUMMYFUNCTION("""COMPUTED_VALUE"""),"Suicide")</f>
        <v>Suicide</v>
      </c>
      <c r="F1606" s="8" t="str">
        <f ca="1">IFERROR(__xludf.DUMMYFUNCTION("""COMPUTED_VALUE"""),"Yes")</f>
        <v>Yes</v>
      </c>
      <c r="G1606" s="8" t="str">
        <f ca="1">IFERROR(__xludf.DUMMYFUNCTION("""COMPUTED_VALUE"""),"Suicide")</f>
        <v>Suicide</v>
      </c>
    </row>
    <row r="1607" spans="1:7" ht="12.75">
      <c r="A1607" s="8" t="str">
        <f ca="1">IFERROR(__xludf.DUMMYFUNCTION("""COMPUTED_VALUE"""),"20021202MIOSD")</f>
        <v>20021202MIOSD</v>
      </c>
      <c r="B1607" s="8">
        <f ca="1">IFERROR(__xludf.DUMMYFUNCTION("""COMPUTED_VALUE"""),15)</f>
        <v>15</v>
      </c>
      <c r="C1607" s="8" t="str">
        <f ca="1">IFERROR(__xludf.DUMMYFUNCTION("""COMPUTED_VALUE"""),"Male")</f>
        <v>Male</v>
      </c>
      <c r="D1607" s="8" t="str">
        <f ca="1">IFERROR(__xludf.DUMMYFUNCTION("""COMPUTED_VALUE"""),"Student")</f>
        <v>Student</v>
      </c>
      <c r="E1607" s="8" t="str">
        <f ca="1">IFERROR(__xludf.DUMMYFUNCTION("""COMPUTED_VALUE"""),"Unknown")</f>
        <v>Unknown</v>
      </c>
      <c r="F1607" s="8" t="str">
        <f ca="1">IFERROR(__xludf.DUMMYFUNCTION("""COMPUTED_VALUE"""),"No")</f>
        <v>No</v>
      </c>
      <c r="G1607" s="8" t="str">
        <f ca="1">IFERROR(__xludf.DUMMYFUNCTION("""COMPUTED_VALUE"""),"Wounded")</f>
        <v>Wounded</v>
      </c>
    </row>
    <row r="1608" spans="1:7" ht="12.75">
      <c r="A1608" s="8" t="str">
        <f ca="1">IFERROR(__xludf.DUMMYFUNCTION("""COMPUTED_VALUE"""),"20021115TXSCS")</f>
        <v>20021115TXSCS</v>
      </c>
      <c r="B1608" s="8">
        <f ca="1">IFERROR(__xludf.DUMMYFUNCTION("""COMPUTED_VALUE"""),18)</f>
        <v>18</v>
      </c>
      <c r="C1608" s="8" t="str">
        <f ca="1">IFERROR(__xludf.DUMMYFUNCTION("""COMPUTED_VALUE"""),"Male")</f>
        <v>Male</v>
      </c>
      <c r="D1608" s="8" t="str">
        <f ca="1">IFERROR(__xludf.DUMMYFUNCTION("""COMPUTED_VALUE"""),"Former Student")</f>
        <v>Former Student</v>
      </c>
      <c r="E1608" s="8" t="str">
        <f ca="1">IFERROR(__xludf.DUMMYFUNCTION("""COMPUTED_VALUE"""),"Subdued by Students/Staff/Other")</f>
        <v>Subdued by Students/Staff/Other</v>
      </c>
      <c r="F1608" s="8" t="str">
        <f ca="1">IFERROR(__xludf.DUMMYFUNCTION("""COMPUTED_VALUE"""),"No")</f>
        <v>No</v>
      </c>
      <c r="G1608" s="8" t="str">
        <f ca="1">IFERROR(__xludf.DUMMYFUNCTION("""COMPUTED_VALUE"""),"None")</f>
        <v>None</v>
      </c>
    </row>
    <row r="1609" spans="1:7" ht="12.75">
      <c r="A1609" s="8" t="str">
        <f ca="1">IFERROR(__xludf.DUMMYFUNCTION("""COMPUTED_VALUE"""),"20021115CAAML")</f>
        <v>20021115CAAML</v>
      </c>
      <c r="B1609" s="8"/>
      <c r="C1609" s="8"/>
      <c r="D1609" s="8" t="str">
        <f ca="1">IFERROR(__xludf.DUMMYFUNCTION("""COMPUTED_VALUE"""),"Unknown")</f>
        <v>Unknown</v>
      </c>
      <c r="E1609" s="8" t="str">
        <f ca="1">IFERROR(__xludf.DUMMYFUNCTION("""COMPUTED_VALUE"""),"Fled/Escaped")</f>
        <v>Fled/Escaped</v>
      </c>
      <c r="F1609" s="8" t="str">
        <f ca="1">IFERROR(__xludf.DUMMYFUNCTION("""COMPUTED_VALUE"""),"No")</f>
        <v>No</v>
      </c>
      <c r="G1609" s="8" t="str">
        <f ca="1">IFERROR(__xludf.DUMMYFUNCTION("""COMPUTED_VALUE"""),"None")</f>
        <v>None</v>
      </c>
    </row>
    <row r="1610" spans="1:7" ht="12.75">
      <c r="A1610" s="8" t="str">
        <f ca="1">IFERROR(__xludf.DUMMYFUNCTION("""COMPUTED_VALUE"""),"20021107MOSTL")</f>
        <v>20021107MOSTL</v>
      </c>
      <c r="B1610" s="8">
        <f ca="1">IFERROR(__xludf.DUMMYFUNCTION("""COMPUTED_VALUE"""),43)</f>
        <v>43</v>
      </c>
      <c r="C1610" s="8" t="str">
        <f ca="1">IFERROR(__xludf.DUMMYFUNCTION("""COMPUTED_VALUE"""),"Male")</f>
        <v>Male</v>
      </c>
      <c r="D1610" s="8" t="str">
        <f ca="1">IFERROR(__xludf.DUMMYFUNCTION("""COMPUTED_VALUE"""),"Parent")</f>
        <v>Parent</v>
      </c>
      <c r="E1610" s="8" t="str">
        <f ca="1">IFERROR(__xludf.DUMMYFUNCTION("""COMPUTED_VALUE"""),"Fled/Apprehended")</f>
        <v>Fled/Apprehended</v>
      </c>
      <c r="F1610" s="8" t="str">
        <f ca="1">IFERROR(__xludf.DUMMYFUNCTION("""COMPUTED_VALUE"""),"No")</f>
        <v>No</v>
      </c>
      <c r="G1610" s="8" t="str">
        <f ca="1">IFERROR(__xludf.DUMMYFUNCTION("""COMPUTED_VALUE"""),"None")</f>
        <v>None</v>
      </c>
    </row>
    <row r="1611" spans="1:7" ht="12.75">
      <c r="A1611" s="8" t="str">
        <f ca="1">IFERROR(__xludf.DUMMYFUNCTION("""COMPUTED_VALUE"""),"20021029NJLIJ")</f>
        <v>20021029NJLIJ</v>
      </c>
      <c r="B1611" s="8">
        <f ca="1">IFERROR(__xludf.DUMMYFUNCTION("""COMPUTED_VALUE"""),15)</f>
        <v>15</v>
      </c>
      <c r="C1611" s="8" t="str">
        <f ca="1">IFERROR(__xludf.DUMMYFUNCTION("""COMPUTED_VALUE"""),"Male")</f>
        <v>Male</v>
      </c>
      <c r="D1611" s="8" t="str">
        <f ca="1">IFERROR(__xludf.DUMMYFUNCTION("""COMPUTED_VALUE"""),"Student")</f>
        <v>Student</v>
      </c>
      <c r="E1611" s="8" t="str">
        <f ca="1">IFERROR(__xludf.DUMMYFUNCTION("""COMPUTED_VALUE"""),"Fled/Apprehended")</f>
        <v>Fled/Apprehended</v>
      </c>
      <c r="F1611" s="8" t="str">
        <f ca="1">IFERROR(__xludf.DUMMYFUNCTION("""COMPUTED_VALUE"""),"No")</f>
        <v>No</v>
      </c>
      <c r="G1611" s="8" t="str">
        <f ca="1">IFERROR(__xludf.DUMMYFUNCTION("""COMPUTED_VALUE"""),"None")</f>
        <v>None</v>
      </c>
    </row>
    <row r="1612" spans="1:7" ht="12.75">
      <c r="A1612" s="8" t="str">
        <f ca="1">IFERROR(__xludf.DUMMYFUNCTION("""COMPUTED_VALUE"""),"20021007MDBEB")</f>
        <v>20021007MDBEB</v>
      </c>
      <c r="B1612" s="8">
        <f ca="1">IFERROR(__xludf.DUMMYFUNCTION("""COMPUTED_VALUE"""),17)</f>
        <v>17</v>
      </c>
      <c r="C1612" s="8" t="str">
        <f ca="1">IFERROR(__xludf.DUMMYFUNCTION("""COMPUTED_VALUE"""),"Male")</f>
        <v>Male</v>
      </c>
      <c r="D1612" s="8" t="str">
        <f ca="1">IFERROR(__xludf.DUMMYFUNCTION("""COMPUTED_VALUE"""),"No Relation")</f>
        <v>No Relation</v>
      </c>
      <c r="E1612" s="8" t="str">
        <f ca="1">IFERROR(__xludf.DUMMYFUNCTION("""COMPUTED_VALUE"""),"Fled/Apprehended")</f>
        <v>Fled/Apprehended</v>
      </c>
      <c r="F1612" s="8" t="str">
        <f ca="1">IFERROR(__xludf.DUMMYFUNCTION("""COMPUTED_VALUE"""),"No")</f>
        <v>No</v>
      </c>
      <c r="G1612" s="8" t="str">
        <f ca="1">IFERROR(__xludf.DUMMYFUNCTION("""COMPUTED_VALUE"""),"None")</f>
        <v>None</v>
      </c>
    </row>
    <row r="1613" spans="1:7" ht="12.75">
      <c r="A1613" s="8" t="str">
        <f ca="1">IFERROR(__xludf.DUMMYFUNCTION("""COMPUTED_VALUE"""),"20021004TXPAS")</f>
        <v>20021004TXPAS</v>
      </c>
      <c r="B1613" s="8">
        <f ca="1">IFERROR(__xludf.DUMMYFUNCTION("""COMPUTED_VALUE"""),13)</f>
        <v>13</v>
      </c>
      <c r="C1613" s="8" t="str">
        <f ca="1">IFERROR(__xludf.DUMMYFUNCTION("""COMPUTED_VALUE"""),"Female")</f>
        <v>Female</v>
      </c>
      <c r="D1613" s="8" t="str">
        <f ca="1">IFERROR(__xludf.DUMMYFUNCTION("""COMPUTED_VALUE"""),"Student")</f>
        <v>Student</v>
      </c>
      <c r="E1613" s="8" t="str">
        <f ca="1">IFERROR(__xludf.DUMMYFUNCTION("""COMPUTED_VALUE"""),"Suicide")</f>
        <v>Suicide</v>
      </c>
      <c r="F1613" s="8" t="str">
        <f ca="1">IFERROR(__xludf.DUMMYFUNCTION("""COMPUTED_VALUE"""),"Yes")</f>
        <v>Yes</v>
      </c>
      <c r="G1613" s="8" t="str">
        <f ca="1">IFERROR(__xludf.DUMMYFUNCTION("""COMPUTED_VALUE"""),"Suicide")</f>
        <v>Suicide</v>
      </c>
    </row>
    <row r="1614" spans="1:7" ht="12.75">
      <c r="A1614" s="8" t="str">
        <f ca="1">IFERROR(__xludf.DUMMYFUNCTION("""COMPUTED_VALUE"""),"20021004MTCMG")</f>
        <v>20021004MTCMG</v>
      </c>
      <c r="B1614" s="8">
        <f ca="1">IFERROR(__xludf.DUMMYFUNCTION("""COMPUTED_VALUE"""),18)</f>
        <v>18</v>
      </c>
      <c r="C1614" s="8" t="str">
        <f ca="1">IFERROR(__xludf.DUMMYFUNCTION("""COMPUTED_VALUE"""),"Male")</f>
        <v>Male</v>
      </c>
      <c r="D1614" s="8" t="str">
        <f ca="1">IFERROR(__xludf.DUMMYFUNCTION("""COMPUTED_VALUE"""),"Relative")</f>
        <v>Relative</v>
      </c>
      <c r="E1614" s="8" t="str">
        <f ca="1">IFERROR(__xludf.DUMMYFUNCTION("""COMPUTED_VALUE"""),"Fled/Apprehended")</f>
        <v>Fled/Apprehended</v>
      </c>
      <c r="F1614" s="8" t="str">
        <f ca="1">IFERROR(__xludf.DUMMYFUNCTION("""COMPUTED_VALUE"""),"No")</f>
        <v>No</v>
      </c>
      <c r="G1614" s="8" t="str">
        <f ca="1">IFERROR(__xludf.DUMMYFUNCTION("""COMPUTED_VALUE"""),"None")</f>
        <v>None</v>
      </c>
    </row>
    <row r="1615" spans="1:7" ht="12.75">
      <c r="A1615" s="8" t="str">
        <f ca="1">IFERROR(__xludf.DUMMYFUNCTION("""COMPUTED_VALUE"""),"20020426LAABN")</f>
        <v>20020426LAABN</v>
      </c>
      <c r="B1615" s="8">
        <f ca="1">IFERROR(__xludf.DUMMYFUNCTION("""COMPUTED_VALUE"""),38)</f>
        <v>38</v>
      </c>
      <c r="C1615" s="8" t="str">
        <f ca="1">IFERROR(__xludf.DUMMYFUNCTION("""COMPUTED_VALUE"""),"Male")</f>
        <v>Male</v>
      </c>
      <c r="D1615" s="8" t="str">
        <f ca="1">IFERROR(__xludf.DUMMYFUNCTION("""COMPUTED_VALUE"""),"Security Guard")</f>
        <v>Security Guard</v>
      </c>
      <c r="E1615" s="8" t="str">
        <f ca="1">IFERROR(__xludf.DUMMYFUNCTION("""COMPUTED_VALUE"""),"Surrendered")</f>
        <v>Surrendered</v>
      </c>
      <c r="F1615" s="8" t="str">
        <f ca="1">IFERROR(__xludf.DUMMYFUNCTION("""COMPUTED_VALUE"""),"No")</f>
        <v>No</v>
      </c>
      <c r="G1615" s="8" t="str">
        <f ca="1">IFERROR(__xludf.DUMMYFUNCTION("""COMPUTED_VALUE"""),"None")</f>
        <v>None</v>
      </c>
    </row>
    <row r="1616" spans="1:7" ht="12.75">
      <c r="A1616" s="8" t="str">
        <f ca="1">IFERROR(__xludf.DUMMYFUNCTION("""COMPUTED_VALUE"""),"20020406MDLEB")</f>
        <v>20020406MDLEB</v>
      </c>
      <c r="B1616" s="8" t="str">
        <f ca="1">IFERROR(__xludf.DUMMYFUNCTION("""COMPUTED_VALUE"""),"Adult")</f>
        <v>Adult</v>
      </c>
      <c r="C1616" s="8" t="str">
        <f ca="1">IFERROR(__xludf.DUMMYFUNCTION("""COMPUTED_VALUE"""),"Male")</f>
        <v>Male</v>
      </c>
      <c r="D1616" s="8" t="str">
        <f ca="1">IFERROR(__xludf.DUMMYFUNCTION("""COMPUTED_VALUE"""),"Police Officer/SRO")</f>
        <v>Police Officer/SRO</v>
      </c>
      <c r="E1616" s="8" t="str">
        <f ca="1">IFERROR(__xludf.DUMMYFUNCTION("""COMPUTED_VALUE"""),"Law Enforcement")</f>
        <v>Law Enforcement</v>
      </c>
      <c r="F1616" s="8" t="str">
        <f ca="1">IFERROR(__xludf.DUMMYFUNCTION("""COMPUTED_VALUE"""),"No")</f>
        <v>No</v>
      </c>
      <c r="G1616" s="8" t="str">
        <f ca="1">IFERROR(__xludf.DUMMYFUNCTION("""COMPUTED_VALUE"""),"None")</f>
        <v>None</v>
      </c>
    </row>
    <row r="1617" spans="1:7" ht="12.75">
      <c r="A1617" s="8" t="str">
        <f ca="1">IFERROR(__xludf.DUMMYFUNCTION("""COMPUTED_VALUE"""),"20020322CAJOC")</f>
        <v>20020322CAJOC</v>
      </c>
      <c r="B1617" s="8">
        <f ca="1">IFERROR(__xludf.DUMMYFUNCTION("""COMPUTED_VALUE"""),13)</f>
        <v>13</v>
      </c>
      <c r="C1617" s="8" t="str">
        <f ca="1">IFERROR(__xludf.DUMMYFUNCTION("""COMPUTED_VALUE"""),"Male")</f>
        <v>Male</v>
      </c>
      <c r="D1617" s="8" t="str">
        <f ca="1">IFERROR(__xludf.DUMMYFUNCTION("""COMPUTED_VALUE"""),"Student")</f>
        <v>Student</v>
      </c>
      <c r="E1617" s="8" t="str">
        <f ca="1">IFERROR(__xludf.DUMMYFUNCTION("""COMPUTED_VALUE"""),"Surrendered")</f>
        <v>Surrendered</v>
      </c>
      <c r="F1617" s="8" t="str">
        <f ca="1">IFERROR(__xludf.DUMMYFUNCTION("""COMPUTED_VALUE"""),"No")</f>
        <v>No</v>
      </c>
      <c r="G1617" s="8" t="str">
        <f ca="1">IFERROR(__xludf.DUMMYFUNCTION("""COMPUTED_VALUE"""),"None")</f>
        <v>None</v>
      </c>
    </row>
    <row r="1618" spans="1:7" ht="12.75">
      <c r="A1618" s="8" t="str">
        <f ca="1">IFERROR(__xludf.DUMMYFUNCTION("""COMPUTED_VALUE"""),"20020207ILROC")</f>
        <v>20020207ILROC</v>
      </c>
      <c r="B1618" s="8">
        <f ca="1">IFERROR(__xludf.DUMMYFUNCTION("""COMPUTED_VALUE"""),15)</f>
        <v>15</v>
      </c>
      <c r="C1618" s="8" t="str">
        <f ca="1">IFERROR(__xludf.DUMMYFUNCTION("""COMPUTED_VALUE"""),"Male")</f>
        <v>Male</v>
      </c>
      <c r="D1618" s="8" t="str">
        <f ca="1">IFERROR(__xludf.DUMMYFUNCTION("""COMPUTED_VALUE"""),"Student")</f>
        <v>Student</v>
      </c>
      <c r="E1618" s="8" t="str">
        <f ca="1">IFERROR(__xludf.DUMMYFUNCTION("""COMPUTED_VALUE"""),"Fled/Apprehended")</f>
        <v>Fled/Apprehended</v>
      </c>
      <c r="F1618" s="8" t="str">
        <f ca="1">IFERROR(__xludf.DUMMYFUNCTION("""COMPUTED_VALUE"""),"No")</f>
        <v>No</v>
      </c>
      <c r="G1618" s="8" t="str">
        <f ca="1">IFERROR(__xludf.DUMMYFUNCTION("""COMPUTED_VALUE"""),"None")</f>
        <v>None</v>
      </c>
    </row>
    <row r="1619" spans="1:7" ht="12.75">
      <c r="A1619" s="8" t="str">
        <f ca="1">IFERROR(__xludf.DUMMYFUNCTION("""COMPUTED_VALUE"""),"20020206CAGAL")</f>
        <v>20020206CAGAL</v>
      </c>
      <c r="B1619" s="8">
        <f ca="1">IFERROR(__xludf.DUMMYFUNCTION("""COMPUTED_VALUE"""),17)</f>
        <v>17</v>
      </c>
      <c r="C1619" s="8" t="str">
        <f ca="1">IFERROR(__xludf.DUMMYFUNCTION("""COMPUTED_VALUE"""),"Male")</f>
        <v>Male</v>
      </c>
      <c r="D1619" s="8" t="str">
        <f ca="1">IFERROR(__xludf.DUMMYFUNCTION("""COMPUTED_VALUE"""),"Student")</f>
        <v>Student</v>
      </c>
      <c r="E1619" s="8" t="str">
        <f ca="1">IFERROR(__xludf.DUMMYFUNCTION("""COMPUTED_VALUE"""),"Fled/Apprehended")</f>
        <v>Fled/Apprehended</v>
      </c>
      <c r="F1619" s="8" t="str">
        <f ca="1">IFERROR(__xludf.DUMMYFUNCTION("""COMPUTED_VALUE"""),"No")</f>
        <v>No</v>
      </c>
      <c r="G1619" s="8" t="str">
        <f ca="1">IFERROR(__xludf.DUMMYFUNCTION("""COMPUTED_VALUE"""),"None")</f>
        <v>None</v>
      </c>
    </row>
    <row r="1620" spans="1:7" ht="12.75">
      <c r="A1620" s="8" t="str">
        <f ca="1">IFERROR(__xludf.DUMMYFUNCTION("""COMPUTED_VALUE"""),"20020201TXBRB")</f>
        <v>20020201TXBRB</v>
      </c>
      <c r="B1620" s="8">
        <f ca="1">IFERROR(__xludf.DUMMYFUNCTION("""COMPUTED_VALUE"""),39)</f>
        <v>39</v>
      </c>
      <c r="C1620" s="8" t="str">
        <f ca="1">IFERROR(__xludf.DUMMYFUNCTION("""COMPUTED_VALUE"""),"Male")</f>
        <v>Male</v>
      </c>
      <c r="D1620" s="8" t="str">
        <f ca="1">IFERROR(__xludf.DUMMYFUNCTION("""COMPUTED_VALUE"""),"Other Staff")</f>
        <v>Other Staff</v>
      </c>
      <c r="E1620" s="8" t="str">
        <f ca="1">IFERROR(__xludf.DUMMYFUNCTION("""COMPUTED_VALUE"""),"Unknown")</f>
        <v>Unknown</v>
      </c>
      <c r="F1620" s="8" t="str">
        <f ca="1">IFERROR(__xludf.DUMMYFUNCTION("""COMPUTED_VALUE"""),"No")</f>
        <v>No</v>
      </c>
      <c r="G1620" s="8" t="str">
        <f ca="1">IFERROR(__xludf.DUMMYFUNCTION("""COMPUTED_VALUE"""),"None")</f>
        <v>None</v>
      </c>
    </row>
    <row r="1621" spans="1:7" ht="12.75">
      <c r="A1621" s="8" t="str">
        <f ca="1">IFERROR(__xludf.DUMMYFUNCTION("""COMPUTED_VALUE"""),"20020124PAOLO")</f>
        <v>20020124PAOLO</v>
      </c>
      <c r="B1621" s="8">
        <f ca="1">IFERROR(__xludf.DUMMYFUNCTION("""COMPUTED_VALUE"""),63)</f>
        <v>63</v>
      </c>
      <c r="C1621" s="8" t="str">
        <f ca="1">IFERROR(__xludf.DUMMYFUNCTION("""COMPUTED_VALUE"""),"Male")</f>
        <v>Male</v>
      </c>
      <c r="D1621" s="8" t="str">
        <f ca="1">IFERROR(__xludf.DUMMYFUNCTION("""COMPUTED_VALUE"""),"Other Staff")</f>
        <v>Other Staff</v>
      </c>
      <c r="E1621" s="8" t="str">
        <f ca="1">IFERROR(__xludf.DUMMYFUNCTION("""COMPUTED_VALUE"""),"Surrendered")</f>
        <v>Surrendered</v>
      </c>
      <c r="F1621" s="8" t="str">
        <f ca="1">IFERROR(__xludf.DUMMYFUNCTION("""COMPUTED_VALUE"""),"No")</f>
        <v>No</v>
      </c>
      <c r="G1621" s="8" t="str">
        <f ca="1">IFERROR(__xludf.DUMMYFUNCTION("""COMPUTED_VALUE"""),"None")</f>
        <v>None</v>
      </c>
    </row>
    <row r="1622" spans="1:7" ht="12.75">
      <c r="A1622" s="8" t="str">
        <f ca="1">IFERROR(__xludf.DUMMYFUNCTION("""COMPUTED_VALUE"""),"20020115NYMAN")</f>
        <v>20020115NYMAN</v>
      </c>
      <c r="B1622" s="8">
        <f ca="1">IFERROR(__xludf.DUMMYFUNCTION("""COMPUTED_VALUE"""),18)</f>
        <v>18</v>
      </c>
      <c r="C1622" s="8" t="str">
        <f ca="1">IFERROR(__xludf.DUMMYFUNCTION("""COMPUTED_VALUE"""),"Male")</f>
        <v>Male</v>
      </c>
      <c r="D1622" s="8" t="str">
        <f ca="1">IFERROR(__xludf.DUMMYFUNCTION("""COMPUTED_VALUE"""),"Student")</f>
        <v>Student</v>
      </c>
      <c r="E1622" s="8" t="str">
        <f ca="1">IFERROR(__xludf.DUMMYFUNCTION("""COMPUTED_VALUE"""),"Fled/Apprehended")</f>
        <v>Fled/Apprehended</v>
      </c>
      <c r="F1622" s="8" t="str">
        <f ca="1">IFERROR(__xludf.DUMMYFUNCTION("""COMPUTED_VALUE"""),"No")</f>
        <v>No</v>
      </c>
      <c r="G1622" s="8" t="str">
        <f ca="1">IFERROR(__xludf.DUMMYFUNCTION("""COMPUTED_VALUE"""),"None")</f>
        <v>None</v>
      </c>
    </row>
    <row r="1623" spans="1:7" ht="12.75">
      <c r="A1623" s="8" t="str">
        <f ca="1">IFERROR(__xludf.DUMMYFUNCTION("""COMPUTED_VALUE"""),"20020111MSRAJ")</f>
        <v>20020111MSRAJ</v>
      </c>
      <c r="B1623" s="8">
        <f ca="1">IFERROR(__xludf.DUMMYFUNCTION("""COMPUTED_VALUE"""),18)</f>
        <v>18</v>
      </c>
      <c r="C1623" s="8" t="str">
        <f ca="1">IFERROR(__xludf.DUMMYFUNCTION("""COMPUTED_VALUE"""),"Male")</f>
        <v>Male</v>
      </c>
      <c r="D1623" s="8" t="str">
        <f ca="1">IFERROR(__xludf.DUMMYFUNCTION("""COMPUTED_VALUE"""),"Student")</f>
        <v>Student</v>
      </c>
      <c r="E1623" s="8" t="str">
        <f ca="1">IFERROR(__xludf.DUMMYFUNCTION("""COMPUTED_VALUE"""),"Surrendered")</f>
        <v>Surrendered</v>
      </c>
      <c r="F1623" s="8" t="str">
        <f ca="1">IFERROR(__xludf.DUMMYFUNCTION("""COMPUTED_VALUE"""),"No")</f>
        <v>No</v>
      </c>
      <c r="G1623" s="8" t="str">
        <f ca="1">IFERROR(__xludf.DUMMYFUNCTION("""COMPUTED_VALUE"""),"None")</f>
        <v>None</v>
      </c>
    </row>
    <row r="1624" spans="1:7" ht="12.75">
      <c r="A1624" s="8" t="str">
        <f ca="1">IFERROR(__xludf.DUMMYFUNCTION("""COMPUTED_VALUE"""),"20011130TXFRF")</f>
        <v>20011130TXFRF</v>
      </c>
      <c r="B1624" s="8">
        <f ca="1">IFERROR(__xludf.DUMMYFUNCTION("""COMPUTED_VALUE"""),54)</f>
        <v>54</v>
      </c>
      <c r="C1624" s="8" t="str">
        <f ca="1">IFERROR(__xludf.DUMMYFUNCTION("""COMPUTED_VALUE"""),"Female")</f>
        <v>Female</v>
      </c>
      <c r="D1624" s="8" t="str">
        <f ca="1">IFERROR(__xludf.DUMMYFUNCTION("""COMPUTED_VALUE"""),"Teacher")</f>
        <v>Teacher</v>
      </c>
      <c r="E1624" s="8" t="str">
        <f ca="1">IFERROR(__xludf.DUMMYFUNCTION("""COMPUTED_VALUE"""),"Surrendered")</f>
        <v>Surrendered</v>
      </c>
      <c r="F1624" s="8" t="str">
        <f ca="1">IFERROR(__xludf.DUMMYFUNCTION("""COMPUTED_VALUE"""),"No")</f>
        <v>No</v>
      </c>
      <c r="G1624" s="8" t="str">
        <f ca="1">IFERROR(__xludf.DUMMYFUNCTION("""COMPUTED_VALUE"""),"None")</f>
        <v>None</v>
      </c>
    </row>
    <row r="1625" spans="1:7" ht="12.75">
      <c r="A1625" s="8" t="str">
        <f ca="1">IFERROR(__xludf.DUMMYFUNCTION("""COMPUTED_VALUE"""),"20011112MICAC")</f>
        <v>20011112MICAC</v>
      </c>
      <c r="B1625" s="8">
        <f ca="1">IFERROR(__xludf.DUMMYFUNCTION("""COMPUTED_VALUE"""),17)</f>
        <v>17</v>
      </c>
      <c r="C1625" s="8" t="str">
        <f ca="1">IFERROR(__xludf.DUMMYFUNCTION("""COMPUTED_VALUE"""),"Male")</f>
        <v>Male</v>
      </c>
      <c r="D1625" s="8" t="str">
        <f ca="1">IFERROR(__xludf.DUMMYFUNCTION("""COMPUTED_VALUE"""),"Former Student")</f>
        <v>Former Student</v>
      </c>
      <c r="E1625" s="8" t="str">
        <f ca="1">IFERROR(__xludf.DUMMYFUNCTION("""COMPUTED_VALUE"""),"Suicide")</f>
        <v>Suicide</v>
      </c>
      <c r="F1625" s="8" t="str">
        <f ca="1">IFERROR(__xludf.DUMMYFUNCTION("""COMPUTED_VALUE"""),"Yes")</f>
        <v>Yes</v>
      </c>
      <c r="G1625" s="8" t="str">
        <f ca="1">IFERROR(__xludf.DUMMYFUNCTION("""COMPUTED_VALUE"""),"Suicide")</f>
        <v>Suicide</v>
      </c>
    </row>
    <row r="1626" spans="1:7" ht="12.75">
      <c r="A1626" s="8" t="str">
        <f ca="1">IFERROR(__xludf.DUMMYFUNCTION("""COMPUTED_VALUE"""),"20011026MIBES")</f>
        <v>20011026MIBES</v>
      </c>
      <c r="B1626" s="8" t="str">
        <f ca="1">IFERROR(__xludf.DUMMYFUNCTION("""COMPUTED_VALUE"""),"Teen")</f>
        <v>Teen</v>
      </c>
      <c r="C1626" s="8" t="str">
        <f ca="1">IFERROR(__xludf.DUMMYFUNCTION("""COMPUTED_VALUE"""),"Male")</f>
        <v>Male</v>
      </c>
      <c r="D1626" s="8" t="str">
        <f ca="1">IFERROR(__xludf.DUMMYFUNCTION("""COMPUTED_VALUE"""),"Student")</f>
        <v>Student</v>
      </c>
      <c r="E1626" s="8" t="str">
        <f ca="1">IFERROR(__xludf.DUMMYFUNCTION("""COMPUTED_VALUE"""),"Unknown")</f>
        <v>Unknown</v>
      </c>
      <c r="F1626" s="8" t="str">
        <f ca="1">IFERROR(__xludf.DUMMYFUNCTION("""COMPUTED_VALUE"""),"No")</f>
        <v>No</v>
      </c>
      <c r="G1626" s="8" t="str">
        <f ca="1">IFERROR(__xludf.DUMMYFUNCTION("""COMPUTED_VALUE"""),"None")</f>
        <v>None</v>
      </c>
    </row>
    <row r="1627" spans="1:7" ht="12.75">
      <c r="A1627" s="8" t="str">
        <f ca="1">IFERROR(__xludf.DUMMYFUNCTION("""COMPUTED_VALUE"""),"20011026CARER")</f>
        <v>20011026CARER</v>
      </c>
      <c r="B1627" s="8">
        <f ca="1">IFERROR(__xludf.DUMMYFUNCTION("""COMPUTED_VALUE"""),17)</f>
        <v>17</v>
      </c>
      <c r="C1627" s="8" t="str">
        <f ca="1">IFERROR(__xludf.DUMMYFUNCTION("""COMPUTED_VALUE"""),"Male")</f>
        <v>Male</v>
      </c>
      <c r="D1627" s="8" t="str">
        <f ca="1">IFERROR(__xludf.DUMMYFUNCTION("""COMPUTED_VALUE"""),"Student")</f>
        <v>Student</v>
      </c>
      <c r="E1627" s="8" t="str">
        <f ca="1">IFERROR(__xludf.DUMMYFUNCTION("""COMPUTED_VALUE"""),"Surrendered")</f>
        <v>Surrendered</v>
      </c>
      <c r="F1627" s="8" t="str">
        <f ca="1">IFERROR(__xludf.DUMMYFUNCTION("""COMPUTED_VALUE"""),"No")</f>
        <v>No</v>
      </c>
      <c r="G1627" s="8" t="str">
        <f ca="1">IFERROR(__xludf.DUMMYFUNCTION("""COMPUTED_VALUE"""),"None")</f>
        <v>None</v>
      </c>
    </row>
    <row r="1628" spans="1:7" ht="12.75">
      <c r="A1628" s="8" t="str">
        <f ca="1">IFERROR(__xludf.DUMMYFUNCTION("""COMPUTED_VALUE"""),"20011012UTTAT")</f>
        <v>20011012UTTAT</v>
      </c>
      <c r="B1628" s="8">
        <f ca="1">IFERROR(__xludf.DUMMYFUNCTION("""COMPUTED_VALUE"""),17)</f>
        <v>17</v>
      </c>
      <c r="C1628" s="8" t="str">
        <f ca="1">IFERROR(__xludf.DUMMYFUNCTION("""COMPUTED_VALUE"""),"Male")</f>
        <v>Male</v>
      </c>
      <c r="D1628" s="8" t="str">
        <f ca="1">IFERROR(__xludf.DUMMYFUNCTION("""COMPUTED_VALUE"""),"Student")</f>
        <v>Student</v>
      </c>
      <c r="E1628" s="8" t="str">
        <f ca="1">IFERROR(__xludf.DUMMYFUNCTION("""COMPUTED_VALUE"""),"Suicide")</f>
        <v>Suicide</v>
      </c>
      <c r="F1628" s="8" t="str">
        <f ca="1">IFERROR(__xludf.DUMMYFUNCTION("""COMPUTED_VALUE"""),"Yes")</f>
        <v>Yes</v>
      </c>
      <c r="G1628" s="8" t="str">
        <f ca="1">IFERROR(__xludf.DUMMYFUNCTION("""COMPUTED_VALUE"""),"Suicide")</f>
        <v>Suicide</v>
      </c>
    </row>
    <row r="1629" spans="1:7" ht="12.75">
      <c r="A1629" s="8" t="str">
        <f ca="1">IFERROR(__xludf.DUMMYFUNCTION("""COMPUTED_VALUE"""),"20010921MDLAB")</f>
        <v>20010921MDLAB</v>
      </c>
      <c r="B1629" s="8">
        <f ca="1">IFERROR(__xludf.DUMMYFUNCTION("""COMPUTED_VALUE"""),16)</f>
        <v>16</v>
      </c>
      <c r="C1629" s="8" t="str">
        <f ca="1">IFERROR(__xludf.DUMMYFUNCTION("""COMPUTED_VALUE"""),"Male")</f>
        <v>Male</v>
      </c>
      <c r="D1629" s="8" t="str">
        <f ca="1">IFERROR(__xludf.DUMMYFUNCTION("""COMPUTED_VALUE"""),"Student")</f>
        <v>Student</v>
      </c>
      <c r="E1629" s="8" t="str">
        <f ca="1">IFERROR(__xludf.DUMMYFUNCTION("""COMPUTED_VALUE"""),"Fled/Apprehended")</f>
        <v>Fled/Apprehended</v>
      </c>
      <c r="F1629" s="8" t="str">
        <f ca="1">IFERROR(__xludf.DUMMYFUNCTION("""COMPUTED_VALUE"""),"No")</f>
        <v>No</v>
      </c>
      <c r="G1629" s="8" t="str">
        <f ca="1">IFERROR(__xludf.DUMMYFUNCTION("""COMPUTED_VALUE"""),"None")</f>
        <v>None</v>
      </c>
    </row>
    <row r="1630" spans="1:7" ht="12.75">
      <c r="A1630" s="8" t="str">
        <f ca="1">IFERROR(__xludf.DUMMYFUNCTION("""COMPUTED_VALUE"""),"20010912KYLAC")</f>
        <v>20010912KYLAC</v>
      </c>
      <c r="B1630" s="8">
        <f ca="1">IFERROR(__xludf.DUMMYFUNCTION("""COMPUTED_VALUE"""),30)</f>
        <v>30</v>
      </c>
      <c r="C1630" s="8" t="str">
        <f ca="1">IFERROR(__xludf.DUMMYFUNCTION("""COMPUTED_VALUE"""),"Female")</f>
        <v>Female</v>
      </c>
      <c r="D1630" s="8" t="str">
        <f ca="1">IFERROR(__xludf.DUMMYFUNCTION("""COMPUTED_VALUE"""),"Parent")</f>
        <v>Parent</v>
      </c>
      <c r="E1630" s="8" t="str">
        <f ca="1">IFERROR(__xludf.DUMMYFUNCTION("""COMPUTED_VALUE"""),"Surrendered")</f>
        <v>Surrendered</v>
      </c>
      <c r="F1630" s="8" t="str">
        <f ca="1">IFERROR(__xludf.DUMMYFUNCTION("""COMPUTED_VALUE"""),"No")</f>
        <v>No</v>
      </c>
      <c r="G1630" s="8" t="str">
        <f ca="1">IFERROR(__xludf.DUMMYFUNCTION("""COMPUTED_VALUE"""),"None")</f>
        <v>None</v>
      </c>
    </row>
    <row r="1631" spans="1:7" ht="12.75">
      <c r="A1631" s="8" t="str">
        <f ca="1">IFERROR(__xludf.DUMMYFUNCTION("""COMPUTED_VALUE"""),"20010730CABEL")</f>
        <v>20010730CABEL</v>
      </c>
      <c r="B1631" s="8"/>
      <c r="C1631" s="8" t="str">
        <f ca="1">IFERROR(__xludf.DUMMYFUNCTION("""COMPUTED_VALUE"""),"Male")</f>
        <v>Male</v>
      </c>
      <c r="D1631" s="8" t="str">
        <f ca="1">IFERROR(__xludf.DUMMYFUNCTION("""COMPUTED_VALUE"""),"No Relation")</f>
        <v>No Relation</v>
      </c>
      <c r="E1631" s="8" t="str">
        <f ca="1">IFERROR(__xludf.DUMMYFUNCTION("""COMPUTED_VALUE"""),"Fled/Escaped")</f>
        <v>Fled/Escaped</v>
      </c>
      <c r="F1631" s="8" t="str">
        <f ca="1">IFERROR(__xludf.DUMMYFUNCTION("""COMPUTED_VALUE"""),"No")</f>
        <v>No</v>
      </c>
      <c r="G1631" s="8" t="str">
        <f ca="1">IFERROR(__xludf.DUMMYFUNCTION("""COMPUTED_VALUE"""),"None")</f>
        <v>None</v>
      </c>
    </row>
    <row r="1632" spans="1:7" ht="12.75">
      <c r="A1632" s="8" t="str">
        <f ca="1">IFERROR(__xludf.DUMMYFUNCTION("""COMPUTED_VALUE"""),"20010607TXOUA")</f>
        <v>20010607TXOUA</v>
      </c>
      <c r="B1632" s="8" t="str">
        <f ca="1">IFERROR(__xludf.DUMMYFUNCTION("""COMPUTED_VALUE"""),"Adult")</f>
        <v>Adult</v>
      </c>
      <c r="C1632" s="8"/>
      <c r="D1632" s="8" t="str">
        <f ca="1">IFERROR(__xludf.DUMMYFUNCTION("""COMPUTED_VALUE"""),"Police Officer/SRO")</f>
        <v>Police Officer/SRO</v>
      </c>
      <c r="E1632" s="8" t="str">
        <f ca="1">IFERROR(__xludf.DUMMYFUNCTION("""COMPUTED_VALUE"""),"Law Enforcement")</f>
        <v>Law Enforcement</v>
      </c>
      <c r="F1632" s="8" t="str">
        <f ca="1">IFERROR(__xludf.DUMMYFUNCTION("""COMPUTED_VALUE"""),"No")</f>
        <v>No</v>
      </c>
      <c r="G1632" s="8" t="str">
        <f ca="1">IFERROR(__xludf.DUMMYFUNCTION("""COMPUTED_VALUE"""),"None")</f>
        <v>None</v>
      </c>
    </row>
    <row r="1633" spans="1:7" ht="12.75">
      <c r="A1633" s="8" t="str">
        <f ca="1">IFERROR(__xludf.DUMMYFUNCTION("""COMPUTED_VALUE"""),"20010515TXENE")</f>
        <v>20010515TXENE</v>
      </c>
      <c r="B1633" s="8">
        <f ca="1">IFERROR(__xludf.DUMMYFUNCTION("""COMPUTED_VALUE"""),16)</f>
        <v>16</v>
      </c>
      <c r="C1633" s="8" t="str">
        <f ca="1">IFERROR(__xludf.DUMMYFUNCTION("""COMPUTED_VALUE"""),"Male")</f>
        <v>Male</v>
      </c>
      <c r="D1633" s="8" t="str">
        <f ca="1">IFERROR(__xludf.DUMMYFUNCTION("""COMPUTED_VALUE"""),"Student")</f>
        <v>Student</v>
      </c>
      <c r="E1633" s="8" t="str">
        <f ca="1">IFERROR(__xludf.DUMMYFUNCTION("""COMPUTED_VALUE"""),"Suicide")</f>
        <v>Suicide</v>
      </c>
      <c r="F1633" s="8" t="str">
        <f ca="1">IFERROR(__xludf.DUMMYFUNCTION("""COMPUTED_VALUE"""),"Yes")</f>
        <v>Yes</v>
      </c>
      <c r="G1633" s="8" t="str">
        <f ca="1">IFERROR(__xludf.DUMMYFUNCTION("""COMPUTED_VALUE"""),"Suicide")</f>
        <v>Suicide</v>
      </c>
    </row>
    <row r="1634" spans="1:7" ht="12.75">
      <c r="A1634" s="8" t="str">
        <f ca="1">IFERROR(__xludf.DUMMYFUNCTION("""COMPUTED_VALUE"""),"20010425OHJOC")</f>
        <v>20010425OHJOC</v>
      </c>
      <c r="B1634" s="8"/>
      <c r="C1634" s="8"/>
      <c r="D1634" s="8" t="str">
        <f ca="1">IFERROR(__xludf.DUMMYFUNCTION("""COMPUTED_VALUE"""),"Unknown")</f>
        <v>Unknown</v>
      </c>
      <c r="E1634" s="8" t="str">
        <f ca="1">IFERROR(__xludf.DUMMYFUNCTION("""COMPUTED_VALUE"""),"Fled/Escaped")</f>
        <v>Fled/Escaped</v>
      </c>
      <c r="F1634" s="8" t="str">
        <f ca="1">IFERROR(__xludf.DUMMYFUNCTION("""COMPUTED_VALUE"""),"No")</f>
        <v>No</v>
      </c>
      <c r="G1634" s="8" t="str">
        <f ca="1">IFERROR(__xludf.DUMMYFUNCTION("""COMPUTED_VALUE"""),"None")</f>
        <v>None</v>
      </c>
    </row>
    <row r="1635" spans="1:7" ht="12.75">
      <c r="A1635" s="8" t="str">
        <f ca="1">IFERROR(__xludf.DUMMYFUNCTION("""COMPUTED_VALUE"""),"20010420LAMOM")</f>
        <v>20010420LAMOM</v>
      </c>
      <c r="B1635" s="8">
        <f ca="1">IFERROR(__xludf.DUMMYFUNCTION("""COMPUTED_VALUE"""),14)</f>
        <v>14</v>
      </c>
      <c r="C1635" s="8" t="str">
        <f ca="1">IFERROR(__xludf.DUMMYFUNCTION("""COMPUTED_VALUE"""),"Male")</f>
        <v>Male</v>
      </c>
      <c r="D1635" s="8" t="str">
        <f ca="1">IFERROR(__xludf.DUMMYFUNCTION("""COMPUTED_VALUE"""),"Student")</f>
        <v>Student</v>
      </c>
      <c r="E1635" s="8" t="str">
        <f ca="1">IFERROR(__xludf.DUMMYFUNCTION("""COMPUTED_VALUE"""),"Apprehended/Killed by LE")</f>
        <v>Apprehended/Killed by LE</v>
      </c>
      <c r="F1635" s="8" t="str">
        <f ca="1">IFERROR(__xludf.DUMMYFUNCTION("""COMPUTED_VALUE"""),"No")</f>
        <v>No</v>
      </c>
      <c r="G1635" s="8" t="str">
        <f ca="1">IFERROR(__xludf.DUMMYFUNCTION("""COMPUTED_VALUE"""),"None")</f>
        <v>None</v>
      </c>
    </row>
    <row r="1636" spans="1:7" ht="12.75">
      <c r="A1636" s="8" t="str">
        <f ca="1">IFERROR(__xludf.DUMMYFUNCTION("""COMPUTED_VALUE"""),"20010410WAWAM")</f>
        <v>20010410WAWAM</v>
      </c>
      <c r="B1636" s="8">
        <f ca="1">IFERROR(__xludf.DUMMYFUNCTION("""COMPUTED_VALUE"""),16)</f>
        <v>16</v>
      </c>
      <c r="C1636" s="8" t="str">
        <f ca="1">IFERROR(__xludf.DUMMYFUNCTION("""COMPUTED_VALUE"""),"Male")</f>
        <v>Male</v>
      </c>
      <c r="D1636" s="8" t="str">
        <f ca="1">IFERROR(__xludf.DUMMYFUNCTION("""COMPUTED_VALUE"""),"Student")</f>
        <v>Student</v>
      </c>
      <c r="E1636" s="8" t="str">
        <f ca="1">IFERROR(__xludf.DUMMYFUNCTION("""COMPUTED_VALUE"""),"Surrendered")</f>
        <v>Surrendered</v>
      </c>
      <c r="F1636" s="8" t="str">
        <f ca="1">IFERROR(__xludf.DUMMYFUNCTION("""COMPUTED_VALUE"""),"No")</f>
        <v>No</v>
      </c>
      <c r="G1636" s="8" t="str">
        <f ca="1">IFERROR(__xludf.DUMMYFUNCTION("""COMPUTED_VALUE"""),"None")</f>
        <v>None</v>
      </c>
    </row>
    <row r="1637" spans="1:7" ht="12.75">
      <c r="A1637" s="8" t="str">
        <f ca="1">IFERROR(__xludf.DUMMYFUNCTION("""COMPUTED_VALUE"""),"20010402TXKLH")</f>
        <v>20010402TXKLH</v>
      </c>
      <c r="B1637" s="8">
        <f ca="1">IFERROR(__xludf.DUMMYFUNCTION("""COMPUTED_VALUE"""),13)</f>
        <v>13</v>
      </c>
      <c r="C1637" s="8" t="str">
        <f ca="1">IFERROR(__xludf.DUMMYFUNCTION("""COMPUTED_VALUE"""),"Female")</f>
        <v>Female</v>
      </c>
      <c r="D1637" s="8" t="str">
        <f ca="1">IFERROR(__xludf.DUMMYFUNCTION("""COMPUTED_VALUE"""),"Student")</f>
        <v>Student</v>
      </c>
      <c r="E1637" s="8" t="str">
        <f ca="1">IFERROR(__xludf.DUMMYFUNCTION("""COMPUTED_VALUE"""),"Suicide")</f>
        <v>Suicide</v>
      </c>
      <c r="F1637" s="8" t="str">
        <f ca="1">IFERROR(__xludf.DUMMYFUNCTION("""COMPUTED_VALUE"""),"Yes")</f>
        <v>Yes</v>
      </c>
      <c r="G1637" s="8" t="str">
        <f ca="1">IFERROR(__xludf.DUMMYFUNCTION("""COMPUTED_VALUE"""),"Suicide")</f>
        <v>Suicide</v>
      </c>
    </row>
    <row r="1638" spans="1:7" ht="12.75">
      <c r="A1638" s="8" t="str">
        <f ca="1">IFERROR(__xludf.DUMMYFUNCTION("""COMPUTED_VALUE"""),"20010330INLEG")</f>
        <v>20010330INLEG</v>
      </c>
      <c r="B1638" s="8">
        <f ca="1">IFERROR(__xludf.DUMMYFUNCTION("""COMPUTED_VALUE"""),17)</f>
        <v>17</v>
      </c>
      <c r="C1638" s="8" t="str">
        <f ca="1">IFERROR(__xludf.DUMMYFUNCTION("""COMPUTED_VALUE"""),"Male")</f>
        <v>Male</v>
      </c>
      <c r="D1638" s="8" t="str">
        <f ca="1">IFERROR(__xludf.DUMMYFUNCTION("""COMPUTED_VALUE"""),"Former Student")</f>
        <v>Former Student</v>
      </c>
      <c r="E1638" s="8" t="str">
        <f ca="1">IFERROR(__xludf.DUMMYFUNCTION("""COMPUTED_VALUE"""),"Fled/Apprehended")</f>
        <v>Fled/Apprehended</v>
      </c>
      <c r="F1638" s="8" t="str">
        <f ca="1">IFERROR(__xludf.DUMMYFUNCTION("""COMPUTED_VALUE"""),"No")</f>
        <v>No</v>
      </c>
      <c r="G1638" s="8" t="str">
        <f ca="1">IFERROR(__xludf.DUMMYFUNCTION("""COMPUTED_VALUE"""),"None")</f>
        <v>None</v>
      </c>
    </row>
    <row r="1639" spans="1:7" ht="12.75">
      <c r="A1639" s="8" t="str">
        <f ca="1">IFERROR(__xludf.DUMMYFUNCTION("""COMPUTED_VALUE"""),"20010322CAGRE")</f>
        <v>20010322CAGRE</v>
      </c>
      <c r="B1639" s="8">
        <f ca="1">IFERROR(__xludf.DUMMYFUNCTION("""COMPUTED_VALUE"""),18)</f>
        <v>18</v>
      </c>
      <c r="C1639" s="8" t="str">
        <f ca="1">IFERROR(__xludf.DUMMYFUNCTION("""COMPUTED_VALUE"""),"Male")</f>
        <v>Male</v>
      </c>
      <c r="D1639" s="8" t="str">
        <f ca="1">IFERROR(__xludf.DUMMYFUNCTION("""COMPUTED_VALUE"""),"Student")</f>
        <v>Student</v>
      </c>
      <c r="E1639" s="8" t="str">
        <f ca="1">IFERROR(__xludf.DUMMYFUNCTION("""COMPUTED_VALUE"""),"Fled/Apprehended")</f>
        <v>Fled/Apprehended</v>
      </c>
      <c r="F1639" s="8" t="str">
        <f ca="1">IFERROR(__xludf.DUMMYFUNCTION("""COMPUTED_VALUE"""),"Yes")</f>
        <v>Yes</v>
      </c>
      <c r="G1639" s="8" t="str">
        <f ca="1">IFERROR(__xludf.DUMMYFUNCTION("""COMPUTED_VALUE"""),"Suicide")</f>
        <v>Suicide</v>
      </c>
    </row>
    <row r="1640" spans="1:7" ht="12.75">
      <c r="A1640" s="8" t="str">
        <f ca="1">IFERROR(__xludf.DUMMYFUNCTION("""COMPUTED_VALUE"""),"20010307WAKEC")</f>
        <v>20010307WAKEC</v>
      </c>
      <c r="B1640" s="8">
        <f ca="1">IFERROR(__xludf.DUMMYFUNCTION("""COMPUTED_VALUE"""),16)</f>
        <v>16</v>
      </c>
      <c r="C1640" s="8" t="str">
        <f ca="1">IFERROR(__xludf.DUMMYFUNCTION("""COMPUTED_VALUE"""),"Male")</f>
        <v>Male</v>
      </c>
      <c r="D1640" s="8" t="str">
        <f ca="1">IFERROR(__xludf.DUMMYFUNCTION("""COMPUTED_VALUE"""),"Student")</f>
        <v>Student</v>
      </c>
      <c r="E1640" s="8" t="str">
        <f ca="1">IFERROR(__xludf.DUMMYFUNCTION("""COMPUTED_VALUE"""),"Surrendered")</f>
        <v>Surrendered</v>
      </c>
      <c r="F1640" s="8" t="str">
        <f ca="1">IFERROR(__xludf.DUMMYFUNCTION("""COMPUTED_VALUE"""),"No")</f>
        <v>No</v>
      </c>
      <c r="G1640" s="8" t="str">
        <f ca="1">IFERROR(__xludf.DUMMYFUNCTION("""COMPUTED_VALUE"""),"None")</f>
        <v>None</v>
      </c>
    </row>
    <row r="1641" spans="1:7" ht="12.75">
      <c r="A1641" s="8" t="str">
        <f ca="1">IFERROR(__xludf.DUMMYFUNCTION("""COMPUTED_VALUE"""),"20010307PABIW")</f>
        <v>20010307PABIW</v>
      </c>
      <c r="B1641" s="8">
        <f ca="1">IFERROR(__xludf.DUMMYFUNCTION("""COMPUTED_VALUE"""),14)</f>
        <v>14</v>
      </c>
      <c r="C1641" s="8" t="str">
        <f ca="1">IFERROR(__xludf.DUMMYFUNCTION("""COMPUTED_VALUE"""),"Female")</f>
        <v>Female</v>
      </c>
      <c r="D1641" s="8" t="str">
        <f ca="1">IFERROR(__xludf.DUMMYFUNCTION("""COMPUTED_VALUE"""),"Student")</f>
        <v>Student</v>
      </c>
      <c r="E1641" s="8" t="str">
        <f ca="1">IFERROR(__xludf.DUMMYFUNCTION("""COMPUTED_VALUE"""),"Surrendered")</f>
        <v>Surrendered</v>
      </c>
      <c r="F1641" s="8" t="str">
        <f ca="1">IFERROR(__xludf.DUMMYFUNCTION("""COMPUTED_VALUE"""),"No")</f>
        <v>No</v>
      </c>
      <c r="G1641" s="8" t="str">
        <f ca="1">IFERROR(__xludf.DUMMYFUNCTION("""COMPUTED_VALUE"""),"None")</f>
        <v>None</v>
      </c>
    </row>
    <row r="1642" spans="1:7" ht="12.75">
      <c r="A1642" s="8" t="str">
        <f ca="1">IFERROR(__xludf.DUMMYFUNCTION("""COMPUTED_VALUE"""),"20010306MDLAL")</f>
        <v>20010306MDLAL</v>
      </c>
      <c r="B1642" s="8">
        <f ca="1">IFERROR(__xludf.DUMMYFUNCTION("""COMPUTED_VALUE"""),14)</f>
        <v>14</v>
      </c>
      <c r="C1642" s="8" t="str">
        <f ca="1">IFERROR(__xludf.DUMMYFUNCTION("""COMPUTED_VALUE"""),"Male")</f>
        <v>Male</v>
      </c>
      <c r="D1642" s="8" t="str">
        <f ca="1">IFERROR(__xludf.DUMMYFUNCTION("""COMPUTED_VALUE"""),"Student")</f>
        <v>Student</v>
      </c>
      <c r="E1642" s="8" t="str">
        <f ca="1">IFERROR(__xludf.DUMMYFUNCTION("""COMPUTED_VALUE"""),"Fled/Apprehended")</f>
        <v>Fled/Apprehended</v>
      </c>
      <c r="F1642" s="8" t="str">
        <f ca="1">IFERROR(__xludf.DUMMYFUNCTION("""COMPUTED_VALUE"""),"No")</f>
        <v>No</v>
      </c>
      <c r="G1642" s="8" t="str">
        <f ca="1">IFERROR(__xludf.DUMMYFUNCTION("""COMPUTED_VALUE"""),"None")</f>
        <v>None</v>
      </c>
    </row>
    <row r="1643" spans="1:7" ht="12.75">
      <c r="A1643" s="8" t="str">
        <f ca="1">IFERROR(__xludf.DUMMYFUNCTION("""COMPUTED_VALUE"""),"20010305CASAS")</f>
        <v>20010305CASAS</v>
      </c>
      <c r="B1643" s="8">
        <f ca="1">IFERROR(__xludf.DUMMYFUNCTION("""COMPUTED_VALUE"""),15)</f>
        <v>15</v>
      </c>
      <c r="C1643" s="8" t="str">
        <f ca="1">IFERROR(__xludf.DUMMYFUNCTION("""COMPUTED_VALUE"""),"Male")</f>
        <v>Male</v>
      </c>
      <c r="D1643" s="8" t="str">
        <f ca="1">IFERROR(__xludf.DUMMYFUNCTION("""COMPUTED_VALUE"""),"Student")</f>
        <v>Student</v>
      </c>
      <c r="E1643" s="8" t="str">
        <f ca="1">IFERROR(__xludf.DUMMYFUNCTION("""COMPUTED_VALUE"""),"Apprehended/Killed by LE")</f>
        <v>Apprehended/Killed by LE</v>
      </c>
      <c r="F1643" s="8" t="str">
        <f ca="1">IFERROR(__xludf.DUMMYFUNCTION("""COMPUTED_VALUE"""),"No")</f>
        <v>No</v>
      </c>
      <c r="G1643" s="8" t="str">
        <f ca="1">IFERROR(__xludf.DUMMYFUNCTION("""COMPUTED_VALUE"""),"None")</f>
        <v>None</v>
      </c>
    </row>
    <row r="1644" spans="1:7" ht="12.75">
      <c r="A1644" s="8" t="str">
        <f ca="1">IFERROR(__xludf.DUMMYFUNCTION("""COMPUTED_VALUE"""),"20010302CAHOS")</f>
        <v>20010302CAHOS</v>
      </c>
      <c r="B1644" s="8">
        <f ca="1">IFERROR(__xludf.DUMMYFUNCTION("""COMPUTED_VALUE"""),18)</f>
        <v>18</v>
      </c>
      <c r="C1644" s="8" t="str">
        <f ca="1">IFERROR(__xludf.DUMMYFUNCTION("""COMPUTED_VALUE"""),"Male")</f>
        <v>Male</v>
      </c>
      <c r="D1644" s="8" t="str">
        <f ca="1">IFERROR(__xludf.DUMMYFUNCTION("""COMPUTED_VALUE"""),"Student")</f>
        <v>Student</v>
      </c>
      <c r="E1644" s="8" t="str">
        <f ca="1">IFERROR(__xludf.DUMMYFUNCTION("""COMPUTED_VALUE"""),"Suicide")</f>
        <v>Suicide</v>
      </c>
      <c r="F1644" s="8" t="str">
        <f ca="1">IFERROR(__xludf.DUMMYFUNCTION("""COMPUTED_VALUE"""),"Yes")</f>
        <v>Yes</v>
      </c>
      <c r="G1644" s="8" t="str">
        <f ca="1">IFERROR(__xludf.DUMMYFUNCTION("""COMPUTED_VALUE"""),"Suicide")</f>
        <v>Suicide</v>
      </c>
    </row>
    <row r="1645" spans="1:7" ht="12.75">
      <c r="A1645" s="8" t="str">
        <f ca="1">IFERROR(__xludf.DUMMYFUNCTION("""COMPUTED_VALUE"""),"20010202MIOSD")</f>
        <v>20010202MIOSD</v>
      </c>
      <c r="B1645" s="8" t="str">
        <f ca="1">IFERROR(__xludf.DUMMYFUNCTION("""COMPUTED_VALUE"""),"Teen")</f>
        <v>Teen</v>
      </c>
      <c r="C1645" s="8" t="str">
        <f ca="1">IFERROR(__xludf.DUMMYFUNCTION("""COMPUTED_VALUE"""),"Male")</f>
        <v>Male</v>
      </c>
      <c r="D1645" s="8" t="str">
        <f ca="1">IFERROR(__xludf.DUMMYFUNCTION("""COMPUTED_VALUE"""),"Student")</f>
        <v>Student</v>
      </c>
      <c r="E1645" s="8" t="str">
        <f ca="1">IFERROR(__xludf.DUMMYFUNCTION("""COMPUTED_VALUE"""),"Fled/Escaped")</f>
        <v>Fled/Escaped</v>
      </c>
      <c r="F1645" s="8" t="str">
        <f ca="1">IFERROR(__xludf.DUMMYFUNCTION("""COMPUTED_VALUE"""),"No")</f>
        <v>No</v>
      </c>
      <c r="G1645" s="8" t="str">
        <f ca="1">IFERROR(__xludf.DUMMYFUNCTION("""COMPUTED_VALUE"""),"None")</f>
        <v>None</v>
      </c>
    </row>
    <row r="1646" spans="1:7" ht="12.75">
      <c r="A1646" s="8" t="str">
        <f ca="1">IFERROR(__xludf.DUMMYFUNCTION("""COMPUTED_VALUE"""),"20010117MDLAB")</f>
        <v>20010117MDLAB</v>
      </c>
      <c r="B1646" s="8">
        <f ca="1">IFERROR(__xludf.DUMMYFUNCTION("""COMPUTED_VALUE"""),19)</f>
        <v>19</v>
      </c>
      <c r="C1646" s="8" t="str">
        <f ca="1">IFERROR(__xludf.DUMMYFUNCTION("""COMPUTED_VALUE"""),"Male")</f>
        <v>Male</v>
      </c>
      <c r="D1646" s="8" t="str">
        <f ca="1">IFERROR(__xludf.DUMMYFUNCTION("""COMPUTED_VALUE"""),"Unknown")</f>
        <v>Unknown</v>
      </c>
      <c r="E1646" s="8" t="str">
        <f ca="1">IFERROR(__xludf.DUMMYFUNCTION("""COMPUTED_VALUE"""),"Fled/Apprehended")</f>
        <v>Fled/Apprehended</v>
      </c>
      <c r="F1646" s="8" t="str">
        <f ca="1">IFERROR(__xludf.DUMMYFUNCTION("""COMPUTED_VALUE"""),"No")</f>
        <v>No</v>
      </c>
      <c r="G1646" s="8" t="str">
        <f ca="1">IFERROR(__xludf.DUMMYFUNCTION("""COMPUTED_VALUE"""),"None")</f>
        <v>None</v>
      </c>
    </row>
    <row r="1647" spans="1:7" ht="12.75">
      <c r="A1647" s="8" t="str">
        <f ca="1">IFERROR(__xludf.DUMMYFUNCTION("""COMPUTED_VALUE"""),"20010110CAHUO")</f>
        <v>20010110CAHUO</v>
      </c>
      <c r="B1647" s="8">
        <f ca="1">IFERROR(__xludf.DUMMYFUNCTION("""COMPUTED_VALUE"""),17)</f>
        <v>17</v>
      </c>
      <c r="C1647" s="8" t="str">
        <f ca="1">IFERROR(__xludf.DUMMYFUNCTION("""COMPUTED_VALUE"""),"Male")</f>
        <v>Male</v>
      </c>
      <c r="D1647" s="8" t="str">
        <f ca="1">IFERROR(__xludf.DUMMYFUNCTION("""COMPUTED_VALUE"""),"Nonstudent")</f>
        <v>Nonstudent</v>
      </c>
      <c r="E1647" s="8" t="str">
        <f ca="1">IFERROR(__xludf.DUMMYFUNCTION("""COMPUTED_VALUE"""),"Apprehended/Killed by LE")</f>
        <v>Apprehended/Killed by LE</v>
      </c>
      <c r="F1647" s="8" t="str">
        <f ca="1">IFERROR(__xludf.DUMMYFUNCTION("""COMPUTED_VALUE"""),"Yes")</f>
        <v>Yes</v>
      </c>
      <c r="G1647" s="8" t="str">
        <f ca="1">IFERROR(__xludf.DUMMYFUNCTION("""COMPUTED_VALUE"""),"Fatal")</f>
        <v>Fatal</v>
      </c>
    </row>
    <row r="1648" spans="1:7" ht="12.75">
      <c r="A1648" s="8" t="str">
        <f ca="1">IFERROR(__xludf.DUMMYFUNCTION("""COMPUTED_VALUE"""),"20010103CABAS")</f>
        <v>20010103CABAS</v>
      </c>
      <c r="B1648" s="8">
        <f ca="1">IFERROR(__xludf.DUMMYFUNCTION("""COMPUTED_VALUE"""),15)</f>
        <v>15</v>
      </c>
      <c r="C1648" s="8" t="str">
        <f ca="1">IFERROR(__xludf.DUMMYFUNCTION("""COMPUTED_VALUE"""),"Male")</f>
        <v>Male</v>
      </c>
      <c r="D1648" s="8" t="str">
        <f ca="1">IFERROR(__xludf.DUMMYFUNCTION("""COMPUTED_VALUE"""),"Student")</f>
        <v>Student</v>
      </c>
      <c r="E1648" s="8" t="str">
        <f ca="1">IFERROR(__xludf.DUMMYFUNCTION("""COMPUTED_VALUE"""),"Fled/Apprehended")</f>
        <v>Fled/Apprehended</v>
      </c>
      <c r="F1648" s="8" t="str">
        <f ca="1">IFERROR(__xludf.DUMMYFUNCTION("""COMPUTED_VALUE"""),"No")</f>
        <v>No</v>
      </c>
      <c r="G1648" s="8" t="str">
        <f ca="1">IFERROR(__xludf.DUMMYFUNCTION("""COMPUTED_VALUE"""),"Wounded")</f>
        <v>Wounded</v>
      </c>
    </row>
    <row r="1649" spans="1:7" ht="12.75">
      <c r="A1649" s="8" t="str">
        <f ca="1">IFERROR(__xludf.DUMMYFUNCTION("""COMPUTED_VALUE"""),"20001221FLNOM")</f>
        <v>20001221FLNOM</v>
      </c>
      <c r="B1649" s="8" t="str">
        <f ca="1">IFERROR(__xludf.DUMMYFUNCTION("""COMPUTED_VALUE"""),"Teen")</f>
        <v>Teen</v>
      </c>
      <c r="C1649" s="8" t="str">
        <f ca="1">IFERROR(__xludf.DUMMYFUNCTION("""COMPUTED_VALUE"""),"Male")</f>
        <v>Male</v>
      </c>
      <c r="D1649" s="8" t="str">
        <f ca="1">IFERROR(__xludf.DUMMYFUNCTION("""COMPUTED_VALUE"""),"No Relation")</f>
        <v>No Relation</v>
      </c>
      <c r="E1649" s="8" t="str">
        <f ca="1">IFERROR(__xludf.DUMMYFUNCTION("""COMPUTED_VALUE"""),"Fled/Escaped")</f>
        <v>Fled/Escaped</v>
      </c>
      <c r="F1649" s="8" t="str">
        <f ca="1">IFERROR(__xludf.DUMMYFUNCTION("""COMPUTED_VALUE"""),"No")</f>
        <v>No</v>
      </c>
      <c r="G1649" s="8" t="str">
        <f ca="1">IFERROR(__xludf.DUMMYFUNCTION("""COMPUTED_VALUE"""),"None")</f>
        <v>None</v>
      </c>
    </row>
    <row r="1650" spans="1:7" ht="12.75">
      <c r="A1650" s="8" t="str">
        <f ca="1">IFERROR(__xludf.DUMMYFUNCTION("""COMPUTED_VALUE"""),"20001207CARIR")</f>
        <v>20001207CARIR</v>
      </c>
      <c r="B1650" s="8" t="str">
        <f ca="1">IFERROR(__xludf.DUMMYFUNCTION("""COMPUTED_VALUE"""),"Teen")</f>
        <v>Teen</v>
      </c>
      <c r="C1650" s="8"/>
      <c r="D1650" s="8" t="str">
        <f ca="1">IFERROR(__xludf.DUMMYFUNCTION("""COMPUTED_VALUE"""),"Unknown")</f>
        <v>Unknown</v>
      </c>
      <c r="E1650" s="8" t="str">
        <f ca="1">IFERROR(__xludf.DUMMYFUNCTION("""COMPUTED_VALUE"""),"Fled/Escaped")</f>
        <v>Fled/Escaped</v>
      </c>
      <c r="F1650" s="8" t="str">
        <f ca="1">IFERROR(__xludf.DUMMYFUNCTION("""COMPUTED_VALUE"""),"No")</f>
        <v>No</v>
      </c>
      <c r="G1650" s="8" t="str">
        <f ca="1">IFERROR(__xludf.DUMMYFUNCTION("""COMPUTED_VALUE"""),"None")</f>
        <v>None</v>
      </c>
    </row>
    <row r="1651" spans="1:7" ht="12.75">
      <c r="A1651" s="8" t="str">
        <f ca="1">IFERROR(__xludf.DUMMYFUNCTION("""COMPUTED_VALUE"""),"20001201CAJUS")</f>
        <v>20001201CAJUS</v>
      </c>
      <c r="B1651" s="8">
        <f ca="1">IFERROR(__xludf.DUMMYFUNCTION("""COMPUTED_VALUE"""),15)</f>
        <v>15</v>
      </c>
      <c r="C1651" s="8" t="str">
        <f ca="1">IFERROR(__xludf.DUMMYFUNCTION("""COMPUTED_VALUE"""),"Male")</f>
        <v>Male</v>
      </c>
      <c r="D1651" s="8" t="str">
        <f ca="1">IFERROR(__xludf.DUMMYFUNCTION("""COMPUTED_VALUE"""),"Student")</f>
        <v>Student</v>
      </c>
      <c r="E1651" s="8" t="str">
        <f ca="1">IFERROR(__xludf.DUMMYFUNCTION("""COMPUTED_VALUE"""),"Surrendered")</f>
        <v>Surrendered</v>
      </c>
      <c r="F1651" s="8" t="str">
        <f ca="1">IFERROR(__xludf.DUMMYFUNCTION("""COMPUTED_VALUE"""),"No")</f>
        <v>No</v>
      </c>
      <c r="G1651" s="8" t="str">
        <f ca="1">IFERROR(__xludf.DUMMYFUNCTION("""COMPUTED_VALUE"""),"Wounded")</f>
        <v>Wounded</v>
      </c>
    </row>
    <row r="1652" spans="1:7" ht="12.75">
      <c r="A1652" s="8" t="str">
        <f ca="1">IFERROR(__xludf.DUMMYFUNCTION("""COMPUTED_VALUE"""),"20001201CAGRL")</f>
        <v>20001201CAGRL</v>
      </c>
      <c r="B1652" s="8">
        <f ca="1">IFERROR(__xludf.DUMMYFUNCTION("""COMPUTED_VALUE"""),17)</f>
        <v>17</v>
      </c>
      <c r="C1652" s="8" t="str">
        <f ca="1">IFERROR(__xludf.DUMMYFUNCTION("""COMPUTED_VALUE"""),"Male")</f>
        <v>Male</v>
      </c>
      <c r="D1652" s="8" t="str">
        <f ca="1">IFERROR(__xludf.DUMMYFUNCTION("""COMPUTED_VALUE"""),"Student")</f>
        <v>Student</v>
      </c>
      <c r="E1652" s="8" t="str">
        <f ca="1">IFERROR(__xludf.DUMMYFUNCTION("""COMPUTED_VALUE"""),"Suicide")</f>
        <v>Suicide</v>
      </c>
      <c r="F1652" s="8" t="str">
        <f ca="1">IFERROR(__xludf.DUMMYFUNCTION("""COMPUTED_VALUE"""),"Yes")</f>
        <v>Yes</v>
      </c>
      <c r="G1652" s="8" t="str">
        <f ca="1">IFERROR(__xludf.DUMMYFUNCTION("""COMPUTED_VALUE"""),"Suicide")</f>
        <v>Suicide</v>
      </c>
    </row>
    <row r="1653" spans="1:7" ht="12.75">
      <c r="A1653" s="8" t="str">
        <f ca="1">IFERROR(__xludf.DUMMYFUNCTION("""COMPUTED_VALUE"""),"20001101TXNEC")</f>
        <v>20001101TXNEC</v>
      </c>
      <c r="B1653" s="8">
        <f ca="1">IFERROR(__xludf.DUMMYFUNCTION("""COMPUTED_VALUE"""),15)</f>
        <v>15</v>
      </c>
      <c r="C1653" s="8" t="str">
        <f ca="1">IFERROR(__xludf.DUMMYFUNCTION("""COMPUTED_VALUE"""),"Male")</f>
        <v>Male</v>
      </c>
      <c r="D1653" s="8" t="str">
        <f ca="1">IFERROR(__xludf.DUMMYFUNCTION("""COMPUTED_VALUE"""),"Student")</f>
        <v>Student</v>
      </c>
      <c r="E1653" s="8" t="str">
        <f ca="1">IFERROR(__xludf.DUMMYFUNCTION("""COMPUTED_VALUE"""),"Apprehended/Killed by LE")</f>
        <v>Apprehended/Killed by LE</v>
      </c>
      <c r="F1653" s="8" t="str">
        <f ca="1">IFERROR(__xludf.DUMMYFUNCTION("""COMPUTED_VALUE"""),"No")</f>
        <v>No</v>
      </c>
      <c r="G1653" s="8" t="str">
        <f ca="1">IFERROR(__xludf.DUMMYFUNCTION("""COMPUTED_VALUE"""),"None")</f>
        <v>None</v>
      </c>
    </row>
    <row r="1654" spans="1:7" ht="12.75">
      <c r="A1654" s="8" t="str">
        <f ca="1">IFERROR(__xludf.DUMMYFUNCTION("""COMPUTED_VALUE"""),"20001024AZPIG")</f>
        <v>20001024AZPIG</v>
      </c>
      <c r="B1654" s="8">
        <f ca="1">IFERROR(__xludf.DUMMYFUNCTION("""COMPUTED_VALUE"""),14)</f>
        <v>14</v>
      </c>
      <c r="C1654" s="8" t="str">
        <f ca="1">IFERROR(__xludf.DUMMYFUNCTION("""COMPUTED_VALUE"""),"Male")</f>
        <v>Male</v>
      </c>
      <c r="D1654" s="8" t="str">
        <f ca="1">IFERROR(__xludf.DUMMYFUNCTION("""COMPUTED_VALUE"""),"Former Student")</f>
        <v>Former Student</v>
      </c>
      <c r="E1654" s="8" t="str">
        <f ca="1">IFERROR(__xludf.DUMMYFUNCTION("""COMPUTED_VALUE"""),"Surrendered")</f>
        <v>Surrendered</v>
      </c>
      <c r="F1654" s="8" t="str">
        <f ca="1">IFERROR(__xludf.DUMMYFUNCTION("""COMPUTED_VALUE"""),"No")</f>
        <v>No</v>
      </c>
      <c r="G1654" s="8" t="str">
        <f ca="1">IFERROR(__xludf.DUMMYFUNCTION("""COMPUTED_VALUE"""),"None")</f>
        <v>None</v>
      </c>
    </row>
    <row r="1655" spans="1:7" ht="12.75">
      <c r="A1655" s="8" t="str">
        <f ca="1">IFERROR(__xludf.DUMMYFUNCTION("""COMPUTED_VALUE"""),"20001005MNMIM")</f>
        <v>20001005MNMIM</v>
      </c>
      <c r="B1655" s="8"/>
      <c r="C1655" s="8" t="str">
        <f ca="1">IFERROR(__xludf.DUMMYFUNCTION("""COMPUTED_VALUE"""),"Male")</f>
        <v>Male</v>
      </c>
      <c r="D1655" s="8" t="str">
        <f ca="1">IFERROR(__xludf.DUMMYFUNCTION("""COMPUTED_VALUE"""),"Nonstudent")</f>
        <v>Nonstudent</v>
      </c>
      <c r="E1655" s="8" t="str">
        <f ca="1">IFERROR(__xludf.DUMMYFUNCTION("""COMPUTED_VALUE"""),"Fled/Escaped")</f>
        <v>Fled/Escaped</v>
      </c>
      <c r="F1655" s="8" t="str">
        <f ca="1">IFERROR(__xludf.DUMMYFUNCTION("""COMPUTED_VALUE"""),"No")</f>
        <v>No</v>
      </c>
      <c r="G1655" s="8" t="str">
        <f ca="1">IFERROR(__xludf.DUMMYFUNCTION("""COMPUTED_VALUE"""),"None")</f>
        <v>None</v>
      </c>
    </row>
    <row r="1656" spans="1:7" ht="12.75">
      <c r="A1656" s="8" t="str">
        <f ca="1">IFERROR(__xludf.DUMMYFUNCTION("""COMPUTED_VALUE"""),"20000926LACAN")</f>
        <v>20000926LACAN</v>
      </c>
      <c r="B1656" s="8">
        <f ca="1">IFERROR(__xludf.DUMMYFUNCTION("""COMPUTED_VALUE"""),13)</f>
        <v>13</v>
      </c>
      <c r="C1656" s="8" t="str">
        <f ca="1">IFERROR(__xludf.DUMMYFUNCTION("""COMPUTED_VALUE"""),"Male")</f>
        <v>Male</v>
      </c>
      <c r="D1656" s="8" t="str">
        <f ca="1">IFERROR(__xludf.DUMMYFUNCTION("""COMPUTED_VALUE"""),"Student")</f>
        <v>Student</v>
      </c>
      <c r="E1656" s="8" t="str">
        <f ca="1">IFERROR(__xludf.DUMMYFUNCTION("""COMPUTED_VALUE"""),"Apprehended/Killed by LE")</f>
        <v>Apprehended/Killed by LE</v>
      </c>
      <c r="F1656" s="8" t="str">
        <f ca="1">IFERROR(__xludf.DUMMYFUNCTION("""COMPUTED_VALUE"""),"No")</f>
        <v>No</v>
      </c>
      <c r="G1656" s="8" t="str">
        <f ca="1">IFERROR(__xludf.DUMMYFUNCTION("""COMPUTED_VALUE"""),"None")</f>
        <v>None</v>
      </c>
    </row>
    <row r="1657" spans="1:7" ht="12.75">
      <c r="A1657" s="8" t="str">
        <f ca="1">IFERROR(__xludf.DUMMYFUNCTION("""COMPUTED_VALUE"""),"20000926LACAN")</f>
        <v>20000926LACAN</v>
      </c>
      <c r="B1657" s="8">
        <f ca="1">IFERROR(__xludf.DUMMYFUNCTION("""COMPUTED_VALUE"""),15)</f>
        <v>15</v>
      </c>
      <c r="C1657" s="8" t="str">
        <f ca="1">IFERROR(__xludf.DUMMYFUNCTION("""COMPUTED_VALUE"""),"Male")</f>
        <v>Male</v>
      </c>
      <c r="D1657" s="8" t="str">
        <f ca="1">IFERROR(__xludf.DUMMYFUNCTION("""COMPUTED_VALUE"""),"Student")</f>
        <v>Student</v>
      </c>
      <c r="E1657" s="8" t="str">
        <f ca="1">IFERROR(__xludf.DUMMYFUNCTION("""COMPUTED_VALUE"""),"Apprehended/Killed by LE")</f>
        <v>Apprehended/Killed by LE</v>
      </c>
      <c r="F1657" s="8" t="str">
        <f ca="1">IFERROR(__xludf.DUMMYFUNCTION("""COMPUTED_VALUE"""),"No")</f>
        <v>No</v>
      </c>
      <c r="G1657" s="8" t="str">
        <f ca="1">IFERROR(__xludf.DUMMYFUNCTION("""COMPUTED_VALUE"""),"None")</f>
        <v>None</v>
      </c>
    </row>
    <row r="1658" spans="1:7" ht="12.75">
      <c r="A1658" s="8" t="str">
        <f ca="1">IFERROR(__xludf.DUMMYFUNCTION("""COMPUTED_VALUE"""),"20000918OHMOM")</f>
        <v>20000918OHMOM</v>
      </c>
      <c r="B1658" s="8">
        <f ca="1">IFERROR(__xludf.DUMMYFUNCTION("""COMPUTED_VALUE"""),14)</f>
        <v>14</v>
      </c>
      <c r="C1658" s="8" t="str">
        <f ca="1">IFERROR(__xludf.DUMMYFUNCTION("""COMPUTED_VALUE"""),"Male")</f>
        <v>Male</v>
      </c>
      <c r="D1658" s="8" t="str">
        <f ca="1">IFERROR(__xludf.DUMMYFUNCTION("""COMPUTED_VALUE"""),"Student")</f>
        <v>Student</v>
      </c>
      <c r="E1658" s="8" t="str">
        <f ca="1">IFERROR(__xludf.DUMMYFUNCTION("""COMPUTED_VALUE"""),"Surrendered")</f>
        <v>Surrendered</v>
      </c>
      <c r="F1658" s="8" t="str">
        <f ca="1">IFERROR(__xludf.DUMMYFUNCTION("""COMPUTED_VALUE"""),"No")</f>
        <v>No</v>
      </c>
      <c r="G1658" s="8" t="str">
        <f ca="1">IFERROR(__xludf.DUMMYFUNCTION("""COMPUTED_VALUE"""),"None")</f>
        <v>None</v>
      </c>
    </row>
    <row r="1659" spans="1:7" ht="12.75">
      <c r="A1659" s="8" t="str">
        <f ca="1">IFERROR(__xludf.DUMMYFUNCTION("""COMPUTED_VALUE"""),"20000907ILLOR")</f>
        <v>20000907ILLOR</v>
      </c>
      <c r="B1659" s="8">
        <f ca="1">IFERROR(__xludf.DUMMYFUNCTION("""COMPUTED_VALUE"""),19)</f>
        <v>19</v>
      </c>
      <c r="C1659" s="8" t="str">
        <f ca="1">IFERROR(__xludf.DUMMYFUNCTION("""COMPUTED_VALUE"""),"Male")</f>
        <v>Male</v>
      </c>
      <c r="D1659" s="8" t="str">
        <f ca="1">IFERROR(__xludf.DUMMYFUNCTION("""COMPUTED_VALUE"""),"No Relation")</f>
        <v>No Relation</v>
      </c>
      <c r="E1659" s="8" t="str">
        <f ca="1">IFERROR(__xludf.DUMMYFUNCTION("""COMPUTED_VALUE"""),"Fled/Apprehended")</f>
        <v>Fled/Apprehended</v>
      </c>
      <c r="F1659" s="8" t="str">
        <f ca="1">IFERROR(__xludf.DUMMYFUNCTION("""COMPUTED_VALUE"""),"No")</f>
        <v>No</v>
      </c>
      <c r="G1659" s="8" t="str">
        <f ca="1">IFERROR(__xludf.DUMMYFUNCTION("""COMPUTED_VALUE"""),"None")</f>
        <v>None</v>
      </c>
    </row>
    <row r="1660" spans="1:7" ht="12.75">
      <c r="A1660" s="8" t="str">
        <f ca="1">IFERROR(__xludf.DUMMYFUNCTION("""COMPUTED_VALUE"""),"20000905OHBIB")</f>
        <v>20000905OHBIB</v>
      </c>
      <c r="B1660" s="8">
        <f ca="1">IFERROR(__xludf.DUMMYFUNCTION("""COMPUTED_VALUE"""),66)</f>
        <v>66</v>
      </c>
      <c r="C1660" s="8" t="str">
        <f ca="1">IFERROR(__xludf.DUMMYFUNCTION("""COMPUTED_VALUE"""),"Male")</f>
        <v>Male</v>
      </c>
      <c r="D1660" s="8" t="str">
        <f ca="1">IFERROR(__xludf.DUMMYFUNCTION("""COMPUTED_VALUE"""),"Intimate Relationship")</f>
        <v>Intimate Relationship</v>
      </c>
      <c r="E1660" s="8" t="str">
        <f ca="1">IFERROR(__xludf.DUMMYFUNCTION("""COMPUTED_VALUE"""),"Fled/Escaped")</f>
        <v>Fled/Escaped</v>
      </c>
      <c r="F1660" s="8" t="str">
        <f ca="1">IFERROR(__xludf.DUMMYFUNCTION("""COMPUTED_VALUE"""),"Yes")</f>
        <v>Yes</v>
      </c>
      <c r="G1660" s="8" t="str">
        <f ca="1">IFERROR(__xludf.DUMMYFUNCTION("""COMPUTED_VALUE"""),"Suicide")</f>
        <v>Suicide</v>
      </c>
    </row>
    <row r="1661" spans="1:7" ht="12.75">
      <c r="A1661" s="8" t="str">
        <f ca="1">IFERROR(__xludf.DUMMYFUNCTION("""COMPUTED_VALUE"""),"20000726OHTIC")</f>
        <v>20000726OHTIC</v>
      </c>
      <c r="B1661" s="8">
        <f ca="1">IFERROR(__xludf.DUMMYFUNCTION("""COMPUTED_VALUE"""),18)</f>
        <v>18</v>
      </c>
      <c r="C1661" s="8" t="str">
        <f ca="1">IFERROR(__xludf.DUMMYFUNCTION("""COMPUTED_VALUE"""),"Male")</f>
        <v>Male</v>
      </c>
      <c r="D1661" s="8" t="str">
        <f ca="1">IFERROR(__xludf.DUMMYFUNCTION("""COMPUTED_VALUE"""),"Student")</f>
        <v>Student</v>
      </c>
      <c r="E1661" s="8" t="str">
        <f ca="1">IFERROR(__xludf.DUMMYFUNCTION("""COMPUTED_VALUE"""),"Fled/Apprehended")</f>
        <v>Fled/Apprehended</v>
      </c>
      <c r="F1661" s="8" t="str">
        <f ca="1">IFERROR(__xludf.DUMMYFUNCTION("""COMPUTED_VALUE"""),"No")</f>
        <v>No</v>
      </c>
      <c r="G1661" s="8" t="str">
        <f ca="1">IFERROR(__xludf.DUMMYFUNCTION("""COMPUTED_VALUE"""),"None")</f>
        <v>None</v>
      </c>
    </row>
    <row r="1662" spans="1:7" ht="12.75">
      <c r="A1662" s="8" t="str">
        <f ca="1">IFERROR(__xludf.DUMMYFUNCTION("""COMPUTED_VALUE"""),"20000717WADIR")</f>
        <v>20000717WADIR</v>
      </c>
      <c r="B1662" s="8">
        <f ca="1">IFERROR(__xludf.DUMMYFUNCTION("""COMPUTED_VALUE"""),13)</f>
        <v>13</v>
      </c>
      <c r="C1662" s="8" t="str">
        <f ca="1">IFERROR(__xludf.DUMMYFUNCTION("""COMPUTED_VALUE"""),"Male")</f>
        <v>Male</v>
      </c>
      <c r="D1662" s="8" t="str">
        <f ca="1">IFERROR(__xludf.DUMMYFUNCTION("""COMPUTED_VALUE"""),"Student")</f>
        <v>Student</v>
      </c>
      <c r="E1662" s="8" t="str">
        <f ca="1">IFERROR(__xludf.DUMMYFUNCTION("""COMPUTED_VALUE"""),"Fled/Apprehended")</f>
        <v>Fled/Apprehended</v>
      </c>
      <c r="F1662" s="8" t="str">
        <f ca="1">IFERROR(__xludf.DUMMYFUNCTION("""COMPUTED_VALUE"""),"No")</f>
        <v>No</v>
      </c>
      <c r="G1662" s="8" t="str">
        <f ca="1">IFERROR(__xludf.DUMMYFUNCTION("""COMPUTED_VALUE"""),"None")</f>
        <v>None</v>
      </c>
    </row>
    <row r="1663" spans="1:7" ht="12.75">
      <c r="A1663" s="8" t="str">
        <f ca="1">IFERROR(__xludf.DUMMYFUNCTION("""COMPUTED_VALUE"""),"20000526FLLAL")</f>
        <v>20000526FLLAL</v>
      </c>
      <c r="B1663" s="8">
        <f ca="1">IFERROR(__xludf.DUMMYFUNCTION("""COMPUTED_VALUE"""),13)</f>
        <v>13</v>
      </c>
      <c r="C1663" s="8" t="str">
        <f ca="1">IFERROR(__xludf.DUMMYFUNCTION("""COMPUTED_VALUE"""),"Male")</f>
        <v>Male</v>
      </c>
      <c r="D1663" s="8" t="str">
        <f ca="1">IFERROR(__xludf.DUMMYFUNCTION("""COMPUTED_VALUE"""),"Student")</f>
        <v>Student</v>
      </c>
      <c r="E1663" s="8" t="str">
        <f ca="1">IFERROR(__xludf.DUMMYFUNCTION("""COMPUTED_VALUE"""),"Subdued by Students/Staff/Other")</f>
        <v>Subdued by Students/Staff/Other</v>
      </c>
      <c r="F1663" s="8" t="str">
        <f ca="1">IFERROR(__xludf.DUMMYFUNCTION("""COMPUTED_VALUE"""),"No")</f>
        <v>No</v>
      </c>
      <c r="G1663" s="8" t="str">
        <f ca="1">IFERROR(__xludf.DUMMYFUNCTION("""COMPUTED_VALUE"""),"None")</f>
        <v>None</v>
      </c>
    </row>
    <row r="1664" spans="1:7" ht="12.75">
      <c r="A1664" s="8" t="str">
        <f ca="1">IFERROR(__xludf.DUMMYFUNCTION("""COMPUTED_VALUE"""),"20000510AZCAS")</f>
        <v>20000510AZCAS</v>
      </c>
      <c r="B1664" s="8">
        <f ca="1">IFERROR(__xludf.DUMMYFUNCTION("""COMPUTED_VALUE"""),39)</f>
        <v>39</v>
      </c>
      <c r="C1664" s="8" t="str">
        <f ca="1">IFERROR(__xludf.DUMMYFUNCTION("""COMPUTED_VALUE"""),"Male")</f>
        <v>Male</v>
      </c>
      <c r="D1664" s="8" t="str">
        <f ca="1">IFERROR(__xludf.DUMMYFUNCTION("""COMPUTED_VALUE"""),"Intimate Relationship")</f>
        <v>Intimate Relationship</v>
      </c>
      <c r="E1664" s="8" t="str">
        <f ca="1">IFERROR(__xludf.DUMMYFUNCTION("""COMPUTED_VALUE"""),"Suicide")</f>
        <v>Suicide</v>
      </c>
      <c r="F1664" s="8" t="str">
        <f ca="1">IFERROR(__xludf.DUMMYFUNCTION("""COMPUTED_VALUE"""),"Yes")</f>
        <v>Yes</v>
      </c>
      <c r="G1664" s="8" t="str">
        <f ca="1">IFERROR(__xludf.DUMMYFUNCTION("""COMPUTED_VALUE"""),"Suicide")</f>
        <v>Suicide</v>
      </c>
    </row>
    <row r="1665" spans="1:7" ht="12.75">
      <c r="A1665" s="8" t="str">
        <f ca="1">IFERROR(__xludf.DUMMYFUNCTION("""COMPUTED_VALUE"""),"20000502COTHD")</f>
        <v>20000502COTHD</v>
      </c>
      <c r="B1665" s="8">
        <f ca="1">IFERROR(__xludf.DUMMYFUNCTION("""COMPUTED_VALUE"""),16)</f>
        <v>16</v>
      </c>
      <c r="C1665" s="8" t="str">
        <f ca="1">IFERROR(__xludf.DUMMYFUNCTION("""COMPUTED_VALUE"""),"Male")</f>
        <v>Male</v>
      </c>
      <c r="D1665" s="8" t="str">
        <f ca="1">IFERROR(__xludf.DUMMYFUNCTION("""COMPUTED_VALUE"""),"Student")</f>
        <v>Student</v>
      </c>
      <c r="E1665" s="8" t="str">
        <f ca="1">IFERROR(__xludf.DUMMYFUNCTION("""COMPUTED_VALUE"""),"Attempted Suicide")</f>
        <v>Attempted Suicide</v>
      </c>
      <c r="F1665" s="8" t="str">
        <f ca="1">IFERROR(__xludf.DUMMYFUNCTION("""COMPUTED_VALUE"""),"No")</f>
        <v>No</v>
      </c>
      <c r="G1665" s="8" t="str">
        <f ca="1">IFERROR(__xludf.DUMMYFUNCTION("""COMPUTED_VALUE"""),"Wounded")</f>
        <v>Wounded</v>
      </c>
    </row>
    <row r="1666" spans="1:7" ht="12.75">
      <c r="A1666" s="8" t="str">
        <f ca="1">IFERROR(__xludf.DUMMYFUNCTION("""COMPUTED_VALUE"""),"20000410AZLAT")</f>
        <v>20000410AZLAT</v>
      </c>
      <c r="B1666" s="8">
        <f ca="1">IFERROR(__xludf.DUMMYFUNCTION("""COMPUTED_VALUE"""),35)</f>
        <v>35</v>
      </c>
      <c r="C1666" s="8" t="str">
        <f ca="1">IFERROR(__xludf.DUMMYFUNCTION("""COMPUTED_VALUE"""),"Female")</f>
        <v>Female</v>
      </c>
      <c r="D1666" s="8" t="str">
        <f ca="1">IFERROR(__xludf.DUMMYFUNCTION("""COMPUTED_VALUE"""),"Teacher")</f>
        <v>Teacher</v>
      </c>
      <c r="E1666" s="8" t="str">
        <f ca="1">IFERROR(__xludf.DUMMYFUNCTION("""COMPUTED_VALUE"""),"Surrendered")</f>
        <v>Surrendered</v>
      </c>
      <c r="F1666" s="8" t="str">
        <f ca="1">IFERROR(__xludf.DUMMYFUNCTION("""COMPUTED_VALUE"""),"No")</f>
        <v>No</v>
      </c>
      <c r="G1666" s="8" t="str">
        <f ca="1">IFERROR(__xludf.DUMMYFUNCTION("""COMPUTED_VALUE"""),"Wounded")</f>
        <v>Wounded</v>
      </c>
    </row>
    <row r="1667" spans="1:7" ht="12.75">
      <c r="A1667" s="8" t="str">
        <f ca="1">IFERROR(__xludf.DUMMYFUNCTION("""COMPUTED_VALUE"""),"20000406OKHUH")</f>
        <v>20000406OKHUH</v>
      </c>
      <c r="B1667" s="8">
        <f ca="1">IFERROR(__xludf.DUMMYFUNCTION("""COMPUTED_VALUE"""),35)</f>
        <v>35</v>
      </c>
      <c r="C1667" s="8" t="str">
        <f ca="1">IFERROR(__xludf.DUMMYFUNCTION("""COMPUTED_VALUE"""),"Female")</f>
        <v>Female</v>
      </c>
      <c r="D1667" s="8" t="str">
        <f ca="1">IFERROR(__xludf.DUMMYFUNCTION("""COMPUTED_VALUE"""),"Parent")</f>
        <v>Parent</v>
      </c>
      <c r="E1667" s="8" t="str">
        <f ca="1">IFERROR(__xludf.DUMMYFUNCTION("""COMPUTED_VALUE"""),"Apprehended/Killed by LE")</f>
        <v>Apprehended/Killed by LE</v>
      </c>
      <c r="F1667" s="8" t="str">
        <f ca="1">IFERROR(__xludf.DUMMYFUNCTION("""COMPUTED_VALUE"""),"No")</f>
        <v>No</v>
      </c>
      <c r="G1667" s="8" t="str">
        <f ca="1">IFERROR(__xludf.DUMMYFUNCTION("""COMPUTED_VALUE"""),"None")</f>
        <v>None</v>
      </c>
    </row>
    <row r="1668" spans="1:7" ht="12.75">
      <c r="A1668" s="8" t="str">
        <f ca="1">IFERROR(__xludf.DUMMYFUNCTION("""COMPUTED_VALUE"""),"20000323OHMCL")</f>
        <v>20000323OHMCL</v>
      </c>
      <c r="B1668" s="8">
        <f ca="1">IFERROR(__xludf.DUMMYFUNCTION("""COMPUTED_VALUE"""),13)</f>
        <v>13</v>
      </c>
      <c r="C1668" s="8" t="str">
        <f ca="1">IFERROR(__xludf.DUMMYFUNCTION("""COMPUTED_VALUE"""),"Male")</f>
        <v>Male</v>
      </c>
      <c r="D1668" s="8" t="str">
        <f ca="1">IFERROR(__xludf.DUMMYFUNCTION("""COMPUTED_VALUE"""),"Student")</f>
        <v>Student</v>
      </c>
      <c r="E1668" s="8" t="str">
        <f ca="1">IFERROR(__xludf.DUMMYFUNCTION("""COMPUTED_VALUE"""),"Surrendered")</f>
        <v>Surrendered</v>
      </c>
      <c r="F1668" s="8" t="str">
        <f ca="1">IFERROR(__xludf.DUMMYFUNCTION("""COMPUTED_VALUE"""),"No")</f>
        <v>No</v>
      </c>
      <c r="G1668" s="8" t="str">
        <f ca="1">IFERROR(__xludf.DUMMYFUNCTION("""COMPUTED_VALUE"""),"None")</f>
        <v>None</v>
      </c>
    </row>
    <row r="1669" spans="1:7" ht="12.75">
      <c r="A1669" s="8" t="str">
        <f ca="1">IFERROR(__xludf.DUMMYFUNCTION("""COMPUTED_VALUE"""),"20000310GABES")</f>
        <v>20000310GABES</v>
      </c>
      <c r="B1669" s="8">
        <f ca="1">IFERROR(__xludf.DUMMYFUNCTION("""COMPUTED_VALUE"""),19)</f>
        <v>19</v>
      </c>
      <c r="C1669" s="8" t="str">
        <f ca="1">IFERROR(__xludf.DUMMYFUNCTION("""COMPUTED_VALUE"""),"Male")</f>
        <v>Male</v>
      </c>
      <c r="D1669" s="8" t="str">
        <f ca="1">IFERROR(__xludf.DUMMYFUNCTION("""COMPUTED_VALUE"""),"Nonstudent Using Athletic Facilities/Attending Game")</f>
        <v>Nonstudent Using Athletic Facilities/Attending Game</v>
      </c>
      <c r="E1669" s="8" t="str">
        <f ca="1">IFERROR(__xludf.DUMMYFUNCTION("""COMPUTED_VALUE"""),"Fled/Apprehended")</f>
        <v>Fled/Apprehended</v>
      </c>
      <c r="F1669" s="8" t="str">
        <f ca="1">IFERROR(__xludf.DUMMYFUNCTION("""COMPUTED_VALUE"""),"No")</f>
        <v>No</v>
      </c>
      <c r="G1669" s="8" t="str">
        <f ca="1">IFERROR(__xludf.DUMMYFUNCTION("""COMPUTED_VALUE"""),"None")</f>
        <v>None</v>
      </c>
    </row>
    <row r="1670" spans="1:7" ht="12.75">
      <c r="A1670" s="8" t="str">
        <f ca="1">IFERROR(__xludf.DUMMYFUNCTION("""COMPUTED_VALUE"""),"20000229MIBUF")</f>
        <v>20000229MIBUF</v>
      </c>
      <c r="B1670" s="8">
        <f ca="1">IFERROR(__xludf.DUMMYFUNCTION("""COMPUTED_VALUE"""),6)</f>
        <v>6</v>
      </c>
      <c r="C1670" s="8" t="str">
        <f ca="1">IFERROR(__xludf.DUMMYFUNCTION("""COMPUTED_VALUE"""),"Male")</f>
        <v>Male</v>
      </c>
      <c r="D1670" s="8" t="str">
        <f ca="1">IFERROR(__xludf.DUMMYFUNCTION("""COMPUTED_VALUE"""),"Student")</f>
        <v>Student</v>
      </c>
      <c r="E1670" s="8" t="str">
        <f ca="1">IFERROR(__xludf.DUMMYFUNCTION("""COMPUTED_VALUE"""),"Unknown")</f>
        <v>Unknown</v>
      </c>
      <c r="F1670" s="8" t="str">
        <f ca="1">IFERROR(__xludf.DUMMYFUNCTION("""COMPUTED_VALUE"""),"No")</f>
        <v>No</v>
      </c>
      <c r="G1670" s="8" t="str">
        <f ca="1">IFERROR(__xludf.DUMMYFUNCTION("""COMPUTED_VALUE"""),"None")</f>
        <v>None</v>
      </c>
    </row>
    <row r="1671" spans="1:7" ht="12.75">
      <c r="A1671" s="8" t="str">
        <f ca="1">IFERROR(__xludf.DUMMYFUNCTION("""COMPUTED_VALUE"""),"20000214ILDUC")</f>
        <v>20000214ILDUC</v>
      </c>
      <c r="B1671" s="8">
        <f ca="1">IFERROR(__xludf.DUMMYFUNCTION("""COMPUTED_VALUE"""),12)</f>
        <v>12</v>
      </c>
      <c r="C1671" s="8" t="str">
        <f ca="1">IFERROR(__xludf.DUMMYFUNCTION("""COMPUTED_VALUE"""),"Male")</f>
        <v>Male</v>
      </c>
      <c r="D1671" s="8" t="str">
        <f ca="1">IFERROR(__xludf.DUMMYFUNCTION("""COMPUTED_VALUE"""),"Student")</f>
        <v>Student</v>
      </c>
      <c r="E1671" s="8" t="str">
        <f ca="1">IFERROR(__xludf.DUMMYFUNCTION("""COMPUTED_VALUE"""),"Fled/Escaped")</f>
        <v>Fled/Escaped</v>
      </c>
      <c r="F1671" s="8" t="str">
        <f ca="1">IFERROR(__xludf.DUMMYFUNCTION("""COMPUTED_VALUE"""),"No")</f>
        <v>No</v>
      </c>
      <c r="G1671" s="8" t="str">
        <f ca="1">IFERROR(__xludf.DUMMYFUNCTION("""COMPUTED_VALUE"""),"None")</f>
        <v>None</v>
      </c>
    </row>
    <row r="1672" spans="1:7" ht="12.75">
      <c r="A1672" s="8" t="str">
        <f ca="1">IFERROR(__xludf.DUMMYFUNCTION("""COMPUTED_VALUE"""),"20000210PAPEY")</f>
        <v>20000210PAPEY</v>
      </c>
      <c r="B1672" s="8">
        <f ca="1">IFERROR(__xludf.DUMMYFUNCTION("""COMPUTED_VALUE"""),13)</f>
        <v>13</v>
      </c>
      <c r="C1672" s="8" t="str">
        <f ca="1">IFERROR(__xludf.DUMMYFUNCTION("""COMPUTED_VALUE"""),"Male")</f>
        <v>Male</v>
      </c>
      <c r="D1672" s="8" t="str">
        <f ca="1">IFERROR(__xludf.DUMMYFUNCTION("""COMPUTED_VALUE"""),"Student")</f>
        <v>Student</v>
      </c>
      <c r="E1672" s="8" t="str">
        <f ca="1">IFERROR(__xludf.DUMMYFUNCTION("""COMPUTED_VALUE"""),"Fled/Apprehended")</f>
        <v>Fled/Apprehended</v>
      </c>
      <c r="F1672" s="8" t="str">
        <f ca="1">IFERROR(__xludf.DUMMYFUNCTION("""COMPUTED_VALUE"""),"No")</f>
        <v>No</v>
      </c>
      <c r="G1672" s="8" t="str">
        <f ca="1">IFERROR(__xludf.DUMMYFUNCTION("""COMPUTED_VALUE"""),"None")</f>
        <v>None</v>
      </c>
    </row>
    <row r="1673" spans="1:7" ht="12.75">
      <c r="A1673" s="8" t="str">
        <f ca="1">IFERROR(__xludf.DUMMYFUNCTION("""COMPUTED_VALUE"""),"20000126NESOO")</f>
        <v>20000126NESOO</v>
      </c>
      <c r="B1673" s="8" t="str">
        <f ca="1">IFERROR(__xludf.DUMMYFUNCTION("""COMPUTED_VALUE"""),"Teen")</f>
        <v>Teen</v>
      </c>
      <c r="C1673" s="8" t="str">
        <f ca="1">IFERROR(__xludf.DUMMYFUNCTION("""COMPUTED_VALUE"""),"Male")</f>
        <v>Male</v>
      </c>
      <c r="D1673" s="8" t="str">
        <f ca="1">IFERROR(__xludf.DUMMYFUNCTION("""COMPUTED_VALUE"""),"Student")</f>
        <v>Student</v>
      </c>
      <c r="E1673" s="8" t="str">
        <f ca="1">IFERROR(__xludf.DUMMYFUNCTION("""COMPUTED_VALUE"""),"Fled/Escaped")</f>
        <v>Fled/Escaped</v>
      </c>
      <c r="F1673" s="8" t="str">
        <f ca="1">IFERROR(__xludf.DUMMYFUNCTION("""COMPUTED_VALUE"""),"No")</f>
        <v>No</v>
      </c>
      <c r="G1673" s="8" t="str">
        <f ca="1">IFERROR(__xludf.DUMMYFUNCTION("""COMPUTED_VALUE"""),"None")</f>
        <v>None</v>
      </c>
    </row>
    <row r="1674" spans="1:7" ht="12.75">
      <c r="A1674" s="8" t="str">
        <f ca="1">IFERROR(__xludf.DUMMYFUNCTION("""COMPUTED_VALUE"""),"20000126CAALM")</f>
        <v>20000126CAALM</v>
      </c>
      <c r="B1674" s="8">
        <f ca="1">IFERROR(__xludf.DUMMYFUNCTION("""COMPUTED_VALUE"""),13)</f>
        <v>13</v>
      </c>
      <c r="C1674" s="8" t="str">
        <f ca="1">IFERROR(__xludf.DUMMYFUNCTION("""COMPUTED_VALUE"""),"Male")</f>
        <v>Male</v>
      </c>
      <c r="D1674" s="8" t="str">
        <f ca="1">IFERROR(__xludf.DUMMYFUNCTION("""COMPUTED_VALUE"""),"Student")</f>
        <v>Student</v>
      </c>
      <c r="E1674" s="8" t="str">
        <f ca="1">IFERROR(__xludf.DUMMYFUNCTION("""COMPUTED_VALUE"""),"Fled/Apprehended")</f>
        <v>Fled/Apprehended</v>
      </c>
      <c r="F1674" s="8" t="str">
        <f ca="1">IFERROR(__xludf.DUMMYFUNCTION("""COMPUTED_VALUE"""),"No")</f>
        <v>No</v>
      </c>
      <c r="G1674" s="8" t="str">
        <f ca="1">IFERROR(__xludf.DUMMYFUNCTION("""COMPUTED_VALUE"""),"None")</f>
        <v>None</v>
      </c>
    </row>
    <row r="1675" spans="1:7" ht="12.75">
      <c r="A1675" s="8" t="str">
        <f ca="1">IFERROR(__xludf.DUMMYFUNCTION("""COMPUTED_VALUE"""),"20000120NCERA")</f>
        <v>20000120NCERA</v>
      </c>
      <c r="B1675" s="8">
        <f ca="1">IFERROR(__xludf.DUMMYFUNCTION("""COMPUTED_VALUE"""),17)</f>
        <v>17</v>
      </c>
      <c r="C1675" s="8" t="str">
        <f ca="1">IFERROR(__xludf.DUMMYFUNCTION("""COMPUTED_VALUE"""),"Male")</f>
        <v>Male</v>
      </c>
      <c r="D1675" s="8" t="str">
        <f ca="1">IFERROR(__xludf.DUMMYFUNCTION("""COMPUTED_VALUE"""),"Former Student")</f>
        <v>Former Student</v>
      </c>
      <c r="E1675" s="8" t="str">
        <f ca="1">IFERROR(__xludf.DUMMYFUNCTION("""COMPUTED_VALUE"""),"Fled/Apprehended")</f>
        <v>Fled/Apprehended</v>
      </c>
      <c r="F1675" s="8" t="str">
        <f ca="1">IFERROR(__xludf.DUMMYFUNCTION("""COMPUTED_VALUE"""),"No")</f>
        <v>No</v>
      </c>
      <c r="G1675" s="8" t="str">
        <f ca="1">IFERROR(__xludf.DUMMYFUNCTION("""COMPUTED_VALUE"""),"None")</f>
        <v>None</v>
      </c>
    </row>
    <row r="1676" spans="1:7" ht="12.75">
      <c r="A1676" s="8" t="str">
        <f ca="1">IFERROR(__xludf.DUMMYFUNCTION("""COMPUTED_VALUE"""),"20000119FLRIN")</f>
        <v>20000119FLRIN</v>
      </c>
      <c r="B1676" s="8">
        <f ca="1">IFERROR(__xludf.DUMMYFUNCTION("""COMPUTED_VALUE"""),16)</f>
        <v>16</v>
      </c>
      <c r="C1676" s="8" t="str">
        <f ca="1">IFERROR(__xludf.DUMMYFUNCTION("""COMPUTED_VALUE"""),"Male")</f>
        <v>Male</v>
      </c>
      <c r="D1676" s="8" t="str">
        <f ca="1">IFERROR(__xludf.DUMMYFUNCTION("""COMPUTED_VALUE"""),"Student")</f>
        <v>Student</v>
      </c>
      <c r="E1676" s="8" t="str">
        <f ca="1">IFERROR(__xludf.DUMMYFUNCTION("""COMPUTED_VALUE"""),"Unknown")</f>
        <v>Unknown</v>
      </c>
      <c r="F1676" s="8" t="str">
        <f ca="1">IFERROR(__xludf.DUMMYFUNCTION("""COMPUTED_VALUE"""),"No")</f>
        <v>No</v>
      </c>
      <c r="G1676" s="8" t="str">
        <f ca="1">IFERROR(__xludf.DUMMYFUNCTION("""COMPUTED_VALUE"""),"None")</f>
        <v>None</v>
      </c>
    </row>
    <row r="1677" spans="1:7" ht="12.75">
      <c r="A1677" s="8" t="str">
        <f ca="1">IFERROR(__xludf.DUMMYFUNCTION("""COMPUTED_VALUE"""),"20000113NMALA")</f>
        <v>20000113NMALA</v>
      </c>
      <c r="B1677" s="8" t="str">
        <f ca="1">IFERROR(__xludf.DUMMYFUNCTION("""COMPUTED_VALUE"""),"Teen")</f>
        <v>Teen</v>
      </c>
      <c r="C1677" s="8" t="str">
        <f ca="1">IFERROR(__xludf.DUMMYFUNCTION("""COMPUTED_VALUE"""),"Male")</f>
        <v>Male</v>
      </c>
      <c r="D1677" s="8" t="str">
        <f ca="1">IFERROR(__xludf.DUMMYFUNCTION("""COMPUTED_VALUE"""),"Rival School Student")</f>
        <v>Rival School Student</v>
      </c>
      <c r="E1677" s="8" t="str">
        <f ca="1">IFERROR(__xludf.DUMMYFUNCTION("""COMPUTED_VALUE"""),"Fled/Apprehended")</f>
        <v>Fled/Apprehended</v>
      </c>
      <c r="F1677" s="8" t="str">
        <f ca="1">IFERROR(__xludf.DUMMYFUNCTION("""COMPUTED_VALUE"""),"No")</f>
        <v>No</v>
      </c>
      <c r="G1677" s="8" t="str">
        <f ca="1">IFERROR(__xludf.DUMMYFUNCTION("""COMPUTED_VALUE"""),"None")</f>
        <v>None</v>
      </c>
    </row>
    <row r="1678" spans="1:7" ht="12.75">
      <c r="A1678" s="8" t="str">
        <f ca="1">IFERROR(__xludf.DUMMYFUNCTION("""COMPUTED_VALUE"""),"20000110AKBAA")</f>
        <v>20000110AKBAA</v>
      </c>
      <c r="B1678" s="8">
        <f ca="1">IFERROR(__xludf.DUMMYFUNCTION("""COMPUTED_VALUE"""),16)</f>
        <v>16</v>
      </c>
      <c r="C1678" s="8" t="str">
        <f ca="1">IFERROR(__xludf.DUMMYFUNCTION("""COMPUTED_VALUE"""),"Male")</f>
        <v>Male</v>
      </c>
      <c r="D1678" s="8" t="str">
        <f ca="1">IFERROR(__xludf.DUMMYFUNCTION("""COMPUTED_VALUE"""),"Student")</f>
        <v>Student</v>
      </c>
      <c r="E1678" s="8" t="str">
        <f ca="1">IFERROR(__xludf.DUMMYFUNCTION("""COMPUTED_VALUE"""),"Fled/Escaped")</f>
        <v>Fled/Escaped</v>
      </c>
      <c r="F1678" s="8" t="str">
        <f ca="1">IFERROR(__xludf.DUMMYFUNCTION("""COMPUTED_VALUE"""),"No")</f>
        <v>No</v>
      </c>
      <c r="G1678" s="8" t="str">
        <f ca="1">IFERROR(__xludf.DUMMYFUNCTION("""COMPUTED_VALUE"""),"None")</f>
        <v>None</v>
      </c>
    </row>
    <row r="1679" spans="1:7" ht="12.75">
      <c r="A1679" s="8" t="str">
        <f ca="1">IFERROR(__xludf.DUMMYFUNCTION("""COMPUTED_VALUE"""),"19991206OKFOF")</f>
        <v>19991206OKFOF</v>
      </c>
      <c r="B1679" s="8">
        <f ca="1">IFERROR(__xludf.DUMMYFUNCTION("""COMPUTED_VALUE"""),13)</f>
        <v>13</v>
      </c>
      <c r="C1679" s="8" t="str">
        <f ca="1">IFERROR(__xludf.DUMMYFUNCTION("""COMPUTED_VALUE"""),"Male")</f>
        <v>Male</v>
      </c>
      <c r="D1679" s="8" t="str">
        <f ca="1">IFERROR(__xludf.DUMMYFUNCTION("""COMPUTED_VALUE"""),"Student")</f>
        <v>Student</v>
      </c>
      <c r="E1679" s="8" t="str">
        <f ca="1">IFERROR(__xludf.DUMMYFUNCTION("""COMPUTED_VALUE"""),"Subdued by Students/Staff/Other")</f>
        <v>Subdued by Students/Staff/Other</v>
      </c>
      <c r="F1679" s="8" t="str">
        <f ca="1">IFERROR(__xludf.DUMMYFUNCTION("""COMPUTED_VALUE"""),"No")</f>
        <v>No</v>
      </c>
      <c r="G1679" s="8" t="str">
        <f ca="1">IFERROR(__xludf.DUMMYFUNCTION("""COMPUTED_VALUE"""),"None")</f>
        <v>None</v>
      </c>
    </row>
    <row r="1680" spans="1:7" ht="12.75">
      <c r="A1680" s="8" t="str">
        <f ca="1">IFERROR(__xludf.DUMMYFUNCTION("""COMPUTED_VALUE"""),"19991119NMDED")</f>
        <v>19991119NMDED</v>
      </c>
      <c r="B1680" s="8">
        <f ca="1">IFERROR(__xludf.DUMMYFUNCTION("""COMPUTED_VALUE"""),13)</f>
        <v>13</v>
      </c>
      <c r="C1680" s="8" t="str">
        <f ca="1">IFERROR(__xludf.DUMMYFUNCTION("""COMPUTED_VALUE"""),"Male")</f>
        <v>Male</v>
      </c>
      <c r="D1680" s="8" t="str">
        <f ca="1">IFERROR(__xludf.DUMMYFUNCTION("""COMPUTED_VALUE"""),"Student")</f>
        <v>Student</v>
      </c>
      <c r="E1680" s="8" t="str">
        <f ca="1">IFERROR(__xludf.DUMMYFUNCTION("""COMPUTED_VALUE"""),"Surrendered")</f>
        <v>Surrendered</v>
      </c>
      <c r="F1680" s="8" t="str">
        <f ca="1">IFERROR(__xludf.DUMMYFUNCTION("""COMPUTED_VALUE"""),"No")</f>
        <v>No</v>
      </c>
      <c r="G1680" s="8" t="str">
        <f ca="1">IFERROR(__xludf.DUMMYFUNCTION("""COMPUTED_VALUE"""),"None")</f>
        <v>None</v>
      </c>
    </row>
    <row r="1681" spans="1:7" ht="12.75">
      <c r="A1681" s="8" t="str">
        <f ca="1">IFERROR(__xludf.DUMMYFUNCTION("""COMPUTED_VALUE"""),"19991117TXDID")</f>
        <v>19991117TXDID</v>
      </c>
      <c r="B1681" s="8">
        <f ca="1">IFERROR(__xludf.DUMMYFUNCTION("""COMPUTED_VALUE"""),16)</f>
        <v>16</v>
      </c>
      <c r="C1681" s="8" t="str">
        <f ca="1">IFERROR(__xludf.DUMMYFUNCTION("""COMPUTED_VALUE"""),"Male")</f>
        <v>Male</v>
      </c>
      <c r="D1681" s="8" t="str">
        <f ca="1">IFERROR(__xludf.DUMMYFUNCTION("""COMPUTED_VALUE"""),"Student")</f>
        <v>Student</v>
      </c>
      <c r="E1681" s="8" t="str">
        <f ca="1">IFERROR(__xludf.DUMMYFUNCTION("""COMPUTED_VALUE"""),"Fled/Apprehended")</f>
        <v>Fled/Apprehended</v>
      </c>
      <c r="F1681" s="8" t="str">
        <f ca="1">IFERROR(__xludf.DUMMYFUNCTION("""COMPUTED_VALUE"""),"No")</f>
        <v>No</v>
      </c>
      <c r="G1681" s="8" t="str">
        <f ca="1">IFERROR(__xludf.DUMMYFUNCTION("""COMPUTED_VALUE"""),"None")</f>
        <v>None</v>
      </c>
    </row>
    <row r="1682" spans="1:7" ht="12.75">
      <c r="A1682" s="8" t="str">
        <f ca="1">IFERROR(__xludf.DUMMYFUNCTION("""COMPUTED_VALUE"""),"19991026WVGUB")</f>
        <v>19991026WVGUB</v>
      </c>
      <c r="B1682" s="8">
        <f ca="1">IFERROR(__xludf.DUMMYFUNCTION("""COMPUTED_VALUE"""),66)</f>
        <v>66</v>
      </c>
      <c r="C1682" s="8" t="str">
        <f ca="1">IFERROR(__xludf.DUMMYFUNCTION("""COMPUTED_VALUE"""),"Male")</f>
        <v>Male</v>
      </c>
      <c r="D1682" s="8" t="str">
        <f ca="1">IFERROR(__xludf.DUMMYFUNCTION("""COMPUTED_VALUE"""),"Other Staff")</f>
        <v>Other Staff</v>
      </c>
      <c r="E1682" s="8" t="str">
        <f ca="1">IFERROR(__xludf.DUMMYFUNCTION("""COMPUTED_VALUE"""),"Suicide")</f>
        <v>Suicide</v>
      </c>
      <c r="F1682" s="8" t="str">
        <f ca="1">IFERROR(__xludf.DUMMYFUNCTION("""COMPUTED_VALUE"""),"Yes")</f>
        <v>Yes</v>
      </c>
      <c r="G1682" s="8" t="str">
        <f ca="1">IFERROR(__xludf.DUMMYFUNCTION("""COMPUTED_VALUE"""),"Suicide")</f>
        <v>Suicide</v>
      </c>
    </row>
    <row r="1683" spans="1:7" ht="12.75">
      <c r="A1683" s="8" t="str">
        <f ca="1">IFERROR(__xludf.DUMMYFUNCTION("""COMPUTED_VALUE"""),"19991026PAMAP")</f>
        <v>19991026PAMAP</v>
      </c>
      <c r="B1683" s="8">
        <f ca="1">IFERROR(__xludf.DUMMYFUNCTION("""COMPUTED_VALUE"""),19)</f>
        <v>19</v>
      </c>
      <c r="C1683" s="8" t="str">
        <f ca="1">IFERROR(__xludf.DUMMYFUNCTION("""COMPUTED_VALUE"""),"Male")</f>
        <v>Male</v>
      </c>
      <c r="D1683" s="8" t="str">
        <f ca="1">IFERROR(__xludf.DUMMYFUNCTION("""COMPUTED_VALUE"""),"Former Student")</f>
        <v>Former Student</v>
      </c>
      <c r="E1683" s="8" t="str">
        <f ca="1">IFERROR(__xludf.DUMMYFUNCTION("""COMPUTED_VALUE"""),"Fled/Apprehended")</f>
        <v>Fled/Apprehended</v>
      </c>
      <c r="F1683" s="8" t="str">
        <f ca="1">IFERROR(__xludf.DUMMYFUNCTION("""COMPUTED_VALUE"""),"No")</f>
        <v>No</v>
      </c>
      <c r="G1683" s="8" t="str">
        <f ca="1">IFERROR(__xludf.DUMMYFUNCTION("""COMPUTED_VALUE"""),"None")</f>
        <v>None</v>
      </c>
    </row>
    <row r="1684" spans="1:7" ht="12.75">
      <c r="A1684" s="8" t="str">
        <f ca="1">IFERROR(__xludf.DUMMYFUNCTION("""COMPUTED_VALUE"""),"19991021CASAP")</f>
        <v>19991021CASAP</v>
      </c>
      <c r="B1684" s="8" t="str">
        <f ca="1">IFERROR(__xludf.DUMMYFUNCTION("""COMPUTED_VALUE"""),"Teen")</f>
        <v>Teen</v>
      </c>
      <c r="C1684" s="8" t="str">
        <f ca="1">IFERROR(__xludf.DUMMYFUNCTION("""COMPUTED_VALUE"""),"Male")</f>
        <v>Male</v>
      </c>
      <c r="D1684" s="8" t="str">
        <f ca="1">IFERROR(__xludf.DUMMYFUNCTION("""COMPUTED_VALUE"""),"Unknown")</f>
        <v>Unknown</v>
      </c>
      <c r="E1684" s="8" t="str">
        <f ca="1">IFERROR(__xludf.DUMMYFUNCTION("""COMPUTED_VALUE"""),"Fled/Escaped")</f>
        <v>Fled/Escaped</v>
      </c>
      <c r="F1684" s="8" t="str">
        <f ca="1">IFERROR(__xludf.DUMMYFUNCTION("""COMPUTED_VALUE"""),"No")</f>
        <v>No</v>
      </c>
      <c r="G1684" s="8" t="str">
        <f ca="1">IFERROR(__xludf.DUMMYFUNCTION("""COMPUTED_VALUE"""),"None")</f>
        <v>None</v>
      </c>
    </row>
    <row r="1685" spans="1:7" ht="12.75">
      <c r="A1685" s="8" t="str">
        <f ca="1">IFERROR(__xludf.DUMMYFUNCTION("""COMPUTED_VALUE"""),"19991011NVCLL")</f>
        <v>19991011NVCLL</v>
      </c>
      <c r="B1685" s="8">
        <f ca="1">IFERROR(__xludf.DUMMYFUNCTION("""COMPUTED_VALUE"""),18)</f>
        <v>18</v>
      </c>
      <c r="C1685" s="8" t="str">
        <f ca="1">IFERROR(__xludf.DUMMYFUNCTION("""COMPUTED_VALUE"""),"Male")</f>
        <v>Male</v>
      </c>
      <c r="D1685" s="8" t="str">
        <f ca="1">IFERROR(__xludf.DUMMYFUNCTION("""COMPUTED_VALUE"""),"Unknown")</f>
        <v>Unknown</v>
      </c>
      <c r="E1685" s="8" t="str">
        <f ca="1">IFERROR(__xludf.DUMMYFUNCTION("""COMPUTED_VALUE"""),"Fled/Apprehended")</f>
        <v>Fled/Apprehended</v>
      </c>
      <c r="F1685" s="8" t="str">
        <f ca="1">IFERROR(__xludf.DUMMYFUNCTION("""COMPUTED_VALUE"""),"No")</f>
        <v>No</v>
      </c>
      <c r="G1685" s="8" t="str">
        <f ca="1">IFERROR(__xludf.DUMMYFUNCTION("""COMPUTED_VALUE"""),"None")</f>
        <v>None</v>
      </c>
    </row>
    <row r="1686" spans="1:7" ht="12.75">
      <c r="A1686" s="8" t="str">
        <f ca="1">IFERROR(__xludf.DUMMYFUNCTION("""COMPUTED_VALUE"""),"19991004SDJOP")</f>
        <v>19991004SDJOP</v>
      </c>
      <c r="B1686" s="8">
        <f ca="1">IFERROR(__xludf.DUMMYFUNCTION("""COMPUTED_VALUE"""),17)</f>
        <v>17</v>
      </c>
      <c r="C1686" s="8" t="str">
        <f ca="1">IFERROR(__xludf.DUMMYFUNCTION("""COMPUTED_VALUE"""),"Male")</f>
        <v>Male</v>
      </c>
      <c r="D1686" s="8" t="str">
        <f ca="1">IFERROR(__xludf.DUMMYFUNCTION("""COMPUTED_VALUE"""),"Student")</f>
        <v>Student</v>
      </c>
      <c r="E1686" s="8" t="str">
        <f ca="1">IFERROR(__xludf.DUMMYFUNCTION("""COMPUTED_VALUE"""),"Fled/Apprehended")</f>
        <v>Fled/Apprehended</v>
      </c>
      <c r="F1686" s="8" t="str">
        <f ca="1">IFERROR(__xludf.DUMMYFUNCTION("""COMPUTED_VALUE"""),"No")</f>
        <v>No</v>
      </c>
      <c r="G1686" s="8" t="str">
        <f ca="1">IFERROR(__xludf.DUMMYFUNCTION("""COMPUTED_VALUE"""),"None")</f>
        <v>None</v>
      </c>
    </row>
    <row r="1687" spans="1:7" ht="12.75">
      <c r="A1687" s="8" t="str">
        <f ca="1">IFERROR(__xludf.DUMMYFUNCTION("""COMPUTED_VALUE"""),"19990927FLEGT")</f>
        <v>19990927FLEGT</v>
      </c>
      <c r="B1687" s="8"/>
      <c r="C1687" s="8"/>
      <c r="D1687" s="8" t="str">
        <f ca="1">IFERROR(__xludf.DUMMYFUNCTION("""COMPUTED_VALUE"""),"Unknown")</f>
        <v>Unknown</v>
      </c>
      <c r="E1687" s="8" t="str">
        <f ca="1">IFERROR(__xludf.DUMMYFUNCTION("""COMPUTED_VALUE"""),"Unknown")</f>
        <v>Unknown</v>
      </c>
      <c r="F1687" s="8" t="str">
        <f ca="1">IFERROR(__xludf.DUMMYFUNCTION("""COMPUTED_VALUE"""),"No")</f>
        <v>No</v>
      </c>
      <c r="G1687" s="8" t="str">
        <f ca="1">IFERROR(__xludf.DUMMYFUNCTION("""COMPUTED_VALUE"""),"None")</f>
        <v>None</v>
      </c>
    </row>
    <row r="1688" spans="1:7" ht="12.75">
      <c r="A1688" s="8" t="str">
        <f ca="1">IFERROR(__xludf.DUMMYFUNCTION("""COMPUTED_VALUE"""),"19990909CASAS")</f>
        <v>19990909CASAS</v>
      </c>
      <c r="B1688" s="8">
        <f ca="1">IFERROR(__xludf.DUMMYFUNCTION("""COMPUTED_VALUE"""),16)</f>
        <v>16</v>
      </c>
      <c r="C1688" s="8" t="str">
        <f ca="1">IFERROR(__xludf.DUMMYFUNCTION("""COMPUTED_VALUE"""),"Male")</f>
        <v>Male</v>
      </c>
      <c r="D1688" s="8" t="str">
        <f ca="1">IFERROR(__xludf.DUMMYFUNCTION("""COMPUTED_VALUE"""),"Student")</f>
        <v>Student</v>
      </c>
      <c r="E1688" s="8" t="str">
        <f ca="1">IFERROR(__xludf.DUMMYFUNCTION("""COMPUTED_VALUE"""),"Suicide")</f>
        <v>Suicide</v>
      </c>
      <c r="F1688" s="8" t="str">
        <f ca="1">IFERROR(__xludf.DUMMYFUNCTION("""COMPUTED_VALUE"""),"Yes")</f>
        <v>Yes</v>
      </c>
      <c r="G1688" s="8" t="str">
        <f ca="1">IFERROR(__xludf.DUMMYFUNCTION("""COMPUTED_VALUE"""),"Suicide")</f>
        <v>Suicide</v>
      </c>
    </row>
    <row r="1689" spans="1:7" ht="12.75">
      <c r="A1689" s="8" t="str">
        <f ca="1">IFERROR(__xludf.DUMMYFUNCTION("""COMPUTED_VALUE"""),"19990825GAJAM")</f>
        <v>19990825GAJAM</v>
      </c>
      <c r="B1689" s="8">
        <f ca="1">IFERROR(__xludf.DUMMYFUNCTION("""COMPUTED_VALUE"""),16)</f>
        <v>16</v>
      </c>
      <c r="C1689" s="8" t="str">
        <f ca="1">IFERROR(__xludf.DUMMYFUNCTION("""COMPUTED_VALUE"""),"Female")</f>
        <v>Female</v>
      </c>
      <c r="D1689" s="8" t="str">
        <f ca="1">IFERROR(__xludf.DUMMYFUNCTION("""COMPUTED_VALUE"""),"Student")</f>
        <v>Student</v>
      </c>
      <c r="E1689" s="8" t="str">
        <f ca="1">IFERROR(__xludf.DUMMYFUNCTION("""COMPUTED_VALUE"""),"Suicide")</f>
        <v>Suicide</v>
      </c>
      <c r="F1689" s="8" t="str">
        <f ca="1">IFERROR(__xludf.DUMMYFUNCTION("""COMPUTED_VALUE"""),"Yes")</f>
        <v>Yes</v>
      </c>
      <c r="G1689" s="8" t="str">
        <f ca="1">IFERROR(__xludf.DUMMYFUNCTION("""COMPUTED_VALUE"""),"Suicide")</f>
        <v>Suicide</v>
      </c>
    </row>
    <row r="1690" spans="1:7" ht="12.75">
      <c r="A1690" s="8" t="str">
        <f ca="1">IFERROR(__xludf.DUMMYFUNCTION("""COMPUTED_VALUE"""),"19990520GAHEC")</f>
        <v>19990520GAHEC</v>
      </c>
      <c r="B1690" s="8">
        <f ca="1">IFERROR(__xludf.DUMMYFUNCTION("""COMPUTED_VALUE"""),15)</f>
        <v>15</v>
      </c>
      <c r="C1690" s="8" t="str">
        <f ca="1">IFERROR(__xludf.DUMMYFUNCTION("""COMPUTED_VALUE"""),"Male")</f>
        <v>Male</v>
      </c>
      <c r="D1690" s="8" t="str">
        <f ca="1">IFERROR(__xludf.DUMMYFUNCTION("""COMPUTED_VALUE"""),"Student")</f>
        <v>Student</v>
      </c>
      <c r="E1690" s="8" t="str">
        <f ca="1">IFERROR(__xludf.DUMMYFUNCTION("""COMPUTED_VALUE"""),"Fled/Apprehended")</f>
        <v>Fled/Apprehended</v>
      </c>
      <c r="F1690" s="8" t="str">
        <f ca="1">IFERROR(__xludf.DUMMYFUNCTION("""COMPUTED_VALUE"""),"No")</f>
        <v>No</v>
      </c>
      <c r="G1690" s="8" t="str">
        <f ca="1">IFERROR(__xludf.DUMMYFUNCTION("""COMPUTED_VALUE"""),"None")</f>
        <v>None</v>
      </c>
    </row>
    <row r="1691" spans="1:7" ht="12.75">
      <c r="A1691" s="8" t="str">
        <f ca="1">IFERROR(__xludf.DUMMYFUNCTION("""COMPUTED_VALUE"""),"19990422LASCB")</f>
        <v>19990422LASCB</v>
      </c>
      <c r="B1691" s="8">
        <f ca="1">IFERROR(__xludf.DUMMYFUNCTION("""COMPUTED_VALUE"""),14)</f>
        <v>14</v>
      </c>
      <c r="C1691" s="8" t="str">
        <f ca="1">IFERROR(__xludf.DUMMYFUNCTION("""COMPUTED_VALUE"""),"Male")</f>
        <v>Male</v>
      </c>
      <c r="D1691" s="8" t="str">
        <f ca="1">IFERROR(__xludf.DUMMYFUNCTION("""COMPUTED_VALUE"""),"Former Student")</f>
        <v>Former Student</v>
      </c>
      <c r="E1691" s="8" t="str">
        <f ca="1">IFERROR(__xludf.DUMMYFUNCTION("""COMPUTED_VALUE"""),"Fled/Apprehended")</f>
        <v>Fled/Apprehended</v>
      </c>
      <c r="F1691" s="8" t="str">
        <f ca="1">IFERROR(__xludf.DUMMYFUNCTION("""COMPUTED_VALUE"""),"No")</f>
        <v>No</v>
      </c>
      <c r="G1691" s="8" t="str">
        <f ca="1">IFERROR(__xludf.DUMMYFUNCTION("""COMPUTED_VALUE"""),"None")</f>
        <v>None</v>
      </c>
    </row>
    <row r="1692" spans="1:7" ht="12.75">
      <c r="A1692" s="8" t="str">
        <f ca="1">IFERROR(__xludf.DUMMYFUNCTION("""COMPUTED_VALUE"""),"19990422GAMAA")</f>
        <v>19990422GAMAA</v>
      </c>
      <c r="B1692" s="8">
        <f ca="1">IFERROR(__xludf.DUMMYFUNCTION("""COMPUTED_VALUE"""),17)</f>
        <v>17</v>
      </c>
      <c r="C1692" s="8" t="str">
        <f ca="1">IFERROR(__xludf.DUMMYFUNCTION("""COMPUTED_VALUE"""),"Male")</f>
        <v>Male</v>
      </c>
      <c r="D1692" s="8" t="str">
        <f ca="1">IFERROR(__xludf.DUMMYFUNCTION("""COMPUTED_VALUE"""),"Student")</f>
        <v>Student</v>
      </c>
      <c r="E1692" s="8" t="str">
        <f ca="1">IFERROR(__xludf.DUMMYFUNCTION("""COMPUTED_VALUE"""),"Fled/Apprehended")</f>
        <v>Fled/Apprehended</v>
      </c>
      <c r="F1692" s="8" t="str">
        <f ca="1">IFERROR(__xludf.DUMMYFUNCTION("""COMPUTED_VALUE"""),"No")</f>
        <v>No</v>
      </c>
      <c r="G1692" s="8" t="str">
        <f ca="1">IFERROR(__xludf.DUMMYFUNCTION("""COMPUTED_VALUE"""),"None")</f>
        <v>None</v>
      </c>
    </row>
    <row r="1693" spans="1:7" ht="12.75">
      <c r="A1693" s="8" t="str">
        <f ca="1">IFERROR(__xludf.DUMMYFUNCTION("""COMPUTED_VALUE"""),"19990420COCOL")</f>
        <v>19990420COCOL</v>
      </c>
      <c r="B1693" s="8">
        <f ca="1">IFERROR(__xludf.DUMMYFUNCTION("""COMPUTED_VALUE"""),17)</f>
        <v>17</v>
      </c>
      <c r="C1693" s="8" t="str">
        <f ca="1">IFERROR(__xludf.DUMMYFUNCTION("""COMPUTED_VALUE"""),"Male")</f>
        <v>Male</v>
      </c>
      <c r="D1693" s="8" t="str">
        <f ca="1">IFERROR(__xludf.DUMMYFUNCTION("""COMPUTED_VALUE"""),"Student")</f>
        <v>Student</v>
      </c>
      <c r="E1693" s="8" t="str">
        <f ca="1">IFERROR(__xludf.DUMMYFUNCTION("""COMPUTED_VALUE"""),"Suicide")</f>
        <v>Suicide</v>
      </c>
      <c r="F1693" s="8" t="str">
        <f ca="1">IFERROR(__xludf.DUMMYFUNCTION("""COMPUTED_VALUE"""),"Yes")</f>
        <v>Yes</v>
      </c>
      <c r="G1693" s="8" t="str">
        <f ca="1">IFERROR(__xludf.DUMMYFUNCTION("""COMPUTED_VALUE"""),"Suicide")</f>
        <v>Suicide</v>
      </c>
    </row>
    <row r="1694" spans="1:7" ht="12.75">
      <c r="A1694" s="8" t="str">
        <f ca="1">IFERROR(__xludf.DUMMYFUNCTION("""COMPUTED_VALUE"""),"19990420COCOL")</f>
        <v>19990420COCOL</v>
      </c>
      <c r="B1694" s="8">
        <f ca="1">IFERROR(__xludf.DUMMYFUNCTION("""COMPUTED_VALUE"""),18)</f>
        <v>18</v>
      </c>
      <c r="C1694" s="8" t="str">
        <f ca="1">IFERROR(__xludf.DUMMYFUNCTION("""COMPUTED_VALUE"""),"Male")</f>
        <v>Male</v>
      </c>
      <c r="D1694" s="8" t="str">
        <f ca="1">IFERROR(__xludf.DUMMYFUNCTION("""COMPUTED_VALUE"""),"Student")</f>
        <v>Student</v>
      </c>
      <c r="E1694" s="8" t="str">
        <f ca="1">IFERROR(__xludf.DUMMYFUNCTION("""COMPUTED_VALUE"""),"Suicide")</f>
        <v>Suicide</v>
      </c>
      <c r="F1694" s="8" t="str">
        <f ca="1">IFERROR(__xludf.DUMMYFUNCTION("""COMPUTED_VALUE"""),"Yes")</f>
        <v>Yes</v>
      </c>
      <c r="G1694" s="8" t="str">
        <f ca="1">IFERROR(__xludf.DUMMYFUNCTION("""COMPUTED_VALUE"""),"Suicide")</f>
        <v>Suicide</v>
      </c>
    </row>
    <row r="1695" spans="1:7" ht="12.75">
      <c r="A1695" s="8" t="str">
        <f ca="1">IFERROR(__xludf.DUMMYFUNCTION("""COMPUTED_VALUE"""),"19990416IDNON")</f>
        <v>19990416IDNON</v>
      </c>
      <c r="B1695" s="8">
        <f ca="1">IFERROR(__xludf.DUMMYFUNCTION("""COMPUTED_VALUE"""),16)</f>
        <v>16</v>
      </c>
      <c r="C1695" s="8" t="str">
        <f ca="1">IFERROR(__xludf.DUMMYFUNCTION("""COMPUTED_VALUE"""),"Male")</f>
        <v>Male</v>
      </c>
      <c r="D1695" s="8" t="str">
        <f ca="1">IFERROR(__xludf.DUMMYFUNCTION("""COMPUTED_VALUE"""),"Student")</f>
        <v>Student</v>
      </c>
      <c r="E1695" s="8" t="str">
        <f ca="1">IFERROR(__xludf.DUMMYFUNCTION("""COMPUTED_VALUE"""),"Surrendered")</f>
        <v>Surrendered</v>
      </c>
      <c r="F1695" s="8" t="str">
        <f ca="1">IFERROR(__xludf.DUMMYFUNCTION("""COMPUTED_VALUE"""),"No")</f>
        <v>No</v>
      </c>
      <c r="G1695" s="8" t="str">
        <f ca="1">IFERROR(__xludf.DUMMYFUNCTION("""COMPUTED_VALUE"""),"None")</f>
        <v>None</v>
      </c>
    </row>
    <row r="1696" spans="1:7" ht="12.75">
      <c r="A1696" s="8" t="str">
        <f ca="1">IFERROR(__xludf.DUMMYFUNCTION("""COMPUTED_VALUE"""),"19990304ILNIS")</f>
        <v>19990304ILNIS</v>
      </c>
      <c r="B1696" s="8">
        <f ca="1">IFERROR(__xludf.DUMMYFUNCTION("""COMPUTED_VALUE"""),26)</f>
        <v>26</v>
      </c>
      <c r="C1696" s="8" t="str">
        <f ca="1">IFERROR(__xludf.DUMMYFUNCTION("""COMPUTED_VALUE"""),"Male")</f>
        <v>Male</v>
      </c>
      <c r="D1696" s="8" t="str">
        <f ca="1">IFERROR(__xludf.DUMMYFUNCTION("""COMPUTED_VALUE"""),"Nonstudent Using Athletic Facilities/Attending Game")</f>
        <v>Nonstudent Using Athletic Facilities/Attending Game</v>
      </c>
      <c r="E1696" s="8" t="str">
        <f ca="1">IFERROR(__xludf.DUMMYFUNCTION("""COMPUTED_VALUE"""),"Fled/Escaped")</f>
        <v>Fled/Escaped</v>
      </c>
      <c r="F1696" s="8" t="str">
        <f ca="1">IFERROR(__xludf.DUMMYFUNCTION("""COMPUTED_VALUE"""),"Yes")</f>
        <v>Yes</v>
      </c>
      <c r="G1696" s="8" t="str">
        <f ca="1">IFERROR(__xludf.DUMMYFUNCTION("""COMPUTED_VALUE"""),"Suicide")</f>
        <v>Suicide</v>
      </c>
    </row>
    <row r="1697" spans="1:7" ht="12.75">
      <c r="A1697" s="8" t="str">
        <f ca="1">IFERROR(__xludf.DUMMYFUNCTION("""COMPUTED_VALUE"""),"19990211MSJEP")</f>
        <v>19990211MSJEP</v>
      </c>
      <c r="B1697" s="8">
        <f ca="1">IFERROR(__xludf.DUMMYFUNCTION("""COMPUTED_VALUE"""),44)</f>
        <v>44</v>
      </c>
      <c r="C1697" s="8" t="str">
        <f ca="1">IFERROR(__xludf.DUMMYFUNCTION("""COMPUTED_VALUE"""),"Male")</f>
        <v>Male</v>
      </c>
      <c r="D1697" s="8" t="str">
        <f ca="1">IFERROR(__xludf.DUMMYFUNCTION("""COMPUTED_VALUE"""),"Unknown")</f>
        <v>Unknown</v>
      </c>
      <c r="E1697" s="8" t="str">
        <f ca="1">IFERROR(__xludf.DUMMYFUNCTION("""COMPUTED_VALUE"""),"Surrendered")</f>
        <v>Surrendered</v>
      </c>
      <c r="F1697" s="8" t="str">
        <f ca="1">IFERROR(__xludf.DUMMYFUNCTION("""COMPUTED_VALUE"""),"No")</f>
        <v>No</v>
      </c>
      <c r="G1697" s="8" t="str">
        <f ca="1">IFERROR(__xludf.DUMMYFUNCTION("""COMPUTED_VALUE"""),"None")</f>
        <v>None</v>
      </c>
    </row>
    <row r="1698" spans="1:7" ht="12.75">
      <c r="A1698" s="8" t="str">
        <f ca="1">IFERROR(__xludf.DUMMYFUNCTION("""COMPUTED_VALUE"""),"19990211ILOME")</f>
        <v>19990211ILOME</v>
      </c>
      <c r="B1698" s="8"/>
      <c r="C1698" s="8" t="str">
        <f ca="1">IFERROR(__xludf.DUMMYFUNCTION("""COMPUTED_VALUE"""),"Male")</f>
        <v>Male</v>
      </c>
      <c r="D1698" s="8" t="str">
        <f ca="1">IFERROR(__xludf.DUMMYFUNCTION("""COMPUTED_VALUE"""),"Unknown")</f>
        <v>Unknown</v>
      </c>
      <c r="E1698" s="8" t="str">
        <f ca="1">IFERROR(__xludf.DUMMYFUNCTION("""COMPUTED_VALUE"""),"Fled/Escaped")</f>
        <v>Fled/Escaped</v>
      </c>
      <c r="F1698" s="8" t="str">
        <f ca="1">IFERROR(__xludf.DUMMYFUNCTION("""COMPUTED_VALUE"""),"No")</f>
        <v>No</v>
      </c>
      <c r="G1698" s="8" t="str">
        <f ca="1">IFERROR(__xludf.DUMMYFUNCTION("""COMPUTED_VALUE"""),"None")</f>
        <v>None</v>
      </c>
    </row>
    <row r="1699" spans="1:7" ht="12.75">
      <c r="A1699" s="8" t="str">
        <f ca="1">IFERROR(__xludf.DUMMYFUNCTION("""COMPUTED_VALUE"""),"19990121TXRIN")</f>
        <v>19990121TXRIN</v>
      </c>
      <c r="B1699" s="8">
        <f ca="1">IFERROR(__xludf.DUMMYFUNCTION("""COMPUTED_VALUE"""),16)</f>
        <v>16</v>
      </c>
      <c r="C1699" s="8" t="str">
        <f ca="1">IFERROR(__xludf.DUMMYFUNCTION("""COMPUTED_VALUE"""),"Male")</f>
        <v>Male</v>
      </c>
      <c r="D1699" s="8" t="str">
        <f ca="1">IFERROR(__xludf.DUMMYFUNCTION("""COMPUTED_VALUE"""),"Student")</f>
        <v>Student</v>
      </c>
      <c r="E1699" s="8" t="str">
        <f ca="1">IFERROR(__xludf.DUMMYFUNCTION("""COMPUTED_VALUE"""),"Suicide")</f>
        <v>Suicide</v>
      </c>
      <c r="F1699" s="8" t="str">
        <f ca="1">IFERROR(__xludf.DUMMYFUNCTION("""COMPUTED_VALUE"""),"Yes")</f>
        <v>Yes</v>
      </c>
      <c r="G1699" s="8" t="str">
        <f ca="1">IFERROR(__xludf.DUMMYFUNCTION("""COMPUTED_VALUE"""),"Suicide")</f>
        <v>Suicide</v>
      </c>
    </row>
    <row r="1700" spans="1:7" ht="12.75">
      <c r="A1700" s="8" t="str">
        <f ca="1">IFERROR(__xludf.DUMMYFUNCTION("""COMPUTED_VALUE"""),"19990114NYHAN")</f>
        <v>19990114NYHAN</v>
      </c>
      <c r="B1700" s="8">
        <f ca="1">IFERROR(__xludf.DUMMYFUNCTION("""COMPUTED_VALUE"""),16)</f>
        <v>16</v>
      </c>
      <c r="C1700" s="8" t="str">
        <f ca="1">IFERROR(__xludf.DUMMYFUNCTION("""COMPUTED_VALUE"""),"Male")</f>
        <v>Male</v>
      </c>
      <c r="D1700" s="8" t="str">
        <f ca="1">IFERROR(__xludf.DUMMYFUNCTION("""COMPUTED_VALUE"""),"Unknown")</f>
        <v>Unknown</v>
      </c>
      <c r="E1700" s="8" t="str">
        <f ca="1">IFERROR(__xludf.DUMMYFUNCTION("""COMPUTED_VALUE"""),"Fled/Apprehended")</f>
        <v>Fled/Apprehended</v>
      </c>
      <c r="F1700" s="8" t="str">
        <f ca="1">IFERROR(__xludf.DUMMYFUNCTION("""COMPUTED_VALUE"""),"No")</f>
        <v>No</v>
      </c>
      <c r="G1700" s="8" t="str">
        <f ca="1">IFERROR(__xludf.DUMMYFUNCTION("""COMPUTED_VALUE"""),"None")</f>
        <v>None</v>
      </c>
    </row>
    <row r="1701" spans="1:7" ht="12.75">
      <c r="A1701" s="8" t="str">
        <f ca="1">IFERROR(__xludf.DUMMYFUNCTION("""COMPUTED_VALUE"""),"19990108GACEC")</f>
        <v>19990108GACEC</v>
      </c>
      <c r="B1701" s="8">
        <f ca="1">IFERROR(__xludf.DUMMYFUNCTION("""COMPUTED_VALUE"""),15)</f>
        <v>15</v>
      </c>
      <c r="C1701" s="8" t="str">
        <f ca="1">IFERROR(__xludf.DUMMYFUNCTION("""COMPUTED_VALUE"""),"Female")</f>
        <v>Female</v>
      </c>
      <c r="D1701" s="8" t="str">
        <f ca="1">IFERROR(__xludf.DUMMYFUNCTION("""COMPUTED_VALUE"""),"Student")</f>
        <v>Student</v>
      </c>
      <c r="E1701" s="8" t="str">
        <f ca="1">IFERROR(__xludf.DUMMYFUNCTION("""COMPUTED_VALUE"""),"Suicide")</f>
        <v>Suicide</v>
      </c>
      <c r="F1701" s="8" t="str">
        <f ca="1">IFERROR(__xludf.DUMMYFUNCTION("""COMPUTED_VALUE"""),"Yes")</f>
        <v>Yes</v>
      </c>
      <c r="G1701" s="8" t="str">
        <f ca="1">IFERROR(__xludf.DUMMYFUNCTION("""COMPUTED_VALUE"""),"Suicide")</f>
        <v>Suicide</v>
      </c>
    </row>
    <row r="1702" spans="1:7" ht="12.75">
      <c r="A1702" s="8" t="str">
        <f ca="1">IFERROR(__xludf.DUMMYFUNCTION("""COMPUTED_VALUE"""),"19990108GACEC")</f>
        <v>19990108GACEC</v>
      </c>
      <c r="B1702" s="8">
        <f ca="1">IFERROR(__xludf.DUMMYFUNCTION("""COMPUTED_VALUE"""),17)</f>
        <v>17</v>
      </c>
      <c r="C1702" s="8" t="str">
        <f ca="1">IFERROR(__xludf.DUMMYFUNCTION("""COMPUTED_VALUE"""),"Male")</f>
        <v>Male</v>
      </c>
      <c r="D1702" s="8" t="str">
        <f ca="1">IFERROR(__xludf.DUMMYFUNCTION("""COMPUTED_VALUE"""),"Student")</f>
        <v>Student</v>
      </c>
      <c r="E1702" s="8" t="str">
        <f ca="1">IFERROR(__xludf.DUMMYFUNCTION("""COMPUTED_VALUE"""),"Suicide")</f>
        <v>Suicide</v>
      </c>
      <c r="F1702" s="8" t="str">
        <f ca="1">IFERROR(__xludf.DUMMYFUNCTION("""COMPUTED_VALUE"""),"Yes")</f>
        <v>Yes</v>
      </c>
      <c r="G1702" s="8" t="str">
        <f ca="1">IFERROR(__xludf.DUMMYFUNCTION("""COMPUTED_VALUE"""),"Suicide")</f>
        <v>Suicide</v>
      </c>
    </row>
    <row r="1703" spans="1:7" ht="12.75">
      <c r="A1703" s="8" t="str">
        <f ca="1">IFERROR(__xludf.DUMMYFUNCTION("""COMPUTED_VALUE"""),"19981211INBEI")</f>
        <v>19981211INBEI</v>
      </c>
      <c r="B1703" s="8" t="str">
        <f ca="1">IFERROR(__xludf.DUMMYFUNCTION("""COMPUTED_VALUE"""),"Teen")</f>
        <v>Teen</v>
      </c>
      <c r="C1703" s="8" t="str">
        <f ca="1">IFERROR(__xludf.DUMMYFUNCTION("""COMPUTED_VALUE"""),"Male")</f>
        <v>Male</v>
      </c>
      <c r="D1703" s="8" t="str">
        <f ca="1">IFERROR(__xludf.DUMMYFUNCTION("""COMPUTED_VALUE"""),"Student")</f>
        <v>Student</v>
      </c>
      <c r="E1703" s="8" t="str">
        <f ca="1">IFERROR(__xludf.DUMMYFUNCTION("""COMPUTED_VALUE"""),"Unknown")</f>
        <v>Unknown</v>
      </c>
      <c r="F1703" s="8" t="str">
        <f ca="1">IFERROR(__xludf.DUMMYFUNCTION("""COMPUTED_VALUE"""),"No")</f>
        <v>No</v>
      </c>
      <c r="G1703" s="8" t="str">
        <f ca="1">IFERROR(__xludf.DUMMYFUNCTION("""COMPUTED_VALUE"""),"None")</f>
        <v>None</v>
      </c>
    </row>
    <row r="1704" spans="1:7" ht="12.75">
      <c r="A1704" s="8" t="str">
        <f ca="1">IFERROR(__xludf.DUMMYFUNCTION("""COMPUTED_VALUE"""),"19981203INERG")</f>
        <v>19981203INERG</v>
      </c>
      <c r="B1704" s="8">
        <f ca="1">IFERROR(__xludf.DUMMYFUNCTION("""COMPUTED_VALUE"""),36)</f>
        <v>36</v>
      </c>
      <c r="C1704" s="8" t="str">
        <f ca="1">IFERROR(__xludf.DUMMYFUNCTION("""COMPUTED_VALUE"""),"Female")</f>
        <v>Female</v>
      </c>
      <c r="D1704" s="8" t="str">
        <f ca="1">IFERROR(__xludf.DUMMYFUNCTION("""COMPUTED_VALUE"""),"Parent")</f>
        <v>Parent</v>
      </c>
      <c r="E1704" s="8" t="str">
        <f ca="1">IFERROR(__xludf.DUMMYFUNCTION("""COMPUTED_VALUE"""),"Fled/Apprehended")</f>
        <v>Fled/Apprehended</v>
      </c>
      <c r="F1704" s="8" t="str">
        <f ca="1">IFERROR(__xludf.DUMMYFUNCTION("""COMPUTED_VALUE"""),"No")</f>
        <v>No</v>
      </c>
      <c r="G1704" s="8" t="str">
        <f ca="1">IFERROR(__xludf.DUMMYFUNCTION("""COMPUTED_VALUE"""),"None")</f>
        <v>None</v>
      </c>
    </row>
    <row r="1705" spans="1:7" ht="12.75">
      <c r="A1705" s="8" t="str">
        <f ca="1">IFERROR(__xludf.DUMMYFUNCTION("""COMPUTED_VALUE"""),"19981130NYHAH")</f>
        <v>19981130NYHAH</v>
      </c>
      <c r="B1705" s="8">
        <f ca="1">IFERROR(__xludf.DUMMYFUNCTION("""COMPUTED_VALUE"""),14)</f>
        <v>14</v>
      </c>
      <c r="C1705" s="8" t="str">
        <f ca="1">IFERROR(__xludf.DUMMYFUNCTION("""COMPUTED_VALUE"""),"Female")</f>
        <v>Female</v>
      </c>
      <c r="D1705" s="8" t="str">
        <f ca="1">IFERROR(__xludf.DUMMYFUNCTION("""COMPUTED_VALUE"""),"Student")</f>
        <v>Student</v>
      </c>
      <c r="E1705" s="8" t="str">
        <f ca="1">IFERROR(__xludf.DUMMYFUNCTION("""COMPUTED_VALUE"""),"Suicide")</f>
        <v>Suicide</v>
      </c>
      <c r="F1705" s="8" t="str">
        <f ca="1">IFERROR(__xludf.DUMMYFUNCTION("""COMPUTED_VALUE"""),"Yes")</f>
        <v>Yes</v>
      </c>
      <c r="G1705" s="8" t="str">
        <f ca="1">IFERROR(__xludf.DUMMYFUNCTION("""COMPUTED_VALUE"""),"Suicide")</f>
        <v>Suicide</v>
      </c>
    </row>
    <row r="1706" spans="1:7" ht="12.75">
      <c r="A1706" s="8" t="str">
        <f ca="1">IFERROR(__xludf.DUMMYFUNCTION("""COMPUTED_VALUE"""),"19981103PAMAP")</f>
        <v>19981103PAMAP</v>
      </c>
      <c r="B1706" s="8">
        <f ca="1">IFERROR(__xludf.DUMMYFUNCTION("""COMPUTED_VALUE"""),19)</f>
        <v>19</v>
      </c>
      <c r="C1706" s="8" t="str">
        <f ca="1">IFERROR(__xludf.DUMMYFUNCTION("""COMPUTED_VALUE"""),"Male")</f>
        <v>Male</v>
      </c>
      <c r="D1706" s="8" t="str">
        <f ca="1">IFERROR(__xludf.DUMMYFUNCTION("""COMPUTED_VALUE"""),"No Relation")</f>
        <v>No Relation</v>
      </c>
      <c r="E1706" s="8" t="str">
        <f ca="1">IFERROR(__xludf.DUMMYFUNCTION("""COMPUTED_VALUE"""),"Fled/Apprehended")</f>
        <v>Fled/Apprehended</v>
      </c>
      <c r="F1706" s="8" t="str">
        <f ca="1">IFERROR(__xludf.DUMMYFUNCTION("""COMPUTED_VALUE"""),"No")</f>
        <v>No</v>
      </c>
      <c r="G1706" s="8" t="str">
        <f ca="1">IFERROR(__xludf.DUMMYFUNCTION("""COMPUTED_VALUE"""),"None")</f>
        <v>None</v>
      </c>
    </row>
    <row r="1707" spans="1:7" ht="12.75">
      <c r="A1707" s="8" t="str">
        <f ca="1">IFERROR(__xludf.DUMMYFUNCTION("""COMPUTED_VALUE"""),"19981103PAMAP")</f>
        <v>19981103PAMAP</v>
      </c>
      <c r="B1707" s="8">
        <f ca="1">IFERROR(__xludf.DUMMYFUNCTION("""COMPUTED_VALUE"""),17)</f>
        <v>17</v>
      </c>
      <c r="C1707" s="8" t="str">
        <f ca="1">IFERROR(__xludf.DUMMYFUNCTION("""COMPUTED_VALUE"""),"Male")</f>
        <v>Male</v>
      </c>
      <c r="D1707" s="8" t="str">
        <f ca="1">IFERROR(__xludf.DUMMYFUNCTION("""COMPUTED_VALUE"""),"No Relation")</f>
        <v>No Relation</v>
      </c>
      <c r="E1707" s="8" t="str">
        <f ca="1">IFERROR(__xludf.DUMMYFUNCTION("""COMPUTED_VALUE"""),"Fled/Apprehended")</f>
        <v>Fled/Apprehended</v>
      </c>
      <c r="F1707" s="8" t="str">
        <f ca="1">IFERROR(__xludf.DUMMYFUNCTION("""COMPUTED_VALUE"""),"No")</f>
        <v>No</v>
      </c>
      <c r="G1707" s="8" t="str">
        <f ca="1">IFERROR(__xludf.DUMMYFUNCTION("""COMPUTED_VALUE"""),"None")</f>
        <v>None</v>
      </c>
    </row>
    <row r="1708" spans="1:7" ht="12.75">
      <c r="A1708" s="8" t="str">
        <f ca="1">IFERROR(__xludf.DUMMYFUNCTION("""COMPUTED_VALUE"""),"19980930FLNOM")</f>
        <v>19980930FLNOM</v>
      </c>
      <c r="B1708" s="8">
        <f ca="1">IFERROR(__xludf.DUMMYFUNCTION("""COMPUTED_VALUE"""),18)</f>
        <v>18</v>
      </c>
      <c r="C1708" s="8" t="str">
        <f ca="1">IFERROR(__xludf.DUMMYFUNCTION("""COMPUTED_VALUE"""),"Male")</f>
        <v>Male</v>
      </c>
      <c r="D1708" s="8" t="str">
        <f ca="1">IFERROR(__xludf.DUMMYFUNCTION("""COMPUTED_VALUE"""),"Student")</f>
        <v>Student</v>
      </c>
      <c r="E1708" s="8" t="str">
        <f ca="1">IFERROR(__xludf.DUMMYFUNCTION("""COMPUTED_VALUE"""),"Fled/Apprehended")</f>
        <v>Fled/Apprehended</v>
      </c>
      <c r="F1708" s="8" t="str">
        <f ca="1">IFERROR(__xludf.DUMMYFUNCTION("""COMPUTED_VALUE"""),"No")</f>
        <v>No</v>
      </c>
      <c r="G1708" s="8" t="str">
        <f ca="1">IFERROR(__xludf.DUMMYFUNCTION("""COMPUTED_VALUE"""),"None")</f>
        <v>None</v>
      </c>
    </row>
    <row r="1709" spans="1:7" ht="12.75">
      <c r="A1709" s="8" t="str">
        <f ca="1">IFERROR(__xludf.DUMMYFUNCTION("""COMPUTED_VALUE"""),"19980930FLNOM")</f>
        <v>19980930FLNOM</v>
      </c>
      <c r="B1709" s="8">
        <f ca="1">IFERROR(__xludf.DUMMYFUNCTION("""COMPUTED_VALUE"""),17)</f>
        <v>17</v>
      </c>
      <c r="C1709" s="8" t="str">
        <f ca="1">IFERROR(__xludf.DUMMYFUNCTION("""COMPUTED_VALUE"""),"Male")</f>
        <v>Male</v>
      </c>
      <c r="D1709" s="8" t="str">
        <f ca="1">IFERROR(__xludf.DUMMYFUNCTION("""COMPUTED_VALUE"""),"Student")</f>
        <v>Student</v>
      </c>
      <c r="E1709" s="8" t="str">
        <f ca="1">IFERROR(__xludf.DUMMYFUNCTION("""COMPUTED_VALUE"""),"Fled/Apprehended")</f>
        <v>Fled/Apprehended</v>
      </c>
      <c r="F1709" s="8" t="str">
        <f ca="1">IFERROR(__xludf.DUMMYFUNCTION("""COMPUTED_VALUE"""),"No")</f>
        <v>No</v>
      </c>
      <c r="G1709" s="8" t="str">
        <f ca="1">IFERROR(__xludf.DUMMYFUNCTION("""COMPUTED_VALUE"""),"None")</f>
        <v>None</v>
      </c>
    </row>
    <row r="1710" spans="1:7" ht="12.75">
      <c r="A1710" s="8" t="str">
        <f ca="1">IFERROR(__xludf.DUMMYFUNCTION("""COMPUTED_VALUE"""),"19980930FLLEL")</f>
        <v>19980930FLLEL</v>
      </c>
      <c r="B1710" s="8">
        <f ca="1">IFERROR(__xludf.DUMMYFUNCTION("""COMPUTED_VALUE"""),17)</f>
        <v>17</v>
      </c>
      <c r="C1710" s="8" t="str">
        <f ca="1">IFERROR(__xludf.DUMMYFUNCTION("""COMPUTED_VALUE"""),"Male")</f>
        <v>Male</v>
      </c>
      <c r="D1710" s="8" t="str">
        <f ca="1">IFERROR(__xludf.DUMMYFUNCTION("""COMPUTED_VALUE"""),"Student")</f>
        <v>Student</v>
      </c>
      <c r="E1710" s="8" t="str">
        <f ca="1">IFERROR(__xludf.DUMMYFUNCTION("""COMPUTED_VALUE"""),"Apprehended/Killed by LE")</f>
        <v>Apprehended/Killed by LE</v>
      </c>
      <c r="F1710" s="8" t="str">
        <f ca="1">IFERROR(__xludf.DUMMYFUNCTION("""COMPUTED_VALUE"""),"No")</f>
        <v>No</v>
      </c>
      <c r="G1710" s="8" t="str">
        <f ca="1">IFERROR(__xludf.DUMMYFUNCTION("""COMPUTED_VALUE"""),"Wounded")</f>
        <v>Wounded</v>
      </c>
    </row>
    <row r="1711" spans="1:7" ht="12.75">
      <c r="A1711" s="8" t="str">
        <f ca="1">IFERROR(__xludf.DUMMYFUNCTION("""COMPUTED_VALUE"""),"19980911CAHEG")</f>
        <v>19980911CAHEG</v>
      </c>
      <c r="B1711" s="8">
        <f ca="1">IFERROR(__xludf.DUMMYFUNCTION("""COMPUTED_VALUE"""),17)</f>
        <v>17</v>
      </c>
      <c r="C1711" s="8" t="str">
        <f ca="1">IFERROR(__xludf.DUMMYFUNCTION("""COMPUTED_VALUE"""),"Male")</f>
        <v>Male</v>
      </c>
      <c r="D1711" s="8" t="str">
        <f ca="1">IFERROR(__xludf.DUMMYFUNCTION("""COMPUTED_VALUE"""),"Unknown")</f>
        <v>Unknown</v>
      </c>
      <c r="E1711" s="8" t="str">
        <f ca="1">IFERROR(__xludf.DUMMYFUNCTION("""COMPUTED_VALUE"""),"Fled/Apprehended")</f>
        <v>Fled/Apprehended</v>
      </c>
      <c r="F1711" s="8" t="str">
        <f ca="1">IFERROR(__xludf.DUMMYFUNCTION("""COMPUTED_VALUE"""),"No")</f>
        <v>No</v>
      </c>
      <c r="G1711" s="8" t="str">
        <f ca="1">IFERROR(__xludf.DUMMYFUNCTION("""COMPUTED_VALUE"""),"None")</f>
        <v>None</v>
      </c>
    </row>
    <row r="1712" spans="1:7" ht="12.75">
      <c r="A1712" s="8" t="str">
        <f ca="1">IFERROR(__xludf.DUMMYFUNCTION("""COMPUTED_VALUE"""),"19980615VAARR")</f>
        <v>19980615VAARR</v>
      </c>
      <c r="B1712" s="8">
        <f ca="1">IFERROR(__xludf.DUMMYFUNCTION("""COMPUTED_VALUE"""),15)</f>
        <v>15</v>
      </c>
      <c r="C1712" s="8" t="str">
        <f ca="1">IFERROR(__xludf.DUMMYFUNCTION("""COMPUTED_VALUE"""),"Male")</f>
        <v>Male</v>
      </c>
      <c r="D1712" s="8" t="str">
        <f ca="1">IFERROR(__xludf.DUMMYFUNCTION("""COMPUTED_VALUE"""),"Student")</f>
        <v>Student</v>
      </c>
      <c r="E1712" s="8" t="str">
        <f ca="1">IFERROR(__xludf.DUMMYFUNCTION("""COMPUTED_VALUE"""),"Fled/Apprehended")</f>
        <v>Fled/Apprehended</v>
      </c>
      <c r="F1712" s="8" t="str">
        <f ca="1">IFERROR(__xludf.DUMMYFUNCTION("""COMPUTED_VALUE"""),"No")</f>
        <v>No</v>
      </c>
      <c r="G1712" s="8" t="str">
        <f ca="1">IFERROR(__xludf.DUMMYFUNCTION("""COMPUTED_VALUE"""),"None")</f>
        <v>None</v>
      </c>
    </row>
    <row r="1713" spans="1:7" ht="12.75">
      <c r="A1713" s="8" t="str">
        <f ca="1">IFERROR(__xludf.DUMMYFUNCTION("""COMPUTED_VALUE"""),"19980529FLSTF")</f>
        <v>19980529FLSTF</v>
      </c>
      <c r="B1713" s="8">
        <f ca="1">IFERROR(__xludf.DUMMYFUNCTION("""COMPUTED_VALUE"""),29)</f>
        <v>29</v>
      </c>
      <c r="C1713" s="8" t="str">
        <f ca="1">IFERROR(__xludf.DUMMYFUNCTION("""COMPUTED_VALUE"""),"Male")</f>
        <v>Male</v>
      </c>
      <c r="D1713" s="8" t="str">
        <f ca="1">IFERROR(__xludf.DUMMYFUNCTION("""COMPUTED_VALUE"""),"Intimate Relationship")</f>
        <v>Intimate Relationship</v>
      </c>
      <c r="E1713" s="8" t="str">
        <f ca="1">IFERROR(__xludf.DUMMYFUNCTION("""COMPUTED_VALUE"""),"Suicide")</f>
        <v>Suicide</v>
      </c>
      <c r="F1713" s="8" t="str">
        <f ca="1">IFERROR(__xludf.DUMMYFUNCTION("""COMPUTED_VALUE"""),"Yes")</f>
        <v>Yes</v>
      </c>
      <c r="G1713" s="8" t="str">
        <f ca="1">IFERROR(__xludf.DUMMYFUNCTION("""COMPUTED_VALUE"""),"Suicide")</f>
        <v>Suicide</v>
      </c>
    </row>
    <row r="1714" spans="1:7" ht="12.75">
      <c r="A1714" s="8" t="str">
        <f ca="1">IFERROR(__xludf.DUMMYFUNCTION("""COMPUTED_VALUE"""),"19980527CAWAP")</f>
        <v>19980527CAWAP</v>
      </c>
      <c r="B1714" s="8"/>
      <c r="C1714" s="8" t="str">
        <f ca="1">IFERROR(__xludf.DUMMYFUNCTION("""COMPUTED_VALUE"""),"Male")</f>
        <v>Male</v>
      </c>
      <c r="D1714" s="8" t="str">
        <f ca="1">IFERROR(__xludf.DUMMYFUNCTION("""COMPUTED_VALUE"""),"Unknown")</f>
        <v>Unknown</v>
      </c>
      <c r="E1714" s="8" t="str">
        <f ca="1">IFERROR(__xludf.DUMMYFUNCTION("""COMPUTED_VALUE"""),"Fled/Escaped")</f>
        <v>Fled/Escaped</v>
      </c>
      <c r="F1714" s="8" t="str">
        <f ca="1">IFERROR(__xludf.DUMMYFUNCTION("""COMPUTED_VALUE"""),"No")</f>
        <v>No</v>
      </c>
      <c r="G1714" s="8" t="str">
        <f ca="1">IFERROR(__xludf.DUMMYFUNCTION("""COMPUTED_VALUE"""),"None")</f>
        <v>None</v>
      </c>
    </row>
    <row r="1715" spans="1:7" ht="12.75">
      <c r="A1715" s="8" t="str">
        <f ca="1">IFERROR(__xludf.DUMMYFUNCTION("""COMPUTED_VALUE"""),"19980521WAONO")</f>
        <v>19980521WAONO</v>
      </c>
      <c r="B1715" s="8">
        <f ca="1">IFERROR(__xludf.DUMMYFUNCTION("""COMPUTED_VALUE"""),14)</f>
        <v>14</v>
      </c>
      <c r="C1715" s="8" t="str">
        <f ca="1">IFERROR(__xludf.DUMMYFUNCTION("""COMPUTED_VALUE"""),"Male")</f>
        <v>Male</v>
      </c>
      <c r="D1715" s="8" t="str">
        <f ca="1">IFERROR(__xludf.DUMMYFUNCTION("""COMPUTED_VALUE"""),"Student")</f>
        <v>Student</v>
      </c>
      <c r="E1715" s="8" t="str">
        <f ca="1">IFERROR(__xludf.DUMMYFUNCTION("""COMPUTED_VALUE"""),"Suicide")</f>
        <v>Suicide</v>
      </c>
      <c r="F1715" s="8" t="str">
        <f ca="1">IFERROR(__xludf.DUMMYFUNCTION("""COMPUTED_VALUE"""),"Yes")</f>
        <v>Yes</v>
      </c>
      <c r="G1715" s="8" t="str">
        <f ca="1">IFERROR(__xludf.DUMMYFUNCTION("""COMPUTED_VALUE"""),"Suicide")</f>
        <v>Suicide</v>
      </c>
    </row>
    <row r="1716" spans="1:7" ht="12.75">
      <c r="A1716" s="8" t="str">
        <f ca="1">IFERROR(__xludf.DUMMYFUNCTION("""COMPUTED_VALUE"""),"19980521ORTHS")</f>
        <v>19980521ORTHS</v>
      </c>
      <c r="B1716" s="8">
        <f ca="1">IFERROR(__xludf.DUMMYFUNCTION("""COMPUTED_VALUE"""),15)</f>
        <v>15</v>
      </c>
      <c r="C1716" s="8" t="str">
        <f ca="1">IFERROR(__xludf.DUMMYFUNCTION("""COMPUTED_VALUE"""),"Male")</f>
        <v>Male</v>
      </c>
      <c r="D1716" s="8" t="str">
        <f ca="1">IFERROR(__xludf.DUMMYFUNCTION("""COMPUTED_VALUE"""),"Student")</f>
        <v>Student</v>
      </c>
      <c r="E1716" s="8" t="str">
        <f ca="1">IFERROR(__xludf.DUMMYFUNCTION("""COMPUTED_VALUE"""),"Apprehended/Killed by LE")</f>
        <v>Apprehended/Killed by LE</v>
      </c>
      <c r="F1716" s="8" t="str">
        <f ca="1">IFERROR(__xludf.DUMMYFUNCTION("""COMPUTED_VALUE"""),"No")</f>
        <v>No</v>
      </c>
      <c r="G1716" s="8" t="str">
        <f ca="1">IFERROR(__xludf.DUMMYFUNCTION("""COMPUTED_VALUE"""),"None")</f>
        <v>None</v>
      </c>
    </row>
    <row r="1717" spans="1:7" ht="12.75">
      <c r="A1717" s="8" t="str">
        <f ca="1">IFERROR(__xludf.DUMMYFUNCTION("""COMPUTED_VALUE"""),"19980521CARIR")</f>
        <v>19980521CARIR</v>
      </c>
      <c r="B1717" s="8">
        <f ca="1">IFERROR(__xludf.DUMMYFUNCTION("""COMPUTED_VALUE"""),15)</f>
        <v>15</v>
      </c>
      <c r="C1717" s="8" t="str">
        <f ca="1">IFERROR(__xludf.DUMMYFUNCTION("""COMPUTED_VALUE"""),"Male")</f>
        <v>Male</v>
      </c>
      <c r="D1717" s="8" t="str">
        <f ca="1">IFERROR(__xludf.DUMMYFUNCTION("""COMPUTED_VALUE"""),"Student")</f>
        <v>Student</v>
      </c>
      <c r="E1717" s="8" t="str">
        <f ca="1">IFERROR(__xludf.DUMMYFUNCTION("""COMPUTED_VALUE"""),"Suicide")</f>
        <v>Suicide</v>
      </c>
      <c r="F1717" s="8" t="str">
        <f ca="1">IFERROR(__xludf.DUMMYFUNCTION("""COMPUTED_VALUE"""),"Yes")</f>
        <v>Yes</v>
      </c>
      <c r="G1717" s="8" t="str">
        <f ca="1">IFERROR(__xludf.DUMMYFUNCTION("""COMPUTED_VALUE"""),"Suicide")</f>
        <v>Suicide</v>
      </c>
    </row>
    <row r="1718" spans="1:7" ht="12.75">
      <c r="A1718" s="8" t="str">
        <f ca="1">IFERROR(__xludf.DUMMYFUNCTION("""COMPUTED_VALUE"""),"19980519TNLIF")</f>
        <v>19980519TNLIF</v>
      </c>
      <c r="B1718" s="8">
        <f ca="1">IFERROR(__xludf.DUMMYFUNCTION("""COMPUTED_VALUE"""),18)</f>
        <v>18</v>
      </c>
      <c r="C1718" s="8" t="str">
        <f ca="1">IFERROR(__xludf.DUMMYFUNCTION("""COMPUTED_VALUE"""),"Male")</f>
        <v>Male</v>
      </c>
      <c r="D1718" s="8" t="str">
        <f ca="1">IFERROR(__xludf.DUMMYFUNCTION("""COMPUTED_VALUE"""),"Student")</f>
        <v>Student</v>
      </c>
      <c r="E1718" s="8" t="str">
        <f ca="1">IFERROR(__xludf.DUMMYFUNCTION("""COMPUTED_VALUE"""),"Unknown")</f>
        <v>Unknown</v>
      </c>
      <c r="F1718" s="8" t="str">
        <f ca="1">IFERROR(__xludf.DUMMYFUNCTION("""COMPUTED_VALUE"""),"No")</f>
        <v>No</v>
      </c>
      <c r="G1718" s="8" t="str">
        <f ca="1">IFERROR(__xludf.DUMMYFUNCTION("""COMPUTED_VALUE"""),"None")</f>
        <v>None</v>
      </c>
    </row>
    <row r="1719" spans="1:7" ht="12.75">
      <c r="A1719" s="8" t="str">
        <f ca="1">IFERROR(__xludf.DUMMYFUNCTION("""COMPUTED_VALUE"""),"19980501NYPUB")</f>
        <v>19980501NYPUB</v>
      </c>
      <c r="B1719" s="8">
        <f ca="1">IFERROR(__xludf.DUMMYFUNCTION("""COMPUTED_VALUE"""),37)</f>
        <v>37</v>
      </c>
      <c r="C1719" s="8" t="str">
        <f ca="1">IFERROR(__xludf.DUMMYFUNCTION("""COMPUTED_VALUE"""),"Male")</f>
        <v>Male</v>
      </c>
      <c r="D1719" s="8" t="str">
        <f ca="1">IFERROR(__xludf.DUMMYFUNCTION("""COMPUTED_VALUE"""),"Police Officer/SRO")</f>
        <v>Police Officer/SRO</v>
      </c>
      <c r="E1719" s="8" t="str">
        <f ca="1">IFERROR(__xludf.DUMMYFUNCTION("""COMPUTED_VALUE"""),"Fled/Apprehended")</f>
        <v>Fled/Apprehended</v>
      </c>
      <c r="F1719" s="8" t="str">
        <f ca="1">IFERROR(__xludf.DUMMYFUNCTION("""COMPUTED_VALUE"""),"No")</f>
        <v>No</v>
      </c>
      <c r="G1719" s="8" t="str">
        <f ca="1">IFERROR(__xludf.DUMMYFUNCTION("""COMPUTED_VALUE"""),"None")</f>
        <v>None</v>
      </c>
    </row>
    <row r="1720" spans="1:7" ht="12.75">
      <c r="A1720" s="8" t="str">
        <f ca="1">IFERROR(__xludf.DUMMYFUNCTION("""COMPUTED_VALUE"""),"19980501FLNOM")</f>
        <v>19980501FLNOM</v>
      </c>
      <c r="B1720" s="8" t="str">
        <f ca="1">IFERROR(__xludf.DUMMYFUNCTION("""COMPUTED_VALUE"""),"Teen")</f>
        <v>Teen</v>
      </c>
      <c r="C1720" s="8" t="str">
        <f ca="1">IFERROR(__xludf.DUMMYFUNCTION("""COMPUTED_VALUE"""),"Male")</f>
        <v>Male</v>
      </c>
      <c r="D1720" s="8" t="str">
        <f ca="1">IFERROR(__xludf.DUMMYFUNCTION("""COMPUTED_VALUE"""),"Unknown")</f>
        <v>Unknown</v>
      </c>
      <c r="E1720" s="8" t="str">
        <f ca="1">IFERROR(__xludf.DUMMYFUNCTION("""COMPUTED_VALUE"""),"Fled/Apprehended")</f>
        <v>Fled/Apprehended</v>
      </c>
      <c r="F1720" s="8" t="str">
        <f ca="1">IFERROR(__xludf.DUMMYFUNCTION("""COMPUTED_VALUE"""),"No")</f>
        <v>No</v>
      </c>
      <c r="G1720" s="8" t="str">
        <f ca="1">IFERROR(__xludf.DUMMYFUNCTION("""COMPUTED_VALUE"""),"None")</f>
        <v>None</v>
      </c>
    </row>
    <row r="1721" spans="1:7" ht="12.75">
      <c r="A1721" s="8" t="str">
        <f ca="1">IFERROR(__xludf.DUMMYFUNCTION("""COMPUTED_VALUE"""),"19980428WIPAP")</f>
        <v>19980428WIPAP</v>
      </c>
      <c r="B1721" s="8">
        <f ca="1">IFERROR(__xludf.DUMMYFUNCTION("""COMPUTED_VALUE"""),15)</f>
        <v>15</v>
      </c>
      <c r="C1721" s="8" t="str">
        <f ca="1">IFERROR(__xludf.DUMMYFUNCTION("""COMPUTED_VALUE"""),"Male")</f>
        <v>Male</v>
      </c>
      <c r="D1721" s="8" t="str">
        <f ca="1">IFERROR(__xludf.DUMMYFUNCTION("""COMPUTED_VALUE"""),"No Relation")</f>
        <v>No Relation</v>
      </c>
      <c r="E1721" s="8" t="str">
        <f ca="1">IFERROR(__xludf.DUMMYFUNCTION("""COMPUTED_VALUE"""),"Fled/Apprehended")</f>
        <v>Fled/Apprehended</v>
      </c>
      <c r="F1721" s="8" t="str">
        <f ca="1">IFERROR(__xludf.DUMMYFUNCTION("""COMPUTED_VALUE"""),"No")</f>
        <v>No</v>
      </c>
      <c r="G1721" s="8" t="str">
        <f ca="1">IFERROR(__xludf.DUMMYFUNCTION("""COMPUTED_VALUE"""),"None")</f>
        <v>None</v>
      </c>
    </row>
    <row r="1722" spans="1:7" ht="12.75">
      <c r="A1722" s="8" t="str">
        <f ca="1">IFERROR(__xludf.DUMMYFUNCTION("""COMPUTED_VALUE"""),"19980428CAPHP")</f>
        <v>19980428CAPHP</v>
      </c>
      <c r="B1722" s="8">
        <f ca="1">IFERROR(__xludf.DUMMYFUNCTION("""COMPUTED_VALUE"""),14)</f>
        <v>14</v>
      </c>
      <c r="C1722" s="8" t="str">
        <f ca="1">IFERROR(__xludf.DUMMYFUNCTION("""COMPUTED_VALUE"""),"Male")</f>
        <v>Male</v>
      </c>
      <c r="D1722" s="8" t="str">
        <f ca="1">IFERROR(__xludf.DUMMYFUNCTION("""COMPUTED_VALUE"""),"No Relation")</f>
        <v>No Relation</v>
      </c>
      <c r="E1722" s="8" t="str">
        <f ca="1">IFERROR(__xludf.DUMMYFUNCTION("""COMPUTED_VALUE"""),"Fled/Apprehended")</f>
        <v>Fled/Apprehended</v>
      </c>
      <c r="F1722" s="8" t="str">
        <f ca="1">IFERROR(__xludf.DUMMYFUNCTION("""COMPUTED_VALUE"""),"No")</f>
        <v>No</v>
      </c>
      <c r="G1722" s="8" t="str">
        <f ca="1">IFERROR(__xludf.DUMMYFUNCTION("""COMPUTED_VALUE"""),"None")</f>
        <v>None</v>
      </c>
    </row>
    <row r="1723" spans="1:7" ht="12.75">
      <c r="A1723" s="8" t="str">
        <f ca="1">IFERROR(__xludf.DUMMYFUNCTION("""COMPUTED_VALUE"""),"19980424PAPAE")</f>
        <v>19980424PAPAE</v>
      </c>
      <c r="B1723" s="8">
        <f ca="1">IFERROR(__xludf.DUMMYFUNCTION("""COMPUTED_VALUE"""),14)</f>
        <v>14</v>
      </c>
      <c r="C1723" s="8" t="str">
        <f ca="1">IFERROR(__xludf.DUMMYFUNCTION("""COMPUTED_VALUE"""),"Male")</f>
        <v>Male</v>
      </c>
      <c r="D1723" s="8" t="str">
        <f ca="1">IFERROR(__xludf.DUMMYFUNCTION("""COMPUTED_VALUE"""),"Student")</f>
        <v>Student</v>
      </c>
      <c r="E1723" s="8" t="str">
        <f ca="1">IFERROR(__xludf.DUMMYFUNCTION("""COMPUTED_VALUE"""),"Fled/Apprehended")</f>
        <v>Fled/Apprehended</v>
      </c>
      <c r="F1723" s="8" t="str">
        <f ca="1">IFERROR(__xludf.DUMMYFUNCTION("""COMPUTED_VALUE"""),"No")</f>
        <v>No</v>
      </c>
      <c r="G1723" s="8" t="str">
        <f ca="1">IFERROR(__xludf.DUMMYFUNCTION("""COMPUTED_VALUE"""),"None")</f>
        <v>None</v>
      </c>
    </row>
    <row r="1724" spans="1:7" ht="12.75">
      <c r="A1724" s="8" t="str">
        <f ca="1">IFERROR(__xludf.DUMMYFUNCTION("""COMPUTED_VALUE"""),"19980423CACUL")</f>
        <v>19980423CACUL</v>
      </c>
      <c r="B1724" s="8"/>
      <c r="C1724" s="8"/>
      <c r="D1724" s="8" t="str">
        <f ca="1">IFERROR(__xludf.DUMMYFUNCTION("""COMPUTED_VALUE"""),"Unknown")</f>
        <v>Unknown</v>
      </c>
      <c r="E1724" s="8" t="str">
        <f ca="1">IFERROR(__xludf.DUMMYFUNCTION("""COMPUTED_VALUE"""),"Fled/Escaped")</f>
        <v>Fled/Escaped</v>
      </c>
      <c r="F1724" s="8" t="str">
        <f ca="1">IFERROR(__xludf.DUMMYFUNCTION("""COMPUTED_VALUE"""),"No")</f>
        <v>No</v>
      </c>
      <c r="G1724" s="8" t="str">
        <f ca="1">IFERROR(__xludf.DUMMYFUNCTION("""COMPUTED_VALUE"""),"None")</f>
        <v>None</v>
      </c>
    </row>
    <row r="1725" spans="1:7" ht="12.75">
      <c r="A1725" s="8" t="str">
        <f ca="1">IFERROR(__xludf.DUMMYFUNCTION("""COMPUTED_VALUE"""),"19980409IDTHA")</f>
        <v>19980409IDTHA</v>
      </c>
      <c r="B1725" s="8">
        <f ca="1">IFERROR(__xludf.DUMMYFUNCTION("""COMPUTED_VALUE"""),14)</f>
        <v>14</v>
      </c>
      <c r="C1725" s="8" t="str">
        <f ca="1">IFERROR(__xludf.DUMMYFUNCTION("""COMPUTED_VALUE"""),"Male")</f>
        <v>Male</v>
      </c>
      <c r="D1725" s="8" t="str">
        <f ca="1">IFERROR(__xludf.DUMMYFUNCTION("""COMPUTED_VALUE"""),"Student")</f>
        <v>Student</v>
      </c>
      <c r="E1725" s="8" t="str">
        <f ca="1">IFERROR(__xludf.DUMMYFUNCTION("""COMPUTED_VALUE"""),"Surrendered")</f>
        <v>Surrendered</v>
      </c>
      <c r="F1725" s="8" t="str">
        <f ca="1">IFERROR(__xludf.DUMMYFUNCTION("""COMPUTED_VALUE"""),"No")</f>
        <v>No</v>
      </c>
      <c r="G1725" s="8" t="str">
        <f ca="1">IFERROR(__xludf.DUMMYFUNCTION("""COMPUTED_VALUE"""),"None")</f>
        <v>None</v>
      </c>
    </row>
    <row r="1726" spans="1:7" ht="12.75">
      <c r="A1726" s="8" t="str">
        <f ca="1">IFERROR(__xludf.DUMMYFUNCTION("""COMPUTED_VALUE"""),"19980331WIOAO")</f>
        <v>19980331WIOAO</v>
      </c>
      <c r="B1726" s="8">
        <f ca="1">IFERROR(__xludf.DUMMYFUNCTION("""COMPUTED_VALUE"""),14)</f>
        <v>14</v>
      </c>
      <c r="C1726" s="8" t="str">
        <f ca="1">IFERROR(__xludf.DUMMYFUNCTION("""COMPUTED_VALUE"""),"Male")</f>
        <v>Male</v>
      </c>
      <c r="D1726" s="8" t="str">
        <f ca="1">IFERROR(__xludf.DUMMYFUNCTION("""COMPUTED_VALUE"""),"Student")</f>
        <v>Student</v>
      </c>
      <c r="E1726" s="8" t="str">
        <f ca="1">IFERROR(__xludf.DUMMYFUNCTION("""COMPUTED_VALUE"""),"Fled/Apprehended")</f>
        <v>Fled/Apprehended</v>
      </c>
      <c r="F1726" s="8" t="str">
        <f ca="1">IFERROR(__xludf.DUMMYFUNCTION("""COMPUTED_VALUE"""),"No")</f>
        <v>No</v>
      </c>
      <c r="G1726" s="8" t="str">
        <f ca="1">IFERROR(__xludf.DUMMYFUNCTION("""COMPUTED_VALUE"""),"None")</f>
        <v>None</v>
      </c>
    </row>
    <row r="1727" spans="1:7" ht="12.75">
      <c r="A1727" s="8" t="str">
        <f ca="1">IFERROR(__xludf.DUMMYFUNCTION("""COMPUTED_VALUE"""),"19980330NCGRC")</f>
        <v>19980330NCGRC</v>
      </c>
      <c r="B1727" s="8">
        <f ca="1">IFERROR(__xludf.DUMMYFUNCTION("""COMPUTED_VALUE"""),13)</f>
        <v>13</v>
      </c>
      <c r="C1727" s="8" t="str">
        <f ca="1">IFERROR(__xludf.DUMMYFUNCTION("""COMPUTED_VALUE"""),"Female")</f>
        <v>Female</v>
      </c>
      <c r="D1727" s="8" t="str">
        <f ca="1">IFERROR(__xludf.DUMMYFUNCTION("""COMPUTED_VALUE"""),"Student")</f>
        <v>Student</v>
      </c>
      <c r="E1727" s="8" t="str">
        <f ca="1">IFERROR(__xludf.DUMMYFUNCTION("""COMPUTED_VALUE"""),"Suicide")</f>
        <v>Suicide</v>
      </c>
      <c r="F1727" s="8" t="str">
        <f ca="1">IFERROR(__xludf.DUMMYFUNCTION("""COMPUTED_VALUE"""),"Yes")</f>
        <v>Yes</v>
      </c>
      <c r="G1727" s="8" t="str">
        <f ca="1">IFERROR(__xludf.DUMMYFUNCTION("""COMPUTED_VALUE"""),"Suicide")</f>
        <v>Suicide</v>
      </c>
    </row>
    <row r="1728" spans="1:7" ht="12.75">
      <c r="A1728" s="8" t="str">
        <f ca="1">IFERROR(__xludf.DUMMYFUNCTION("""COMPUTED_VALUE"""),"19980325MICOC")</f>
        <v>19980325MICOC</v>
      </c>
      <c r="B1728" s="8">
        <f ca="1">IFERROR(__xludf.DUMMYFUNCTION("""COMPUTED_VALUE"""),18)</f>
        <v>18</v>
      </c>
      <c r="C1728" s="8" t="str">
        <f ca="1">IFERROR(__xludf.DUMMYFUNCTION("""COMPUTED_VALUE"""),"Male")</f>
        <v>Male</v>
      </c>
      <c r="D1728" s="8" t="str">
        <f ca="1">IFERROR(__xludf.DUMMYFUNCTION("""COMPUTED_VALUE"""),"Student")</f>
        <v>Student</v>
      </c>
      <c r="E1728" s="8" t="str">
        <f ca="1">IFERROR(__xludf.DUMMYFUNCTION("""COMPUTED_VALUE"""),"Suicide")</f>
        <v>Suicide</v>
      </c>
      <c r="F1728" s="8" t="str">
        <f ca="1">IFERROR(__xludf.DUMMYFUNCTION("""COMPUTED_VALUE"""),"Yes")</f>
        <v>Yes</v>
      </c>
      <c r="G1728" s="8" t="str">
        <f ca="1">IFERROR(__xludf.DUMMYFUNCTION("""COMPUTED_VALUE"""),"Suicide")</f>
        <v>Suicide</v>
      </c>
    </row>
    <row r="1729" spans="1:7" ht="12.75">
      <c r="A1729" s="8" t="str">
        <f ca="1">IFERROR(__xludf.DUMMYFUNCTION("""COMPUTED_VALUE"""),"19980325CAFED")</f>
        <v>19980325CAFED</v>
      </c>
      <c r="B1729" s="8">
        <f ca="1">IFERROR(__xludf.DUMMYFUNCTION("""COMPUTED_VALUE"""),13)</f>
        <v>13</v>
      </c>
      <c r="C1729" s="8" t="str">
        <f ca="1">IFERROR(__xludf.DUMMYFUNCTION("""COMPUTED_VALUE"""),"Male")</f>
        <v>Male</v>
      </c>
      <c r="D1729" s="8" t="str">
        <f ca="1">IFERROR(__xludf.DUMMYFUNCTION("""COMPUTED_VALUE"""),"Student")</f>
        <v>Student</v>
      </c>
      <c r="E1729" s="8" t="str">
        <f ca="1">IFERROR(__xludf.DUMMYFUNCTION("""COMPUTED_VALUE"""),"Fled/Apprehended")</f>
        <v>Fled/Apprehended</v>
      </c>
      <c r="F1729" s="8" t="str">
        <f ca="1">IFERROR(__xludf.DUMMYFUNCTION("""COMPUTED_VALUE"""),"No")</f>
        <v>No</v>
      </c>
      <c r="G1729" s="8" t="str">
        <f ca="1">IFERROR(__xludf.DUMMYFUNCTION("""COMPUTED_VALUE"""),"None")</f>
        <v>None</v>
      </c>
    </row>
    <row r="1730" spans="1:7" ht="12.75">
      <c r="A1730" s="8" t="str">
        <f ca="1">IFERROR(__xludf.DUMMYFUNCTION("""COMPUTED_VALUE"""),"19980324ARWEJ")</f>
        <v>19980324ARWEJ</v>
      </c>
      <c r="B1730" s="8">
        <f ca="1">IFERROR(__xludf.DUMMYFUNCTION("""COMPUTED_VALUE"""),11)</f>
        <v>11</v>
      </c>
      <c r="C1730" s="8" t="str">
        <f ca="1">IFERROR(__xludf.DUMMYFUNCTION("""COMPUTED_VALUE"""),"Male")</f>
        <v>Male</v>
      </c>
      <c r="D1730" s="8" t="str">
        <f ca="1">IFERROR(__xludf.DUMMYFUNCTION("""COMPUTED_VALUE"""),"Student")</f>
        <v>Student</v>
      </c>
      <c r="E1730" s="8" t="str">
        <f ca="1">IFERROR(__xludf.DUMMYFUNCTION("""COMPUTED_VALUE"""),"Fled/Apprehended")</f>
        <v>Fled/Apprehended</v>
      </c>
      <c r="F1730" s="8" t="str">
        <f ca="1">IFERROR(__xludf.DUMMYFUNCTION("""COMPUTED_VALUE"""),"No")</f>
        <v>No</v>
      </c>
      <c r="G1730" s="8" t="str">
        <f ca="1">IFERROR(__xludf.DUMMYFUNCTION("""COMPUTED_VALUE"""),"None")</f>
        <v>None</v>
      </c>
    </row>
    <row r="1731" spans="1:7" ht="12.75">
      <c r="A1731" s="8" t="str">
        <f ca="1">IFERROR(__xludf.DUMMYFUNCTION("""COMPUTED_VALUE"""),"19980324ARWEJ")</f>
        <v>19980324ARWEJ</v>
      </c>
      <c r="B1731" s="8">
        <f ca="1">IFERROR(__xludf.DUMMYFUNCTION("""COMPUTED_VALUE"""),13)</f>
        <v>13</v>
      </c>
      <c r="C1731" s="8" t="str">
        <f ca="1">IFERROR(__xludf.DUMMYFUNCTION("""COMPUTED_VALUE"""),"Male")</f>
        <v>Male</v>
      </c>
      <c r="D1731" s="8" t="str">
        <f ca="1">IFERROR(__xludf.DUMMYFUNCTION("""COMPUTED_VALUE"""),"Student")</f>
        <v>Student</v>
      </c>
      <c r="E1731" s="8" t="str">
        <f ca="1">IFERROR(__xludf.DUMMYFUNCTION("""COMPUTED_VALUE"""),"Fled/Apprehended")</f>
        <v>Fled/Apprehended</v>
      </c>
      <c r="F1731" s="8" t="str">
        <f ca="1">IFERROR(__xludf.DUMMYFUNCTION("""COMPUTED_VALUE"""),"No")</f>
        <v>No</v>
      </c>
      <c r="G1731" s="8" t="str">
        <f ca="1">IFERROR(__xludf.DUMMYFUNCTION("""COMPUTED_VALUE"""),"None")</f>
        <v>None</v>
      </c>
    </row>
    <row r="1732" spans="1:7" ht="12.75">
      <c r="A1732" s="8" t="str">
        <f ca="1">IFERROR(__xludf.DUMMYFUNCTION("""COMPUTED_VALUE"""),"19980227VAMAF")</f>
        <v>19980227VAMAF</v>
      </c>
      <c r="B1732" s="8">
        <f ca="1">IFERROR(__xludf.DUMMYFUNCTION("""COMPUTED_VALUE"""),18)</f>
        <v>18</v>
      </c>
      <c r="C1732" s="8" t="str">
        <f ca="1">IFERROR(__xludf.DUMMYFUNCTION("""COMPUTED_VALUE"""),"Male")</f>
        <v>Male</v>
      </c>
      <c r="D1732" s="8" t="str">
        <f ca="1">IFERROR(__xludf.DUMMYFUNCTION("""COMPUTED_VALUE"""),"Unknown")</f>
        <v>Unknown</v>
      </c>
      <c r="E1732" s="8" t="str">
        <f ca="1">IFERROR(__xludf.DUMMYFUNCTION("""COMPUTED_VALUE"""),"Fled/Apprehended")</f>
        <v>Fled/Apprehended</v>
      </c>
      <c r="F1732" s="8" t="str">
        <f ca="1">IFERROR(__xludf.DUMMYFUNCTION("""COMPUTED_VALUE"""),"No")</f>
        <v>No</v>
      </c>
      <c r="G1732" s="8" t="str">
        <f ca="1">IFERROR(__xludf.DUMMYFUNCTION("""COMPUTED_VALUE"""),"None")</f>
        <v>None</v>
      </c>
    </row>
    <row r="1733" spans="1:7" ht="12.75">
      <c r="A1733" s="8" t="str">
        <f ca="1">IFERROR(__xludf.DUMMYFUNCTION("""COMPUTED_VALUE"""),"19980225MIRER")</f>
        <v>19980225MIRER</v>
      </c>
      <c r="B1733" s="8">
        <f ca="1">IFERROR(__xludf.DUMMYFUNCTION("""COMPUTED_VALUE"""),14)</f>
        <v>14</v>
      </c>
      <c r="C1733" s="8" t="str">
        <f ca="1">IFERROR(__xludf.DUMMYFUNCTION("""COMPUTED_VALUE"""),"Male")</f>
        <v>Male</v>
      </c>
      <c r="D1733" s="8" t="str">
        <f ca="1">IFERROR(__xludf.DUMMYFUNCTION("""COMPUTED_VALUE"""),"Student")</f>
        <v>Student</v>
      </c>
      <c r="E1733" s="8" t="str">
        <f ca="1">IFERROR(__xludf.DUMMYFUNCTION("""COMPUTED_VALUE"""),"Suicide")</f>
        <v>Suicide</v>
      </c>
      <c r="F1733" s="8" t="str">
        <f ca="1">IFERROR(__xludf.DUMMYFUNCTION("""COMPUTED_VALUE"""),"Yes")</f>
        <v>Yes</v>
      </c>
      <c r="G1733" s="8" t="str">
        <f ca="1">IFERROR(__xludf.DUMMYFUNCTION("""COMPUTED_VALUE"""),"Suicide")</f>
        <v>Suicide</v>
      </c>
    </row>
    <row r="1734" spans="1:7" ht="12.75">
      <c r="A1734" s="8" t="str">
        <f ca="1">IFERROR(__xludf.DUMMYFUNCTION("""COMPUTED_VALUE"""),"19980212NJHOH")</f>
        <v>19980212NJHOH</v>
      </c>
      <c r="B1734" s="8">
        <f ca="1">IFERROR(__xludf.DUMMYFUNCTION("""COMPUTED_VALUE"""),61)</f>
        <v>61</v>
      </c>
      <c r="C1734" s="8" t="str">
        <f ca="1">IFERROR(__xludf.DUMMYFUNCTION("""COMPUTED_VALUE"""),"Male")</f>
        <v>Male</v>
      </c>
      <c r="D1734" s="8" t="str">
        <f ca="1">IFERROR(__xludf.DUMMYFUNCTION("""COMPUTED_VALUE"""),"Intimate Relationship")</f>
        <v>Intimate Relationship</v>
      </c>
      <c r="E1734" s="8" t="str">
        <f ca="1">IFERROR(__xludf.DUMMYFUNCTION("""COMPUTED_VALUE"""),"Fled/Escaped")</f>
        <v>Fled/Escaped</v>
      </c>
      <c r="F1734" s="8" t="str">
        <f ca="1">IFERROR(__xludf.DUMMYFUNCTION("""COMPUTED_VALUE"""),"Yes")</f>
        <v>Yes</v>
      </c>
      <c r="G1734" s="8" t="str">
        <f ca="1">IFERROR(__xludf.DUMMYFUNCTION("""COMPUTED_VALUE"""),"Suicide")</f>
        <v>Suicide</v>
      </c>
    </row>
    <row r="1735" spans="1:7" ht="12.75">
      <c r="A1735" s="8" t="str">
        <f ca="1">IFERROR(__xludf.DUMMYFUNCTION("""COMPUTED_VALUE"""),"19971215ARSTS")</f>
        <v>19971215ARSTS</v>
      </c>
      <c r="B1735" s="8">
        <f ca="1">IFERROR(__xludf.DUMMYFUNCTION("""COMPUTED_VALUE"""),14)</f>
        <v>14</v>
      </c>
      <c r="C1735" s="8" t="str">
        <f ca="1">IFERROR(__xludf.DUMMYFUNCTION("""COMPUTED_VALUE"""),"Male")</f>
        <v>Male</v>
      </c>
      <c r="D1735" s="8" t="str">
        <f ca="1">IFERROR(__xludf.DUMMYFUNCTION("""COMPUTED_VALUE"""),"Student")</f>
        <v>Student</v>
      </c>
      <c r="E1735" s="8" t="str">
        <f ca="1">IFERROR(__xludf.DUMMYFUNCTION("""COMPUTED_VALUE"""),"Fled/Apprehended")</f>
        <v>Fled/Apprehended</v>
      </c>
      <c r="F1735" s="8" t="str">
        <f ca="1">IFERROR(__xludf.DUMMYFUNCTION("""COMPUTED_VALUE"""),"No")</f>
        <v>No</v>
      </c>
      <c r="G1735" s="8" t="str">
        <f ca="1">IFERROR(__xludf.DUMMYFUNCTION("""COMPUTED_VALUE"""),"None")</f>
        <v>None</v>
      </c>
    </row>
    <row r="1736" spans="1:7" ht="12.75">
      <c r="A1736" s="8" t="str">
        <f ca="1">IFERROR(__xludf.DUMMYFUNCTION("""COMPUTED_VALUE"""),"19971201KYHEW")</f>
        <v>19971201KYHEW</v>
      </c>
      <c r="B1736" s="8">
        <f ca="1">IFERROR(__xludf.DUMMYFUNCTION("""COMPUTED_VALUE"""),14)</f>
        <v>14</v>
      </c>
      <c r="C1736" s="8" t="str">
        <f ca="1">IFERROR(__xludf.DUMMYFUNCTION("""COMPUTED_VALUE"""),"Male")</f>
        <v>Male</v>
      </c>
      <c r="D1736" s="8" t="str">
        <f ca="1">IFERROR(__xludf.DUMMYFUNCTION("""COMPUTED_VALUE"""),"Student")</f>
        <v>Student</v>
      </c>
      <c r="E1736" s="8" t="str">
        <f ca="1">IFERROR(__xludf.DUMMYFUNCTION("""COMPUTED_VALUE"""),"Surrendered")</f>
        <v>Surrendered</v>
      </c>
      <c r="F1736" s="8" t="str">
        <f ca="1">IFERROR(__xludf.DUMMYFUNCTION("""COMPUTED_VALUE"""),"No")</f>
        <v>No</v>
      </c>
      <c r="G1736" s="8" t="str">
        <f ca="1">IFERROR(__xludf.DUMMYFUNCTION("""COMPUTED_VALUE"""),"None")</f>
        <v>None</v>
      </c>
    </row>
    <row r="1737" spans="1:7" ht="12.75">
      <c r="A1737" s="8" t="str">
        <f ca="1">IFERROR(__xludf.DUMMYFUNCTION("""COMPUTED_VALUE"""),"19971113CACRS")</f>
        <v>19971113CACRS</v>
      </c>
      <c r="B1737" s="8">
        <f ca="1">IFERROR(__xludf.DUMMYFUNCTION("""COMPUTED_VALUE"""),39)</f>
        <v>39</v>
      </c>
      <c r="C1737" s="8" t="str">
        <f ca="1">IFERROR(__xludf.DUMMYFUNCTION("""COMPUTED_VALUE"""),"Male")</f>
        <v>Male</v>
      </c>
      <c r="D1737" s="8" t="str">
        <f ca="1">IFERROR(__xludf.DUMMYFUNCTION("""COMPUTED_VALUE"""),"Relative")</f>
        <v>Relative</v>
      </c>
      <c r="E1737" s="8" t="str">
        <f ca="1">IFERROR(__xludf.DUMMYFUNCTION("""COMPUTED_VALUE"""),"Surrendered")</f>
        <v>Surrendered</v>
      </c>
      <c r="F1737" s="8" t="str">
        <f ca="1">IFERROR(__xludf.DUMMYFUNCTION("""COMPUTED_VALUE"""),"No")</f>
        <v>No</v>
      </c>
      <c r="G1737" s="8" t="str">
        <f ca="1">IFERROR(__xludf.DUMMYFUNCTION("""COMPUTED_VALUE"""),"None")</f>
        <v>None</v>
      </c>
    </row>
    <row r="1738" spans="1:7" ht="12.75">
      <c r="A1738" s="8" t="str">
        <f ca="1">IFERROR(__xludf.DUMMYFUNCTION("""COMPUTED_VALUE"""),"19971107FLRIJ")</f>
        <v>19971107FLRIJ</v>
      </c>
      <c r="B1738" s="8">
        <f ca="1">IFERROR(__xludf.DUMMYFUNCTION("""COMPUTED_VALUE"""),18)</f>
        <v>18</v>
      </c>
      <c r="C1738" s="8" t="str">
        <f ca="1">IFERROR(__xludf.DUMMYFUNCTION("""COMPUTED_VALUE"""),"Male")</f>
        <v>Male</v>
      </c>
      <c r="D1738" s="8" t="str">
        <f ca="1">IFERROR(__xludf.DUMMYFUNCTION("""COMPUTED_VALUE"""),"Student")</f>
        <v>Student</v>
      </c>
      <c r="E1738" s="8" t="str">
        <f ca="1">IFERROR(__xludf.DUMMYFUNCTION("""COMPUTED_VALUE"""),"Fled/Apprehended")</f>
        <v>Fled/Apprehended</v>
      </c>
      <c r="F1738" s="8" t="str">
        <f ca="1">IFERROR(__xludf.DUMMYFUNCTION("""COMPUTED_VALUE"""),"No")</f>
        <v>No</v>
      </c>
      <c r="G1738" s="8" t="str">
        <f ca="1">IFERROR(__xludf.DUMMYFUNCTION("""COMPUTED_VALUE"""),"None")</f>
        <v>None</v>
      </c>
    </row>
    <row r="1739" spans="1:7" ht="12.75">
      <c r="A1739" s="8" t="str">
        <f ca="1">IFERROR(__xludf.DUMMYFUNCTION("""COMPUTED_VALUE"""),"19971022CAJON")</f>
        <v>19971022CAJON</v>
      </c>
      <c r="B1739" s="8">
        <f ca="1">IFERROR(__xludf.DUMMYFUNCTION("""COMPUTED_VALUE"""),21)</f>
        <v>21</v>
      </c>
      <c r="C1739" s="8" t="str">
        <f ca="1">IFERROR(__xludf.DUMMYFUNCTION("""COMPUTED_VALUE"""),"Male")</f>
        <v>Male</v>
      </c>
      <c r="D1739" s="8" t="str">
        <f ca="1">IFERROR(__xludf.DUMMYFUNCTION("""COMPUTED_VALUE"""),"Former Student")</f>
        <v>Former Student</v>
      </c>
      <c r="E1739" s="8" t="str">
        <f ca="1">IFERROR(__xludf.DUMMYFUNCTION("""COMPUTED_VALUE"""),"Suicide")</f>
        <v>Suicide</v>
      </c>
      <c r="F1739" s="8" t="str">
        <f ca="1">IFERROR(__xludf.DUMMYFUNCTION("""COMPUTED_VALUE"""),"Yes")</f>
        <v>Yes</v>
      </c>
      <c r="G1739" s="8" t="str">
        <f ca="1">IFERROR(__xludf.DUMMYFUNCTION("""COMPUTED_VALUE"""),"Suicide")</f>
        <v>Suicide</v>
      </c>
    </row>
    <row r="1740" spans="1:7" ht="12.75">
      <c r="A1740" s="8" t="str">
        <f ca="1">IFERROR(__xludf.DUMMYFUNCTION("""COMPUTED_VALUE"""),"19971020CAMCO")</f>
        <v>19971020CAMCO</v>
      </c>
      <c r="B1740" s="8"/>
      <c r="C1740" s="8"/>
      <c r="D1740" s="8" t="str">
        <f ca="1">IFERROR(__xludf.DUMMYFUNCTION("""COMPUTED_VALUE"""),"Unknown")</f>
        <v>Unknown</v>
      </c>
      <c r="E1740" s="8" t="str">
        <f ca="1">IFERROR(__xludf.DUMMYFUNCTION("""COMPUTED_VALUE"""),"Fled/Escaped")</f>
        <v>Fled/Escaped</v>
      </c>
      <c r="F1740" s="8" t="str">
        <f ca="1">IFERROR(__xludf.DUMMYFUNCTION("""COMPUTED_VALUE"""),"No")</f>
        <v>No</v>
      </c>
      <c r="G1740" s="8" t="str">
        <f ca="1">IFERROR(__xludf.DUMMYFUNCTION("""COMPUTED_VALUE"""),"None")</f>
        <v>None</v>
      </c>
    </row>
    <row r="1741" spans="1:7" ht="12.75">
      <c r="A1741" s="8" t="str">
        <f ca="1">IFERROR(__xludf.DUMMYFUNCTION("""COMPUTED_VALUE"""),"19971015FLLIP")</f>
        <v>19971015FLLIP</v>
      </c>
      <c r="B1741" s="8">
        <f ca="1">IFERROR(__xludf.DUMMYFUNCTION("""COMPUTED_VALUE"""),13)</f>
        <v>13</v>
      </c>
      <c r="C1741" s="8" t="str">
        <f ca="1">IFERROR(__xludf.DUMMYFUNCTION("""COMPUTED_VALUE"""),"Male")</f>
        <v>Male</v>
      </c>
      <c r="D1741" s="8" t="str">
        <f ca="1">IFERROR(__xludf.DUMMYFUNCTION("""COMPUTED_VALUE"""),"Student")</f>
        <v>Student</v>
      </c>
      <c r="E1741" s="8" t="str">
        <f ca="1">IFERROR(__xludf.DUMMYFUNCTION("""COMPUTED_VALUE"""),"Fled/Apprehended")</f>
        <v>Fled/Apprehended</v>
      </c>
      <c r="F1741" s="8" t="str">
        <f ca="1">IFERROR(__xludf.DUMMYFUNCTION("""COMPUTED_VALUE"""),"No")</f>
        <v>No</v>
      </c>
      <c r="G1741" s="8" t="str">
        <f ca="1">IFERROR(__xludf.DUMMYFUNCTION("""COMPUTED_VALUE"""),"None")</f>
        <v>None</v>
      </c>
    </row>
    <row r="1742" spans="1:7" ht="12.75">
      <c r="A1742" s="8" t="str">
        <f ca="1">IFERROR(__xludf.DUMMYFUNCTION("""COMPUTED_VALUE"""),"19971014TXLAG")</f>
        <v>19971014TXLAG</v>
      </c>
      <c r="B1742" s="8">
        <f ca="1">IFERROR(__xludf.DUMMYFUNCTION("""COMPUTED_VALUE"""),19)</f>
        <v>19</v>
      </c>
      <c r="C1742" s="8" t="str">
        <f ca="1">IFERROR(__xludf.DUMMYFUNCTION("""COMPUTED_VALUE"""),"Male")</f>
        <v>Male</v>
      </c>
      <c r="D1742" s="8" t="str">
        <f ca="1">IFERROR(__xludf.DUMMYFUNCTION("""COMPUTED_VALUE"""),"Student")</f>
        <v>Student</v>
      </c>
      <c r="E1742" s="8" t="str">
        <f ca="1">IFERROR(__xludf.DUMMYFUNCTION("""COMPUTED_VALUE"""),"Suicide")</f>
        <v>Suicide</v>
      </c>
      <c r="F1742" s="8" t="str">
        <f ca="1">IFERROR(__xludf.DUMMYFUNCTION("""COMPUTED_VALUE"""),"Yes")</f>
        <v>Yes</v>
      </c>
      <c r="G1742" s="8" t="str">
        <f ca="1">IFERROR(__xludf.DUMMYFUNCTION("""COMPUTED_VALUE"""),"Suicide")</f>
        <v>Suicide</v>
      </c>
    </row>
    <row r="1743" spans="1:7" ht="12.75">
      <c r="A1743" s="8" t="str">
        <f ca="1">IFERROR(__xludf.DUMMYFUNCTION("""COMPUTED_VALUE"""),"19971010INWAG")</f>
        <v>19971010INWAG</v>
      </c>
      <c r="B1743" s="8">
        <f ca="1">IFERROR(__xludf.DUMMYFUNCTION("""COMPUTED_VALUE"""),20)</f>
        <v>20</v>
      </c>
      <c r="C1743" s="8" t="str">
        <f ca="1">IFERROR(__xludf.DUMMYFUNCTION("""COMPUTED_VALUE"""),"Male")</f>
        <v>Male</v>
      </c>
      <c r="D1743" s="8" t="str">
        <f ca="1">IFERROR(__xludf.DUMMYFUNCTION("""COMPUTED_VALUE"""),"Former Student")</f>
        <v>Former Student</v>
      </c>
      <c r="E1743" s="8" t="str">
        <f ca="1">IFERROR(__xludf.DUMMYFUNCTION("""COMPUTED_VALUE"""),"Fled/Apprehended")</f>
        <v>Fled/Apprehended</v>
      </c>
      <c r="F1743" s="8" t="str">
        <f ca="1">IFERROR(__xludf.DUMMYFUNCTION("""COMPUTED_VALUE"""),"No")</f>
        <v>No</v>
      </c>
      <c r="G1743" s="8" t="str">
        <f ca="1">IFERROR(__xludf.DUMMYFUNCTION("""COMPUTED_VALUE"""),"None")</f>
        <v>None</v>
      </c>
    </row>
    <row r="1744" spans="1:7" ht="12.75">
      <c r="A1744" s="8" t="str">
        <f ca="1">IFERROR(__xludf.DUMMYFUNCTION("""COMPUTED_VALUE"""),"19971005OKMOO")</f>
        <v>19971005OKMOO</v>
      </c>
      <c r="B1744" s="8"/>
      <c r="C1744" s="8" t="str">
        <f ca="1">IFERROR(__xludf.DUMMYFUNCTION("""COMPUTED_VALUE"""),"Male")</f>
        <v>Male</v>
      </c>
      <c r="D1744" s="8" t="str">
        <f ca="1">IFERROR(__xludf.DUMMYFUNCTION("""COMPUTED_VALUE"""),"Unknown")</f>
        <v>Unknown</v>
      </c>
      <c r="E1744" s="8" t="str">
        <f ca="1">IFERROR(__xludf.DUMMYFUNCTION("""COMPUTED_VALUE"""),"Fled/Escaped")</f>
        <v>Fled/Escaped</v>
      </c>
      <c r="F1744" s="8" t="str">
        <f ca="1">IFERROR(__xludf.DUMMYFUNCTION("""COMPUTED_VALUE"""),"No")</f>
        <v>No</v>
      </c>
      <c r="G1744" s="8" t="str">
        <f ca="1">IFERROR(__xludf.DUMMYFUNCTION("""COMPUTED_VALUE"""),"None")</f>
        <v>None</v>
      </c>
    </row>
    <row r="1745" spans="1:7" ht="12.75">
      <c r="A1745" s="8" t="str">
        <f ca="1">IFERROR(__xludf.DUMMYFUNCTION("""COMPUTED_VALUE"""),"19971001MSPEP")</f>
        <v>19971001MSPEP</v>
      </c>
      <c r="B1745" s="8">
        <f ca="1">IFERROR(__xludf.DUMMYFUNCTION("""COMPUTED_VALUE"""),16)</f>
        <v>16</v>
      </c>
      <c r="C1745" s="8" t="str">
        <f ca="1">IFERROR(__xludf.DUMMYFUNCTION("""COMPUTED_VALUE"""),"Male")</f>
        <v>Male</v>
      </c>
      <c r="D1745" s="8" t="str">
        <f ca="1">IFERROR(__xludf.DUMMYFUNCTION("""COMPUTED_VALUE"""),"Student")</f>
        <v>Student</v>
      </c>
      <c r="E1745" s="8" t="str">
        <f ca="1">IFERROR(__xludf.DUMMYFUNCTION("""COMPUTED_VALUE"""),"Fled/Apprehended")</f>
        <v>Fled/Apprehended</v>
      </c>
      <c r="F1745" s="8" t="str">
        <f ca="1">IFERROR(__xludf.DUMMYFUNCTION("""COMPUTED_VALUE"""),"No")</f>
        <v>No</v>
      </c>
      <c r="G1745" s="8" t="str">
        <f ca="1">IFERROR(__xludf.DUMMYFUNCTION("""COMPUTED_VALUE"""),"None")</f>
        <v>None</v>
      </c>
    </row>
    <row r="1746" spans="1:7" ht="12.75">
      <c r="A1746" s="8" t="str">
        <f ca="1">IFERROR(__xludf.DUMMYFUNCTION("""COMPUTED_VALUE"""),"19970624ALJEM")</f>
        <v>19970624ALJEM</v>
      </c>
      <c r="B1746" s="8">
        <f ca="1">IFERROR(__xludf.DUMMYFUNCTION("""COMPUTED_VALUE"""),16)</f>
        <v>16</v>
      </c>
      <c r="C1746" s="8" t="str">
        <f ca="1">IFERROR(__xludf.DUMMYFUNCTION("""COMPUTED_VALUE"""),"Male")</f>
        <v>Male</v>
      </c>
      <c r="D1746" s="8" t="str">
        <f ca="1">IFERROR(__xludf.DUMMYFUNCTION("""COMPUTED_VALUE"""),"Student")</f>
        <v>Student</v>
      </c>
      <c r="E1746" s="8" t="str">
        <f ca="1">IFERROR(__xludf.DUMMYFUNCTION("""COMPUTED_VALUE"""),"Surrendered")</f>
        <v>Surrendered</v>
      </c>
      <c r="F1746" s="8" t="str">
        <f ca="1">IFERROR(__xludf.DUMMYFUNCTION("""COMPUTED_VALUE"""),"No")</f>
        <v>No</v>
      </c>
      <c r="G1746" s="8" t="str">
        <f ca="1">IFERROR(__xludf.DUMMYFUNCTION("""COMPUTED_VALUE"""),"None")</f>
        <v>None</v>
      </c>
    </row>
    <row r="1747" spans="1:7" ht="12.75">
      <c r="A1747" s="8" t="str">
        <f ca="1">IFERROR(__xludf.DUMMYFUNCTION("""COMPUTED_VALUE"""),"19970520OHDUD")</f>
        <v>19970520OHDUD</v>
      </c>
      <c r="B1747" s="8">
        <f ca="1">IFERROR(__xludf.DUMMYFUNCTION("""COMPUTED_VALUE"""),16)</f>
        <v>16</v>
      </c>
      <c r="C1747" s="8" t="str">
        <f ca="1">IFERROR(__xludf.DUMMYFUNCTION("""COMPUTED_VALUE"""),"Male")</f>
        <v>Male</v>
      </c>
      <c r="D1747" s="8" t="str">
        <f ca="1">IFERROR(__xludf.DUMMYFUNCTION("""COMPUTED_VALUE"""),"Student")</f>
        <v>Student</v>
      </c>
      <c r="E1747" s="8" t="str">
        <f ca="1">IFERROR(__xludf.DUMMYFUNCTION("""COMPUTED_VALUE"""),"Unknown")</f>
        <v>Unknown</v>
      </c>
      <c r="F1747" s="8" t="str">
        <f ca="1">IFERROR(__xludf.DUMMYFUNCTION("""COMPUTED_VALUE"""),"No")</f>
        <v>No</v>
      </c>
      <c r="G1747" s="8" t="str">
        <f ca="1">IFERROR(__xludf.DUMMYFUNCTION("""COMPUTED_VALUE"""),"None")</f>
        <v>None</v>
      </c>
    </row>
    <row r="1748" spans="1:7" ht="12.75">
      <c r="A1748" s="8" t="str">
        <f ca="1">IFERROR(__xludf.DUMMYFUNCTION("""COMPUTED_VALUE"""),"19970513FLNOM")</f>
        <v>19970513FLNOM</v>
      </c>
      <c r="B1748" s="8">
        <f ca="1">IFERROR(__xludf.DUMMYFUNCTION("""COMPUTED_VALUE"""),17)</f>
        <v>17</v>
      </c>
      <c r="C1748" s="8" t="str">
        <f ca="1">IFERROR(__xludf.DUMMYFUNCTION("""COMPUTED_VALUE"""),"Male")</f>
        <v>Male</v>
      </c>
      <c r="D1748" s="8" t="str">
        <f ca="1">IFERROR(__xludf.DUMMYFUNCTION("""COMPUTED_VALUE"""),"Student")</f>
        <v>Student</v>
      </c>
      <c r="E1748" s="8" t="str">
        <f ca="1">IFERROR(__xludf.DUMMYFUNCTION("""COMPUTED_VALUE"""),"Fled/Apprehended")</f>
        <v>Fled/Apprehended</v>
      </c>
      <c r="F1748" s="8" t="str">
        <f ca="1">IFERROR(__xludf.DUMMYFUNCTION("""COMPUTED_VALUE"""),"No")</f>
        <v>No</v>
      </c>
      <c r="G1748" s="8" t="str">
        <f ca="1">IFERROR(__xludf.DUMMYFUNCTION("""COMPUTED_VALUE"""),"None")</f>
        <v>None</v>
      </c>
    </row>
    <row r="1749" spans="1:7" ht="12.75">
      <c r="A1749" s="8" t="str">
        <f ca="1">IFERROR(__xludf.DUMMYFUNCTION("""COMPUTED_VALUE"""),"19970430NYCIN")</f>
        <v>19970430NYCIN</v>
      </c>
      <c r="B1749" s="8"/>
      <c r="C1749" s="8"/>
      <c r="D1749" s="8" t="str">
        <f ca="1">IFERROR(__xludf.DUMMYFUNCTION("""COMPUTED_VALUE"""),"Unknown")</f>
        <v>Unknown</v>
      </c>
      <c r="E1749" s="8" t="str">
        <f ca="1">IFERROR(__xludf.DUMMYFUNCTION("""COMPUTED_VALUE"""),"Fled/Escaped")</f>
        <v>Fled/Escaped</v>
      </c>
      <c r="F1749" s="8" t="str">
        <f ca="1">IFERROR(__xludf.DUMMYFUNCTION("""COMPUTED_VALUE"""),"No")</f>
        <v>No</v>
      </c>
      <c r="G1749" s="8" t="str">
        <f ca="1">IFERROR(__xludf.DUMMYFUNCTION("""COMPUTED_VALUE"""),"None")</f>
        <v>None</v>
      </c>
    </row>
    <row r="1750" spans="1:7" ht="12.75">
      <c r="A1750" s="8" t="str">
        <f ca="1">IFERROR(__xludf.DUMMYFUNCTION("""COMPUTED_VALUE"""),"19970428CAJOL")</f>
        <v>19970428CAJOL</v>
      </c>
      <c r="B1750" s="8">
        <f ca="1">IFERROR(__xludf.DUMMYFUNCTION("""COMPUTED_VALUE"""),15)</f>
        <v>15</v>
      </c>
      <c r="C1750" s="8" t="str">
        <f ca="1">IFERROR(__xludf.DUMMYFUNCTION("""COMPUTED_VALUE"""),"Male")</f>
        <v>Male</v>
      </c>
      <c r="D1750" s="8" t="str">
        <f ca="1">IFERROR(__xludf.DUMMYFUNCTION("""COMPUTED_VALUE"""),"Student")</f>
        <v>Student</v>
      </c>
      <c r="E1750" s="8" t="str">
        <f ca="1">IFERROR(__xludf.DUMMYFUNCTION("""COMPUTED_VALUE"""),"Fled/Apprehended")</f>
        <v>Fled/Apprehended</v>
      </c>
      <c r="F1750" s="8" t="str">
        <f ca="1">IFERROR(__xludf.DUMMYFUNCTION("""COMPUTED_VALUE"""),"No")</f>
        <v>No</v>
      </c>
      <c r="G1750" s="8" t="str">
        <f ca="1">IFERROR(__xludf.DUMMYFUNCTION("""COMPUTED_VALUE"""),"None")</f>
        <v>None</v>
      </c>
    </row>
    <row r="1751" spans="1:7" ht="12.75">
      <c r="A1751" s="8" t="str">
        <f ca="1">IFERROR(__xludf.DUMMYFUNCTION("""COMPUTED_VALUE"""),"19970403CAMAM")</f>
        <v>19970403CAMAM</v>
      </c>
      <c r="B1751" s="8"/>
      <c r="C1751" s="8"/>
      <c r="D1751" s="8" t="str">
        <f ca="1">IFERROR(__xludf.DUMMYFUNCTION("""COMPUTED_VALUE"""),"Unknown")</f>
        <v>Unknown</v>
      </c>
      <c r="E1751" s="8" t="str">
        <f ca="1">IFERROR(__xludf.DUMMYFUNCTION("""COMPUTED_VALUE"""),"Fled/Escaped")</f>
        <v>Fled/Escaped</v>
      </c>
      <c r="F1751" s="8" t="str">
        <f ca="1">IFERROR(__xludf.DUMMYFUNCTION("""COMPUTED_VALUE"""),"No")</f>
        <v>No</v>
      </c>
      <c r="G1751" s="8" t="str">
        <f ca="1">IFERROR(__xludf.DUMMYFUNCTION("""COMPUTED_VALUE"""),"None")</f>
        <v>None</v>
      </c>
    </row>
    <row r="1752" spans="1:7" ht="12.75">
      <c r="A1752" s="8" t="str">
        <f ca="1">IFERROR(__xludf.DUMMYFUNCTION("""COMPUTED_VALUE"""),"19970317MIPED")</f>
        <v>19970317MIPED</v>
      </c>
      <c r="B1752" s="8">
        <f ca="1">IFERROR(__xludf.DUMMYFUNCTION("""COMPUTED_VALUE"""),15)</f>
        <v>15</v>
      </c>
      <c r="C1752" s="8" t="str">
        <f ca="1">IFERROR(__xludf.DUMMYFUNCTION("""COMPUTED_VALUE"""),"Male")</f>
        <v>Male</v>
      </c>
      <c r="D1752" s="8" t="str">
        <f ca="1">IFERROR(__xludf.DUMMYFUNCTION("""COMPUTED_VALUE"""),"Student")</f>
        <v>Student</v>
      </c>
      <c r="E1752" s="8" t="str">
        <f ca="1">IFERROR(__xludf.DUMMYFUNCTION("""COMPUTED_VALUE"""),"Fled/Apprehended")</f>
        <v>Fled/Apprehended</v>
      </c>
      <c r="F1752" s="8" t="str">
        <f ca="1">IFERROR(__xludf.DUMMYFUNCTION("""COMPUTED_VALUE"""),"No")</f>
        <v>No</v>
      </c>
      <c r="G1752" s="8" t="str">
        <f ca="1">IFERROR(__xludf.DUMMYFUNCTION("""COMPUTED_VALUE"""),"None")</f>
        <v>None</v>
      </c>
    </row>
    <row r="1753" spans="1:7" ht="12.75">
      <c r="A1753" s="8" t="str">
        <f ca="1">IFERROR(__xludf.DUMMYFUNCTION("""COMPUTED_VALUE"""),"19970221NVRAL")</f>
        <v>19970221NVRAL</v>
      </c>
      <c r="B1753" s="8">
        <f ca="1">IFERROR(__xludf.DUMMYFUNCTION("""COMPUTED_VALUE"""),20)</f>
        <v>20</v>
      </c>
      <c r="C1753" s="8" t="str">
        <f ca="1">IFERROR(__xludf.DUMMYFUNCTION("""COMPUTED_VALUE"""),"Male")</f>
        <v>Male</v>
      </c>
      <c r="D1753" s="8" t="str">
        <f ca="1">IFERROR(__xludf.DUMMYFUNCTION("""COMPUTED_VALUE"""),"Unknown")</f>
        <v>Unknown</v>
      </c>
      <c r="E1753" s="8" t="str">
        <f ca="1">IFERROR(__xludf.DUMMYFUNCTION("""COMPUTED_VALUE"""),"Fled/Apprehended")</f>
        <v>Fled/Apprehended</v>
      </c>
      <c r="F1753" s="8" t="str">
        <f ca="1">IFERROR(__xludf.DUMMYFUNCTION("""COMPUTED_VALUE"""),"No")</f>
        <v>No</v>
      </c>
      <c r="G1753" s="8" t="str">
        <f ca="1">IFERROR(__xludf.DUMMYFUNCTION("""COMPUTED_VALUE"""),"None")</f>
        <v>None</v>
      </c>
    </row>
    <row r="1754" spans="1:7" ht="12.75">
      <c r="A1754" s="8" t="str">
        <f ca="1">IFERROR(__xludf.DUMMYFUNCTION("""COMPUTED_VALUE"""),"19970220FLFIJ")</f>
        <v>19970220FLFIJ</v>
      </c>
      <c r="B1754" s="8">
        <f ca="1">IFERROR(__xludf.DUMMYFUNCTION("""COMPUTED_VALUE"""),17)</f>
        <v>17</v>
      </c>
      <c r="C1754" s="8" t="str">
        <f ca="1">IFERROR(__xludf.DUMMYFUNCTION("""COMPUTED_VALUE"""),"Female")</f>
        <v>Female</v>
      </c>
      <c r="D1754" s="8" t="str">
        <f ca="1">IFERROR(__xludf.DUMMYFUNCTION("""COMPUTED_VALUE"""),"Student")</f>
        <v>Student</v>
      </c>
      <c r="E1754" s="8" t="str">
        <f ca="1">IFERROR(__xludf.DUMMYFUNCTION("""COMPUTED_VALUE"""),"Suicide")</f>
        <v>Suicide</v>
      </c>
      <c r="F1754" s="8" t="str">
        <f ca="1">IFERROR(__xludf.DUMMYFUNCTION("""COMPUTED_VALUE"""),"Yes")</f>
        <v>Yes</v>
      </c>
      <c r="G1754" s="8" t="str">
        <f ca="1">IFERROR(__xludf.DUMMYFUNCTION("""COMPUTED_VALUE"""),"Suicide")</f>
        <v>Suicide</v>
      </c>
    </row>
    <row r="1755" spans="1:7" ht="12.75">
      <c r="A1755" s="8" t="str">
        <f ca="1">IFERROR(__xludf.DUMMYFUNCTION("""COMPUTED_VALUE"""),"19970219AKBEB")</f>
        <v>19970219AKBEB</v>
      </c>
      <c r="B1755" s="8">
        <f ca="1">IFERROR(__xludf.DUMMYFUNCTION("""COMPUTED_VALUE"""),16)</f>
        <v>16</v>
      </c>
      <c r="C1755" s="8" t="str">
        <f ca="1">IFERROR(__xludf.DUMMYFUNCTION("""COMPUTED_VALUE"""),"Male")</f>
        <v>Male</v>
      </c>
      <c r="D1755" s="8" t="str">
        <f ca="1">IFERROR(__xludf.DUMMYFUNCTION("""COMPUTED_VALUE"""),"Student")</f>
        <v>Student</v>
      </c>
      <c r="E1755" s="8" t="str">
        <f ca="1">IFERROR(__xludf.DUMMYFUNCTION("""COMPUTED_VALUE"""),"Surrendered")</f>
        <v>Surrendered</v>
      </c>
      <c r="F1755" s="8" t="str">
        <f ca="1">IFERROR(__xludf.DUMMYFUNCTION("""COMPUTED_VALUE"""),"No")</f>
        <v>No</v>
      </c>
      <c r="G1755" s="8" t="str">
        <f ca="1">IFERROR(__xludf.DUMMYFUNCTION("""COMPUTED_VALUE"""),"None")</f>
        <v>None</v>
      </c>
    </row>
    <row r="1756" spans="1:7" ht="12.75">
      <c r="A1756" s="8" t="str">
        <f ca="1">IFERROR(__xludf.DUMMYFUNCTION("""COMPUTED_VALUE"""),"19970213NYSAB")</f>
        <v>19970213NYSAB</v>
      </c>
      <c r="B1756" s="8" t="str">
        <f ca="1">IFERROR(__xludf.DUMMYFUNCTION("""COMPUTED_VALUE"""),"Teen")</f>
        <v>Teen</v>
      </c>
      <c r="C1756" s="8" t="str">
        <f ca="1">IFERROR(__xludf.DUMMYFUNCTION("""COMPUTED_VALUE"""),"Male")</f>
        <v>Male</v>
      </c>
      <c r="D1756" s="8" t="str">
        <f ca="1">IFERROR(__xludf.DUMMYFUNCTION("""COMPUTED_VALUE"""),"Student")</f>
        <v>Student</v>
      </c>
      <c r="E1756" s="8" t="str">
        <f ca="1">IFERROR(__xludf.DUMMYFUNCTION("""COMPUTED_VALUE"""),"Fled/Escaped")</f>
        <v>Fled/Escaped</v>
      </c>
      <c r="F1756" s="8" t="str">
        <f ca="1">IFERROR(__xludf.DUMMYFUNCTION("""COMPUTED_VALUE"""),"No")</f>
        <v>No</v>
      </c>
      <c r="G1756" s="8" t="str">
        <f ca="1">IFERROR(__xludf.DUMMYFUNCTION("""COMPUTED_VALUE"""),"None")</f>
        <v>None</v>
      </c>
    </row>
    <row r="1757" spans="1:7" ht="12.75">
      <c r="A1757" s="8" t="str">
        <f ca="1">IFERROR(__xludf.DUMMYFUNCTION("""COMPUTED_VALUE"""),"19970213NYMOB")</f>
        <v>19970213NYMOB</v>
      </c>
      <c r="B1757" s="8">
        <f ca="1">IFERROR(__xludf.DUMMYFUNCTION("""COMPUTED_VALUE"""),17)</f>
        <v>17</v>
      </c>
      <c r="C1757" s="8" t="str">
        <f ca="1">IFERROR(__xludf.DUMMYFUNCTION("""COMPUTED_VALUE"""),"Male")</f>
        <v>Male</v>
      </c>
      <c r="D1757" s="8" t="str">
        <f ca="1">IFERROR(__xludf.DUMMYFUNCTION("""COMPUTED_VALUE"""),"Student")</f>
        <v>Student</v>
      </c>
      <c r="E1757" s="8" t="str">
        <f ca="1">IFERROR(__xludf.DUMMYFUNCTION("""COMPUTED_VALUE"""),"Unknown")</f>
        <v>Unknown</v>
      </c>
      <c r="F1757" s="8" t="str">
        <f ca="1">IFERROR(__xludf.DUMMYFUNCTION("""COMPUTED_VALUE"""),"No")</f>
        <v>No</v>
      </c>
      <c r="G1757" s="8" t="str">
        <f ca="1">IFERROR(__xludf.DUMMYFUNCTION("""COMPUTED_VALUE"""),"None")</f>
        <v>None</v>
      </c>
    </row>
    <row r="1758" spans="1:7" ht="12.75">
      <c r="A1758" s="8" t="str">
        <f ca="1">IFERROR(__xludf.DUMMYFUNCTION("""COMPUTED_VALUE"""),"19970206MSWIJ")</f>
        <v>19970206MSWIJ</v>
      </c>
      <c r="B1758" s="8">
        <f ca="1">IFERROR(__xludf.DUMMYFUNCTION("""COMPUTED_VALUE"""),16)</f>
        <v>16</v>
      </c>
      <c r="C1758" s="8" t="str">
        <f ca="1">IFERROR(__xludf.DUMMYFUNCTION("""COMPUTED_VALUE"""),"Male")</f>
        <v>Male</v>
      </c>
      <c r="D1758" s="8" t="str">
        <f ca="1">IFERROR(__xludf.DUMMYFUNCTION("""COMPUTED_VALUE"""),"Student")</f>
        <v>Student</v>
      </c>
      <c r="E1758" s="8" t="str">
        <f ca="1">IFERROR(__xludf.DUMMYFUNCTION("""COMPUTED_VALUE"""),"Fled/Apprehended")</f>
        <v>Fled/Apprehended</v>
      </c>
      <c r="F1758" s="8" t="str">
        <f ca="1">IFERROR(__xludf.DUMMYFUNCTION("""COMPUTED_VALUE"""),"No")</f>
        <v>No</v>
      </c>
      <c r="G1758" s="8" t="str">
        <f ca="1">IFERROR(__xludf.DUMMYFUNCTION("""COMPUTED_VALUE"""),"None")</f>
        <v>None</v>
      </c>
    </row>
    <row r="1759" spans="1:7" ht="12.75">
      <c r="A1759" s="8" t="str">
        <f ca="1">IFERROR(__xludf.DUMMYFUNCTION("""COMPUTED_VALUE"""),"19970127FLCOW")</f>
        <v>19970127FLCOW</v>
      </c>
      <c r="B1759" s="8">
        <f ca="1">IFERROR(__xludf.DUMMYFUNCTION("""COMPUTED_VALUE"""),13)</f>
        <v>13</v>
      </c>
      <c r="C1759" s="8" t="str">
        <f ca="1">IFERROR(__xludf.DUMMYFUNCTION("""COMPUTED_VALUE"""),"Male")</f>
        <v>Male</v>
      </c>
      <c r="D1759" s="8" t="str">
        <f ca="1">IFERROR(__xludf.DUMMYFUNCTION("""COMPUTED_VALUE"""),"Student")</f>
        <v>Student</v>
      </c>
      <c r="E1759" s="8" t="str">
        <f ca="1">IFERROR(__xludf.DUMMYFUNCTION("""COMPUTED_VALUE"""),"Fled/Apprehended")</f>
        <v>Fled/Apprehended</v>
      </c>
      <c r="F1759" s="8" t="str">
        <f ca="1">IFERROR(__xludf.DUMMYFUNCTION("""COMPUTED_VALUE"""),"No")</f>
        <v>No</v>
      </c>
      <c r="G1759" s="8" t="str">
        <f ca="1">IFERROR(__xludf.DUMMYFUNCTION("""COMPUTED_VALUE"""),"None")</f>
        <v>None</v>
      </c>
    </row>
    <row r="1760" spans="1:7" ht="12.75">
      <c r="A1760" s="8" t="str">
        <f ca="1">IFERROR(__xludf.DUMMYFUNCTION("""COMPUTED_VALUE"""),"19970108NYCRN")</f>
        <v>19970108NYCRN</v>
      </c>
      <c r="B1760" s="8">
        <f ca="1">IFERROR(__xludf.DUMMYFUNCTION("""COMPUTED_VALUE"""),18)</f>
        <v>18</v>
      </c>
      <c r="C1760" s="8" t="str">
        <f ca="1">IFERROR(__xludf.DUMMYFUNCTION("""COMPUTED_VALUE"""),"Male")</f>
        <v>Male</v>
      </c>
      <c r="D1760" s="8" t="str">
        <f ca="1">IFERROR(__xludf.DUMMYFUNCTION("""COMPUTED_VALUE"""),"Rival School Student")</f>
        <v>Rival School Student</v>
      </c>
      <c r="E1760" s="8" t="str">
        <f ca="1">IFERROR(__xludf.DUMMYFUNCTION("""COMPUTED_VALUE"""),"Fled/Apprehended")</f>
        <v>Fled/Apprehended</v>
      </c>
      <c r="F1760" s="8" t="str">
        <f ca="1">IFERROR(__xludf.DUMMYFUNCTION("""COMPUTED_VALUE"""),"No")</f>
        <v>No</v>
      </c>
      <c r="G1760" s="8" t="str">
        <f ca="1">IFERROR(__xludf.DUMMYFUNCTION("""COMPUTED_VALUE"""),"None")</f>
        <v>None</v>
      </c>
    </row>
    <row r="1761" spans="1:7" ht="12.75">
      <c r="A1761" s="8" t="str">
        <f ca="1">IFERROR(__xludf.DUMMYFUNCTION("""COMPUTED_VALUE"""),"19970108NYCRN")</f>
        <v>19970108NYCRN</v>
      </c>
      <c r="B1761" s="8">
        <f ca="1">IFERROR(__xludf.DUMMYFUNCTION("""COMPUTED_VALUE"""),18)</f>
        <v>18</v>
      </c>
      <c r="C1761" s="8" t="str">
        <f ca="1">IFERROR(__xludf.DUMMYFUNCTION("""COMPUTED_VALUE"""),"Male")</f>
        <v>Male</v>
      </c>
      <c r="D1761" s="8" t="str">
        <f ca="1">IFERROR(__xludf.DUMMYFUNCTION("""COMPUTED_VALUE"""),"Rival School Student")</f>
        <v>Rival School Student</v>
      </c>
      <c r="E1761" s="8" t="str">
        <f ca="1">IFERROR(__xludf.DUMMYFUNCTION("""COMPUTED_VALUE"""),"Fled/Apprehended")</f>
        <v>Fled/Apprehended</v>
      </c>
      <c r="F1761" s="8" t="str">
        <f ca="1">IFERROR(__xludf.DUMMYFUNCTION("""COMPUTED_VALUE"""),"No")</f>
        <v>No</v>
      </c>
      <c r="G1761" s="8" t="str">
        <f ca="1">IFERROR(__xludf.DUMMYFUNCTION("""COMPUTED_VALUE"""),"None")</f>
        <v>None</v>
      </c>
    </row>
    <row r="1762" spans="1:7" ht="12.75">
      <c r="A1762" s="8" t="str">
        <f ca="1">IFERROR(__xludf.DUMMYFUNCTION("""COMPUTED_VALUE"""),"19970108NYCRN")</f>
        <v>19970108NYCRN</v>
      </c>
      <c r="B1762" s="8">
        <f ca="1">IFERROR(__xludf.DUMMYFUNCTION("""COMPUTED_VALUE"""),21)</f>
        <v>21</v>
      </c>
      <c r="C1762" s="8" t="str">
        <f ca="1">IFERROR(__xludf.DUMMYFUNCTION("""COMPUTED_VALUE"""),"Male")</f>
        <v>Male</v>
      </c>
      <c r="D1762" s="8" t="str">
        <f ca="1">IFERROR(__xludf.DUMMYFUNCTION("""COMPUTED_VALUE"""),"Rival School Student")</f>
        <v>Rival School Student</v>
      </c>
      <c r="E1762" s="8" t="str">
        <f ca="1">IFERROR(__xludf.DUMMYFUNCTION("""COMPUTED_VALUE"""),"Fled/Apprehended")</f>
        <v>Fled/Apprehended</v>
      </c>
      <c r="F1762" s="8" t="str">
        <f ca="1">IFERROR(__xludf.DUMMYFUNCTION("""COMPUTED_VALUE"""),"No")</f>
        <v>No</v>
      </c>
      <c r="G1762" s="8" t="str">
        <f ca="1">IFERROR(__xludf.DUMMYFUNCTION("""COMPUTED_VALUE"""),"None")</f>
        <v>None</v>
      </c>
    </row>
    <row r="1763" spans="1:7" ht="12.75">
      <c r="A1763" s="8" t="str">
        <f ca="1">IFERROR(__xludf.DUMMYFUNCTION("""COMPUTED_VALUE"""),"19961127CAHIS")</f>
        <v>19961127CAHIS</v>
      </c>
      <c r="B1763" s="8"/>
      <c r="C1763" s="8"/>
      <c r="D1763" s="8" t="str">
        <f ca="1">IFERROR(__xludf.DUMMYFUNCTION("""COMPUTED_VALUE"""),"Police Officer/SRO")</f>
        <v>Police Officer/SRO</v>
      </c>
      <c r="E1763" s="8" t="str">
        <f ca="1">IFERROR(__xludf.DUMMYFUNCTION("""COMPUTED_VALUE"""),"Law Enforcement")</f>
        <v>Law Enforcement</v>
      </c>
      <c r="F1763" s="8" t="str">
        <f ca="1">IFERROR(__xludf.DUMMYFUNCTION("""COMPUTED_VALUE"""),"No")</f>
        <v>No</v>
      </c>
      <c r="G1763" s="8" t="str">
        <f ca="1">IFERROR(__xludf.DUMMYFUNCTION("""COMPUTED_VALUE"""),"None")</f>
        <v>None</v>
      </c>
    </row>
    <row r="1764" spans="1:7" ht="12.75">
      <c r="A1764" s="8" t="str">
        <f ca="1">IFERROR(__xludf.DUMMYFUNCTION("""COMPUTED_VALUE"""),"19961014MOSUS")</f>
        <v>19961014MOSUS</v>
      </c>
      <c r="B1764" s="8">
        <f ca="1">IFERROR(__xludf.DUMMYFUNCTION("""COMPUTED_VALUE"""),14)</f>
        <v>14</v>
      </c>
      <c r="C1764" s="8" t="str">
        <f ca="1">IFERROR(__xludf.DUMMYFUNCTION("""COMPUTED_VALUE"""),"Male")</f>
        <v>Male</v>
      </c>
      <c r="D1764" s="8" t="str">
        <f ca="1">IFERROR(__xludf.DUMMYFUNCTION("""COMPUTED_VALUE"""),"Student")</f>
        <v>Student</v>
      </c>
      <c r="E1764" s="8" t="str">
        <f ca="1">IFERROR(__xludf.DUMMYFUNCTION("""COMPUTED_VALUE"""),"Fled/Apprehended")</f>
        <v>Fled/Apprehended</v>
      </c>
      <c r="F1764" s="8" t="str">
        <f ca="1">IFERROR(__xludf.DUMMYFUNCTION("""COMPUTED_VALUE"""),"No")</f>
        <v>No</v>
      </c>
      <c r="G1764" s="8" t="str">
        <f ca="1">IFERROR(__xludf.DUMMYFUNCTION("""COMPUTED_VALUE"""),"None")</f>
        <v>None</v>
      </c>
    </row>
    <row r="1765" spans="1:7" ht="12.75">
      <c r="A1765" s="8" t="str">
        <f ca="1">IFERROR(__xludf.DUMMYFUNCTION("""COMPUTED_VALUE"""),"19961009ARJAS")</f>
        <v>19961009ARJAS</v>
      </c>
      <c r="B1765" s="8">
        <f ca="1">IFERROR(__xludf.DUMMYFUNCTION("""COMPUTED_VALUE"""),14)</f>
        <v>14</v>
      </c>
      <c r="C1765" s="8" t="str">
        <f ca="1">IFERROR(__xludf.DUMMYFUNCTION("""COMPUTED_VALUE"""),"Male")</f>
        <v>Male</v>
      </c>
      <c r="D1765" s="8" t="str">
        <f ca="1">IFERROR(__xludf.DUMMYFUNCTION("""COMPUTED_VALUE"""),"Student")</f>
        <v>Student</v>
      </c>
      <c r="E1765" s="8" t="str">
        <f ca="1">IFERROR(__xludf.DUMMYFUNCTION("""COMPUTED_VALUE"""),"Fled/Apprehended")</f>
        <v>Fled/Apprehended</v>
      </c>
      <c r="F1765" s="8" t="str">
        <f ca="1">IFERROR(__xludf.DUMMYFUNCTION("""COMPUTED_VALUE"""),"No")</f>
        <v>No</v>
      </c>
      <c r="G1765" s="8" t="str">
        <f ca="1">IFERROR(__xludf.DUMMYFUNCTION("""COMPUTED_VALUE"""),"None")</f>
        <v>None</v>
      </c>
    </row>
    <row r="1766" spans="1:7" ht="12.75">
      <c r="A1766" s="8" t="str">
        <f ca="1">IFERROR(__xludf.DUMMYFUNCTION("""COMPUTED_VALUE"""),"19961004CASTP")</f>
        <v>19961004CASTP</v>
      </c>
      <c r="B1766" s="8">
        <f ca="1">IFERROR(__xludf.DUMMYFUNCTION("""COMPUTED_VALUE"""),17)</f>
        <v>17</v>
      </c>
      <c r="C1766" s="8" t="str">
        <f ca="1">IFERROR(__xludf.DUMMYFUNCTION("""COMPUTED_VALUE"""),"Male")</f>
        <v>Male</v>
      </c>
      <c r="D1766" s="8" t="str">
        <f ca="1">IFERROR(__xludf.DUMMYFUNCTION("""COMPUTED_VALUE"""),"Student")</f>
        <v>Student</v>
      </c>
      <c r="E1766" s="8" t="str">
        <f ca="1">IFERROR(__xludf.DUMMYFUNCTION("""COMPUTED_VALUE"""),"Fled/Apprehended")</f>
        <v>Fled/Apprehended</v>
      </c>
      <c r="F1766" s="8" t="str">
        <f ca="1">IFERROR(__xludf.DUMMYFUNCTION("""COMPUTED_VALUE"""),"No")</f>
        <v>No</v>
      </c>
      <c r="G1766" s="8" t="str">
        <f ca="1">IFERROR(__xludf.DUMMYFUNCTION("""COMPUTED_VALUE"""),"None")</f>
        <v>None</v>
      </c>
    </row>
    <row r="1767" spans="1:7" ht="12.75">
      <c r="A1767" s="8" t="str">
        <f ca="1">IFERROR(__xludf.DUMMYFUNCTION("""COMPUTED_VALUE"""),"19961002PASMP")</f>
        <v>19961002PASMP</v>
      </c>
      <c r="B1767" s="8" t="str">
        <f ca="1">IFERROR(__xludf.DUMMYFUNCTION("""COMPUTED_VALUE"""),"Adult")</f>
        <v>Adult</v>
      </c>
      <c r="C1767" s="8" t="str">
        <f ca="1">IFERROR(__xludf.DUMMYFUNCTION("""COMPUTED_VALUE"""),"Male")</f>
        <v>Male</v>
      </c>
      <c r="D1767" s="8" t="str">
        <f ca="1">IFERROR(__xludf.DUMMYFUNCTION("""COMPUTED_VALUE"""),"Parent")</f>
        <v>Parent</v>
      </c>
      <c r="E1767" s="8" t="str">
        <f ca="1">IFERROR(__xludf.DUMMYFUNCTION("""COMPUTED_VALUE"""),"Fled/Apprehended")</f>
        <v>Fled/Apprehended</v>
      </c>
      <c r="F1767" s="8" t="str">
        <f ca="1">IFERROR(__xludf.DUMMYFUNCTION("""COMPUTED_VALUE"""),"No")</f>
        <v>No</v>
      </c>
      <c r="G1767" s="8" t="str">
        <f ca="1">IFERROR(__xludf.DUMMYFUNCTION("""COMPUTED_VALUE"""),"None")</f>
        <v>None</v>
      </c>
    </row>
    <row r="1768" spans="1:7" ht="12.75">
      <c r="A1768" s="8" t="str">
        <f ca="1">IFERROR(__xludf.DUMMYFUNCTION("""COMPUTED_VALUE"""),"19960925GADED")</f>
        <v>19960925GADED</v>
      </c>
      <c r="B1768" s="8">
        <f ca="1">IFERROR(__xludf.DUMMYFUNCTION("""COMPUTED_VALUE"""),16)</f>
        <v>16</v>
      </c>
      <c r="C1768" s="8" t="str">
        <f ca="1">IFERROR(__xludf.DUMMYFUNCTION("""COMPUTED_VALUE"""),"Male")</f>
        <v>Male</v>
      </c>
      <c r="D1768" s="8" t="str">
        <f ca="1">IFERROR(__xludf.DUMMYFUNCTION("""COMPUTED_VALUE"""),"Student")</f>
        <v>Student</v>
      </c>
      <c r="E1768" s="8" t="str">
        <f ca="1">IFERROR(__xludf.DUMMYFUNCTION("""COMPUTED_VALUE"""),"Subdued by Students/Staff/Other")</f>
        <v>Subdued by Students/Staff/Other</v>
      </c>
      <c r="F1768" s="8" t="str">
        <f ca="1">IFERROR(__xludf.DUMMYFUNCTION("""COMPUTED_VALUE"""),"No")</f>
        <v>No</v>
      </c>
      <c r="G1768" s="8" t="str">
        <f ca="1">IFERROR(__xludf.DUMMYFUNCTION("""COMPUTED_VALUE"""),"None")</f>
        <v>None</v>
      </c>
    </row>
    <row r="1769" spans="1:7" ht="12.75">
      <c r="A1769" s="8" t="str">
        <f ca="1">IFERROR(__xludf.DUMMYFUNCTION("""COMPUTED_VALUE"""),"19960726CAJOL")</f>
        <v>19960726CAJOL</v>
      </c>
      <c r="B1769" s="8">
        <f ca="1">IFERROR(__xludf.DUMMYFUNCTION("""COMPUTED_VALUE"""),18)</f>
        <v>18</v>
      </c>
      <c r="C1769" s="8" t="str">
        <f ca="1">IFERROR(__xludf.DUMMYFUNCTION("""COMPUTED_VALUE"""),"Male")</f>
        <v>Male</v>
      </c>
      <c r="D1769" s="8" t="str">
        <f ca="1">IFERROR(__xludf.DUMMYFUNCTION("""COMPUTED_VALUE"""),"Student")</f>
        <v>Student</v>
      </c>
      <c r="E1769" s="8" t="str">
        <f ca="1">IFERROR(__xludf.DUMMYFUNCTION("""COMPUTED_VALUE"""),"Fled/Apprehended")</f>
        <v>Fled/Apprehended</v>
      </c>
      <c r="F1769" s="8" t="str">
        <f ca="1">IFERROR(__xludf.DUMMYFUNCTION("""COMPUTED_VALUE"""),"No")</f>
        <v>No</v>
      </c>
      <c r="G1769" s="8" t="str">
        <f ca="1">IFERROR(__xludf.DUMMYFUNCTION("""COMPUTED_VALUE"""),"None")</f>
        <v>None</v>
      </c>
    </row>
    <row r="1770" spans="1:7" ht="12.75">
      <c r="A1770" s="8" t="str">
        <f ca="1">IFERROR(__xludf.DUMMYFUNCTION("""COMPUTED_VALUE"""),"19960604CAWEH")</f>
        <v>19960604CAWEH</v>
      </c>
      <c r="B1770" s="8">
        <f ca="1">IFERROR(__xludf.DUMMYFUNCTION("""COMPUTED_VALUE"""),16)</f>
        <v>16</v>
      </c>
      <c r="C1770" s="8" t="str">
        <f ca="1">IFERROR(__xludf.DUMMYFUNCTION("""COMPUTED_VALUE"""),"Male")</f>
        <v>Male</v>
      </c>
      <c r="D1770" s="8" t="str">
        <f ca="1">IFERROR(__xludf.DUMMYFUNCTION("""COMPUTED_VALUE"""),"Student")</f>
        <v>Student</v>
      </c>
      <c r="E1770" s="8" t="str">
        <f ca="1">IFERROR(__xludf.DUMMYFUNCTION("""COMPUTED_VALUE"""),"Suicide")</f>
        <v>Suicide</v>
      </c>
      <c r="F1770" s="8" t="str">
        <f ca="1">IFERROR(__xludf.DUMMYFUNCTION("""COMPUTED_VALUE"""),"Yes")</f>
        <v>Yes</v>
      </c>
      <c r="G1770" s="8" t="str">
        <f ca="1">IFERROR(__xludf.DUMMYFUNCTION("""COMPUTED_VALUE"""),"Suicide")</f>
        <v>Suicide</v>
      </c>
    </row>
    <row r="1771" spans="1:7" ht="12.75">
      <c r="A1771" s="8" t="str">
        <f ca="1">IFERROR(__xludf.DUMMYFUNCTION("""COMPUTED_VALUE"""),"19960522CACOC")</f>
        <v>19960522CACOC</v>
      </c>
      <c r="B1771" s="8">
        <f ca="1">IFERROR(__xludf.DUMMYFUNCTION("""COMPUTED_VALUE"""),14)</f>
        <v>14</v>
      </c>
      <c r="C1771" s="8" t="str">
        <f ca="1">IFERROR(__xludf.DUMMYFUNCTION("""COMPUTED_VALUE"""),"Male")</f>
        <v>Male</v>
      </c>
      <c r="D1771" s="8" t="str">
        <f ca="1">IFERROR(__xludf.DUMMYFUNCTION("""COMPUTED_VALUE"""),"Former Student")</f>
        <v>Former Student</v>
      </c>
      <c r="E1771" s="8" t="str">
        <f ca="1">IFERROR(__xludf.DUMMYFUNCTION("""COMPUTED_VALUE"""),"Fled/Apprehended")</f>
        <v>Fled/Apprehended</v>
      </c>
      <c r="F1771" s="8" t="str">
        <f ca="1">IFERROR(__xludf.DUMMYFUNCTION("""COMPUTED_VALUE"""),"No")</f>
        <v>No</v>
      </c>
      <c r="G1771" s="8" t="str">
        <f ca="1">IFERROR(__xludf.DUMMYFUNCTION("""COMPUTED_VALUE"""),"None")</f>
        <v>None</v>
      </c>
    </row>
    <row r="1772" spans="1:7" ht="12.75">
      <c r="A1772" s="8" t="str">
        <f ca="1">IFERROR(__xludf.DUMMYFUNCTION("""COMPUTED_VALUE"""),"19960514UTBIT")</f>
        <v>19960514UTBIT</v>
      </c>
      <c r="B1772" s="8">
        <f ca="1">IFERROR(__xludf.DUMMYFUNCTION("""COMPUTED_VALUE"""),15)</f>
        <v>15</v>
      </c>
      <c r="C1772" s="8" t="str">
        <f ca="1">IFERROR(__xludf.DUMMYFUNCTION("""COMPUTED_VALUE"""),"Male")</f>
        <v>Male</v>
      </c>
      <c r="D1772" s="8" t="str">
        <f ca="1">IFERROR(__xludf.DUMMYFUNCTION("""COMPUTED_VALUE"""),"Student")</f>
        <v>Student</v>
      </c>
      <c r="E1772" s="8" t="str">
        <f ca="1">IFERROR(__xludf.DUMMYFUNCTION("""COMPUTED_VALUE"""),"Suicide")</f>
        <v>Suicide</v>
      </c>
      <c r="F1772" s="8" t="str">
        <f ca="1">IFERROR(__xludf.DUMMYFUNCTION("""COMPUTED_VALUE"""),"Yes")</f>
        <v>Yes</v>
      </c>
      <c r="G1772" s="8" t="str">
        <f ca="1">IFERROR(__xludf.DUMMYFUNCTION("""COMPUTED_VALUE"""),"Suicide")</f>
        <v>Suicide</v>
      </c>
    </row>
    <row r="1773" spans="1:7" ht="12.75">
      <c r="A1773" s="8" t="str">
        <f ca="1">IFERROR(__xludf.DUMMYFUNCTION("""COMPUTED_VALUE"""),"19960415DCMCW")</f>
        <v>19960415DCMCW</v>
      </c>
      <c r="B1773" s="8"/>
      <c r="C1773" s="8"/>
      <c r="D1773" s="8" t="str">
        <f ca="1">IFERROR(__xludf.DUMMYFUNCTION("""COMPUTED_VALUE"""),"Unknown")</f>
        <v>Unknown</v>
      </c>
      <c r="E1773" s="8" t="str">
        <f ca="1">IFERROR(__xludf.DUMMYFUNCTION("""COMPUTED_VALUE"""),"Unknown")</f>
        <v>Unknown</v>
      </c>
      <c r="F1773" s="8" t="str">
        <f ca="1">IFERROR(__xludf.DUMMYFUNCTION("""COMPUTED_VALUE"""),"No")</f>
        <v>No</v>
      </c>
      <c r="G1773" s="8" t="str">
        <f ca="1">IFERROR(__xludf.DUMMYFUNCTION("""COMPUTED_VALUE"""),"None")</f>
        <v>None</v>
      </c>
    </row>
    <row r="1774" spans="1:7" ht="12.75">
      <c r="A1774" s="8" t="str">
        <f ca="1">IFERROR(__xludf.DUMMYFUNCTION("""COMPUTED_VALUE"""),"19960411ALTAT")</f>
        <v>19960411ALTAT</v>
      </c>
      <c r="B1774" s="8">
        <f ca="1">IFERROR(__xludf.DUMMYFUNCTION("""COMPUTED_VALUE"""),16)</f>
        <v>16</v>
      </c>
      <c r="C1774" s="8" t="str">
        <f ca="1">IFERROR(__xludf.DUMMYFUNCTION("""COMPUTED_VALUE"""),"Male")</f>
        <v>Male</v>
      </c>
      <c r="D1774" s="8" t="str">
        <f ca="1">IFERROR(__xludf.DUMMYFUNCTION("""COMPUTED_VALUE"""),"Student")</f>
        <v>Student</v>
      </c>
      <c r="E1774" s="8" t="str">
        <f ca="1">IFERROR(__xludf.DUMMYFUNCTION("""COMPUTED_VALUE"""),"Unknown")</f>
        <v>Unknown</v>
      </c>
      <c r="F1774" s="8" t="str">
        <f ca="1">IFERROR(__xludf.DUMMYFUNCTION("""COMPUTED_VALUE"""),"No")</f>
        <v>No</v>
      </c>
      <c r="G1774" s="8" t="str">
        <f ca="1">IFERROR(__xludf.DUMMYFUNCTION("""COMPUTED_VALUE"""),"None")</f>
        <v>None</v>
      </c>
    </row>
    <row r="1775" spans="1:7" ht="12.75">
      <c r="A1775" s="8" t="str">
        <f ca="1">IFERROR(__xludf.DUMMYFUNCTION("""COMPUTED_VALUE"""),"19960319NVSWL")</f>
        <v>19960319NVSWL</v>
      </c>
      <c r="B1775" s="8" t="str">
        <f ca="1">IFERROR(__xludf.DUMMYFUNCTION("""COMPUTED_VALUE"""),"Teen")</f>
        <v>Teen</v>
      </c>
      <c r="C1775" s="8"/>
      <c r="D1775" s="8" t="str">
        <f ca="1">IFERROR(__xludf.DUMMYFUNCTION("""COMPUTED_VALUE"""),"Student")</f>
        <v>Student</v>
      </c>
      <c r="E1775" s="8" t="str">
        <f ca="1">IFERROR(__xludf.DUMMYFUNCTION("""COMPUTED_VALUE"""),"Unknown")</f>
        <v>Unknown</v>
      </c>
      <c r="F1775" s="8" t="str">
        <f ca="1">IFERROR(__xludf.DUMMYFUNCTION("""COMPUTED_VALUE"""),"No")</f>
        <v>No</v>
      </c>
      <c r="G1775" s="8" t="str">
        <f ca="1">IFERROR(__xludf.DUMMYFUNCTION("""COMPUTED_VALUE"""),"None")</f>
        <v>None</v>
      </c>
    </row>
    <row r="1776" spans="1:7" ht="12.75">
      <c r="A1776" s="8" t="str">
        <f ca="1">IFERROR(__xludf.DUMMYFUNCTION("""COMPUTED_VALUE"""),"19960311NCNON")</f>
        <v>19960311NCNON</v>
      </c>
      <c r="B1776" s="8">
        <f ca="1">IFERROR(__xludf.DUMMYFUNCTION("""COMPUTED_VALUE"""),15)</f>
        <v>15</v>
      </c>
      <c r="C1776" s="8" t="str">
        <f ca="1">IFERROR(__xludf.DUMMYFUNCTION("""COMPUTED_VALUE"""),"Male")</f>
        <v>Male</v>
      </c>
      <c r="D1776" s="8" t="str">
        <f ca="1">IFERROR(__xludf.DUMMYFUNCTION("""COMPUTED_VALUE"""),"Student")</f>
        <v>Student</v>
      </c>
      <c r="E1776" s="8" t="str">
        <f ca="1">IFERROR(__xludf.DUMMYFUNCTION("""COMPUTED_VALUE"""),"Suicide")</f>
        <v>Suicide</v>
      </c>
      <c r="F1776" s="8" t="str">
        <f ca="1">IFERROR(__xludf.DUMMYFUNCTION("""COMPUTED_VALUE"""),"Yes")</f>
        <v>Yes</v>
      </c>
      <c r="G1776" s="8" t="str">
        <f ca="1">IFERROR(__xludf.DUMMYFUNCTION("""COMPUTED_VALUE"""),"Suicide")</f>
        <v>Suicide</v>
      </c>
    </row>
    <row r="1777" spans="1:7" ht="12.75">
      <c r="A1777" s="8" t="str">
        <f ca="1">IFERROR(__xludf.DUMMYFUNCTION("""COMPUTED_VALUE"""),"19960229MOBES")</f>
        <v>19960229MOBES</v>
      </c>
      <c r="B1777" s="8">
        <f ca="1">IFERROR(__xludf.DUMMYFUNCTION("""COMPUTED_VALUE"""),21)</f>
        <v>21</v>
      </c>
      <c r="C1777" s="8" t="str">
        <f ca="1">IFERROR(__xludf.DUMMYFUNCTION("""COMPUTED_VALUE"""),"Male")</f>
        <v>Male</v>
      </c>
      <c r="D1777" s="8" t="str">
        <f ca="1">IFERROR(__xludf.DUMMYFUNCTION("""COMPUTED_VALUE"""),"Hitman")</f>
        <v>Hitman</v>
      </c>
      <c r="E1777" s="8" t="str">
        <f ca="1">IFERROR(__xludf.DUMMYFUNCTION("""COMPUTED_VALUE"""),"Fled/Apprehended")</f>
        <v>Fled/Apprehended</v>
      </c>
      <c r="F1777" s="8" t="str">
        <f ca="1">IFERROR(__xludf.DUMMYFUNCTION("""COMPUTED_VALUE"""),"No")</f>
        <v>No</v>
      </c>
      <c r="G1777" s="8" t="str">
        <f ca="1">IFERROR(__xludf.DUMMYFUNCTION("""COMPUTED_VALUE"""),"None")</f>
        <v>None</v>
      </c>
    </row>
    <row r="1778" spans="1:7" ht="12.75">
      <c r="A1778" s="8" t="str">
        <f ca="1">IFERROR(__xludf.DUMMYFUNCTION("""COMPUTED_VALUE"""),"19960222GAJES")</f>
        <v>19960222GAJES</v>
      </c>
      <c r="B1778" s="8">
        <f ca="1">IFERROR(__xludf.DUMMYFUNCTION("""COMPUTED_VALUE"""),15)</f>
        <v>15</v>
      </c>
      <c r="C1778" s="8" t="str">
        <f ca="1">IFERROR(__xludf.DUMMYFUNCTION("""COMPUTED_VALUE"""),"Male")</f>
        <v>Male</v>
      </c>
      <c r="D1778" s="8" t="str">
        <f ca="1">IFERROR(__xludf.DUMMYFUNCTION("""COMPUTED_VALUE"""),"Student")</f>
        <v>Student</v>
      </c>
      <c r="E1778" s="8" t="str">
        <f ca="1">IFERROR(__xludf.DUMMYFUNCTION("""COMPUTED_VALUE"""),"Fled/Apprehended")</f>
        <v>Fled/Apprehended</v>
      </c>
      <c r="F1778" s="8" t="str">
        <f ca="1">IFERROR(__xludf.DUMMYFUNCTION("""COMPUTED_VALUE"""),"No")</f>
        <v>No</v>
      </c>
      <c r="G1778" s="8" t="str">
        <f ca="1">IFERROR(__xludf.DUMMYFUNCTION("""COMPUTED_VALUE"""),"None")</f>
        <v>None</v>
      </c>
    </row>
    <row r="1779" spans="1:7" ht="12.75">
      <c r="A1779" s="8" t="str">
        <f ca="1">IFERROR(__xludf.DUMMYFUNCTION("""COMPUTED_VALUE"""),"19960208CAMIM")</f>
        <v>19960208CAMIM</v>
      </c>
      <c r="B1779" s="8">
        <f ca="1">IFERROR(__xludf.DUMMYFUNCTION("""COMPUTED_VALUE"""),16)</f>
        <v>16</v>
      </c>
      <c r="C1779" s="8" t="str">
        <f ca="1">IFERROR(__xludf.DUMMYFUNCTION("""COMPUTED_VALUE"""),"Male")</f>
        <v>Male</v>
      </c>
      <c r="D1779" s="8" t="str">
        <f ca="1">IFERROR(__xludf.DUMMYFUNCTION("""COMPUTED_VALUE"""),"Student")</f>
        <v>Student</v>
      </c>
      <c r="E1779" s="8" t="str">
        <f ca="1">IFERROR(__xludf.DUMMYFUNCTION("""COMPUTED_VALUE"""),"Suicide")</f>
        <v>Suicide</v>
      </c>
      <c r="F1779" s="8" t="str">
        <f ca="1">IFERROR(__xludf.DUMMYFUNCTION("""COMPUTED_VALUE"""),"Yes")</f>
        <v>Yes</v>
      </c>
      <c r="G1779" s="8" t="str">
        <f ca="1">IFERROR(__xludf.DUMMYFUNCTION("""COMPUTED_VALUE"""),"Suicide")</f>
        <v>Suicide</v>
      </c>
    </row>
    <row r="1780" spans="1:7" ht="12.75">
      <c r="A1780" s="8" t="str">
        <f ca="1">IFERROR(__xludf.DUMMYFUNCTION("""COMPUTED_VALUE"""),"19960202WAFRM")</f>
        <v>19960202WAFRM</v>
      </c>
      <c r="B1780" s="8">
        <f ca="1">IFERROR(__xludf.DUMMYFUNCTION("""COMPUTED_VALUE"""),14)</f>
        <v>14</v>
      </c>
      <c r="C1780" s="8" t="str">
        <f ca="1">IFERROR(__xludf.DUMMYFUNCTION("""COMPUTED_VALUE"""),"Male")</f>
        <v>Male</v>
      </c>
      <c r="D1780" s="8" t="str">
        <f ca="1">IFERROR(__xludf.DUMMYFUNCTION("""COMPUTED_VALUE"""),"Student")</f>
        <v>Student</v>
      </c>
      <c r="E1780" s="8" t="str">
        <f ca="1">IFERROR(__xludf.DUMMYFUNCTION("""COMPUTED_VALUE"""),"Subdued by Students/Staff/Other")</f>
        <v>Subdued by Students/Staff/Other</v>
      </c>
      <c r="F1780" s="8" t="str">
        <f ca="1">IFERROR(__xludf.DUMMYFUNCTION("""COMPUTED_VALUE"""),"No")</f>
        <v>No</v>
      </c>
      <c r="G1780" s="8" t="str">
        <f ca="1">IFERROR(__xludf.DUMMYFUNCTION("""COMPUTED_VALUE"""),"None")</f>
        <v>None</v>
      </c>
    </row>
    <row r="1781" spans="1:7" ht="12.75">
      <c r="A1781" s="8" t="str">
        <f ca="1">IFERROR(__xludf.DUMMYFUNCTION("""COMPUTED_VALUE"""),"19960126TNEAM")</f>
        <v>19960126TNEAM</v>
      </c>
      <c r="B1781" s="8" t="str">
        <f ca="1">IFERROR(__xludf.DUMMYFUNCTION("""COMPUTED_VALUE"""),"Adult")</f>
        <v>Adult</v>
      </c>
      <c r="C1781" s="8"/>
      <c r="D1781" s="8" t="str">
        <f ca="1">IFERROR(__xludf.DUMMYFUNCTION("""COMPUTED_VALUE"""),"Nonstudent Using Athletic Facilities/Attending Game")</f>
        <v>Nonstudent Using Athletic Facilities/Attending Game</v>
      </c>
      <c r="E1781" s="8" t="str">
        <f ca="1">IFERROR(__xludf.DUMMYFUNCTION("""COMPUTED_VALUE"""),"Fled/Escaped")</f>
        <v>Fled/Escaped</v>
      </c>
      <c r="F1781" s="8" t="str">
        <f ca="1">IFERROR(__xludf.DUMMYFUNCTION("""COMPUTED_VALUE"""),"No")</f>
        <v>No</v>
      </c>
      <c r="G1781" s="8" t="str">
        <f ca="1">IFERROR(__xludf.DUMMYFUNCTION("""COMPUTED_VALUE"""),"None")</f>
        <v>None</v>
      </c>
    </row>
    <row r="1782" spans="1:7" ht="12.75">
      <c r="A1782" s="8" t="str">
        <f ca="1">IFERROR(__xludf.DUMMYFUNCTION("""COMPUTED_VALUE"""),"19960119DCWIW")</f>
        <v>19960119DCWIW</v>
      </c>
      <c r="B1782" s="8">
        <f ca="1">IFERROR(__xludf.DUMMYFUNCTION("""COMPUTED_VALUE"""),18)</f>
        <v>18</v>
      </c>
      <c r="C1782" s="8" t="str">
        <f ca="1">IFERROR(__xludf.DUMMYFUNCTION("""COMPUTED_VALUE"""),"Male")</f>
        <v>Male</v>
      </c>
      <c r="D1782" s="8" t="str">
        <f ca="1">IFERROR(__xludf.DUMMYFUNCTION("""COMPUTED_VALUE"""),"Unknown")</f>
        <v>Unknown</v>
      </c>
      <c r="E1782" s="8" t="str">
        <f ca="1">IFERROR(__xludf.DUMMYFUNCTION("""COMPUTED_VALUE"""),"Fled/Apprehended")</f>
        <v>Fled/Apprehended</v>
      </c>
      <c r="F1782" s="8" t="str">
        <f ca="1">IFERROR(__xludf.DUMMYFUNCTION("""COMPUTED_VALUE"""),"No")</f>
        <v>No</v>
      </c>
      <c r="G1782" s="8" t="str">
        <f ca="1">IFERROR(__xludf.DUMMYFUNCTION("""COMPUTED_VALUE"""),"None")</f>
        <v>None</v>
      </c>
    </row>
    <row r="1783" spans="1:7" ht="12.75">
      <c r="A1783" s="8" t="str">
        <f ca="1">IFERROR(__xludf.DUMMYFUNCTION("""COMPUTED_VALUE"""),"19960102PAGIG")</f>
        <v>19960102PAGIG</v>
      </c>
      <c r="B1783" s="8">
        <f ca="1">IFERROR(__xludf.DUMMYFUNCTION("""COMPUTED_VALUE"""),16)</f>
        <v>16</v>
      </c>
      <c r="C1783" s="8" t="str">
        <f ca="1">IFERROR(__xludf.DUMMYFUNCTION("""COMPUTED_VALUE"""),"Male")</f>
        <v>Male</v>
      </c>
      <c r="D1783" s="8" t="str">
        <f ca="1">IFERROR(__xludf.DUMMYFUNCTION("""COMPUTED_VALUE"""),"Unknown")</f>
        <v>Unknown</v>
      </c>
      <c r="E1783" s="8" t="str">
        <f ca="1">IFERROR(__xludf.DUMMYFUNCTION("""COMPUTED_VALUE"""),"Suicide")</f>
        <v>Suicide</v>
      </c>
      <c r="F1783" s="8" t="str">
        <f ca="1">IFERROR(__xludf.DUMMYFUNCTION("""COMPUTED_VALUE"""),"Yes")</f>
        <v>Yes</v>
      </c>
      <c r="G1783" s="8" t="str">
        <f ca="1">IFERROR(__xludf.DUMMYFUNCTION("""COMPUTED_VALUE"""),"Suicide")</f>
        <v>Suicide</v>
      </c>
    </row>
    <row r="1784" spans="1:7" ht="12.75">
      <c r="A1784" s="8" t="str">
        <f ca="1">IFERROR(__xludf.DUMMYFUNCTION("""COMPUTED_VALUE"""),"19951128NYTHN")</f>
        <v>19951128NYTHN</v>
      </c>
      <c r="B1784" s="8"/>
      <c r="C1784" s="8" t="str">
        <f ca="1">IFERROR(__xludf.DUMMYFUNCTION("""COMPUTED_VALUE"""),"Male")</f>
        <v>Male</v>
      </c>
      <c r="D1784" s="8" t="str">
        <f ca="1">IFERROR(__xludf.DUMMYFUNCTION("""COMPUTED_VALUE"""),"Unknown")</f>
        <v>Unknown</v>
      </c>
      <c r="E1784" s="8" t="str">
        <f ca="1">IFERROR(__xludf.DUMMYFUNCTION("""COMPUTED_VALUE"""),"Fled/Escaped")</f>
        <v>Fled/Escaped</v>
      </c>
      <c r="F1784" s="8" t="str">
        <f ca="1">IFERROR(__xludf.DUMMYFUNCTION("""COMPUTED_VALUE"""),"No")</f>
        <v>No</v>
      </c>
      <c r="G1784" s="8" t="str">
        <f ca="1">IFERROR(__xludf.DUMMYFUNCTION("""COMPUTED_VALUE"""),"None")</f>
        <v>None</v>
      </c>
    </row>
    <row r="1785" spans="1:7" ht="12.75">
      <c r="A1785" s="8" t="str">
        <f ca="1">IFERROR(__xludf.DUMMYFUNCTION("""COMPUTED_VALUE"""),"19951115TNRIL")</f>
        <v>19951115TNRIL</v>
      </c>
      <c r="B1785" s="8">
        <f ca="1">IFERROR(__xludf.DUMMYFUNCTION("""COMPUTED_VALUE"""),17)</f>
        <v>17</v>
      </c>
      <c r="C1785" s="8" t="str">
        <f ca="1">IFERROR(__xludf.DUMMYFUNCTION("""COMPUTED_VALUE"""),"Male")</f>
        <v>Male</v>
      </c>
      <c r="D1785" s="8" t="str">
        <f ca="1">IFERROR(__xludf.DUMMYFUNCTION("""COMPUTED_VALUE"""),"Student")</f>
        <v>Student</v>
      </c>
      <c r="E1785" s="8" t="str">
        <f ca="1">IFERROR(__xludf.DUMMYFUNCTION("""COMPUTED_VALUE"""),"Subdued by Students/Staff/Other")</f>
        <v>Subdued by Students/Staff/Other</v>
      </c>
      <c r="F1785" s="8" t="str">
        <f ca="1">IFERROR(__xludf.DUMMYFUNCTION("""COMPUTED_VALUE"""),"No")</f>
        <v>No</v>
      </c>
      <c r="G1785" s="8" t="str">
        <f ca="1">IFERROR(__xludf.DUMMYFUNCTION("""COMPUTED_VALUE"""),"None")</f>
        <v>None</v>
      </c>
    </row>
    <row r="1786" spans="1:7" ht="12.75">
      <c r="A1786" s="8" t="str">
        <f ca="1">IFERROR(__xludf.DUMMYFUNCTION("""COMPUTED_VALUE"""),"19951102FLBLM")</f>
        <v>19951102FLBLM</v>
      </c>
      <c r="B1786" s="8">
        <f ca="1">IFERROR(__xludf.DUMMYFUNCTION("""COMPUTED_VALUE"""),42)</f>
        <v>42</v>
      </c>
      <c r="C1786" s="8" t="str">
        <f ca="1">IFERROR(__xludf.DUMMYFUNCTION("""COMPUTED_VALUE"""),"Male")</f>
        <v>Male</v>
      </c>
      <c r="D1786" s="8" t="str">
        <f ca="1">IFERROR(__xludf.DUMMYFUNCTION("""COMPUTED_VALUE"""),"No Relation")</f>
        <v>No Relation</v>
      </c>
      <c r="E1786" s="8" t="str">
        <f ca="1">IFERROR(__xludf.DUMMYFUNCTION("""COMPUTED_VALUE"""),"Apprehended/Killed by LE")</f>
        <v>Apprehended/Killed by LE</v>
      </c>
      <c r="F1786" s="8" t="str">
        <f ca="1">IFERROR(__xludf.DUMMYFUNCTION("""COMPUTED_VALUE"""),"Yes")</f>
        <v>Yes</v>
      </c>
      <c r="G1786" s="8" t="str">
        <f ca="1">IFERROR(__xludf.DUMMYFUNCTION("""COMPUTED_VALUE"""),"Fatal")</f>
        <v>Fatal</v>
      </c>
    </row>
    <row r="1787" spans="1:7" ht="12.75">
      <c r="A1787" s="8" t="str">
        <f ca="1">IFERROR(__xludf.DUMMYFUNCTION("""COMPUTED_VALUE"""),"19951030VAJOR")</f>
        <v>19951030VAJOR</v>
      </c>
      <c r="B1787" s="8">
        <f ca="1">IFERROR(__xludf.DUMMYFUNCTION("""COMPUTED_VALUE"""),17)</f>
        <v>17</v>
      </c>
      <c r="C1787" s="8" t="str">
        <f ca="1">IFERROR(__xludf.DUMMYFUNCTION("""COMPUTED_VALUE"""),"Male")</f>
        <v>Male</v>
      </c>
      <c r="D1787" s="8" t="str">
        <f ca="1">IFERROR(__xludf.DUMMYFUNCTION("""COMPUTED_VALUE"""),"Student")</f>
        <v>Student</v>
      </c>
      <c r="E1787" s="8" t="str">
        <f ca="1">IFERROR(__xludf.DUMMYFUNCTION("""COMPUTED_VALUE"""),"Fled/Apprehended")</f>
        <v>Fled/Apprehended</v>
      </c>
      <c r="F1787" s="8" t="str">
        <f ca="1">IFERROR(__xludf.DUMMYFUNCTION("""COMPUTED_VALUE"""),"No")</f>
        <v>No</v>
      </c>
      <c r="G1787" s="8" t="str">
        <f ca="1">IFERROR(__xludf.DUMMYFUNCTION("""COMPUTED_VALUE"""),"None")</f>
        <v>None</v>
      </c>
    </row>
    <row r="1788" spans="1:7" ht="12.75">
      <c r="A1788" s="8" t="str">
        <f ca="1">IFERROR(__xludf.DUMMYFUNCTION("""COMPUTED_VALUE"""),"19951023FLLAC")</f>
        <v>19951023FLLAC</v>
      </c>
      <c r="B1788" s="8">
        <f ca="1">IFERROR(__xludf.DUMMYFUNCTION("""COMPUTED_VALUE"""),16)</f>
        <v>16</v>
      </c>
      <c r="C1788" s="8" t="str">
        <f ca="1">IFERROR(__xludf.DUMMYFUNCTION("""COMPUTED_VALUE"""),"Female")</f>
        <v>Female</v>
      </c>
      <c r="D1788" s="8" t="str">
        <f ca="1">IFERROR(__xludf.DUMMYFUNCTION("""COMPUTED_VALUE"""),"Student")</f>
        <v>Student</v>
      </c>
      <c r="E1788" s="8" t="str">
        <f ca="1">IFERROR(__xludf.DUMMYFUNCTION("""COMPUTED_VALUE"""),"Other")</f>
        <v>Other</v>
      </c>
      <c r="F1788" s="8" t="str">
        <f ca="1">IFERROR(__xludf.DUMMYFUNCTION("""COMPUTED_VALUE"""),"No")</f>
        <v>No</v>
      </c>
      <c r="G1788" s="8" t="str">
        <f ca="1">IFERROR(__xludf.DUMMYFUNCTION("""COMPUTED_VALUE"""),"Wounded")</f>
        <v>Wounded</v>
      </c>
    </row>
    <row r="1789" spans="1:7" ht="12.75">
      <c r="A1789" s="8" t="str">
        <f ca="1">IFERROR(__xludf.DUMMYFUNCTION("""COMPUTED_VALUE"""),"19951012SCBLB")</f>
        <v>19951012SCBLB</v>
      </c>
      <c r="B1789" s="8">
        <f ca="1">IFERROR(__xludf.DUMMYFUNCTION("""COMPUTED_VALUE"""),16)</f>
        <v>16</v>
      </c>
      <c r="C1789" s="8" t="str">
        <f ca="1">IFERROR(__xludf.DUMMYFUNCTION("""COMPUTED_VALUE"""),"Male")</f>
        <v>Male</v>
      </c>
      <c r="D1789" s="8" t="str">
        <f ca="1">IFERROR(__xludf.DUMMYFUNCTION("""COMPUTED_VALUE"""),"Student")</f>
        <v>Student</v>
      </c>
      <c r="E1789" s="8" t="str">
        <f ca="1">IFERROR(__xludf.DUMMYFUNCTION("""COMPUTED_VALUE"""),"Suicide")</f>
        <v>Suicide</v>
      </c>
      <c r="F1789" s="8" t="str">
        <f ca="1">IFERROR(__xludf.DUMMYFUNCTION("""COMPUTED_VALUE"""),"Yes")</f>
        <v>Yes</v>
      </c>
      <c r="G1789" s="8" t="str">
        <f ca="1">IFERROR(__xludf.DUMMYFUNCTION("""COMPUTED_VALUE"""),"Suicide")</f>
        <v>Suicide</v>
      </c>
    </row>
    <row r="1790" spans="1:7" ht="12.75">
      <c r="A1790" s="8" t="str">
        <f ca="1">IFERROR(__xludf.DUMMYFUNCTION("""COMPUTED_VALUE"""),"19950929FLTAT")</f>
        <v>19950929FLTAT</v>
      </c>
      <c r="B1790" s="8">
        <f ca="1">IFERROR(__xludf.DUMMYFUNCTION("""COMPUTED_VALUE"""),14)</f>
        <v>14</v>
      </c>
      <c r="C1790" s="8" t="str">
        <f ca="1">IFERROR(__xludf.DUMMYFUNCTION("""COMPUTED_VALUE"""),"Male")</f>
        <v>Male</v>
      </c>
      <c r="D1790" s="8" t="str">
        <f ca="1">IFERROR(__xludf.DUMMYFUNCTION("""COMPUTED_VALUE"""),"Student")</f>
        <v>Student</v>
      </c>
      <c r="E1790" s="8" t="str">
        <f ca="1">IFERROR(__xludf.DUMMYFUNCTION("""COMPUTED_VALUE"""),"Fled/Apprehended")</f>
        <v>Fled/Apprehended</v>
      </c>
      <c r="F1790" s="8" t="str">
        <f ca="1">IFERROR(__xludf.DUMMYFUNCTION("""COMPUTED_VALUE"""),"No")</f>
        <v>No</v>
      </c>
      <c r="G1790" s="8" t="str">
        <f ca="1">IFERROR(__xludf.DUMMYFUNCTION("""COMPUTED_VALUE"""),"None")</f>
        <v>None</v>
      </c>
    </row>
    <row r="1791" spans="1:7" ht="12.75">
      <c r="A1791" s="8" t="str">
        <f ca="1">IFERROR(__xludf.DUMMYFUNCTION("""COMPUTED_VALUE"""),"19950927ALBLP")</f>
        <v>19950927ALBLP</v>
      </c>
      <c r="B1791" s="8">
        <f ca="1">IFERROR(__xludf.DUMMYFUNCTION("""COMPUTED_VALUE"""),19)</f>
        <v>19</v>
      </c>
      <c r="C1791" s="8" t="str">
        <f ca="1">IFERROR(__xludf.DUMMYFUNCTION("""COMPUTED_VALUE"""),"Male")</f>
        <v>Male</v>
      </c>
      <c r="D1791" s="8" t="str">
        <f ca="1">IFERROR(__xludf.DUMMYFUNCTION("""COMPUTED_VALUE"""),"Relative")</f>
        <v>Relative</v>
      </c>
      <c r="E1791" s="8" t="str">
        <f ca="1">IFERROR(__xludf.DUMMYFUNCTION("""COMPUTED_VALUE"""),"Unknown")</f>
        <v>Unknown</v>
      </c>
      <c r="F1791" s="8" t="str">
        <f ca="1">IFERROR(__xludf.DUMMYFUNCTION("""COMPUTED_VALUE"""),"No")</f>
        <v>No</v>
      </c>
      <c r="G1791" s="8" t="str">
        <f ca="1">IFERROR(__xludf.DUMMYFUNCTION("""COMPUTED_VALUE"""),"None")</f>
        <v>None</v>
      </c>
    </row>
    <row r="1792" spans="1:7" ht="12.75">
      <c r="A1792" s="8" t="str">
        <f ca="1">IFERROR(__xludf.DUMMYFUNCTION("""COMPUTED_VALUE"""),"19950915KYGEW")</f>
        <v>19950915KYGEW</v>
      </c>
      <c r="B1792" s="8" t="str">
        <f ca="1">IFERROR(__xludf.DUMMYFUNCTION("""COMPUTED_VALUE"""),"Teen")</f>
        <v>Teen</v>
      </c>
      <c r="C1792" s="8" t="str">
        <f ca="1">IFERROR(__xludf.DUMMYFUNCTION("""COMPUTED_VALUE"""),"Male")</f>
        <v>Male</v>
      </c>
      <c r="D1792" s="8" t="str">
        <f ca="1">IFERROR(__xludf.DUMMYFUNCTION("""COMPUTED_VALUE"""),"Student")</f>
        <v>Student</v>
      </c>
      <c r="E1792" s="8" t="str">
        <f ca="1">IFERROR(__xludf.DUMMYFUNCTION("""COMPUTED_VALUE"""),"Unknown")</f>
        <v>Unknown</v>
      </c>
      <c r="F1792" s="8" t="str">
        <f ca="1">IFERROR(__xludf.DUMMYFUNCTION("""COMPUTED_VALUE"""),"No")</f>
        <v>No</v>
      </c>
      <c r="G1792" s="8" t="str">
        <f ca="1">IFERROR(__xludf.DUMMYFUNCTION("""COMPUTED_VALUE"""),"None")</f>
        <v>None</v>
      </c>
    </row>
    <row r="1793" spans="1:7" ht="12.75">
      <c r="A1793" s="8" t="str">
        <f ca="1">IFERROR(__xludf.DUMMYFUNCTION("""COMPUTED_VALUE"""),"19950914KSOLO")</f>
        <v>19950914KSOLO</v>
      </c>
      <c r="B1793" s="8">
        <f ca="1">IFERROR(__xludf.DUMMYFUNCTION("""COMPUTED_VALUE"""),17)</f>
        <v>17</v>
      </c>
      <c r="C1793" s="8" t="str">
        <f ca="1">IFERROR(__xludf.DUMMYFUNCTION("""COMPUTED_VALUE"""),"Male")</f>
        <v>Male</v>
      </c>
      <c r="D1793" s="8" t="str">
        <f ca="1">IFERROR(__xludf.DUMMYFUNCTION("""COMPUTED_VALUE"""),"Rival School Student")</f>
        <v>Rival School Student</v>
      </c>
      <c r="E1793" s="8" t="str">
        <f ca="1">IFERROR(__xludf.DUMMYFUNCTION("""COMPUTED_VALUE"""),"Fled/Apprehended")</f>
        <v>Fled/Apprehended</v>
      </c>
      <c r="F1793" s="8" t="str">
        <f ca="1">IFERROR(__xludf.DUMMYFUNCTION("""COMPUTED_VALUE"""),"No")</f>
        <v>No</v>
      </c>
      <c r="G1793" s="8" t="str">
        <f ca="1">IFERROR(__xludf.DUMMYFUNCTION("""COMPUTED_VALUE"""),"None")</f>
        <v>None</v>
      </c>
    </row>
    <row r="1794" spans="1:7" ht="12.75">
      <c r="A1794" s="8" t="str">
        <f ca="1">IFERROR(__xludf.DUMMYFUNCTION("""COMPUTED_VALUE"""),"19950912TNCYM")</f>
        <v>19950912TNCYM</v>
      </c>
      <c r="B1794" s="8">
        <f ca="1">IFERROR(__xludf.DUMMYFUNCTION("""COMPUTED_VALUE"""),15)</f>
        <v>15</v>
      </c>
      <c r="C1794" s="8" t="str">
        <f ca="1">IFERROR(__xludf.DUMMYFUNCTION("""COMPUTED_VALUE"""),"Male")</f>
        <v>Male</v>
      </c>
      <c r="D1794" s="8" t="str">
        <f ca="1">IFERROR(__xludf.DUMMYFUNCTION("""COMPUTED_VALUE"""),"Student")</f>
        <v>Student</v>
      </c>
      <c r="E1794" s="8" t="str">
        <f ca="1">IFERROR(__xludf.DUMMYFUNCTION("""COMPUTED_VALUE"""),"Unknown")</f>
        <v>Unknown</v>
      </c>
      <c r="F1794" s="8" t="str">
        <f ca="1">IFERROR(__xludf.DUMMYFUNCTION("""COMPUTED_VALUE"""),"No")</f>
        <v>No</v>
      </c>
      <c r="G1794" s="8" t="str">
        <f ca="1">IFERROR(__xludf.DUMMYFUNCTION("""COMPUTED_VALUE"""),"None")</f>
        <v>None</v>
      </c>
    </row>
    <row r="1795" spans="1:7" ht="12.75">
      <c r="A1795" s="8" t="str">
        <f ca="1">IFERROR(__xludf.DUMMYFUNCTION("""COMPUTED_VALUE"""),"19950829TXMEL")</f>
        <v>19950829TXMEL</v>
      </c>
      <c r="B1795" s="8">
        <f ca="1">IFERROR(__xludf.DUMMYFUNCTION("""COMPUTED_VALUE"""),12)</f>
        <v>12</v>
      </c>
      <c r="C1795" s="8" t="str">
        <f ca="1">IFERROR(__xludf.DUMMYFUNCTION("""COMPUTED_VALUE"""),"Male")</f>
        <v>Male</v>
      </c>
      <c r="D1795" s="8" t="str">
        <f ca="1">IFERROR(__xludf.DUMMYFUNCTION("""COMPUTED_VALUE"""),"Student")</f>
        <v>Student</v>
      </c>
      <c r="E1795" s="8" t="str">
        <f ca="1">IFERROR(__xludf.DUMMYFUNCTION("""COMPUTED_VALUE"""),"Fled/Apprehended")</f>
        <v>Fled/Apprehended</v>
      </c>
      <c r="F1795" s="8" t="str">
        <f ca="1">IFERROR(__xludf.DUMMYFUNCTION("""COMPUTED_VALUE"""),"No")</f>
        <v>No</v>
      </c>
      <c r="G1795" s="8" t="str">
        <f ca="1">IFERROR(__xludf.DUMMYFUNCTION("""COMPUTED_VALUE"""),"None")</f>
        <v>None</v>
      </c>
    </row>
    <row r="1796" spans="1:7" ht="12.75">
      <c r="A1796" s="8" t="str">
        <f ca="1">IFERROR(__xludf.DUMMYFUNCTION("""COMPUTED_VALUE"""),"19950614FLLAL")</f>
        <v>19950614FLLAL</v>
      </c>
      <c r="B1796" s="8">
        <f ca="1">IFERROR(__xludf.DUMMYFUNCTION("""COMPUTED_VALUE"""),19)</f>
        <v>19</v>
      </c>
      <c r="C1796" s="8" t="str">
        <f ca="1">IFERROR(__xludf.DUMMYFUNCTION("""COMPUTED_VALUE"""),"Male")</f>
        <v>Male</v>
      </c>
      <c r="D1796" s="8" t="str">
        <f ca="1">IFERROR(__xludf.DUMMYFUNCTION("""COMPUTED_VALUE"""),"Former Student")</f>
        <v>Former Student</v>
      </c>
      <c r="E1796" s="8" t="str">
        <f ca="1">IFERROR(__xludf.DUMMYFUNCTION("""COMPUTED_VALUE"""),"Fled/Apprehended")</f>
        <v>Fled/Apprehended</v>
      </c>
      <c r="F1796" s="8" t="str">
        <f ca="1">IFERROR(__xludf.DUMMYFUNCTION("""COMPUTED_VALUE"""),"No")</f>
        <v>No</v>
      </c>
      <c r="G1796" s="8" t="str">
        <f ca="1">IFERROR(__xludf.DUMMYFUNCTION("""COMPUTED_VALUE"""),"None")</f>
        <v>None</v>
      </c>
    </row>
    <row r="1797" spans="1:7" ht="12.75">
      <c r="A1797" s="8" t="str">
        <f ca="1">IFERROR(__xludf.DUMMYFUNCTION("""COMPUTED_VALUE"""),"19950327MIRED")</f>
        <v>19950327MIRED</v>
      </c>
      <c r="B1797" s="8">
        <f ca="1">IFERROR(__xludf.DUMMYFUNCTION("""COMPUTED_VALUE"""),18)</f>
        <v>18</v>
      </c>
      <c r="C1797" s="8" t="str">
        <f ca="1">IFERROR(__xludf.DUMMYFUNCTION("""COMPUTED_VALUE"""),"Male")</f>
        <v>Male</v>
      </c>
      <c r="D1797" s="8" t="str">
        <f ca="1">IFERROR(__xludf.DUMMYFUNCTION("""COMPUTED_VALUE"""),"Student")</f>
        <v>Student</v>
      </c>
      <c r="E1797" s="8" t="str">
        <f ca="1">IFERROR(__xludf.DUMMYFUNCTION("""COMPUTED_VALUE"""),"Fled/Apprehended")</f>
        <v>Fled/Apprehended</v>
      </c>
      <c r="F1797" s="8" t="str">
        <f ca="1">IFERROR(__xludf.DUMMYFUNCTION("""COMPUTED_VALUE"""),"No")</f>
        <v>No</v>
      </c>
      <c r="G1797" s="8" t="str">
        <f ca="1">IFERROR(__xludf.DUMMYFUNCTION("""COMPUTED_VALUE"""),"None")</f>
        <v>None</v>
      </c>
    </row>
    <row r="1798" spans="1:7" ht="12.75">
      <c r="A1798" s="8" t="str">
        <f ca="1">IFERROR(__xludf.DUMMYFUNCTION("""COMPUTED_VALUE"""),"19950303MIPED")</f>
        <v>19950303MIPED</v>
      </c>
      <c r="B1798" s="8"/>
      <c r="C1798" s="8"/>
      <c r="D1798" s="8" t="str">
        <f ca="1">IFERROR(__xludf.DUMMYFUNCTION("""COMPUTED_VALUE"""),"Unknown")</f>
        <v>Unknown</v>
      </c>
      <c r="E1798" s="8" t="str">
        <f ca="1">IFERROR(__xludf.DUMMYFUNCTION("""COMPUTED_VALUE"""),"Fled/Escaped")</f>
        <v>Fled/Escaped</v>
      </c>
      <c r="F1798" s="8" t="str">
        <f ca="1">IFERROR(__xludf.DUMMYFUNCTION("""COMPUTED_VALUE"""),"No")</f>
        <v>No</v>
      </c>
      <c r="G1798" s="8" t="str">
        <f ca="1">IFERROR(__xludf.DUMMYFUNCTION("""COMPUTED_VALUE"""),"None")</f>
        <v>None</v>
      </c>
    </row>
    <row r="1799" spans="1:7" ht="12.75">
      <c r="A1799" s="8" t="str">
        <f ca="1">IFERROR(__xludf.DUMMYFUNCTION("""COMPUTED_VALUE"""),"19950208NECHS")</f>
        <v>19950208NECHS</v>
      </c>
      <c r="B1799" s="8">
        <f ca="1">IFERROR(__xludf.DUMMYFUNCTION("""COMPUTED_VALUE"""),13)</f>
        <v>13</v>
      </c>
      <c r="C1799" s="8" t="str">
        <f ca="1">IFERROR(__xludf.DUMMYFUNCTION("""COMPUTED_VALUE"""),"Male")</f>
        <v>Male</v>
      </c>
      <c r="D1799" s="8" t="str">
        <f ca="1">IFERROR(__xludf.DUMMYFUNCTION("""COMPUTED_VALUE"""),"Student")</f>
        <v>Student</v>
      </c>
      <c r="E1799" s="8" t="str">
        <f ca="1">IFERROR(__xludf.DUMMYFUNCTION("""COMPUTED_VALUE"""),"Unknown")</f>
        <v>Unknown</v>
      </c>
      <c r="F1799" s="8" t="str">
        <f ca="1">IFERROR(__xludf.DUMMYFUNCTION("""COMPUTED_VALUE"""),"No")</f>
        <v>No</v>
      </c>
      <c r="G1799" s="8" t="str">
        <f ca="1">IFERROR(__xludf.DUMMYFUNCTION("""COMPUTED_VALUE"""),"None")</f>
        <v>None</v>
      </c>
    </row>
    <row r="1800" spans="1:7" ht="12.75">
      <c r="A1800" s="8" t="str">
        <f ca="1">IFERROR(__xludf.DUMMYFUNCTION("""COMPUTED_VALUE"""),"19950202CAJOL")</f>
        <v>19950202CAJOL</v>
      </c>
      <c r="B1800" s="8"/>
      <c r="C1800" s="8" t="str">
        <f ca="1">IFERROR(__xludf.DUMMYFUNCTION("""COMPUTED_VALUE"""),"Male")</f>
        <v>Male</v>
      </c>
      <c r="D1800" s="8" t="str">
        <f ca="1">IFERROR(__xludf.DUMMYFUNCTION("""COMPUTED_VALUE"""),"Unknown")</f>
        <v>Unknown</v>
      </c>
      <c r="E1800" s="8" t="str">
        <f ca="1">IFERROR(__xludf.DUMMYFUNCTION("""COMPUTED_VALUE"""),"Fled/Escaped")</f>
        <v>Fled/Escaped</v>
      </c>
      <c r="F1800" s="8" t="str">
        <f ca="1">IFERROR(__xludf.DUMMYFUNCTION("""COMPUTED_VALUE"""),"No")</f>
        <v>No</v>
      </c>
      <c r="G1800" s="8" t="str">
        <f ca="1">IFERROR(__xludf.DUMMYFUNCTION("""COMPUTED_VALUE"""),"None")</f>
        <v>None</v>
      </c>
    </row>
    <row r="1801" spans="1:7" ht="12.75">
      <c r="A1801" s="8" t="str">
        <f ca="1">IFERROR(__xludf.DUMMYFUNCTION("""COMPUTED_VALUE"""),"19950124DCSPW")</f>
        <v>19950124DCSPW</v>
      </c>
      <c r="B1801" s="8">
        <f ca="1">IFERROR(__xludf.DUMMYFUNCTION("""COMPUTED_VALUE"""),16)</f>
        <v>16</v>
      </c>
      <c r="C1801" s="8" t="str">
        <f ca="1">IFERROR(__xludf.DUMMYFUNCTION("""COMPUTED_VALUE"""),"Male")</f>
        <v>Male</v>
      </c>
      <c r="D1801" s="8" t="str">
        <f ca="1">IFERROR(__xludf.DUMMYFUNCTION("""COMPUTED_VALUE"""),"Rival School Student")</f>
        <v>Rival School Student</v>
      </c>
      <c r="E1801" s="8" t="str">
        <f ca="1">IFERROR(__xludf.DUMMYFUNCTION("""COMPUTED_VALUE"""),"Fled/Apprehended")</f>
        <v>Fled/Apprehended</v>
      </c>
      <c r="F1801" s="8" t="str">
        <f ca="1">IFERROR(__xludf.DUMMYFUNCTION("""COMPUTED_VALUE"""),"No")</f>
        <v>No</v>
      </c>
      <c r="G1801" s="8" t="str">
        <f ca="1">IFERROR(__xludf.DUMMYFUNCTION("""COMPUTED_VALUE"""),"None")</f>
        <v>None</v>
      </c>
    </row>
    <row r="1802" spans="1:7" ht="12.75">
      <c r="A1802" s="8" t="str">
        <f ca="1">IFERROR(__xludf.DUMMYFUNCTION("""COMPUTED_VALUE"""),"19950123CASAR")</f>
        <v>19950123CASAR</v>
      </c>
      <c r="B1802" s="8">
        <f ca="1">IFERROR(__xludf.DUMMYFUNCTION("""COMPUTED_VALUE"""),13)</f>
        <v>13</v>
      </c>
      <c r="C1802" s="8" t="str">
        <f ca="1">IFERROR(__xludf.DUMMYFUNCTION("""COMPUTED_VALUE"""),"Male")</f>
        <v>Male</v>
      </c>
      <c r="D1802" s="8" t="str">
        <f ca="1">IFERROR(__xludf.DUMMYFUNCTION("""COMPUTED_VALUE"""),"Student")</f>
        <v>Student</v>
      </c>
      <c r="E1802" s="8" t="str">
        <f ca="1">IFERROR(__xludf.DUMMYFUNCTION("""COMPUTED_VALUE"""),"Fled/Escaped")</f>
        <v>Fled/Escaped</v>
      </c>
      <c r="F1802" s="8" t="str">
        <f ca="1">IFERROR(__xludf.DUMMYFUNCTION("""COMPUTED_VALUE"""),"Yes")</f>
        <v>Yes</v>
      </c>
      <c r="G1802" s="8" t="str">
        <f ca="1">IFERROR(__xludf.DUMMYFUNCTION("""COMPUTED_VALUE"""),"Suicide")</f>
        <v>Suicide</v>
      </c>
    </row>
    <row r="1803" spans="1:7" ht="12.75">
      <c r="A1803" s="8" t="str">
        <f ca="1">IFERROR(__xludf.DUMMYFUNCTION("""COMPUTED_VALUE"""),"19950112WAGAS")</f>
        <v>19950112WAGAS</v>
      </c>
      <c r="B1803" s="8">
        <f ca="1">IFERROR(__xludf.DUMMYFUNCTION("""COMPUTED_VALUE"""),15)</f>
        <v>15</v>
      </c>
      <c r="C1803" s="8" t="str">
        <f ca="1">IFERROR(__xludf.DUMMYFUNCTION("""COMPUTED_VALUE"""),"Male")</f>
        <v>Male</v>
      </c>
      <c r="D1803" s="8" t="str">
        <f ca="1">IFERROR(__xludf.DUMMYFUNCTION("""COMPUTED_VALUE"""),"Student")</f>
        <v>Student</v>
      </c>
      <c r="E1803" s="8" t="str">
        <f ca="1">IFERROR(__xludf.DUMMYFUNCTION("""COMPUTED_VALUE"""),"Fled/Apprehended")</f>
        <v>Fled/Apprehended</v>
      </c>
      <c r="F1803" s="8" t="str">
        <f ca="1">IFERROR(__xludf.DUMMYFUNCTION("""COMPUTED_VALUE"""),"No")</f>
        <v>No</v>
      </c>
      <c r="G1803" s="8" t="str">
        <f ca="1">IFERROR(__xludf.DUMMYFUNCTION("""COMPUTED_VALUE"""),"None")</f>
        <v>None</v>
      </c>
    </row>
    <row r="1804" spans="1:7" ht="12.75">
      <c r="A1804" s="8" t="str">
        <f ca="1">IFERROR(__xludf.DUMMYFUNCTION("""COMPUTED_VALUE"""),"19950110FLPAP")</f>
        <v>19950110FLPAP</v>
      </c>
      <c r="B1804" s="8">
        <f ca="1">IFERROR(__xludf.DUMMYFUNCTION("""COMPUTED_VALUE"""),15)</f>
        <v>15</v>
      </c>
      <c r="C1804" s="8" t="str">
        <f ca="1">IFERROR(__xludf.DUMMYFUNCTION("""COMPUTED_VALUE"""),"Male")</f>
        <v>Male</v>
      </c>
      <c r="D1804" s="8" t="str">
        <f ca="1">IFERROR(__xludf.DUMMYFUNCTION("""COMPUTED_VALUE"""),"Student")</f>
        <v>Student</v>
      </c>
      <c r="E1804" s="8" t="str">
        <f ca="1">IFERROR(__xludf.DUMMYFUNCTION("""COMPUTED_VALUE"""),"Suicide")</f>
        <v>Suicide</v>
      </c>
      <c r="F1804" s="8" t="str">
        <f ca="1">IFERROR(__xludf.DUMMYFUNCTION("""COMPUTED_VALUE"""),"Yes")</f>
        <v>Yes</v>
      </c>
      <c r="G1804" s="8" t="str">
        <f ca="1">IFERROR(__xludf.DUMMYFUNCTION("""COMPUTED_VALUE"""),"Suicide")</f>
        <v>Suicide</v>
      </c>
    </row>
    <row r="1805" spans="1:7" ht="12.75">
      <c r="A1805" s="8" t="str">
        <f ca="1">IFERROR(__xludf.DUMMYFUNCTION("""COMPUTED_VALUE"""),"19950105DCCAW")</f>
        <v>19950105DCCAW</v>
      </c>
      <c r="B1805" s="8">
        <f ca="1">IFERROR(__xludf.DUMMYFUNCTION("""COMPUTED_VALUE"""),14)</f>
        <v>14</v>
      </c>
      <c r="C1805" s="8" t="str">
        <f ca="1">IFERROR(__xludf.DUMMYFUNCTION("""COMPUTED_VALUE"""),"Male")</f>
        <v>Male</v>
      </c>
      <c r="D1805" s="8" t="str">
        <f ca="1">IFERROR(__xludf.DUMMYFUNCTION("""COMPUTED_VALUE"""),"Student")</f>
        <v>Student</v>
      </c>
      <c r="E1805" s="8" t="str">
        <f ca="1">IFERROR(__xludf.DUMMYFUNCTION("""COMPUTED_VALUE"""),"Fled/Apprehended")</f>
        <v>Fled/Apprehended</v>
      </c>
      <c r="F1805" s="8" t="str">
        <f ca="1">IFERROR(__xludf.DUMMYFUNCTION("""COMPUTED_VALUE"""),"No")</f>
        <v>No</v>
      </c>
      <c r="G1805" s="8" t="str">
        <f ca="1">IFERROR(__xludf.DUMMYFUNCTION("""COMPUTED_VALUE"""),"None")</f>
        <v>None</v>
      </c>
    </row>
    <row r="1806" spans="1:7" ht="12.75">
      <c r="A1806" s="8" t="str">
        <f ca="1">IFERROR(__xludf.DUMMYFUNCTION("""COMPUTED_VALUE"""),"19941207FLPAM")</f>
        <v>19941207FLPAM</v>
      </c>
      <c r="B1806" s="8">
        <f ca="1">IFERROR(__xludf.DUMMYFUNCTION("""COMPUTED_VALUE"""),19)</f>
        <v>19</v>
      </c>
      <c r="C1806" s="8" t="str">
        <f ca="1">IFERROR(__xludf.DUMMYFUNCTION("""COMPUTED_VALUE"""),"Male")</f>
        <v>Male</v>
      </c>
      <c r="D1806" s="8" t="str">
        <f ca="1">IFERROR(__xludf.DUMMYFUNCTION("""COMPUTED_VALUE"""),"Former Student")</f>
        <v>Former Student</v>
      </c>
      <c r="E1806" s="8" t="str">
        <f ca="1">IFERROR(__xludf.DUMMYFUNCTION("""COMPUTED_VALUE"""),"Apprehended/Killed by SRO")</f>
        <v>Apprehended/Killed by SRO</v>
      </c>
      <c r="F1806" s="8" t="str">
        <f ca="1">IFERROR(__xludf.DUMMYFUNCTION("""COMPUTED_VALUE"""),"No")</f>
        <v>No</v>
      </c>
      <c r="G1806" s="8" t="str">
        <f ca="1">IFERROR(__xludf.DUMMYFUNCTION("""COMPUTED_VALUE"""),"None")</f>
        <v>None</v>
      </c>
    </row>
    <row r="1807" spans="1:7" ht="12.75">
      <c r="A1807" s="8" t="str">
        <f ca="1">IFERROR(__xludf.DUMMYFUNCTION("""COMPUTED_VALUE"""),"19941115WASTT")</f>
        <v>19941115WASTT</v>
      </c>
      <c r="B1807" s="8">
        <f ca="1">IFERROR(__xludf.DUMMYFUNCTION("""COMPUTED_VALUE"""),17)</f>
        <v>17</v>
      </c>
      <c r="C1807" s="8" t="str">
        <f ca="1">IFERROR(__xludf.DUMMYFUNCTION("""COMPUTED_VALUE"""),"Male")</f>
        <v>Male</v>
      </c>
      <c r="D1807" s="8" t="str">
        <f ca="1">IFERROR(__xludf.DUMMYFUNCTION("""COMPUTED_VALUE"""),"Student")</f>
        <v>Student</v>
      </c>
      <c r="E1807" s="8" t="str">
        <f ca="1">IFERROR(__xludf.DUMMYFUNCTION("""COMPUTED_VALUE"""),"Suicide")</f>
        <v>Suicide</v>
      </c>
      <c r="F1807" s="8" t="str">
        <f ca="1">IFERROR(__xludf.DUMMYFUNCTION("""COMPUTED_VALUE"""),"Yes")</f>
        <v>Yes</v>
      </c>
      <c r="G1807" s="8" t="str">
        <f ca="1">IFERROR(__xludf.DUMMYFUNCTION("""COMPUTED_VALUE"""),"Suicide")</f>
        <v>Suicide</v>
      </c>
    </row>
    <row r="1808" spans="1:7" ht="12.75">
      <c r="A1808" s="8" t="str">
        <f ca="1">IFERROR(__xludf.DUMMYFUNCTION("""COMPUTED_VALUE"""),"19941108IAWEM")</f>
        <v>19941108IAWEM</v>
      </c>
      <c r="B1808" s="8">
        <f ca="1">IFERROR(__xludf.DUMMYFUNCTION("""COMPUTED_VALUE"""),16)</f>
        <v>16</v>
      </c>
      <c r="C1808" s="8" t="str">
        <f ca="1">IFERROR(__xludf.DUMMYFUNCTION("""COMPUTED_VALUE"""),"Male")</f>
        <v>Male</v>
      </c>
      <c r="D1808" s="8" t="str">
        <f ca="1">IFERROR(__xludf.DUMMYFUNCTION("""COMPUTED_VALUE"""),"Student")</f>
        <v>Student</v>
      </c>
      <c r="E1808" s="8" t="str">
        <f ca="1">IFERROR(__xludf.DUMMYFUNCTION("""COMPUTED_VALUE"""),"Fled/Escaped")</f>
        <v>Fled/Escaped</v>
      </c>
      <c r="F1808" s="8" t="str">
        <f ca="1">IFERROR(__xludf.DUMMYFUNCTION("""COMPUTED_VALUE"""),"No")</f>
        <v>No</v>
      </c>
      <c r="G1808" s="8" t="str">
        <f ca="1">IFERROR(__xludf.DUMMYFUNCTION("""COMPUTED_VALUE"""),"None")</f>
        <v>None</v>
      </c>
    </row>
    <row r="1809" spans="1:7" ht="12.75">
      <c r="A1809" s="8" t="str">
        <f ca="1">IFERROR(__xludf.DUMMYFUNCTION("""COMPUTED_VALUE"""),"19941107OHWIW")</f>
        <v>19941107OHWIW</v>
      </c>
      <c r="B1809" s="8">
        <f ca="1">IFERROR(__xludf.DUMMYFUNCTION("""COMPUTED_VALUE"""),37)</f>
        <v>37</v>
      </c>
      <c r="C1809" s="8" t="str">
        <f ca="1">IFERROR(__xludf.DUMMYFUNCTION("""COMPUTED_VALUE"""),"Male")</f>
        <v>Male</v>
      </c>
      <c r="D1809" s="8" t="str">
        <f ca="1">IFERROR(__xludf.DUMMYFUNCTION("""COMPUTED_VALUE"""),"Former Student")</f>
        <v>Former Student</v>
      </c>
      <c r="E1809" s="8" t="str">
        <f ca="1">IFERROR(__xludf.DUMMYFUNCTION("""COMPUTED_VALUE"""),"Unknown")</f>
        <v>Unknown</v>
      </c>
      <c r="F1809" s="8" t="str">
        <f ca="1">IFERROR(__xludf.DUMMYFUNCTION("""COMPUTED_VALUE"""),"No")</f>
        <v>No</v>
      </c>
      <c r="G1809" s="8" t="str">
        <f ca="1">IFERROR(__xludf.DUMMYFUNCTION("""COMPUTED_VALUE"""),"None")</f>
        <v>None</v>
      </c>
    </row>
    <row r="1810" spans="1:7" ht="12.75">
      <c r="A1810" s="8" t="str">
        <f ca="1">IFERROR(__xludf.DUMMYFUNCTION("""COMPUTED_VALUE"""),"19941105CATHS")</f>
        <v>19941105CATHS</v>
      </c>
      <c r="B1810" s="8" t="str">
        <f ca="1">IFERROR(__xludf.DUMMYFUNCTION("""COMPUTED_VALUE"""),"Adult")</f>
        <v>Adult</v>
      </c>
      <c r="C1810" s="8" t="str">
        <f ca="1">IFERROR(__xludf.DUMMYFUNCTION("""COMPUTED_VALUE"""),"Male")</f>
        <v>Male</v>
      </c>
      <c r="D1810" s="8" t="str">
        <f ca="1">IFERROR(__xludf.DUMMYFUNCTION("""COMPUTED_VALUE"""),"Unknown")</f>
        <v>Unknown</v>
      </c>
      <c r="E1810" s="8" t="str">
        <f ca="1">IFERROR(__xludf.DUMMYFUNCTION("""COMPUTED_VALUE"""),"Fled/Escaped")</f>
        <v>Fled/Escaped</v>
      </c>
      <c r="F1810" s="8" t="str">
        <f ca="1">IFERROR(__xludf.DUMMYFUNCTION("""COMPUTED_VALUE"""),"No")</f>
        <v>No</v>
      </c>
      <c r="G1810" s="8" t="str">
        <f ca="1">IFERROR(__xludf.DUMMYFUNCTION("""COMPUTED_VALUE"""),"None")</f>
        <v>None</v>
      </c>
    </row>
    <row r="1811" spans="1:7" ht="12.75">
      <c r="A1811" s="8" t="str">
        <f ca="1">IFERROR(__xludf.DUMMYFUNCTION("""COMPUTED_VALUE"""),"19941031CAALA")</f>
        <v>19941031CAALA</v>
      </c>
      <c r="B1811" s="8">
        <f ca="1">IFERROR(__xludf.DUMMYFUNCTION("""COMPUTED_VALUE"""),16)</f>
        <v>16</v>
      </c>
      <c r="C1811" s="8" t="str">
        <f ca="1">IFERROR(__xludf.DUMMYFUNCTION("""COMPUTED_VALUE"""),"Male")</f>
        <v>Male</v>
      </c>
      <c r="D1811" s="8" t="str">
        <f ca="1">IFERROR(__xludf.DUMMYFUNCTION("""COMPUTED_VALUE"""),"Student")</f>
        <v>Student</v>
      </c>
      <c r="E1811" s="8" t="str">
        <f ca="1">IFERROR(__xludf.DUMMYFUNCTION("""COMPUTED_VALUE"""),"Attempted Suicide")</f>
        <v>Attempted Suicide</v>
      </c>
      <c r="F1811" s="8" t="str">
        <f ca="1">IFERROR(__xludf.DUMMYFUNCTION("""COMPUTED_VALUE"""),"No")</f>
        <v>No</v>
      </c>
      <c r="G1811" s="8" t="str">
        <f ca="1">IFERROR(__xludf.DUMMYFUNCTION("""COMPUTED_VALUE"""),"Wounded")</f>
        <v>Wounded</v>
      </c>
    </row>
    <row r="1812" spans="1:7" ht="12.75">
      <c r="A1812" s="8" t="str">
        <f ca="1">IFERROR(__xludf.DUMMYFUNCTION("""COMPUTED_VALUE"""),"19941017ILHUC")</f>
        <v>19941017ILHUC</v>
      </c>
      <c r="B1812" s="8"/>
      <c r="C1812" s="8" t="str">
        <f ca="1">IFERROR(__xludf.DUMMYFUNCTION("""COMPUTED_VALUE"""),"Male")</f>
        <v>Male</v>
      </c>
      <c r="D1812" s="8" t="str">
        <f ca="1">IFERROR(__xludf.DUMMYFUNCTION("""COMPUTED_VALUE"""),"Unknown")</f>
        <v>Unknown</v>
      </c>
      <c r="E1812" s="8" t="str">
        <f ca="1">IFERROR(__xludf.DUMMYFUNCTION("""COMPUTED_VALUE"""),"Fled/Escaped")</f>
        <v>Fled/Escaped</v>
      </c>
      <c r="F1812" s="8" t="str">
        <f ca="1">IFERROR(__xludf.DUMMYFUNCTION("""COMPUTED_VALUE"""),"No")</f>
        <v>No</v>
      </c>
      <c r="G1812" s="8" t="str">
        <f ca="1">IFERROR(__xludf.DUMMYFUNCTION("""COMPUTED_VALUE"""),"None")</f>
        <v>None</v>
      </c>
    </row>
    <row r="1813" spans="1:7" ht="12.75">
      <c r="A1813" s="8" t="str">
        <f ca="1">IFERROR(__xludf.DUMMYFUNCTION("""COMPUTED_VALUE"""),"19941012NCGRG")</f>
        <v>19941012NCGRG</v>
      </c>
      <c r="B1813" s="8">
        <f ca="1">IFERROR(__xludf.DUMMYFUNCTION("""COMPUTED_VALUE"""),16)</f>
        <v>16</v>
      </c>
      <c r="C1813" s="8" t="str">
        <f ca="1">IFERROR(__xludf.DUMMYFUNCTION("""COMPUTED_VALUE"""),"Male")</f>
        <v>Male</v>
      </c>
      <c r="D1813" s="8" t="str">
        <f ca="1">IFERROR(__xludf.DUMMYFUNCTION("""COMPUTED_VALUE"""),"Student")</f>
        <v>Student</v>
      </c>
      <c r="E1813" s="8" t="str">
        <f ca="1">IFERROR(__xludf.DUMMYFUNCTION("""COMPUTED_VALUE"""),"Suicide")</f>
        <v>Suicide</v>
      </c>
      <c r="F1813" s="8" t="str">
        <f ca="1">IFERROR(__xludf.DUMMYFUNCTION("""COMPUTED_VALUE"""),"Yes")</f>
        <v>Yes</v>
      </c>
      <c r="G1813" s="8" t="str">
        <f ca="1">IFERROR(__xludf.DUMMYFUNCTION("""COMPUTED_VALUE"""),"Suicide")</f>
        <v>Suicide</v>
      </c>
    </row>
    <row r="1814" spans="1:7" ht="12.75">
      <c r="A1814" s="8" t="str">
        <f ca="1">IFERROR(__xludf.DUMMYFUNCTION("""COMPUTED_VALUE"""),"19940922ORLEL")</f>
        <v>19940922ORLEL</v>
      </c>
      <c r="B1814" s="8">
        <f ca="1">IFERROR(__xludf.DUMMYFUNCTION("""COMPUTED_VALUE"""),15)</f>
        <v>15</v>
      </c>
      <c r="C1814" s="8" t="str">
        <f ca="1">IFERROR(__xludf.DUMMYFUNCTION("""COMPUTED_VALUE"""),"Male")</f>
        <v>Male</v>
      </c>
      <c r="D1814" s="8" t="str">
        <f ca="1">IFERROR(__xludf.DUMMYFUNCTION("""COMPUTED_VALUE"""),"Student")</f>
        <v>Student</v>
      </c>
      <c r="E1814" s="8" t="str">
        <f ca="1">IFERROR(__xludf.DUMMYFUNCTION("""COMPUTED_VALUE"""),"Unknown")</f>
        <v>Unknown</v>
      </c>
      <c r="F1814" s="8" t="str">
        <f ca="1">IFERROR(__xludf.DUMMYFUNCTION("""COMPUTED_VALUE"""),"No")</f>
        <v>No</v>
      </c>
      <c r="G1814" s="8" t="str">
        <f ca="1">IFERROR(__xludf.DUMMYFUNCTION("""COMPUTED_VALUE"""),"None")</f>
        <v>None</v>
      </c>
    </row>
    <row r="1815" spans="1:7" ht="12.75">
      <c r="A1815" s="8" t="str">
        <f ca="1">IFERROR(__xludf.DUMMYFUNCTION("""COMPUTED_VALUE"""),"19940919CALOL")</f>
        <v>19940919CALOL</v>
      </c>
      <c r="B1815" s="8"/>
      <c r="C1815" s="8" t="str">
        <f ca="1">IFERROR(__xludf.DUMMYFUNCTION("""COMPUTED_VALUE"""),"Male")</f>
        <v>Male</v>
      </c>
      <c r="D1815" s="8" t="str">
        <f ca="1">IFERROR(__xludf.DUMMYFUNCTION("""COMPUTED_VALUE"""),"Unknown")</f>
        <v>Unknown</v>
      </c>
      <c r="E1815" s="8" t="str">
        <f ca="1">IFERROR(__xludf.DUMMYFUNCTION("""COMPUTED_VALUE"""),"Fled/Escaped")</f>
        <v>Fled/Escaped</v>
      </c>
      <c r="F1815" s="8" t="str">
        <f ca="1">IFERROR(__xludf.DUMMYFUNCTION("""COMPUTED_VALUE"""),"No")</f>
        <v>No</v>
      </c>
      <c r="G1815" s="8" t="str">
        <f ca="1">IFERROR(__xludf.DUMMYFUNCTION("""COMPUTED_VALUE"""),"None")</f>
        <v>None</v>
      </c>
    </row>
    <row r="1816" spans="1:7" ht="12.75">
      <c r="A1816" s="8" t="str">
        <f ca="1">IFERROR(__xludf.DUMMYFUNCTION("""COMPUTED_VALUE"""),"19940908NYSWA")</f>
        <v>19940908NYSWA</v>
      </c>
      <c r="B1816" s="8">
        <f ca="1">IFERROR(__xludf.DUMMYFUNCTION("""COMPUTED_VALUE"""),14)</f>
        <v>14</v>
      </c>
      <c r="C1816" s="8" t="str">
        <f ca="1">IFERROR(__xludf.DUMMYFUNCTION("""COMPUTED_VALUE"""),"Male")</f>
        <v>Male</v>
      </c>
      <c r="D1816" s="8" t="str">
        <f ca="1">IFERROR(__xludf.DUMMYFUNCTION("""COMPUTED_VALUE"""),"Student")</f>
        <v>Student</v>
      </c>
      <c r="E1816" s="8" t="str">
        <f ca="1">IFERROR(__xludf.DUMMYFUNCTION("""COMPUTED_VALUE"""),"Fled/Apprehended")</f>
        <v>Fled/Apprehended</v>
      </c>
      <c r="F1816" s="8" t="str">
        <f ca="1">IFERROR(__xludf.DUMMYFUNCTION("""COMPUTED_VALUE"""),"No")</f>
        <v>No</v>
      </c>
      <c r="G1816" s="8" t="str">
        <f ca="1">IFERROR(__xludf.DUMMYFUNCTION("""COMPUTED_VALUE"""),"None")</f>
        <v>None</v>
      </c>
    </row>
    <row r="1817" spans="1:7" ht="12.75">
      <c r="A1817" s="8" t="str">
        <f ca="1">IFERROR(__xludf.DUMMYFUNCTION("""COMPUTED_VALUE"""),"19940907CAHOL")</f>
        <v>19940907CAHOL</v>
      </c>
      <c r="B1817" s="8"/>
      <c r="C1817" s="8" t="str">
        <f ca="1">IFERROR(__xludf.DUMMYFUNCTION("""COMPUTED_VALUE"""),"Male")</f>
        <v>Male</v>
      </c>
      <c r="D1817" s="8" t="str">
        <f ca="1">IFERROR(__xludf.DUMMYFUNCTION("""COMPUTED_VALUE"""),"Unknown")</f>
        <v>Unknown</v>
      </c>
      <c r="E1817" s="8" t="str">
        <f ca="1">IFERROR(__xludf.DUMMYFUNCTION("""COMPUTED_VALUE"""),"Fled/Escaped")</f>
        <v>Fled/Escaped</v>
      </c>
      <c r="F1817" s="8" t="str">
        <f ca="1">IFERROR(__xludf.DUMMYFUNCTION("""COMPUTED_VALUE"""),"No")</f>
        <v>No</v>
      </c>
      <c r="G1817" s="8" t="str">
        <f ca="1">IFERROR(__xludf.DUMMYFUNCTION("""COMPUTED_VALUE"""),"None")</f>
        <v>None</v>
      </c>
    </row>
    <row r="1818" spans="1:7" ht="12.75">
      <c r="A1818" s="8" t="str">
        <f ca="1">IFERROR(__xludf.DUMMYFUNCTION("""COMPUTED_VALUE"""),"19940725IAOTO")</f>
        <v>19940725IAOTO</v>
      </c>
      <c r="B1818" s="8">
        <f ca="1">IFERROR(__xludf.DUMMYFUNCTION("""COMPUTED_VALUE"""),16)</f>
        <v>16</v>
      </c>
      <c r="C1818" s="8" t="str">
        <f ca="1">IFERROR(__xludf.DUMMYFUNCTION("""COMPUTED_VALUE"""),"Male")</f>
        <v>Male</v>
      </c>
      <c r="D1818" s="8" t="str">
        <f ca="1">IFERROR(__xludf.DUMMYFUNCTION("""COMPUTED_VALUE"""),"Student")</f>
        <v>Student</v>
      </c>
      <c r="E1818" s="8" t="str">
        <f ca="1">IFERROR(__xludf.DUMMYFUNCTION("""COMPUTED_VALUE"""),"Fled/Apprehended")</f>
        <v>Fled/Apprehended</v>
      </c>
      <c r="F1818" s="8" t="str">
        <f ca="1">IFERROR(__xludf.DUMMYFUNCTION("""COMPUTED_VALUE"""),"No")</f>
        <v>No</v>
      </c>
      <c r="G1818" s="8" t="str">
        <f ca="1">IFERROR(__xludf.DUMMYFUNCTION("""COMPUTED_VALUE"""),"None")</f>
        <v>None</v>
      </c>
    </row>
    <row r="1819" spans="1:7" ht="12.75">
      <c r="A1819" s="8" t="str">
        <f ca="1">IFERROR(__xludf.DUMMYFUNCTION("""COMPUTED_VALUE"""),"19940724PAMAM")</f>
        <v>19940724PAMAM</v>
      </c>
      <c r="B1819" s="8">
        <f ca="1">IFERROR(__xludf.DUMMYFUNCTION("""COMPUTED_VALUE"""),15)</f>
        <v>15</v>
      </c>
      <c r="C1819" s="8" t="str">
        <f ca="1">IFERROR(__xludf.DUMMYFUNCTION("""COMPUTED_VALUE"""),"Male")</f>
        <v>Male</v>
      </c>
      <c r="D1819" s="8" t="str">
        <f ca="1">IFERROR(__xludf.DUMMYFUNCTION("""COMPUTED_VALUE"""),"Nonstudent Using Athletic Facilities/Attending Game")</f>
        <v>Nonstudent Using Athletic Facilities/Attending Game</v>
      </c>
      <c r="E1819" s="8" t="str">
        <f ca="1">IFERROR(__xludf.DUMMYFUNCTION("""COMPUTED_VALUE"""),"Fled/Apprehended")</f>
        <v>Fled/Apprehended</v>
      </c>
      <c r="F1819" s="8" t="str">
        <f ca="1">IFERROR(__xludf.DUMMYFUNCTION("""COMPUTED_VALUE"""),"No")</f>
        <v>No</v>
      </c>
      <c r="G1819" s="8" t="str">
        <f ca="1">IFERROR(__xludf.DUMMYFUNCTION("""COMPUTED_VALUE"""),"None")</f>
        <v>None</v>
      </c>
    </row>
    <row r="1820" spans="1:7" ht="12.75">
      <c r="A1820" s="8" t="str">
        <f ca="1">IFERROR(__xludf.DUMMYFUNCTION("""COMPUTED_VALUE"""),"19940526KYLAU")</f>
        <v>19940526KYLAU</v>
      </c>
      <c r="B1820" s="8">
        <f ca="1">IFERROR(__xludf.DUMMYFUNCTION("""COMPUTED_VALUE"""),17)</f>
        <v>17</v>
      </c>
      <c r="C1820" s="8" t="str">
        <f ca="1">IFERROR(__xludf.DUMMYFUNCTION("""COMPUTED_VALUE"""),"Male")</f>
        <v>Male</v>
      </c>
      <c r="D1820" s="8" t="str">
        <f ca="1">IFERROR(__xludf.DUMMYFUNCTION("""COMPUTED_VALUE"""),"Student")</f>
        <v>Student</v>
      </c>
      <c r="E1820" s="8" t="str">
        <f ca="1">IFERROR(__xludf.DUMMYFUNCTION("""COMPUTED_VALUE"""),"Subdued by Students/Staff/Other")</f>
        <v>Subdued by Students/Staff/Other</v>
      </c>
      <c r="F1820" s="8" t="str">
        <f ca="1">IFERROR(__xludf.DUMMYFUNCTION("""COMPUTED_VALUE"""),"No")</f>
        <v>No</v>
      </c>
      <c r="G1820" s="8" t="str">
        <f ca="1">IFERROR(__xludf.DUMMYFUNCTION("""COMPUTED_VALUE"""),"None")</f>
        <v>None</v>
      </c>
    </row>
    <row r="1821" spans="1:7" ht="12.75">
      <c r="A1821" s="8" t="str">
        <f ca="1">IFERROR(__xludf.DUMMYFUNCTION("""COMPUTED_VALUE"""),"19940525NJLAW")</f>
        <v>19940525NJLAW</v>
      </c>
      <c r="B1821" s="8">
        <f ca="1">IFERROR(__xludf.DUMMYFUNCTION("""COMPUTED_VALUE"""),17)</f>
        <v>17</v>
      </c>
      <c r="C1821" s="8" t="str">
        <f ca="1">IFERROR(__xludf.DUMMYFUNCTION("""COMPUTED_VALUE"""),"Female")</f>
        <v>Female</v>
      </c>
      <c r="D1821" s="8" t="str">
        <f ca="1">IFERROR(__xludf.DUMMYFUNCTION("""COMPUTED_VALUE"""),"Student")</f>
        <v>Student</v>
      </c>
      <c r="E1821" s="8" t="str">
        <f ca="1">IFERROR(__xludf.DUMMYFUNCTION("""COMPUTED_VALUE"""),"Suicide")</f>
        <v>Suicide</v>
      </c>
      <c r="F1821" s="8" t="str">
        <f ca="1">IFERROR(__xludf.DUMMYFUNCTION("""COMPUTED_VALUE"""),"Yes")</f>
        <v>Yes</v>
      </c>
      <c r="G1821" s="8" t="str">
        <f ca="1">IFERROR(__xludf.DUMMYFUNCTION("""COMPUTED_VALUE"""),"Suicide")</f>
        <v>Suicide</v>
      </c>
    </row>
    <row r="1822" spans="1:7" ht="12.75">
      <c r="A1822" s="8" t="str">
        <f ca="1">IFERROR(__xludf.DUMMYFUNCTION("""COMPUTED_VALUE"""),"19940525INLAS")</f>
        <v>19940525INLAS</v>
      </c>
      <c r="B1822" s="8">
        <f ca="1">IFERROR(__xludf.DUMMYFUNCTION("""COMPUTED_VALUE"""),16)</f>
        <v>16</v>
      </c>
      <c r="C1822" s="8" t="str">
        <f ca="1">IFERROR(__xludf.DUMMYFUNCTION("""COMPUTED_VALUE"""),"Male")</f>
        <v>Male</v>
      </c>
      <c r="D1822" s="8" t="str">
        <f ca="1">IFERROR(__xludf.DUMMYFUNCTION("""COMPUTED_VALUE"""),"Student")</f>
        <v>Student</v>
      </c>
      <c r="E1822" s="8" t="str">
        <f ca="1">IFERROR(__xludf.DUMMYFUNCTION("""COMPUTED_VALUE"""),"Fled/Apprehended")</f>
        <v>Fled/Apprehended</v>
      </c>
      <c r="F1822" s="8" t="str">
        <f ca="1">IFERROR(__xludf.DUMMYFUNCTION("""COMPUTED_VALUE"""),"No")</f>
        <v>No</v>
      </c>
      <c r="G1822" s="8" t="str">
        <f ca="1">IFERROR(__xludf.DUMMYFUNCTION("""COMPUTED_VALUE"""),"None")</f>
        <v>None</v>
      </c>
    </row>
    <row r="1823" spans="1:7" ht="12.75">
      <c r="A1823" s="8" t="str">
        <f ca="1">IFERROR(__xludf.DUMMYFUNCTION("""COMPUTED_VALUE"""),"19940502FLNON")</f>
        <v>19940502FLNON</v>
      </c>
      <c r="B1823" s="8">
        <f ca="1">IFERROR(__xludf.DUMMYFUNCTION("""COMPUTED_VALUE"""),18)</f>
        <v>18</v>
      </c>
      <c r="C1823" s="8" t="str">
        <f ca="1">IFERROR(__xludf.DUMMYFUNCTION("""COMPUTED_VALUE"""),"Male")</f>
        <v>Male</v>
      </c>
      <c r="D1823" s="8" t="str">
        <f ca="1">IFERROR(__xludf.DUMMYFUNCTION("""COMPUTED_VALUE"""),"Student")</f>
        <v>Student</v>
      </c>
      <c r="E1823" s="8" t="str">
        <f ca="1">IFERROR(__xludf.DUMMYFUNCTION("""COMPUTED_VALUE"""),"Unknown")</f>
        <v>Unknown</v>
      </c>
      <c r="F1823" s="8" t="str">
        <f ca="1">IFERROR(__xludf.DUMMYFUNCTION("""COMPUTED_VALUE"""),"No")</f>
        <v>No</v>
      </c>
      <c r="G1823" s="8" t="str">
        <f ca="1">IFERROR(__xludf.DUMMYFUNCTION("""COMPUTED_VALUE"""),"None")</f>
        <v>None</v>
      </c>
    </row>
    <row r="1824" spans="1:7" ht="12.75">
      <c r="A1824" s="8" t="str">
        <f ca="1">IFERROR(__xludf.DUMMYFUNCTION("""COMPUTED_VALUE"""),"19940421TNJTN")</f>
        <v>19940421TNJTN</v>
      </c>
      <c r="B1824" s="8">
        <f ca="1">IFERROR(__xludf.DUMMYFUNCTION("""COMPUTED_VALUE"""),14)</f>
        <v>14</v>
      </c>
      <c r="C1824" s="8" t="str">
        <f ca="1">IFERROR(__xludf.DUMMYFUNCTION("""COMPUTED_VALUE"""),"Male")</f>
        <v>Male</v>
      </c>
      <c r="D1824" s="8" t="str">
        <f ca="1">IFERROR(__xludf.DUMMYFUNCTION("""COMPUTED_VALUE"""),"Student")</f>
        <v>Student</v>
      </c>
      <c r="E1824" s="8" t="str">
        <f ca="1">IFERROR(__xludf.DUMMYFUNCTION("""COMPUTED_VALUE"""),"Fled/Apprehended")</f>
        <v>Fled/Apprehended</v>
      </c>
      <c r="F1824" s="8" t="str">
        <f ca="1">IFERROR(__xludf.DUMMYFUNCTION("""COMPUTED_VALUE"""),"No")</f>
        <v>No</v>
      </c>
      <c r="G1824" s="8" t="str">
        <f ca="1">IFERROR(__xludf.DUMMYFUNCTION("""COMPUTED_VALUE"""),"None")</f>
        <v>None</v>
      </c>
    </row>
    <row r="1825" spans="1:7" ht="12.75">
      <c r="A1825" s="8" t="str">
        <f ca="1">IFERROR(__xludf.DUMMYFUNCTION("""COMPUTED_VALUE"""),"19940420INDIS")</f>
        <v>19940420INDIS</v>
      </c>
      <c r="B1825" s="8">
        <f ca="1">IFERROR(__xludf.DUMMYFUNCTION("""COMPUTED_VALUE"""),14)</f>
        <v>14</v>
      </c>
      <c r="C1825" s="8" t="str">
        <f ca="1">IFERROR(__xludf.DUMMYFUNCTION("""COMPUTED_VALUE"""),"Male")</f>
        <v>Male</v>
      </c>
      <c r="D1825" s="8" t="str">
        <f ca="1">IFERROR(__xludf.DUMMYFUNCTION("""COMPUTED_VALUE"""),"Student")</f>
        <v>Student</v>
      </c>
      <c r="E1825" s="8" t="str">
        <f ca="1">IFERROR(__xludf.DUMMYFUNCTION("""COMPUTED_VALUE"""),"Unknown")</f>
        <v>Unknown</v>
      </c>
      <c r="F1825" s="8" t="str">
        <f ca="1">IFERROR(__xludf.DUMMYFUNCTION("""COMPUTED_VALUE"""),"No")</f>
        <v>No</v>
      </c>
      <c r="G1825" s="8" t="str">
        <f ca="1">IFERROR(__xludf.DUMMYFUNCTION("""COMPUTED_VALUE"""),"None")</f>
        <v>None</v>
      </c>
    </row>
    <row r="1826" spans="1:7" ht="12.75">
      <c r="A1826" s="8" t="str">
        <f ca="1">IFERROR(__xludf.DUMMYFUNCTION("""COMPUTED_VALUE"""),"19940419DCELW")</f>
        <v>19940419DCELW</v>
      </c>
      <c r="B1826" s="8"/>
      <c r="C1826" s="8"/>
      <c r="D1826" s="8" t="str">
        <f ca="1">IFERROR(__xludf.DUMMYFUNCTION("""COMPUTED_VALUE"""),"Unknown")</f>
        <v>Unknown</v>
      </c>
      <c r="E1826" s="8" t="str">
        <f ca="1">IFERROR(__xludf.DUMMYFUNCTION("""COMPUTED_VALUE"""),"Fled/Escaped")</f>
        <v>Fled/Escaped</v>
      </c>
      <c r="F1826" s="8" t="str">
        <f ca="1">IFERROR(__xludf.DUMMYFUNCTION("""COMPUTED_VALUE"""),"No")</f>
        <v>No</v>
      </c>
      <c r="G1826" s="8" t="str">
        <f ca="1">IFERROR(__xludf.DUMMYFUNCTION("""COMPUTED_VALUE"""),"None")</f>
        <v>None</v>
      </c>
    </row>
    <row r="1827" spans="1:7" ht="12.75">
      <c r="A1827" s="8" t="str">
        <f ca="1">IFERROR(__xludf.DUMMYFUNCTION("""COMPUTED_VALUE"""),"19940413CA49L")</f>
        <v>19940413CA49L</v>
      </c>
      <c r="B1827" s="8">
        <f ca="1">IFERROR(__xludf.DUMMYFUNCTION("""COMPUTED_VALUE"""),10)</f>
        <v>10</v>
      </c>
      <c r="C1827" s="8" t="str">
        <f ca="1">IFERROR(__xludf.DUMMYFUNCTION("""COMPUTED_VALUE"""),"Male")</f>
        <v>Male</v>
      </c>
      <c r="D1827" s="8" t="str">
        <f ca="1">IFERROR(__xludf.DUMMYFUNCTION("""COMPUTED_VALUE"""),"Student")</f>
        <v>Student</v>
      </c>
      <c r="E1827" s="8" t="str">
        <f ca="1">IFERROR(__xludf.DUMMYFUNCTION("""COMPUTED_VALUE"""),"Suicide")</f>
        <v>Suicide</v>
      </c>
      <c r="F1827" s="8" t="str">
        <f ca="1">IFERROR(__xludf.DUMMYFUNCTION("""COMPUTED_VALUE"""),"Yes")</f>
        <v>Yes</v>
      </c>
      <c r="G1827" s="8" t="str">
        <f ca="1">IFERROR(__xludf.DUMMYFUNCTION("""COMPUTED_VALUE"""),"Suicide")</f>
        <v>Suicide</v>
      </c>
    </row>
    <row r="1828" spans="1:7" ht="12.75">
      <c r="A1828" s="8" t="str">
        <f ca="1">IFERROR(__xludf.DUMMYFUNCTION("""COMPUTED_VALUE"""),"19940412MTMAB")</f>
        <v>19940412MTMAB</v>
      </c>
      <c r="B1828" s="8">
        <f ca="1">IFERROR(__xludf.DUMMYFUNCTION("""COMPUTED_VALUE"""),10)</f>
        <v>10</v>
      </c>
      <c r="C1828" s="8" t="str">
        <f ca="1">IFERROR(__xludf.DUMMYFUNCTION("""COMPUTED_VALUE"""),"Male")</f>
        <v>Male</v>
      </c>
      <c r="D1828" s="8" t="str">
        <f ca="1">IFERROR(__xludf.DUMMYFUNCTION("""COMPUTED_VALUE"""),"Student")</f>
        <v>Student</v>
      </c>
      <c r="E1828" s="8" t="str">
        <f ca="1">IFERROR(__xludf.DUMMYFUNCTION("""COMPUTED_VALUE"""),"Apprehended/Killed by LE")</f>
        <v>Apprehended/Killed by LE</v>
      </c>
      <c r="F1828" s="8" t="str">
        <f ca="1">IFERROR(__xludf.DUMMYFUNCTION("""COMPUTED_VALUE"""),"No")</f>
        <v>No</v>
      </c>
      <c r="G1828" s="8" t="str">
        <f ca="1">IFERROR(__xludf.DUMMYFUNCTION("""COMPUTED_VALUE"""),"None")</f>
        <v>None</v>
      </c>
    </row>
    <row r="1829" spans="1:7" ht="12.75">
      <c r="A1829" s="8" t="str">
        <f ca="1">IFERROR(__xludf.DUMMYFUNCTION("""COMPUTED_VALUE"""),"19940408MDLAU")</f>
        <v>19940408MDLAU</v>
      </c>
      <c r="B1829" s="8">
        <f ca="1">IFERROR(__xludf.DUMMYFUNCTION("""COMPUTED_VALUE"""),17)</f>
        <v>17</v>
      </c>
      <c r="C1829" s="8" t="str">
        <f ca="1">IFERROR(__xludf.DUMMYFUNCTION("""COMPUTED_VALUE"""),"Male")</f>
        <v>Male</v>
      </c>
      <c r="D1829" s="8" t="str">
        <f ca="1">IFERROR(__xludf.DUMMYFUNCTION("""COMPUTED_VALUE"""),"Student")</f>
        <v>Student</v>
      </c>
      <c r="E1829" s="8" t="str">
        <f ca="1">IFERROR(__xludf.DUMMYFUNCTION("""COMPUTED_VALUE"""),"Fled/Apprehended")</f>
        <v>Fled/Apprehended</v>
      </c>
      <c r="F1829" s="8" t="str">
        <f ca="1">IFERROR(__xludf.DUMMYFUNCTION("""COMPUTED_VALUE"""),"No")</f>
        <v>No</v>
      </c>
      <c r="G1829" s="8" t="str">
        <f ca="1">IFERROR(__xludf.DUMMYFUNCTION("""COMPUTED_VALUE"""),"None")</f>
        <v>None</v>
      </c>
    </row>
    <row r="1830" spans="1:7" ht="12.75">
      <c r="A1830" s="8" t="str">
        <f ca="1">IFERROR(__xludf.DUMMYFUNCTION("""COMPUTED_VALUE"""),"19940405TXMCA")</f>
        <v>19940405TXMCA</v>
      </c>
      <c r="B1830" s="8">
        <f ca="1">IFERROR(__xludf.DUMMYFUNCTION("""COMPUTED_VALUE"""),16)</f>
        <v>16</v>
      </c>
      <c r="C1830" s="8" t="str">
        <f ca="1">IFERROR(__xludf.DUMMYFUNCTION("""COMPUTED_VALUE"""),"Male")</f>
        <v>Male</v>
      </c>
      <c r="D1830" s="8" t="str">
        <f ca="1">IFERROR(__xludf.DUMMYFUNCTION("""COMPUTED_VALUE"""),"Student")</f>
        <v>Student</v>
      </c>
      <c r="E1830" s="8" t="str">
        <f ca="1">IFERROR(__xludf.DUMMYFUNCTION("""COMPUTED_VALUE"""),"Surrendered")</f>
        <v>Surrendered</v>
      </c>
      <c r="F1830" s="8" t="str">
        <f ca="1">IFERROR(__xludf.DUMMYFUNCTION("""COMPUTED_VALUE"""),"No")</f>
        <v>No</v>
      </c>
      <c r="G1830" s="8" t="str">
        <f ca="1">IFERROR(__xludf.DUMMYFUNCTION("""COMPUTED_VALUE"""),"None")</f>
        <v>None</v>
      </c>
    </row>
    <row r="1831" spans="1:7" ht="12.75">
      <c r="A1831" s="8" t="str">
        <f ca="1">IFERROR(__xludf.DUMMYFUNCTION("""COMPUTED_VALUE"""),"19940325GAETC")</f>
        <v>19940325GAETC</v>
      </c>
      <c r="B1831" s="8">
        <f ca="1">IFERROR(__xludf.DUMMYFUNCTION("""COMPUTED_VALUE"""),15)</f>
        <v>15</v>
      </c>
      <c r="C1831" s="8" t="str">
        <f ca="1">IFERROR(__xludf.DUMMYFUNCTION("""COMPUTED_VALUE"""),"Male")</f>
        <v>Male</v>
      </c>
      <c r="D1831" s="8" t="str">
        <f ca="1">IFERROR(__xludf.DUMMYFUNCTION("""COMPUTED_VALUE"""),"Student")</f>
        <v>Student</v>
      </c>
      <c r="E1831" s="8" t="str">
        <f ca="1">IFERROR(__xludf.DUMMYFUNCTION("""COMPUTED_VALUE"""),"Suicide")</f>
        <v>Suicide</v>
      </c>
      <c r="F1831" s="8" t="str">
        <f ca="1">IFERROR(__xludf.DUMMYFUNCTION("""COMPUTED_VALUE"""),"Yes")</f>
        <v>Yes</v>
      </c>
      <c r="G1831" s="8" t="str">
        <f ca="1">IFERROR(__xludf.DUMMYFUNCTION("""COMPUTED_VALUE"""),"Suicide")</f>
        <v>Suicide</v>
      </c>
    </row>
    <row r="1832" spans="1:7" ht="12.75">
      <c r="A1832" s="8" t="str">
        <f ca="1">IFERROR(__xludf.DUMMYFUNCTION("""COMPUTED_VALUE"""),"19940323WABAS")</f>
        <v>19940323WABAS</v>
      </c>
      <c r="B1832" s="8">
        <f ca="1">IFERROR(__xludf.DUMMYFUNCTION("""COMPUTED_VALUE"""),16)</f>
        <v>16</v>
      </c>
      <c r="C1832" s="8" t="str">
        <f ca="1">IFERROR(__xludf.DUMMYFUNCTION("""COMPUTED_VALUE"""),"Male")</f>
        <v>Male</v>
      </c>
      <c r="D1832" s="8" t="str">
        <f ca="1">IFERROR(__xludf.DUMMYFUNCTION("""COMPUTED_VALUE"""),"Unknown")</f>
        <v>Unknown</v>
      </c>
      <c r="E1832" s="8" t="str">
        <f ca="1">IFERROR(__xludf.DUMMYFUNCTION("""COMPUTED_VALUE"""),"Fled/Apprehended")</f>
        <v>Fled/Apprehended</v>
      </c>
      <c r="F1832" s="8" t="str">
        <f ca="1">IFERROR(__xludf.DUMMYFUNCTION("""COMPUTED_VALUE"""),"No")</f>
        <v>No</v>
      </c>
      <c r="G1832" s="8" t="str">
        <f ca="1">IFERROR(__xludf.DUMMYFUNCTION("""COMPUTED_VALUE"""),"None")</f>
        <v>None</v>
      </c>
    </row>
    <row r="1833" spans="1:7" ht="12.75">
      <c r="A1833" s="8" t="str">
        <f ca="1">IFERROR(__xludf.DUMMYFUNCTION("""COMPUTED_VALUE"""),"19940315SCGOC")</f>
        <v>19940315SCGOC</v>
      </c>
      <c r="B1833" s="8" t="str">
        <f ca="1">IFERROR(__xludf.DUMMYFUNCTION("""COMPUTED_VALUE"""),"Teen")</f>
        <v>Teen</v>
      </c>
      <c r="C1833" s="8" t="str">
        <f ca="1">IFERROR(__xludf.DUMMYFUNCTION("""COMPUTED_VALUE"""),"Male")</f>
        <v>Male</v>
      </c>
      <c r="D1833" s="8" t="str">
        <f ca="1">IFERROR(__xludf.DUMMYFUNCTION("""COMPUTED_VALUE"""),"Student")</f>
        <v>Student</v>
      </c>
      <c r="E1833" s="8" t="str">
        <f ca="1">IFERROR(__xludf.DUMMYFUNCTION("""COMPUTED_VALUE"""),"Fled/Escaped")</f>
        <v>Fled/Escaped</v>
      </c>
      <c r="F1833" s="8" t="str">
        <f ca="1">IFERROR(__xludf.DUMMYFUNCTION("""COMPUTED_VALUE"""),"No")</f>
        <v>No</v>
      </c>
      <c r="G1833" s="8" t="str">
        <f ca="1">IFERROR(__xludf.DUMMYFUNCTION("""COMPUTED_VALUE"""),"None")</f>
        <v>None</v>
      </c>
    </row>
    <row r="1834" spans="1:7" ht="12.75">
      <c r="A1834" s="8" t="str">
        <f ca="1">IFERROR(__xludf.DUMMYFUNCTION("""COMPUTED_VALUE"""),"19940309DCEAW")</f>
        <v>19940309DCEAW</v>
      </c>
      <c r="B1834" s="8">
        <f ca="1">IFERROR(__xludf.DUMMYFUNCTION("""COMPUTED_VALUE"""),17)</f>
        <v>17</v>
      </c>
      <c r="C1834" s="8" t="str">
        <f ca="1">IFERROR(__xludf.DUMMYFUNCTION("""COMPUTED_VALUE"""),"Male")</f>
        <v>Male</v>
      </c>
      <c r="D1834" s="8" t="str">
        <f ca="1">IFERROR(__xludf.DUMMYFUNCTION("""COMPUTED_VALUE"""),"Student")</f>
        <v>Student</v>
      </c>
      <c r="E1834" s="8" t="str">
        <f ca="1">IFERROR(__xludf.DUMMYFUNCTION("""COMPUTED_VALUE"""),"Fled/Apprehended")</f>
        <v>Fled/Apprehended</v>
      </c>
      <c r="F1834" s="8" t="str">
        <f ca="1">IFERROR(__xludf.DUMMYFUNCTION("""COMPUTED_VALUE"""),"No")</f>
        <v>No</v>
      </c>
      <c r="G1834" s="8" t="str">
        <f ca="1">IFERROR(__xludf.DUMMYFUNCTION("""COMPUTED_VALUE"""),"None")</f>
        <v>None</v>
      </c>
    </row>
    <row r="1835" spans="1:7" ht="12.75">
      <c r="A1835" s="8" t="str">
        <f ca="1">IFERROR(__xludf.DUMMYFUNCTION("""COMPUTED_VALUE"""),"19940303ALENB")</f>
        <v>19940303ALENB</v>
      </c>
      <c r="B1835" s="8">
        <f ca="1">IFERROR(__xludf.DUMMYFUNCTION("""COMPUTED_VALUE"""),17)</f>
        <v>17</v>
      </c>
      <c r="C1835" s="8" t="str">
        <f ca="1">IFERROR(__xludf.DUMMYFUNCTION("""COMPUTED_VALUE"""),"Male")</f>
        <v>Male</v>
      </c>
      <c r="D1835" s="8" t="str">
        <f ca="1">IFERROR(__xludf.DUMMYFUNCTION("""COMPUTED_VALUE"""),"Student")</f>
        <v>Student</v>
      </c>
      <c r="E1835" s="8" t="str">
        <f ca="1">IFERROR(__xludf.DUMMYFUNCTION("""COMPUTED_VALUE"""),"Fled/Apprehended")</f>
        <v>Fled/Apprehended</v>
      </c>
      <c r="F1835" s="8" t="str">
        <f ca="1">IFERROR(__xludf.DUMMYFUNCTION("""COMPUTED_VALUE"""),"No")</f>
        <v>No</v>
      </c>
      <c r="G1835" s="8" t="str">
        <f ca="1">IFERROR(__xludf.DUMMYFUNCTION("""COMPUTED_VALUE"""),"None")</f>
        <v>None</v>
      </c>
    </row>
    <row r="1836" spans="1:7" ht="12.75">
      <c r="A1836" s="8" t="str">
        <f ca="1">IFERROR(__xludf.DUMMYFUNCTION("""COMPUTED_VALUE"""),"19940301MOKEB")</f>
        <v>19940301MOKEB</v>
      </c>
      <c r="B1836" s="8">
        <f ca="1">IFERROR(__xludf.DUMMYFUNCTION("""COMPUTED_VALUE"""),33)</f>
        <v>33</v>
      </c>
      <c r="C1836" s="8" t="str">
        <f ca="1">IFERROR(__xludf.DUMMYFUNCTION("""COMPUTED_VALUE"""),"Male")</f>
        <v>Male</v>
      </c>
      <c r="D1836" s="8" t="str">
        <f ca="1">IFERROR(__xludf.DUMMYFUNCTION("""COMPUTED_VALUE"""),"Intimate Relationship")</f>
        <v>Intimate Relationship</v>
      </c>
      <c r="E1836" s="8" t="str">
        <f ca="1">IFERROR(__xludf.DUMMYFUNCTION("""COMPUTED_VALUE"""),"Surrendered")</f>
        <v>Surrendered</v>
      </c>
      <c r="F1836" s="8" t="str">
        <f ca="1">IFERROR(__xludf.DUMMYFUNCTION("""COMPUTED_VALUE"""),"No")</f>
        <v>No</v>
      </c>
      <c r="G1836" s="8" t="str">
        <f ca="1">IFERROR(__xludf.DUMMYFUNCTION("""COMPUTED_VALUE"""),"None")</f>
        <v>None</v>
      </c>
    </row>
    <row r="1837" spans="1:7" ht="12.75">
      <c r="A1837" s="8" t="str">
        <f ca="1">IFERROR(__xludf.DUMMYFUNCTION("""COMPUTED_VALUE"""),"19940218SCSPS")</f>
        <v>19940218SCSPS</v>
      </c>
      <c r="B1837" s="8" t="str">
        <f ca="1">IFERROR(__xludf.DUMMYFUNCTION("""COMPUTED_VALUE"""),"Adult")</f>
        <v>Adult</v>
      </c>
      <c r="C1837" s="8" t="str">
        <f ca="1">IFERROR(__xludf.DUMMYFUNCTION("""COMPUTED_VALUE"""),"Male")</f>
        <v>Male</v>
      </c>
      <c r="D1837" s="8" t="str">
        <f ca="1">IFERROR(__xludf.DUMMYFUNCTION("""COMPUTED_VALUE"""),"Unknown")</f>
        <v>Unknown</v>
      </c>
      <c r="E1837" s="8" t="str">
        <f ca="1">IFERROR(__xludf.DUMMYFUNCTION("""COMPUTED_VALUE"""),"Fled/Apprehended")</f>
        <v>Fled/Apprehended</v>
      </c>
      <c r="F1837" s="8" t="str">
        <f ca="1">IFERROR(__xludf.DUMMYFUNCTION("""COMPUTED_VALUE"""),"No")</f>
        <v>No</v>
      </c>
      <c r="G1837" s="8" t="str">
        <f ca="1">IFERROR(__xludf.DUMMYFUNCTION("""COMPUTED_VALUE"""),"None")</f>
        <v>None</v>
      </c>
    </row>
    <row r="1838" spans="1:7" ht="12.75">
      <c r="A1838" s="8" t="str">
        <f ca="1">IFERROR(__xludf.DUMMYFUNCTION("""COMPUTED_VALUE"""),"19940208MIOSD")</f>
        <v>19940208MIOSD</v>
      </c>
      <c r="B1838" s="8"/>
      <c r="C1838" s="8"/>
      <c r="D1838" s="8" t="str">
        <f ca="1">IFERROR(__xludf.DUMMYFUNCTION("""COMPUTED_VALUE"""),"Unknown")</f>
        <v>Unknown</v>
      </c>
      <c r="E1838" s="8" t="str">
        <f ca="1">IFERROR(__xludf.DUMMYFUNCTION("""COMPUTED_VALUE"""),"Fled/Escaped")</f>
        <v>Fled/Escaped</v>
      </c>
      <c r="F1838" s="8" t="str">
        <f ca="1">IFERROR(__xludf.DUMMYFUNCTION("""COMPUTED_VALUE"""),"No")</f>
        <v>No</v>
      </c>
      <c r="G1838" s="8" t="str">
        <f ca="1">IFERROR(__xludf.DUMMYFUNCTION("""COMPUTED_VALUE"""),"None")</f>
        <v>None</v>
      </c>
    </row>
    <row r="1839" spans="1:7" ht="12.75">
      <c r="A1839" s="8" t="str">
        <f ca="1">IFERROR(__xludf.DUMMYFUNCTION("""COMPUTED_VALUE"""),"19940131WAWHS")</f>
        <v>19940131WAWHS</v>
      </c>
      <c r="B1839" s="8">
        <f ca="1">IFERROR(__xludf.DUMMYFUNCTION("""COMPUTED_VALUE"""),24)</f>
        <v>24</v>
      </c>
      <c r="C1839" s="8" t="str">
        <f ca="1">IFERROR(__xludf.DUMMYFUNCTION("""COMPUTED_VALUE"""),"Male")</f>
        <v>Male</v>
      </c>
      <c r="D1839" s="8" t="str">
        <f ca="1">IFERROR(__xludf.DUMMYFUNCTION("""COMPUTED_VALUE"""),"Former Student")</f>
        <v>Former Student</v>
      </c>
      <c r="E1839" s="8" t="str">
        <f ca="1">IFERROR(__xludf.DUMMYFUNCTION("""COMPUTED_VALUE"""),"Fled/Apprehended")</f>
        <v>Fled/Apprehended</v>
      </c>
      <c r="F1839" s="8" t="str">
        <f ca="1">IFERROR(__xludf.DUMMYFUNCTION("""COMPUTED_VALUE"""),"No")</f>
        <v>No</v>
      </c>
      <c r="G1839" s="8" t="str">
        <f ca="1">IFERROR(__xludf.DUMMYFUNCTION("""COMPUTED_VALUE"""),"None")</f>
        <v>None</v>
      </c>
    </row>
    <row r="1840" spans="1:7" ht="12.75">
      <c r="A1840" s="8" t="str">
        <f ca="1">IFERROR(__xludf.DUMMYFUNCTION("""COMPUTED_VALUE"""),"19940127CAWAS")</f>
        <v>19940127CAWAS</v>
      </c>
      <c r="B1840" s="8" t="str">
        <f ca="1">IFERROR(__xludf.DUMMYFUNCTION("""COMPUTED_VALUE"""),"Adult")</f>
        <v>Adult</v>
      </c>
      <c r="C1840" s="8" t="str">
        <f ca="1">IFERROR(__xludf.DUMMYFUNCTION("""COMPUTED_VALUE"""),"Male")</f>
        <v>Male</v>
      </c>
      <c r="D1840" s="8" t="str">
        <f ca="1">IFERROR(__xludf.DUMMYFUNCTION("""COMPUTED_VALUE"""),"No Relation")</f>
        <v>No Relation</v>
      </c>
      <c r="E1840" s="8" t="str">
        <f ca="1">IFERROR(__xludf.DUMMYFUNCTION("""COMPUTED_VALUE"""),"Fled/Apprehended")</f>
        <v>Fled/Apprehended</v>
      </c>
      <c r="F1840" s="8" t="str">
        <f ca="1">IFERROR(__xludf.DUMMYFUNCTION("""COMPUTED_VALUE"""),"No")</f>
        <v>No</v>
      </c>
      <c r="G1840" s="8" t="str">
        <f ca="1">IFERROR(__xludf.DUMMYFUNCTION("""COMPUTED_VALUE"""),"None")</f>
        <v>None</v>
      </c>
    </row>
    <row r="1841" spans="1:7" ht="12.75">
      <c r="A1841" s="8" t="str">
        <f ca="1">IFERROR(__xludf.DUMMYFUNCTION("""COMPUTED_VALUE"""),"19940126DCPAW")</f>
        <v>19940126DCPAW</v>
      </c>
      <c r="B1841" s="8" t="str">
        <f ca="1">IFERROR(__xludf.DUMMYFUNCTION("""COMPUTED_VALUE"""),"Teen")</f>
        <v>Teen</v>
      </c>
      <c r="C1841" s="8" t="str">
        <f ca="1">IFERROR(__xludf.DUMMYFUNCTION("""COMPUTED_VALUE"""),"Male")</f>
        <v>Male</v>
      </c>
      <c r="D1841" s="8" t="str">
        <f ca="1">IFERROR(__xludf.DUMMYFUNCTION("""COMPUTED_VALUE"""),"Unknown")</f>
        <v>Unknown</v>
      </c>
      <c r="E1841" s="8" t="str">
        <f ca="1">IFERROR(__xludf.DUMMYFUNCTION("""COMPUTED_VALUE"""),"Fled/Apprehended")</f>
        <v>Fled/Apprehended</v>
      </c>
      <c r="F1841" s="8" t="str">
        <f ca="1">IFERROR(__xludf.DUMMYFUNCTION("""COMPUTED_VALUE"""),"No")</f>
        <v>No</v>
      </c>
      <c r="G1841" s="8" t="str">
        <f ca="1">IFERROR(__xludf.DUMMYFUNCTION("""COMPUTED_VALUE"""),"None")</f>
        <v>None</v>
      </c>
    </row>
    <row r="1842" spans="1:7" ht="12.75">
      <c r="A1842" s="8" t="str">
        <f ca="1">IFERROR(__xludf.DUMMYFUNCTION("""COMPUTED_VALUE"""),"19940126DCELW")</f>
        <v>19940126DCELW</v>
      </c>
      <c r="B1842" s="8"/>
      <c r="C1842" s="8"/>
      <c r="D1842" s="8" t="str">
        <f ca="1">IFERROR(__xludf.DUMMYFUNCTION("""COMPUTED_VALUE"""),"Unknown")</f>
        <v>Unknown</v>
      </c>
      <c r="E1842" s="8" t="str">
        <f ca="1">IFERROR(__xludf.DUMMYFUNCTION("""COMPUTED_VALUE"""),"Fled/Escaped")</f>
        <v>Fled/Escaped</v>
      </c>
      <c r="F1842" s="8" t="str">
        <f ca="1">IFERROR(__xludf.DUMMYFUNCTION("""COMPUTED_VALUE"""),"No")</f>
        <v>No</v>
      </c>
      <c r="G1842" s="8" t="str">
        <f ca="1">IFERROR(__xludf.DUMMYFUNCTION("""COMPUTED_VALUE"""),"None")</f>
        <v>None</v>
      </c>
    </row>
    <row r="1843" spans="1:7" ht="12.75">
      <c r="A1843" s="8" t="str">
        <f ca="1">IFERROR(__xludf.DUMMYFUNCTION("""COMPUTED_VALUE"""),"19940124SCEAC")</f>
        <v>19940124SCEAC</v>
      </c>
      <c r="B1843" s="8">
        <f ca="1">IFERROR(__xludf.DUMMYFUNCTION("""COMPUTED_VALUE"""),18)</f>
        <v>18</v>
      </c>
      <c r="C1843" s="8" t="str">
        <f ca="1">IFERROR(__xludf.DUMMYFUNCTION("""COMPUTED_VALUE"""),"Male")</f>
        <v>Male</v>
      </c>
      <c r="D1843" s="8" t="str">
        <f ca="1">IFERROR(__xludf.DUMMYFUNCTION("""COMPUTED_VALUE"""),"Student")</f>
        <v>Student</v>
      </c>
      <c r="E1843" s="8" t="str">
        <f ca="1">IFERROR(__xludf.DUMMYFUNCTION("""COMPUTED_VALUE"""),"Fled/Apprehended")</f>
        <v>Fled/Apprehended</v>
      </c>
      <c r="F1843" s="8" t="str">
        <f ca="1">IFERROR(__xludf.DUMMYFUNCTION("""COMPUTED_VALUE"""),"No")</f>
        <v>No</v>
      </c>
      <c r="G1843" s="8" t="str">
        <f ca="1">IFERROR(__xludf.DUMMYFUNCTION("""COMPUTED_VALUE"""),"None")</f>
        <v>None</v>
      </c>
    </row>
    <row r="1844" spans="1:7" ht="12.75">
      <c r="A1844" s="8" t="str">
        <f ca="1">IFERROR(__xludf.DUMMYFUNCTION("""COMPUTED_VALUE"""),"19940121TXKEK")</f>
        <v>19940121TXKEK</v>
      </c>
      <c r="B1844" s="8">
        <f ca="1">IFERROR(__xludf.DUMMYFUNCTION("""COMPUTED_VALUE"""),17)</f>
        <v>17</v>
      </c>
      <c r="C1844" s="8" t="str">
        <f ca="1">IFERROR(__xludf.DUMMYFUNCTION("""COMPUTED_VALUE"""),"Male")</f>
        <v>Male</v>
      </c>
      <c r="D1844" s="8" t="str">
        <f ca="1">IFERROR(__xludf.DUMMYFUNCTION("""COMPUTED_VALUE"""),"Student")</f>
        <v>Student</v>
      </c>
      <c r="E1844" s="8" t="str">
        <f ca="1">IFERROR(__xludf.DUMMYFUNCTION("""COMPUTED_VALUE"""),"Suicide")</f>
        <v>Suicide</v>
      </c>
      <c r="F1844" s="8" t="str">
        <f ca="1">IFERROR(__xludf.DUMMYFUNCTION("""COMPUTED_VALUE"""),"Yes")</f>
        <v>Yes</v>
      </c>
      <c r="G1844" s="8" t="str">
        <f ca="1">IFERROR(__xludf.DUMMYFUNCTION("""COMPUTED_VALUE"""),"Suicide")</f>
        <v>Suicide</v>
      </c>
    </row>
    <row r="1845" spans="1:7" ht="12.75">
      <c r="A1845" s="8" t="str">
        <f ca="1">IFERROR(__xludf.DUMMYFUNCTION("""COMPUTED_VALUE"""),"19940120CALOH")</f>
        <v>19940120CALOH</v>
      </c>
      <c r="B1845" s="8" t="str">
        <f ca="1">IFERROR(__xludf.DUMMYFUNCTION("""COMPUTED_VALUE"""),"Teen")</f>
        <v>Teen</v>
      </c>
      <c r="C1845" s="8" t="str">
        <f ca="1">IFERROR(__xludf.DUMMYFUNCTION("""COMPUTED_VALUE"""),"Male")</f>
        <v>Male</v>
      </c>
      <c r="D1845" s="8" t="str">
        <f ca="1">IFERROR(__xludf.DUMMYFUNCTION("""COMPUTED_VALUE"""),"Student")</f>
        <v>Student</v>
      </c>
      <c r="E1845" s="8" t="str">
        <f ca="1">IFERROR(__xludf.DUMMYFUNCTION("""COMPUTED_VALUE"""),"Fled/Escaped")</f>
        <v>Fled/Escaped</v>
      </c>
      <c r="F1845" s="8" t="str">
        <f ca="1">IFERROR(__xludf.DUMMYFUNCTION("""COMPUTED_VALUE"""),"No")</f>
        <v>No</v>
      </c>
      <c r="G1845" s="8" t="str">
        <f ca="1">IFERROR(__xludf.DUMMYFUNCTION("""COMPUTED_VALUE"""),"None")</f>
        <v>None</v>
      </c>
    </row>
    <row r="1846" spans="1:7" ht="12.75">
      <c r="A1846" s="8" t="str">
        <f ca="1">IFERROR(__xludf.DUMMYFUNCTION("""COMPUTED_VALUE"""),"19931217MICHC")</f>
        <v>19931217MICHC</v>
      </c>
      <c r="B1846" s="8" t="str">
        <f ca="1">IFERROR(__xludf.DUMMYFUNCTION("""COMPUTED_VALUE"""),"Teen")</f>
        <v>Teen</v>
      </c>
      <c r="C1846" s="8" t="str">
        <f ca="1">IFERROR(__xludf.DUMMYFUNCTION("""COMPUTED_VALUE"""),"Male")</f>
        <v>Male</v>
      </c>
      <c r="D1846" s="8" t="str">
        <f ca="1">IFERROR(__xludf.DUMMYFUNCTION("""COMPUTED_VALUE"""),"Teacher")</f>
        <v>Teacher</v>
      </c>
      <c r="E1846" s="8" t="str">
        <f ca="1">IFERROR(__xludf.DUMMYFUNCTION("""COMPUTED_VALUE"""),"Surrendered")</f>
        <v>Surrendered</v>
      </c>
      <c r="F1846" s="8" t="str">
        <f ca="1">IFERROR(__xludf.DUMMYFUNCTION("""COMPUTED_VALUE"""),"No")</f>
        <v>No</v>
      </c>
      <c r="G1846" s="8" t="str">
        <f ca="1">IFERROR(__xludf.DUMMYFUNCTION("""COMPUTED_VALUE"""),"None")</f>
        <v>None</v>
      </c>
    </row>
    <row r="1847" spans="1:7" ht="12.75">
      <c r="A1847" s="8" t="str">
        <f ca="1">IFERROR(__xludf.DUMMYFUNCTION("""COMPUTED_VALUE"""),"19931215CACHS")</f>
        <v>19931215CACHS</v>
      </c>
      <c r="B1847" s="8">
        <f ca="1">IFERROR(__xludf.DUMMYFUNCTION("""COMPUTED_VALUE"""),14)</f>
        <v>14</v>
      </c>
      <c r="C1847" s="8" t="str">
        <f ca="1">IFERROR(__xludf.DUMMYFUNCTION("""COMPUTED_VALUE"""),"Male")</f>
        <v>Male</v>
      </c>
      <c r="D1847" s="8" t="str">
        <f ca="1">IFERROR(__xludf.DUMMYFUNCTION("""COMPUTED_VALUE"""),"Student")</f>
        <v>Student</v>
      </c>
      <c r="E1847" s="8" t="str">
        <f ca="1">IFERROR(__xludf.DUMMYFUNCTION("""COMPUTED_VALUE"""),"Fled/Apprehended")</f>
        <v>Fled/Apprehended</v>
      </c>
      <c r="F1847" s="8" t="str">
        <f ca="1">IFERROR(__xludf.DUMMYFUNCTION("""COMPUTED_VALUE"""),"No")</f>
        <v>No</v>
      </c>
      <c r="G1847" s="8" t="str">
        <f ca="1">IFERROR(__xludf.DUMMYFUNCTION("""COMPUTED_VALUE"""),"None")</f>
        <v>None</v>
      </c>
    </row>
    <row r="1848" spans="1:7" ht="12.75">
      <c r="A1848" s="8" t="str">
        <f ca="1">IFERROR(__xludf.DUMMYFUNCTION("""COMPUTED_VALUE"""),"19931208GABES")</f>
        <v>19931208GABES</v>
      </c>
      <c r="B1848" s="8">
        <f ca="1">IFERROR(__xludf.DUMMYFUNCTION("""COMPUTED_VALUE"""),16)</f>
        <v>16</v>
      </c>
      <c r="C1848" s="8" t="str">
        <f ca="1">IFERROR(__xludf.DUMMYFUNCTION("""COMPUTED_VALUE"""),"Male")</f>
        <v>Male</v>
      </c>
      <c r="D1848" s="8" t="str">
        <f ca="1">IFERROR(__xludf.DUMMYFUNCTION("""COMPUTED_VALUE"""),"Nonstudent")</f>
        <v>Nonstudent</v>
      </c>
      <c r="E1848" s="8" t="str">
        <f ca="1">IFERROR(__xludf.DUMMYFUNCTION("""COMPUTED_VALUE"""),"Fled/Apprehended")</f>
        <v>Fled/Apprehended</v>
      </c>
      <c r="F1848" s="8" t="str">
        <f ca="1">IFERROR(__xludf.DUMMYFUNCTION("""COMPUTED_VALUE"""),"No")</f>
        <v>No</v>
      </c>
      <c r="G1848" s="8" t="str">
        <f ca="1">IFERROR(__xludf.DUMMYFUNCTION("""COMPUTED_VALUE"""),"None")</f>
        <v>None</v>
      </c>
    </row>
    <row r="1849" spans="1:7" ht="12.75">
      <c r="A1849" s="8" t="str">
        <f ca="1">IFERROR(__xludf.DUMMYFUNCTION("""COMPUTED_VALUE"""),"19931202CTNEN")</f>
        <v>19931202CTNEN</v>
      </c>
      <c r="B1849" s="8"/>
      <c r="C1849" s="8" t="str">
        <f ca="1">IFERROR(__xludf.DUMMYFUNCTION("""COMPUTED_VALUE"""),"Male")</f>
        <v>Male</v>
      </c>
      <c r="D1849" s="8" t="str">
        <f ca="1">IFERROR(__xludf.DUMMYFUNCTION("""COMPUTED_VALUE"""),"Unknown")</f>
        <v>Unknown</v>
      </c>
      <c r="E1849" s="8" t="str">
        <f ca="1">IFERROR(__xludf.DUMMYFUNCTION("""COMPUTED_VALUE"""),"Fled/Escaped")</f>
        <v>Fled/Escaped</v>
      </c>
      <c r="F1849" s="8" t="str">
        <f ca="1">IFERROR(__xludf.DUMMYFUNCTION("""COMPUTED_VALUE"""),"No")</f>
        <v>No</v>
      </c>
      <c r="G1849" s="8" t="str">
        <f ca="1">IFERROR(__xludf.DUMMYFUNCTION("""COMPUTED_VALUE"""),"None")</f>
        <v>None</v>
      </c>
    </row>
    <row r="1850" spans="1:7" ht="12.75">
      <c r="A1850" s="8" t="str">
        <f ca="1">IFERROR(__xludf.DUMMYFUNCTION("""COMPUTED_VALUE"""),"19931201WIWAW")</f>
        <v>19931201WIWAW</v>
      </c>
      <c r="B1850" s="8">
        <f ca="1">IFERROR(__xludf.DUMMYFUNCTION("""COMPUTED_VALUE"""),21)</f>
        <v>21</v>
      </c>
      <c r="C1850" s="8" t="str">
        <f ca="1">IFERROR(__xludf.DUMMYFUNCTION("""COMPUTED_VALUE"""),"Male")</f>
        <v>Male</v>
      </c>
      <c r="D1850" s="8" t="str">
        <f ca="1">IFERROR(__xludf.DUMMYFUNCTION("""COMPUTED_VALUE"""),"Former Student")</f>
        <v>Former Student</v>
      </c>
      <c r="E1850" s="8" t="str">
        <f ca="1">IFERROR(__xludf.DUMMYFUNCTION("""COMPUTED_VALUE"""),"Fled/Apprehended")</f>
        <v>Fled/Apprehended</v>
      </c>
      <c r="F1850" s="8" t="str">
        <f ca="1">IFERROR(__xludf.DUMMYFUNCTION("""COMPUTED_VALUE"""),"No")</f>
        <v>No</v>
      </c>
      <c r="G1850" s="8" t="str">
        <f ca="1">IFERROR(__xludf.DUMMYFUNCTION("""COMPUTED_VALUE"""),"None")</f>
        <v>None</v>
      </c>
    </row>
    <row r="1851" spans="1:7" ht="12.75">
      <c r="A1851" s="8" t="str">
        <f ca="1">IFERROR(__xludf.DUMMYFUNCTION("""COMPUTED_VALUE"""),"19931111ILRIS")</f>
        <v>19931111ILRIS</v>
      </c>
      <c r="B1851" s="8"/>
      <c r="C1851" s="8"/>
      <c r="D1851" s="8" t="str">
        <f ca="1">IFERROR(__xludf.DUMMYFUNCTION("""COMPUTED_VALUE"""),"Unknown")</f>
        <v>Unknown</v>
      </c>
      <c r="E1851" s="8" t="str">
        <f ca="1">IFERROR(__xludf.DUMMYFUNCTION("""COMPUTED_VALUE"""),"Fled/Escaped")</f>
        <v>Fled/Escaped</v>
      </c>
      <c r="F1851" s="8" t="str">
        <f ca="1">IFERROR(__xludf.DUMMYFUNCTION("""COMPUTED_VALUE"""),"No")</f>
        <v>No</v>
      </c>
      <c r="G1851" s="8" t="str">
        <f ca="1">IFERROR(__xludf.DUMMYFUNCTION("""COMPUTED_VALUE"""),"None")</f>
        <v>None</v>
      </c>
    </row>
    <row r="1852" spans="1:7" ht="12.75">
      <c r="A1852" s="8" t="str">
        <f ca="1">IFERROR(__xludf.DUMMYFUNCTION("""COMPUTED_VALUE"""),"19931104MSBAB")</f>
        <v>19931104MSBAB</v>
      </c>
      <c r="B1852" s="8"/>
      <c r="C1852" s="8"/>
      <c r="D1852" s="8" t="str">
        <f ca="1">IFERROR(__xludf.DUMMYFUNCTION("""COMPUTED_VALUE"""),"Unknown")</f>
        <v>Unknown</v>
      </c>
      <c r="E1852" s="8" t="str">
        <f ca="1">IFERROR(__xludf.DUMMYFUNCTION("""COMPUTED_VALUE"""),"Fled/Escaped")</f>
        <v>Fled/Escaped</v>
      </c>
      <c r="F1852" s="8" t="str">
        <f ca="1">IFERROR(__xludf.DUMMYFUNCTION("""COMPUTED_VALUE"""),"No")</f>
        <v>No</v>
      </c>
      <c r="G1852" s="8" t="str">
        <f ca="1">IFERROR(__xludf.DUMMYFUNCTION("""COMPUTED_VALUE"""),"None")</f>
        <v>None</v>
      </c>
    </row>
    <row r="1853" spans="1:7" ht="12.75">
      <c r="A1853" s="8" t="str">
        <f ca="1">IFERROR(__xludf.DUMMYFUNCTION("""COMPUTED_VALUE"""),"19931104FLTEJ")</f>
        <v>19931104FLTEJ</v>
      </c>
      <c r="B1853" s="8">
        <f ca="1">IFERROR(__xludf.DUMMYFUNCTION("""COMPUTED_VALUE"""),19)</f>
        <v>19</v>
      </c>
      <c r="C1853" s="8" t="str">
        <f ca="1">IFERROR(__xludf.DUMMYFUNCTION("""COMPUTED_VALUE"""),"Male")</f>
        <v>Male</v>
      </c>
      <c r="D1853" s="8" t="str">
        <f ca="1">IFERROR(__xludf.DUMMYFUNCTION("""COMPUTED_VALUE"""),"Student")</f>
        <v>Student</v>
      </c>
      <c r="E1853" s="8" t="str">
        <f ca="1">IFERROR(__xludf.DUMMYFUNCTION("""COMPUTED_VALUE"""),"Fled/Apprehended")</f>
        <v>Fled/Apprehended</v>
      </c>
      <c r="F1853" s="8" t="str">
        <f ca="1">IFERROR(__xludf.DUMMYFUNCTION("""COMPUTED_VALUE"""),"No")</f>
        <v>No</v>
      </c>
      <c r="G1853" s="8" t="str">
        <f ca="1">IFERROR(__xludf.DUMMYFUNCTION("""COMPUTED_VALUE"""),"None")</f>
        <v>None</v>
      </c>
    </row>
    <row r="1854" spans="1:7" ht="12.75">
      <c r="A1854" s="8" t="str">
        <f ca="1">IFERROR(__xludf.DUMMYFUNCTION("""COMPUTED_VALUE"""),"19931104CTNEN")</f>
        <v>19931104CTNEN</v>
      </c>
      <c r="B1854" s="8">
        <f ca="1">IFERROR(__xludf.DUMMYFUNCTION("""COMPUTED_VALUE"""),20)</f>
        <v>20</v>
      </c>
      <c r="C1854" s="8" t="str">
        <f ca="1">IFERROR(__xludf.DUMMYFUNCTION("""COMPUTED_VALUE"""),"Male")</f>
        <v>Male</v>
      </c>
      <c r="D1854" s="8" t="str">
        <f ca="1">IFERROR(__xludf.DUMMYFUNCTION("""COMPUTED_VALUE"""),"Unknown")</f>
        <v>Unknown</v>
      </c>
      <c r="E1854" s="8" t="str">
        <f ca="1">IFERROR(__xludf.DUMMYFUNCTION("""COMPUTED_VALUE"""),"Fled/Apprehended")</f>
        <v>Fled/Apprehended</v>
      </c>
      <c r="F1854" s="8" t="str">
        <f ca="1">IFERROR(__xludf.DUMMYFUNCTION("""COMPUTED_VALUE"""),"No")</f>
        <v>No</v>
      </c>
      <c r="G1854" s="8" t="str">
        <f ca="1">IFERROR(__xludf.DUMMYFUNCTION("""COMPUTED_VALUE"""),"None")</f>
        <v>None</v>
      </c>
    </row>
    <row r="1855" spans="1:7" ht="12.75">
      <c r="A1855" s="8" t="str">
        <f ca="1">IFERROR(__xludf.DUMMYFUNCTION("""COMPUTED_VALUE"""),"19931101ILSUC")</f>
        <v>19931101ILSUC</v>
      </c>
      <c r="B1855" s="8">
        <f ca="1">IFERROR(__xludf.DUMMYFUNCTION("""COMPUTED_VALUE"""),16)</f>
        <v>16</v>
      </c>
      <c r="C1855" s="8" t="str">
        <f ca="1">IFERROR(__xludf.DUMMYFUNCTION("""COMPUTED_VALUE"""),"Male")</f>
        <v>Male</v>
      </c>
      <c r="D1855" s="8" t="str">
        <f ca="1">IFERROR(__xludf.DUMMYFUNCTION("""COMPUTED_VALUE"""),"Student")</f>
        <v>Student</v>
      </c>
      <c r="E1855" s="8" t="str">
        <f ca="1">IFERROR(__xludf.DUMMYFUNCTION("""COMPUTED_VALUE"""),"Fled/Apprehended")</f>
        <v>Fled/Apprehended</v>
      </c>
      <c r="F1855" s="8" t="str">
        <f ca="1">IFERROR(__xludf.DUMMYFUNCTION("""COMPUTED_VALUE"""),"No")</f>
        <v>No</v>
      </c>
      <c r="G1855" s="8" t="str">
        <f ca="1">IFERROR(__xludf.DUMMYFUNCTION("""COMPUTED_VALUE"""),"None")</f>
        <v>None</v>
      </c>
    </row>
    <row r="1856" spans="1:7" ht="12.75">
      <c r="A1856" s="8" t="str">
        <f ca="1">IFERROR(__xludf.DUMMYFUNCTION("""COMPUTED_VALUE"""),"19931018DCJHW")</f>
        <v>19931018DCJHW</v>
      </c>
      <c r="B1856" s="8">
        <f ca="1">IFERROR(__xludf.DUMMYFUNCTION("""COMPUTED_VALUE"""),15)</f>
        <v>15</v>
      </c>
      <c r="C1856" s="8" t="str">
        <f ca="1">IFERROR(__xludf.DUMMYFUNCTION("""COMPUTED_VALUE"""),"Male")</f>
        <v>Male</v>
      </c>
      <c r="D1856" s="8" t="str">
        <f ca="1">IFERROR(__xludf.DUMMYFUNCTION("""COMPUTED_VALUE"""),"Student")</f>
        <v>Student</v>
      </c>
      <c r="E1856" s="8" t="str">
        <f ca="1">IFERROR(__xludf.DUMMYFUNCTION("""COMPUTED_VALUE"""),"Fled/Apprehended")</f>
        <v>Fled/Apprehended</v>
      </c>
      <c r="F1856" s="8" t="str">
        <f ca="1">IFERROR(__xludf.DUMMYFUNCTION("""COMPUTED_VALUE"""),"No")</f>
        <v>No</v>
      </c>
      <c r="G1856" s="8" t="str">
        <f ca="1">IFERROR(__xludf.DUMMYFUNCTION("""COMPUTED_VALUE"""),"None")</f>
        <v>None</v>
      </c>
    </row>
    <row r="1857" spans="1:7" ht="12.75">
      <c r="A1857" s="8" t="str">
        <f ca="1">IFERROR(__xludf.DUMMYFUNCTION("""COMPUTED_VALUE"""),"19931012DEDON")</f>
        <v>19931012DEDON</v>
      </c>
      <c r="B1857" s="8">
        <f ca="1">IFERROR(__xludf.DUMMYFUNCTION("""COMPUTED_VALUE"""),16)</f>
        <v>16</v>
      </c>
      <c r="C1857" s="8" t="str">
        <f ca="1">IFERROR(__xludf.DUMMYFUNCTION("""COMPUTED_VALUE"""),"Female")</f>
        <v>Female</v>
      </c>
      <c r="D1857" s="8" t="str">
        <f ca="1">IFERROR(__xludf.DUMMYFUNCTION("""COMPUTED_VALUE"""),"Student")</f>
        <v>Student</v>
      </c>
      <c r="E1857" s="8" t="str">
        <f ca="1">IFERROR(__xludf.DUMMYFUNCTION("""COMPUTED_VALUE"""),"Suicide")</f>
        <v>Suicide</v>
      </c>
      <c r="F1857" s="8" t="str">
        <f ca="1">IFERROR(__xludf.DUMMYFUNCTION("""COMPUTED_VALUE"""),"Yes")</f>
        <v>Yes</v>
      </c>
      <c r="G1857" s="8" t="str">
        <f ca="1">IFERROR(__xludf.DUMMYFUNCTION("""COMPUTED_VALUE"""),"Suicide")</f>
        <v>Suicide</v>
      </c>
    </row>
    <row r="1858" spans="1:7" ht="12.75">
      <c r="A1858" s="8" t="str">
        <f ca="1">IFERROR(__xludf.DUMMYFUNCTION("""COMPUTED_VALUE"""),"19930928MSCOG")</f>
        <v>19930928MSCOG</v>
      </c>
      <c r="B1858" s="8">
        <f ca="1">IFERROR(__xludf.DUMMYFUNCTION("""COMPUTED_VALUE"""),16)</f>
        <v>16</v>
      </c>
      <c r="C1858" s="8" t="str">
        <f ca="1">IFERROR(__xludf.DUMMYFUNCTION("""COMPUTED_VALUE"""),"Male")</f>
        <v>Male</v>
      </c>
      <c r="D1858" s="8" t="str">
        <f ca="1">IFERROR(__xludf.DUMMYFUNCTION("""COMPUTED_VALUE"""),"Student")</f>
        <v>Student</v>
      </c>
      <c r="E1858" s="8" t="str">
        <f ca="1">IFERROR(__xludf.DUMMYFUNCTION("""COMPUTED_VALUE"""),"Fled/Apprehended")</f>
        <v>Fled/Apprehended</v>
      </c>
      <c r="F1858" s="8" t="str">
        <f ca="1">IFERROR(__xludf.DUMMYFUNCTION("""COMPUTED_VALUE"""),"No")</f>
        <v>No</v>
      </c>
      <c r="G1858" s="8" t="str">
        <f ca="1">IFERROR(__xludf.DUMMYFUNCTION("""COMPUTED_VALUE"""),"None")</f>
        <v>None</v>
      </c>
    </row>
    <row r="1859" spans="1:7" ht="12.75">
      <c r="A1859" s="8" t="str">
        <f ca="1">IFERROR(__xludf.DUMMYFUNCTION("""COMPUTED_VALUE"""),"19930925DCWEW")</f>
        <v>19930925DCWEW</v>
      </c>
      <c r="B1859" s="8">
        <f ca="1">IFERROR(__xludf.DUMMYFUNCTION("""COMPUTED_VALUE"""),23)</f>
        <v>23</v>
      </c>
      <c r="C1859" s="8" t="str">
        <f ca="1">IFERROR(__xludf.DUMMYFUNCTION("""COMPUTED_VALUE"""),"Male")</f>
        <v>Male</v>
      </c>
      <c r="D1859" s="8" t="str">
        <f ca="1">IFERROR(__xludf.DUMMYFUNCTION("""COMPUTED_VALUE"""),"Nonstudent Using Athletic Facilities/Attending Game")</f>
        <v>Nonstudent Using Athletic Facilities/Attending Game</v>
      </c>
      <c r="E1859" s="8" t="str">
        <f ca="1">IFERROR(__xludf.DUMMYFUNCTION("""COMPUTED_VALUE"""),"Fled/Apprehended")</f>
        <v>Fled/Apprehended</v>
      </c>
      <c r="F1859" s="8" t="str">
        <f ca="1">IFERROR(__xludf.DUMMYFUNCTION("""COMPUTED_VALUE"""),"No")</f>
        <v>No</v>
      </c>
      <c r="G1859" s="8" t="str">
        <f ca="1">IFERROR(__xludf.DUMMYFUNCTION("""COMPUTED_VALUE"""),"None")</f>
        <v>None</v>
      </c>
    </row>
    <row r="1860" spans="1:7" ht="12.75">
      <c r="A1860" s="8" t="str">
        <f ca="1">IFERROR(__xludf.DUMMYFUNCTION("""COMPUTED_VALUE"""),"19930925DCWEW")</f>
        <v>19930925DCWEW</v>
      </c>
      <c r="B1860" s="8">
        <f ca="1">IFERROR(__xludf.DUMMYFUNCTION("""COMPUTED_VALUE"""),15)</f>
        <v>15</v>
      </c>
      <c r="C1860" s="8" t="str">
        <f ca="1">IFERROR(__xludf.DUMMYFUNCTION("""COMPUTED_VALUE"""),"Male")</f>
        <v>Male</v>
      </c>
      <c r="D1860" s="8" t="str">
        <f ca="1">IFERROR(__xludf.DUMMYFUNCTION("""COMPUTED_VALUE"""),"Nonstudent Using Athletic Facilities/Attending Game")</f>
        <v>Nonstudent Using Athletic Facilities/Attending Game</v>
      </c>
      <c r="E1860" s="8" t="str">
        <f ca="1">IFERROR(__xludf.DUMMYFUNCTION("""COMPUTED_VALUE"""),"Fled/Apprehended")</f>
        <v>Fled/Apprehended</v>
      </c>
      <c r="F1860" s="8" t="str">
        <f ca="1">IFERROR(__xludf.DUMMYFUNCTION("""COMPUTED_VALUE"""),"No")</f>
        <v>No</v>
      </c>
      <c r="G1860" s="8" t="str">
        <f ca="1">IFERROR(__xludf.DUMMYFUNCTION("""COMPUTED_VALUE"""),"None")</f>
        <v>None</v>
      </c>
    </row>
    <row r="1861" spans="1:7" ht="12.75">
      <c r="A1861" s="8" t="str">
        <f ca="1">IFERROR(__xludf.DUMMYFUNCTION("""COMPUTED_VALUE"""),"19930917WYCES")</f>
        <v>19930917WYCES</v>
      </c>
      <c r="B1861" s="8">
        <f ca="1">IFERROR(__xludf.DUMMYFUNCTION("""COMPUTED_VALUE"""),29)</f>
        <v>29</v>
      </c>
      <c r="C1861" s="8" t="str">
        <f ca="1">IFERROR(__xludf.DUMMYFUNCTION("""COMPUTED_VALUE"""),"Male")</f>
        <v>Male</v>
      </c>
      <c r="D1861" s="8" t="str">
        <f ca="1">IFERROR(__xludf.DUMMYFUNCTION("""COMPUTED_VALUE"""),"No Relation")</f>
        <v>No Relation</v>
      </c>
      <c r="E1861" s="8" t="str">
        <f ca="1">IFERROR(__xludf.DUMMYFUNCTION("""COMPUTED_VALUE"""),"Suicide")</f>
        <v>Suicide</v>
      </c>
      <c r="F1861" s="8" t="str">
        <f ca="1">IFERROR(__xludf.DUMMYFUNCTION("""COMPUTED_VALUE"""),"Yes")</f>
        <v>Yes</v>
      </c>
      <c r="G1861" s="8" t="str">
        <f ca="1">IFERROR(__xludf.DUMMYFUNCTION("""COMPUTED_VALUE"""),"Suicide")</f>
        <v>Suicide</v>
      </c>
    </row>
    <row r="1862" spans="1:7" ht="12.75">
      <c r="A1862" s="8" t="str">
        <f ca="1">IFERROR(__xludf.DUMMYFUNCTION("""COMPUTED_VALUE"""),"19930917ILDOD")</f>
        <v>19930917ILDOD</v>
      </c>
      <c r="B1862" s="8">
        <f ca="1">IFERROR(__xludf.DUMMYFUNCTION("""COMPUTED_VALUE"""),16)</f>
        <v>16</v>
      </c>
      <c r="C1862" s="8" t="str">
        <f ca="1">IFERROR(__xludf.DUMMYFUNCTION("""COMPUTED_VALUE"""),"Male")</f>
        <v>Male</v>
      </c>
      <c r="D1862" s="8" t="str">
        <f ca="1">IFERROR(__xludf.DUMMYFUNCTION("""COMPUTED_VALUE"""),"Other Student")</f>
        <v>Other Student</v>
      </c>
      <c r="E1862" s="8" t="str">
        <f ca="1">IFERROR(__xludf.DUMMYFUNCTION("""COMPUTED_VALUE"""),"Fled/Apprehended")</f>
        <v>Fled/Apprehended</v>
      </c>
      <c r="F1862" s="8" t="str">
        <f ca="1">IFERROR(__xludf.DUMMYFUNCTION("""COMPUTED_VALUE"""),"No")</f>
        <v>No</v>
      </c>
      <c r="G1862" s="8" t="str">
        <f ca="1">IFERROR(__xludf.DUMMYFUNCTION("""COMPUTED_VALUE"""),"None")</f>
        <v>None</v>
      </c>
    </row>
    <row r="1863" spans="1:7" ht="12.75">
      <c r="A1863" s="8" t="str">
        <f ca="1">IFERROR(__xludf.DUMMYFUNCTION("""COMPUTED_VALUE"""),"19930916ILROC")</f>
        <v>19930916ILROC</v>
      </c>
      <c r="B1863" s="8"/>
      <c r="C1863" s="8" t="str">
        <f ca="1">IFERROR(__xludf.DUMMYFUNCTION("""COMPUTED_VALUE"""),"Male")</f>
        <v>Male</v>
      </c>
      <c r="D1863" s="8" t="str">
        <f ca="1">IFERROR(__xludf.DUMMYFUNCTION("""COMPUTED_VALUE"""),"Unknown")</f>
        <v>Unknown</v>
      </c>
      <c r="E1863" s="8" t="str">
        <f ca="1">IFERROR(__xludf.DUMMYFUNCTION("""COMPUTED_VALUE"""),"Fled/Escaped")</f>
        <v>Fled/Escaped</v>
      </c>
      <c r="F1863" s="8" t="str">
        <f ca="1">IFERROR(__xludf.DUMMYFUNCTION("""COMPUTED_VALUE"""),"No")</f>
        <v>No</v>
      </c>
      <c r="G1863" s="8" t="str">
        <f ca="1">IFERROR(__xludf.DUMMYFUNCTION("""COMPUTED_VALUE"""),"None")</f>
        <v>None</v>
      </c>
    </row>
    <row r="1864" spans="1:7" ht="12.75">
      <c r="A1864" s="8" t="str">
        <f ca="1">IFERROR(__xludf.DUMMYFUNCTION("""COMPUTED_VALUE"""),"19930912ALFAF")</f>
        <v>19930912ALFAF</v>
      </c>
      <c r="B1864" s="8"/>
      <c r="C1864" s="8"/>
      <c r="D1864" s="8" t="str">
        <f ca="1">IFERROR(__xludf.DUMMYFUNCTION("""COMPUTED_VALUE"""),"Nonstudent Using Athletic Facilities/Attending Game")</f>
        <v>Nonstudent Using Athletic Facilities/Attending Game</v>
      </c>
      <c r="E1864" s="8" t="str">
        <f ca="1">IFERROR(__xludf.DUMMYFUNCTION("""COMPUTED_VALUE"""),"Fled/Escaped")</f>
        <v>Fled/Escaped</v>
      </c>
      <c r="F1864" s="8" t="str">
        <f ca="1">IFERROR(__xludf.DUMMYFUNCTION("""COMPUTED_VALUE"""),"No")</f>
        <v>No</v>
      </c>
      <c r="G1864" s="8" t="str">
        <f ca="1">IFERROR(__xludf.DUMMYFUNCTION("""COMPUTED_VALUE"""),"None")</f>
        <v>None</v>
      </c>
    </row>
    <row r="1865" spans="1:7" ht="12.75">
      <c r="A1865" s="8" t="str">
        <f ca="1">IFERROR(__xludf.DUMMYFUNCTION("""COMPUTED_VALUE"""),"19930902TXROD")</f>
        <v>19930902TXROD</v>
      </c>
      <c r="B1865" s="8">
        <f ca="1">IFERROR(__xludf.DUMMYFUNCTION("""COMPUTED_VALUE"""),16)</f>
        <v>16</v>
      </c>
      <c r="C1865" s="8" t="str">
        <f ca="1">IFERROR(__xludf.DUMMYFUNCTION("""COMPUTED_VALUE"""),"Male")</f>
        <v>Male</v>
      </c>
      <c r="D1865" s="8" t="str">
        <f ca="1">IFERROR(__xludf.DUMMYFUNCTION("""COMPUTED_VALUE"""),"Student")</f>
        <v>Student</v>
      </c>
      <c r="E1865" s="8" t="str">
        <f ca="1">IFERROR(__xludf.DUMMYFUNCTION("""COMPUTED_VALUE"""),"Fled/Apprehended")</f>
        <v>Fled/Apprehended</v>
      </c>
      <c r="F1865" s="8" t="str">
        <f ca="1">IFERROR(__xludf.DUMMYFUNCTION("""COMPUTED_VALUE"""),"No")</f>
        <v>No</v>
      </c>
      <c r="G1865" s="8" t="str">
        <f ca="1">IFERROR(__xludf.DUMMYFUNCTION("""COMPUTED_VALUE"""),"None")</f>
        <v>None</v>
      </c>
    </row>
    <row r="1866" spans="1:7" ht="12.75">
      <c r="A1866" s="8" t="str">
        <f ca="1">IFERROR(__xludf.DUMMYFUNCTION("""COMPUTED_VALUE"""),"19930901KSJUJ")</f>
        <v>19930901KSJUJ</v>
      </c>
      <c r="B1866" s="8">
        <f ca="1">IFERROR(__xludf.DUMMYFUNCTION("""COMPUTED_VALUE"""),15)</f>
        <v>15</v>
      </c>
      <c r="C1866" s="8" t="str">
        <f ca="1">IFERROR(__xludf.DUMMYFUNCTION("""COMPUTED_VALUE"""),"Male")</f>
        <v>Male</v>
      </c>
      <c r="D1866" s="8" t="str">
        <f ca="1">IFERROR(__xludf.DUMMYFUNCTION("""COMPUTED_VALUE"""),"Student")</f>
        <v>Student</v>
      </c>
      <c r="E1866" s="8" t="str">
        <f ca="1">IFERROR(__xludf.DUMMYFUNCTION("""COMPUTED_VALUE"""),"Fled/Apprehended")</f>
        <v>Fled/Apprehended</v>
      </c>
      <c r="F1866" s="8" t="str">
        <f ca="1">IFERROR(__xludf.DUMMYFUNCTION("""COMPUTED_VALUE"""),"No")</f>
        <v>No</v>
      </c>
      <c r="G1866" s="8" t="str">
        <f ca="1">IFERROR(__xludf.DUMMYFUNCTION("""COMPUTED_VALUE"""),"None")</f>
        <v>None</v>
      </c>
    </row>
    <row r="1867" spans="1:7" ht="12.75">
      <c r="A1867" s="8" t="str">
        <f ca="1">IFERROR(__xludf.DUMMYFUNCTION("""COMPUTED_VALUE"""),"19930831GAHAA")</f>
        <v>19930831GAHAA</v>
      </c>
      <c r="B1867" s="8">
        <f ca="1">IFERROR(__xludf.DUMMYFUNCTION("""COMPUTED_VALUE"""),15)</f>
        <v>15</v>
      </c>
      <c r="C1867" s="8" t="str">
        <f ca="1">IFERROR(__xludf.DUMMYFUNCTION("""COMPUTED_VALUE"""),"Male")</f>
        <v>Male</v>
      </c>
      <c r="D1867" s="8" t="str">
        <f ca="1">IFERROR(__xludf.DUMMYFUNCTION("""COMPUTED_VALUE"""),"Student")</f>
        <v>Student</v>
      </c>
      <c r="E1867" s="8" t="str">
        <f ca="1">IFERROR(__xludf.DUMMYFUNCTION("""COMPUTED_VALUE"""),"Unknown")</f>
        <v>Unknown</v>
      </c>
      <c r="F1867" s="8" t="str">
        <f ca="1">IFERROR(__xludf.DUMMYFUNCTION("""COMPUTED_VALUE"""),"No")</f>
        <v>No</v>
      </c>
      <c r="G1867" s="8" t="str">
        <f ca="1">IFERROR(__xludf.DUMMYFUNCTION("""COMPUTED_VALUE"""),"None")</f>
        <v>None</v>
      </c>
    </row>
    <row r="1868" spans="1:7" ht="12.75">
      <c r="A1868" s="8" t="str">
        <f ca="1">IFERROR(__xludf.DUMMYFUNCTION("""COMPUTED_VALUE"""),"19930803NYTHN")</f>
        <v>19930803NYTHN</v>
      </c>
      <c r="B1868" s="8"/>
      <c r="C1868" s="8" t="str">
        <f ca="1">IFERROR(__xludf.DUMMYFUNCTION("""COMPUTED_VALUE"""),"Male")</f>
        <v>Male</v>
      </c>
      <c r="D1868" s="8" t="str">
        <f ca="1">IFERROR(__xludf.DUMMYFUNCTION("""COMPUTED_VALUE"""),"Unknown")</f>
        <v>Unknown</v>
      </c>
      <c r="E1868" s="8" t="str">
        <f ca="1">IFERROR(__xludf.DUMMYFUNCTION("""COMPUTED_VALUE"""),"Fled/Escaped")</f>
        <v>Fled/Escaped</v>
      </c>
      <c r="F1868" s="8" t="str">
        <f ca="1">IFERROR(__xludf.DUMMYFUNCTION("""COMPUTED_VALUE"""),"No")</f>
        <v>No</v>
      </c>
      <c r="G1868" s="8" t="str">
        <f ca="1">IFERROR(__xludf.DUMMYFUNCTION("""COMPUTED_VALUE"""),"None")</f>
        <v>None</v>
      </c>
    </row>
    <row r="1869" spans="1:7" ht="12.75">
      <c r="A1869" s="8" t="str">
        <f ca="1">IFERROR(__xludf.DUMMYFUNCTION("""COMPUTED_VALUE"""),"19930707CADOL")</f>
        <v>19930707CADOL</v>
      </c>
      <c r="B1869" s="8" t="str">
        <f ca="1">IFERROR(__xludf.DUMMYFUNCTION("""COMPUTED_VALUE"""),"Teen")</f>
        <v>Teen</v>
      </c>
      <c r="C1869" s="8" t="str">
        <f ca="1">IFERROR(__xludf.DUMMYFUNCTION("""COMPUTED_VALUE"""),"Male")</f>
        <v>Male</v>
      </c>
      <c r="D1869" s="8" t="str">
        <f ca="1">IFERROR(__xludf.DUMMYFUNCTION("""COMPUTED_VALUE"""),"Student")</f>
        <v>Student</v>
      </c>
      <c r="E1869" s="8" t="str">
        <f ca="1">IFERROR(__xludf.DUMMYFUNCTION("""COMPUTED_VALUE"""),"Fled/Escaped")</f>
        <v>Fled/Escaped</v>
      </c>
      <c r="F1869" s="8" t="str">
        <f ca="1">IFERROR(__xludf.DUMMYFUNCTION("""COMPUTED_VALUE"""),"No")</f>
        <v>No</v>
      </c>
      <c r="G1869" s="8" t="str">
        <f ca="1">IFERROR(__xludf.DUMMYFUNCTION("""COMPUTED_VALUE"""),"None")</f>
        <v>None</v>
      </c>
    </row>
    <row r="1870" spans="1:7" ht="12.75">
      <c r="A1870" s="8" t="str">
        <f ca="1">IFERROR(__xludf.DUMMYFUNCTION("""COMPUTED_VALUE"""),"19930527LAFRN")</f>
        <v>19930527LAFRN</v>
      </c>
      <c r="B1870" s="8">
        <f ca="1">IFERROR(__xludf.DUMMYFUNCTION("""COMPUTED_VALUE"""),17)</f>
        <v>17</v>
      </c>
      <c r="C1870" s="8" t="str">
        <f ca="1">IFERROR(__xludf.DUMMYFUNCTION("""COMPUTED_VALUE"""),"Male")</f>
        <v>Male</v>
      </c>
      <c r="D1870" s="8" t="str">
        <f ca="1">IFERROR(__xludf.DUMMYFUNCTION("""COMPUTED_VALUE"""),"Student")</f>
        <v>Student</v>
      </c>
      <c r="E1870" s="8" t="str">
        <f ca="1">IFERROR(__xludf.DUMMYFUNCTION("""COMPUTED_VALUE"""),"Fled/Apprehended")</f>
        <v>Fled/Apprehended</v>
      </c>
      <c r="F1870" s="8" t="str">
        <f ca="1">IFERROR(__xludf.DUMMYFUNCTION("""COMPUTED_VALUE"""),"No")</f>
        <v>No</v>
      </c>
      <c r="G1870" s="8" t="str">
        <f ca="1">IFERROR(__xludf.DUMMYFUNCTION("""COMPUTED_VALUE"""),"None")</f>
        <v>None</v>
      </c>
    </row>
    <row r="1871" spans="1:7" ht="12.75">
      <c r="A1871" s="8" t="str">
        <f ca="1">IFERROR(__xludf.DUMMYFUNCTION("""COMPUTED_VALUE"""),"19930524PAUPP")</f>
        <v>19930524PAUPP</v>
      </c>
      <c r="B1871" s="8">
        <f ca="1">IFERROR(__xludf.DUMMYFUNCTION("""COMPUTED_VALUE"""),15)</f>
        <v>15</v>
      </c>
      <c r="C1871" s="8" t="str">
        <f ca="1">IFERROR(__xludf.DUMMYFUNCTION("""COMPUTED_VALUE"""),"Male")</f>
        <v>Male</v>
      </c>
      <c r="D1871" s="8" t="str">
        <f ca="1">IFERROR(__xludf.DUMMYFUNCTION("""COMPUTED_VALUE"""),"Student")</f>
        <v>Student</v>
      </c>
      <c r="E1871" s="8" t="str">
        <f ca="1">IFERROR(__xludf.DUMMYFUNCTION("""COMPUTED_VALUE"""),"Surrendered")</f>
        <v>Surrendered</v>
      </c>
      <c r="F1871" s="8" t="str">
        <f ca="1">IFERROR(__xludf.DUMMYFUNCTION("""COMPUTED_VALUE"""),"No")</f>
        <v>No</v>
      </c>
      <c r="G1871" s="8" t="str">
        <f ca="1">IFERROR(__xludf.DUMMYFUNCTION("""COMPUTED_VALUE"""),"None")</f>
        <v>None</v>
      </c>
    </row>
    <row r="1872" spans="1:7" ht="12.75">
      <c r="A1872" s="8" t="str">
        <f ca="1">IFERROR(__xludf.DUMMYFUNCTION("""COMPUTED_VALUE"""),"19930514TXNII")</f>
        <v>19930514TXNII</v>
      </c>
      <c r="B1872" s="8">
        <f ca="1">IFERROR(__xludf.DUMMYFUNCTION("""COMPUTED_VALUE"""),17)</f>
        <v>17</v>
      </c>
      <c r="C1872" s="8" t="str">
        <f ca="1">IFERROR(__xludf.DUMMYFUNCTION("""COMPUTED_VALUE"""),"Male")</f>
        <v>Male</v>
      </c>
      <c r="D1872" s="8" t="str">
        <f ca="1">IFERROR(__xludf.DUMMYFUNCTION("""COMPUTED_VALUE"""),"Student")</f>
        <v>Student</v>
      </c>
      <c r="E1872" s="8" t="str">
        <f ca="1">IFERROR(__xludf.DUMMYFUNCTION("""COMPUTED_VALUE"""),"Fled/Apprehended")</f>
        <v>Fled/Apprehended</v>
      </c>
      <c r="F1872" s="8" t="str">
        <f ca="1">IFERROR(__xludf.DUMMYFUNCTION("""COMPUTED_VALUE"""),"No")</f>
        <v>No</v>
      </c>
      <c r="G1872" s="8" t="str">
        <f ca="1">IFERROR(__xludf.DUMMYFUNCTION("""COMPUTED_VALUE"""),"None")</f>
        <v>None</v>
      </c>
    </row>
    <row r="1873" spans="1:7" ht="12.75">
      <c r="A1873" s="8" t="str">
        <f ca="1">IFERROR(__xludf.DUMMYFUNCTION("""COMPUTED_VALUE"""),"19930416WAMOT")</f>
        <v>19930416WAMOT</v>
      </c>
      <c r="B1873" s="8">
        <f ca="1">IFERROR(__xludf.DUMMYFUNCTION("""COMPUTED_VALUE"""),33)</f>
        <v>33</v>
      </c>
      <c r="C1873" s="8" t="str">
        <f ca="1">IFERROR(__xludf.DUMMYFUNCTION("""COMPUTED_VALUE"""),"Female")</f>
        <v>Female</v>
      </c>
      <c r="D1873" s="8" t="str">
        <f ca="1">IFERROR(__xludf.DUMMYFUNCTION("""COMPUTED_VALUE"""),"No Relation")</f>
        <v>No Relation</v>
      </c>
      <c r="E1873" s="8" t="str">
        <f ca="1">IFERROR(__xludf.DUMMYFUNCTION("""COMPUTED_VALUE"""),"Suicide")</f>
        <v>Suicide</v>
      </c>
      <c r="F1873" s="8" t="str">
        <f ca="1">IFERROR(__xludf.DUMMYFUNCTION("""COMPUTED_VALUE"""),"Yes")</f>
        <v>Yes</v>
      </c>
      <c r="G1873" s="8" t="str">
        <f ca="1">IFERROR(__xludf.DUMMYFUNCTION("""COMPUTED_VALUE"""),"Suicide")</f>
        <v>Suicide</v>
      </c>
    </row>
    <row r="1874" spans="1:7" ht="12.75">
      <c r="A1874" s="8" t="str">
        <f ca="1">IFERROR(__xludf.DUMMYFUNCTION("""COMPUTED_VALUE"""),"19930416CAGRS")</f>
        <v>19930416CAGRS</v>
      </c>
      <c r="B1874" s="8"/>
      <c r="C1874" s="8"/>
      <c r="D1874" s="8" t="str">
        <f ca="1">IFERROR(__xludf.DUMMYFUNCTION("""COMPUTED_VALUE"""),"Unknown")</f>
        <v>Unknown</v>
      </c>
      <c r="E1874" s="8" t="str">
        <f ca="1">IFERROR(__xludf.DUMMYFUNCTION("""COMPUTED_VALUE"""),"Fled/Escaped")</f>
        <v>Fled/Escaped</v>
      </c>
      <c r="F1874" s="8" t="str">
        <f ca="1">IFERROR(__xludf.DUMMYFUNCTION("""COMPUTED_VALUE"""),"No")</f>
        <v>No</v>
      </c>
      <c r="G1874" s="8" t="str">
        <f ca="1">IFERROR(__xludf.DUMMYFUNCTION("""COMPUTED_VALUE"""),"None")</f>
        <v>None</v>
      </c>
    </row>
    <row r="1875" spans="1:7" ht="12.75">
      <c r="A1875" s="8" t="str">
        <f ca="1">IFERROR(__xludf.DUMMYFUNCTION("""COMPUTED_VALUE"""),"19930415MAFOA")</f>
        <v>19930415MAFOA</v>
      </c>
      <c r="B1875" s="8">
        <f ca="1">IFERROR(__xludf.DUMMYFUNCTION("""COMPUTED_VALUE"""),42)</f>
        <v>42</v>
      </c>
      <c r="C1875" s="8" t="str">
        <f ca="1">IFERROR(__xludf.DUMMYFUNCTION("""COMPUTED_VALUE"""),"Male")</f>
        <v>Male</v>
      </c>
      <c r="D1875" s="8" t="str">
        <f ca="1">IFERROR(__xludf.DUMMYFUNCTION("""COMPUTED_VALUE"""),"No Relation")</f>
        <v>No Relation</v>
      </c>
      <c r="E1875" s="8" t="str">
        <f ca="1">IFERROR(__xludf.DUMMYFUNCTION("""COMPUTED_VALUE"""),"Subdued by Students/Staff/Other")</f>
        <v>Subdued by Students/Staff/Other</v>
      </c>
      <c r="F1875" s="8" t="str">
        <f ca="1">IFERROR(__xludf.DUMMYFUNCTION("""COMPUTED_VALUE"""),"No")</f>
        <v>No</v>
      </c>
      <c r="G1875" s="8" t="str">
        <f ca="1">IFERROR(__xludf.DUMMYFUNCTION("""COMPUTED_VALUE"""),"None")</f>
        <v>None</v>
      </c>
    </row>
    <row r="1876" spans="1:7" ht="12.75">
      <c r="A1876" s="8" t="str">
        <f ca="1">IFERROR(__xludf.DUMMYFUNCTION("""COMPUTED_VALUE"""),"19930403CAGRS")</f>
        <v>19930403CAGRS</v>
      </c>
      <c r="B1876" s="8"/>
      <c r="C1876" s="8" t="str">
        <f ca="1">IFERROR(__xludf.DUMMYFUNCTION("""COMPUTED_VALUE"""),"Male")</f>
        <v>Male</v>
      </c>
      <c r="D1876" s="8" t="str">
        <f ca="1">IFERROR(__xludf.DUMMYFUNCTION("""COMPUTED_VALUE"""),"Unknown")</f>
        <v>Unknown</v>
      </c>
      <c r="E1876" s="8" t="str">
        <f ca="1">IFERROR(__xludf.DUMMYFUNCTION("""COMPUTED_VALUE"""),"Fled/Escaped")</f>
        <v>Fled/Escaped</v>
      </c>
      <c r="F1876" s="8" t="str">
        <f ca="1">IFERROR(__xludf.DUMMYFUNCTION("""COMPUTED_VALUE"""),"No")</f>
        <v>No</v>
      </c>
      <c r="G1876" s="8" t="str">
        <f ca="1">IFERROR(__xludf.DUMMYFUNCTION("""COMPUTED_VALUE"""),"None")</f>
        <v>None</v>
      </c>
    </row>
    <row r="1877" spans="1:7" ht="12.75">
      <c r="A1877" s="8" t="str">
        <f ca="1">IFERROR(__xludf.DUMMYFUNCTION("""COMPUTED_VALUE"""),"19930325MOSUS")</f>
        <v>19930325MOSUS</v>
      </c>
      <c r="B1877" s="8">
        <f ca="1">IFERROR(__xludf.DUMMYFUNCTION("""COMPUTED_VALUE"""),17)</f>
        <v>17</v>
      </c>
      <c r="C1877" s="8" t="str">
        <f ca="1">IFERROR(__xludf.DUMMYFUNCTION("""COMPUTED_VALUE"""),"Female")</f>
        <v>Female</v>
      </c>
      <c r="D1877" s="8" t="str">
        <f ca="1">IFERROR(__xludf.DUMMYFUNCTION("""COMPUTED_VALUE"""),"Student")</f>
        <v>Student</v>
      </c>
      <c r="E1877" s="8" t="str">
        <f ca="1">IFERROR(__xludf.DUMMYFUNCTION("""COMPUTED_VALUE"""),"Unknown")</f>
        <v>Unknown</v>
      </c>
      <c r="F1877" s="8" t="str">
        <f ca="1">IFERROR(__xludf.DUMMYFUNCTION("""COMPUTED_VALUE"""),"No")</f>
        <v>No</v>
      </c>
      <c r="G1877" s="8" t="str">
        <f ca="1">IFERROR(__xludf.DUMMYFUNCTION("""COMPUTED_VALUE"""),"None")</f>
        <v>None</v>
      </c>
    </row>
    <row r="1878" spans="1:7" ht="12.75">
      <c r="A1878" s="8" t="str">
        <f ca="1">IFERROR(__xludf.DUMMYFUNCTION("""COMPUTED_VALUE"""),"19930318GAHAH")</f>
        <v>19930318GAHAH</v>
      </c>
      <c r="B1878" s="8">
        <f ca="1">IFERROR(__xludf.DUMMYFUNCTION("""COMPUTED_VALUE"""),15)</f>
        <v>15</v>
      </c>
      <c r="C1878" s="8" t="str">
        <f ca="1">IFERROR(__xludf.DUMMYFUNCTION("""COMPUTED_VALUE"""),"Male")</f>
        <v>Male</v>
      </c>
      <c r="D1878" s="8" t="str">
        <f ca="1">IFERROR(__xludf.DUMMYFUNCTION("""COMPUTED_VALUE"""),"Student")</f>
        <v>Student</v>
      </c>
      <c r="E1878" s="8" t="str">
        <f ca="1">IFERROR(__xludf.DUMMYFUNCTION("""COMPUTED_VALUE"""),"Apprehended/Killed by LE")</f>
        <v>Apprehended/Killed by LE</v>
      </c>
      <c r="F1878" s="8" t="str">
        <f ca="1">IFERROR(__xludf.DUMMYFUNCTION("""COMPUTED_VALUE"""),"No")</f>
        <v>No</v>
      </c>
      <c r="G1878" s="8" t="str">
        <f ca="1">IFERROR(__xludf.DUMMYFUNCTION("""COMPUTED_VALUE"""),"None")</f>
        <v>None</v>
      </c>
    </row>
    <row r="1879" spans="1:7" ht="12.75">
      <c r="A1879" s="8" t="str">
        <f ca="1">IFERROR(__xludf.DUMMYFUNCTION("""COMPUTED_VALUE"""),"19930308VADOD")</f>
        <v>19930308VADOD</v>
      </c>
      <c r="B1879" s="8">
        <f ca="1">IFERROR(__xludf.DUMMYFUNCTION("""COMPUTED_VALUE"""),32)</f>
        <v>32</v>
      </c>
      <c r="C1879" s="8" t="str">
        <f ca="1">IFERROR(__xludf.DUMMYFUNCTION("""COMPUTED_VALUE"""),"Male")</f>
        <v>Male</v>
      </c>
      <c r="D1879" s="8" t="str">
        <f ca="1">IFERROR(__xludf.DUMMYFUNCTION("""COMPUTED_VALUE"""),"No Relation")</f>
        <v>No Relation</v>
      </c>
      <c r="E1879" s="8" t="str">
        <f ca="1">IFERROR(__xludf.DUMMYFUNCTION("""COMPUTED_VALUE"""),"Fled/Apprehended")</f>
        <v>Fled/Apprehended</v>
      </c>
      <c r="F1879" s="8" t="str">
        <f ca="1">IFERROR(__xludf.DUMMYFUNCTION("""COMPUTED_VALUE"""),"No")</f>
        <v>No</v>
      </c>
      <c r="G1879" s="8" t="str">
        <f ca="1">IFERROR(__xludf.DUMMYFUNCTION("""COMPUTED_VALUE"""),"None")</f>
        <v>None</v>
      </c>
    </row>
    <row r="1880" spans="1:7" ht="12.75">
      <c r="A1880" s="8" t="str">
        <f ca="1">IFERROR(__xludf.DUMMYFUNCTION("""COMPUTED_VALUE"""),"19930226MAGLG")</f>
        <v>19930226MAGLG</v>
      </c>
      <c r="B1880" s="8">
        <f ca="1">IFERROR(__xludf.DUMMYFUNCTION("""COMPUTED_VALUE"""),15)</f>
        <v>15</v>
      </c>
      <c r="C1880" s="8" t="str">
        <f ca="1">IFERROR(__xludf.DUMMYFUNCTION("""COMPUTED_VALUE"""),"Male")</f>
        <v>Male</v>
      </c>
      <c r="D1880" s="8" t="str">
        <f ca="1">IFERROR(__xludf.DUMMYFUNCTION("""COMPUTED_VALUE"""),"Student")</f>
        <v>Student</v>
      </c>
      <c r="E1880" s="8" t="str">
        <f ca="1">IFERROR(__xludf.DUMMYFUNCTION("""COMPUTED_VALUE"""),"Suicide")</f>
        <v>Suicide</v>
      </c>
      <c r="F1880" s="8" t="str">
        <f ca="1">IFERROR(__xludf.DUMMYFUNCTION("""COMPUTED_VALUE"""),"Yes")</f>
        <v>Yes</v>
      </c>
      <c r="G1880" s="8" t="str">
        <f ca="1">IFERROR(__xludf.DUMMYFUNCTION("""COMPUTED_VALUE"""),"Suicide")</f>
        <v>Suicide</v>
      </c>
    </row>
    <row r="1881" spans="1:7" ht="12.75">
      <c r="A1881" s="8" t="str">
        <f ca="1">IFERROR(__xludf.DUMMYFUNCTION("""COMPUTED_VALUE"""),"19930222CAREL")</f>
        <v>19930222CAREL</v>
      </c>
      <c r="B1881" s="8">
        <f ca="1">IFERROR(__xludf.DUMMYFUNCTION("""COMPUTED_VALUE"""),15)</f>
        <v>15</v>
      </c>
      <c r="C1881" s="8" t="str">
        <f ca="1">IFERROR(__xludf.DUMMYFUNCTION("""COMPUTED_VALUE"""),"Male")</f>
        <v>Male</v>
      </c>
      <c r="D1881" s="8" t="str">
        <f ca="1">IFERROR(__xludf.DUMMYFUNCTION("""COMPUTED_VALUE"""),"Student")</f>
        <v>Student</v>
      </c>
      <c r="E1881" s="8" t="str">
        <f ca="1">IFERROR(__xludf.DUMMYFUNCTION("""COMPUTED_VALUE"""),"Fled/Apprehended")</f>
        <v>Fled/Apprehended</v>
      </c>
      <c r="F1881" s="8" t="str">
        <f ca="1">IFERROR(__xludf.DUMMYFUNCTION("""COMPUTED_VALUE"""),"No")</f>
        <v>No</v>
      </c>
      <c r="G1881" s="8" t="str">
        <f ca="1">IFERROR(__xludf.DUMMYFUNCTION("""COMPUTED_VALUE"""),"None")</f>
        <v>None</v>
      </c>
    </row>
    <row r="1882" spans="1:7" ht="12.75">
      <c r="A1882" s="8" t="str">
        <f ca="1">IFERROR(__xludf.DUMMYFUNCTION("""COMPUTED_VALUE"""),"19930208MNMIM")</f>
        <v>19930208MNMIM</v>
      </c>
      <c r="B1882" s="8">
        <f ca="1">IFERROR(__xludf.DUMMYFUNCTION("""COMPUTED_VALUE"""),14)</f>
        <v>14</v>
      </c>
      <c r="C1882" s="8" t="str">
        <f ca="1">IFERROR(__xludf.DUMMYFUNCTION("""COMPUTED_VALUE"""),"Male")</f>
        <v>Male</v>
      </c>
      <c r="D1882" s="8" t="str">
        <f ca="1">IFERROR(__xludf.DUMMYFUNCTION("""COMPUTED_VALUE"""),"Student")</f>
        <v>Student</v>
      </c>
      <c r="E1882" s="8" t="str">
        <f ca="1">IFERROR(__xludf.DUMMYFUNCTION("""COMPUTED_VALUE"""),"Suicide")</f>
        <v>Suicide</v>
      </c>
      <c r="F1882" s="8" t="str">
        <f ca="1">IFERROR(__xludf.DUMMYFUNCTION("""COMPUTED_VALUE"""),"Yes")</f>
        <v>Yes</v>
      </c>
      <c r="G1882" s="8" t="str">
        <f ca="1">IFERROR(__xludf.DUMMYFUNCTION("""COMPUTED_VALUE"""),"Suicide")</f>
        <v>Suicide</v>
      </c>
    </row>
    <row r="1883" spans="1:7" ht="12.75">
      <c r="A1883" s="8" t="str">
        <f ca="1">IFERROR(__xludf.DUMMYFUNCTION("""COMPUTED_VALUE"""),"19930208DCWAW")</f>
        <v>19930208DCWAW</v>
      </c>
      <c r="B1883" s="8"/>
      <c r="C1883" s="8" t="str">
        <f ca="1">IFERROR(__xludf.DUMMYFUNCTION("""COMPUTED_VALUE"""),"Male")</f>
        <v>Male</v>
      </c>
      <c r="D1883" s="8" t="str">
        <f ca="1">IFERROR(__xludf.DUMMYFUNCTION("""COMPUTED_VALUE"""),"Unknown")</f>
        <v>Unknown</v>
      </c>
      <c r="E1883" s="8" t="str">
        <f ca="1">IFERROR(__xludf.DUMMYFUNCTION("""COMPUTED_VALUE"""),"Fled/Escaped")</f>
        <v>Fled/Escaped</v>
      </c>
      <c r="F1883" s="8" t="str">
        <f ca="1">IFERROR(__xludf.DUMMYFUNCTION("""COMPUTED_VALUE"""),"No")</f>
        <v>No</v>
      </c>
      <c r="G1883" s="8" t="str">
        <f ca="1">IFERROR(__xludf.DUMMYFUNCTION("""COMPUTED_VALUE"""),"None")</f>
        <v>None</v>
      </c>
    </row>
    <row r="1884" spans="1:7" ht="12.75">
      <c r="A1884" s="8" t="str">
        <f ca="1">IFERROR(__xludf.DUMMYFUNCTION("""COMPUTED_VALUE"""),"19930204GACLA")</f>
        <v>19930204GACLA</v>
      </c>
      <c r="B1884" s="8">
        <f ca="1">IFERROR(__xludf.DUMMYFUNCTION("""COMPUTED_VALUE"""),17)</f>
        <v>17</v>
      </c>
      <c r="C1884" s="8" t="str">
        <f ca="1">IFERROR(__xludf.DUMMYFUNCTION("""COMPUTED_VALUE"""),"Male")</f>
        <v>Male</v>
      </c>
      <c r="D1884" s="8" t="str">
        <f ca="1">IFERROR(__xludf.DUMMYFUNCTION("""COMPUTED_VALUE"""),"Nonstudent")</f>
        <v>Nonstudent</v>
      </c>
      <c r="E1884" s="8" t="str">
        <f ca="1">IFERROR(__xludf.DUMMYFUNCTION("""COMPUTED_VALUE"""),"Surrendered")</f>
        <v>Surrendered</v>
      </c>
      <c r="F1884" s="8" t="str">
        <f ca="1">IFERROR(__xludf.DUMMYFUNCTION("""COMPUTED_VALUE"""),"No")</f>
        <v>No</v>
      </c>
      <c r="G1884" s="8" t="str">
        <f ca="1">IFERROR(__xludf.DUMMYFUNCTION("""COMPUTED_VALUE"""),"None")</f>
        <v>None</v>
      </c>
    </row>
    <row r="1885" spans="1:7" ht="12.75">
      <c r="A1885" s="8" t="str">
        <f ca="1">IFERROR(__xludf.DUMMYFUNCTION("""COMPUTED_VALUE"""),"19930203SCLEL")</f>
        <v>19930203SCLEL</v>
      </c>
      <c r="B1885" s="8">
        <f ca="1">IFERROR(__xludf.DUMMYFUNCTION("""COMPUTED_VALUE"""),22)</f>
        <v>22</v>
      </c>
      <c r="C1885" s="8" t="str">
        <f ca="1">IFERROR(__xludf.DUMMYFUNCTION("""COMPUTED_VALUE"""),"Male")</f>
        <v>Male</v>
      </c>
      <c r="D1885" s="8" t="str">
        <f ca="1">IFERROR(__xludf.DUMMYFUNCTION("""COMPUTED_VALUE"""),"Student")</f>
        <v>Student</v>
      </c>
      <c r="E1885" s="8" t="str">
        <f ca="1">IFERROR(__xludf.DUMMYFUNCTION("""COMPUTED_VALUE"""),"Fled/Apprehended")</f>
        <v>Fled/Apprehended</v>
      </c>
      <c r="F1885" s="8" t="str">
        <f ca="1">IFERROR(__xludf.DUMMYFUNCTION("""COMPUTED_VALUE"""),"No")</f>
        <v>No</v>
      </c>
      <c r="G1885" s="8" t="str">
        <f ca="1">IFERROR(__xludf.DUMMYFUNCTION("""COMPUTED_VALUE"""),"None")</f>
        <v>None</v>
      </c>
    </row>
    <row r="1886" spans="1:7" ht="12.75">
      <c r="A1886" s="8" t="str">
        <f ca="1">IFERROR(__xludf.DUMMYFUNCTION("""COMPUTED_VALUE"""),"19930203SCGAC")</f>
        <v>19930203SCGAC</v>
      </c>
      <c r="B1886" s="8"/>
      <c r="C1886" s="8"/>
      <c r="D1886" s="8"/>
      <c r="E1886" s="8" t="str">
        <f ca="1">IFERROR(__xludf.DUMMYFUNCTION("""COMPUTED_VALUE"""),"Fled/Escaped")</f>
        <v>Fled/Escaped</v>
      </c>
      <c r="F1886" s="8" t="str">
        <f ca="1">IFERROR(__xludf.DUMMYFUNCTION("""COMPUTED_VALUE"""),"No")</f>
        <v>No</v>
      </c>
      <c r="G1886" s="8" t="str">
        <f ca="1">IFERROR(__xludf.DUMMYFUNCTION("""COMPUTED_VALUE"""),"None")</f>
        <v>None</v>
      </c>
    </row>
    <row r="1887" spans="1:7" ht="12.75">
      <c r="A1887" s="8" t="str">
        <f ca="1">IFERROR(__xludf.DUMMYFUNCTION("""COMPUTED_VALUE"""),"19930201WARER")</f>
        <v>19930201WARER</v>
      </c>
      <c r="B1887" s="8">
        <f ca="1">IFERROR(__xludf.DUMMYFUNCTION("""COMPUTED_VALUE"""),14)</f>
        <v>14</v>
      </c>
      <c r="C1887" s="8" t="str">
        <f ca="1">IFERROR(__xludf.DUMMYFUNCTION("""COMPUTED_VALUE"""),"Male")</f>
        <v>Male</v>
      </c>
      <c r="D1887" s="8" t="str">
        <f ca="1">IFERROR(__xludf.DUMMYFUNCTION("""COMPUTED_VALUE"""),"Student")</f>
        <v>Student</v>
      </c>
      <c r="E1887" s="8" t="str">
        <f ca="1">IFERROR(__xludf.DUMMYFUNCTION("""COMPUTED_VALUE"""),"Suicide")</f>
        <v>Suicide</v>
      </c>
      <c r="F1887" s="8" t="str">
        <f ca="1">IFERROR(__xludf.DUMMYFUNCTION("""COMPUTED_VALUE"""),"Yes")</f>
        <v>Yes</v>
      </c>
      <c r="G1887" s="8" t="str">
        <f ca="1">IFERROR(__xludf.DUMMYFUNCTION("""COMPUTED_VALUE"""),"Suicide")</f>
        <v>Suicide</v>
      </c>
    </row>
    <row r="1888" spans="1:7" ht="12.75">
      <c r="A1888" s="8" t="str">
        <f ca="1">IFERROR(__xludf.DUMMYFUNCTION("""COMPUTED_VALUE"""),"19930201NYAMA")</f>
        <v>19930201NYAMA</v>
      </c>
      <c r="B1888" s="8">
        <f ca="1">IFERROR(__xludf.DUMMYFUNCTION("""COMPUTED_VALUE"""),17)</f>
        <v>17</v>
      </c>
      <c r="C1888" s="8" t="str">
        <f ca="1">IFERROR(__xludf.DUMMYFUNCTION("""COMPUTED_VALUE"""),"Male")</f>
        <v>Male</v>
      </c>
      <c r="D1888" s="8" t="str">
        <f ca="1">IFERROR(__xludf.DUMMYFUNCTION("""COMPUTED_VALUE"""),"Student")</f>
        <v>Student</v>
      </c>
      <c r="E1888" s="8" t="str">
        <f ca="1">IFERROR(__xludf.DUMMYFUNCTION("""COMPUTED_VALUE"""),"Fled/Apprehended")</f>
        <v>Fled/Apprehended</v>
      </c>
      <c r="F1888" s="8" t="str">
        <f ca="1">IFERROR(__xludf.DUMMYFUNCTION("""COMPUTED_VALUE"""),"No")</f>
        <v>No</v>
      </c>
      <c r="G1888" s="8" t="str">
        <f ca="1">IFERROR(__xludf.DUMMYFUNCTION("""COMPUTED_VALUE"""),"None")</f>
        <v>None</v>
      </c>
    </row>
    <row r="1889" spans="1:7" ht="12.75">
      <c r="A1889" s="8" t="str">
        <f ca="1">IFERROR(__xludf.DUMMYFUNCTION("""COMPUTED_VALUE"""),"19930121CAFAL")</f>
        <v>19930121CAFAL</v>
      </c>
      <c r="B1889" s="8" t="str">
        <f ca="1">IFERROR(__xludf.DUMMYFUNCTION("""COMPUTED_VALUE"""),"Teen")</f>
        <v>Teen</v>
      </c>
      <c r="C1889" s="8" t="str">
        <f ca="1">IFERROR(__xludf.DUMMYFUNCTION("""COMPUTED_VALUE"""),"Male")</f>
        <v>Male</v>
      </c>
      <c r="D1889" s="8" t="str">
        <f ca="1">IFERROR(__xludf.DUMMYFUNCTION("""COMPUTED_VALUE"""),"Student")</f>
        <v>Student</v>
      </c>
      <c r="E1889" s="8" t="str">
        <f ca="1">IFERROR(__xludf.DUMMYFUNCTION("""COMPUTED_VALUE"""),"Surrendered")</f>
        <v>Surrendered</v>
      </c>
      <c r="F1889" s="8" t="str">
        <f ca="1">IFERROR(__xludf.DUMMYFUNCTION("""COMPUTED_VALUE"""),"No")</f>
        <v>No</v>
      </c>
      <c r="G1889" s="8" t="str">
        <f ca="1">IFERROR(__xludf.DUMMYFUNCTION("""COMPUTED_VALUE"""),"None")</f>
        <v>None</v>
      </c>
    </row>
    <row r="1890" spans="1:7" ht="12.75">
      <c r="A1890" s="8" t="str">
        <f ca="1">IFERROR(__xludf.DUMMYFUNCTION("""COMPUTED_VALUE"""),"19930118KYEAG")</f>
        <v>19930118KYEAG</v>
      </c>
      <c r="B1890" s="8">
        <f ca="1">IFERROR(__xludf.DUMMYFUNCTION("""COMPUTED_VALUE"""),17)</f>
        <v>17</v>
      </c>
      <c r="C1890" s="8" t="str">
        <f ca="1">IFERROR(__xludf.DUMMYFUNCTION("""COMPUTED_VALUE"""),"Male")</f>
        <v>Male</v>
      </c>
      <c r="D1890" s="8" t="str">
        <f ca="1">IFERROR(__xludf.DUMMYFUNCTION("""COMPUTED_VALUE"""),"Student")</f>
        <v>Student</v>
      </c>
      <c r="E1890" s="8" t="str">
        <f ca="1">IFERROR(__xludf.DUMMYFUNCTION("""COMPUTED_VALUE"""),"Surrendered")</f>
        <v>Surrendered</v>
      </c>
      <c r="F1890" s="8" t="str">
        <f ca="1">IFERROR(__xludf.DUMMYFUNCTION("""COMPUTED_VALUE"""),"No")</f>
        <v>No</v>
      </c>
      <c r="G1890" s="8" t="str">
        <f ca="1">IFERROR(__xludf.DUMMYFUNCTION("""COMPUTED_VALUE"""),"None")</f>
        <v>None</v>
      </c>
    </row>
    <row r="1891" spans="1:7" ht="12.75">
      <c r="A1891" s="8" t="str">
        <f ca="1">IFERROR(__xludf.DUMMYFUNCTION("""COMPUTED_VALUE"""),"19930112FLNOM")</f>
        <v>19930112FLNOM</v>
      </c>
      <c r="B1891" s="8" t="str">
        <f ca="1">IFERROR(__xludf.DUMMYFUNCTION("""COMPUTED_VALUE"""),"Teen")</f>
        <v>Teen</v>
      </c>
      <c r="C1891" s="8" t="str">
        <f ca="1">IFERROR(__xludf.DUMMYFUNCTION("""COMPUTED_VALUE"""),"Male")</f>
        <v>Male</v>
      </c>
      <c r="D1891" s="8" t="str">
        <f ca="1">IFERROR(__xludf.DUMMYFUNCTION("""COMPUTED_VALUE"""),"Student")</f>
        <v>Student</v>
      </c>
      <c r="E1891" s="8" t="str">
        <f ca="1">IFERROR(__xludf.DUMMYFUNCTION("""COMPUTED_VALUE"""),"Fled/Escaped")</f>
        <v>Fled/Escaped</v>
      </c>
      <c r="F1891" s="8" t="str">
        <f ca="1">IFERROR(__xludf.DUMMYFUNCTION("""COMPUTED_VALUE"""),"No")</f>
        <v>No</v>
      </c>
      <c r="G1891" s="8" t="str">
        <f ca="1">IFERROR(__xludf.DUMMYFUNCTION("""COMPUTED_VALUE"""),"None")</f>
        <v>None</v>
      </c>
    </row>
    <row r="1892" spans="1:7" ht="12.75">
      <c r="A1892" s="8" t="str">
        <f ca="1">IFERROR(__xludf.DUMMYFUNCTION("""COMPUTED_VALUE"""),"19930108PACRM")</f>
        <v>19930108PACRM</v>
      </c>
      <c r="B1892" s="8"/>
      <c r="C1892" s="8" t="str">
        <f ca="1">IFERROR(__xludf.DUMMYFUNCTION("""COMPUTED_VALUE"""),"Male")</f>
        <v>Male</v>
      </c>
      <c r="D1892" s="8"/>
      <c r="E1892" s="8" t="str">
        <f ca="1">IFERROR(__xludf.DUMMYFUNCTION("""COMPUTED_VALUE"""),"Fled/Escaped")</f>
        <v>Fled/Escaped</v>
      </c>
      <c r="F1892" s="8" t="str">
        <f ca="1">IFERROR(__xludf.DUMMYFUNCTION("""COMPUTED_VALUE"""),"No")</f>
        <v>No</v>
      </c>
      <c r="G1892" s="8" t="str">
        <f ca="1">IFERROR(__xludf.DUMMYFUNCTION("""COMPUTED_VALUE"""),"None")</f>
        <v>None</v>
      </c>
    </row>
    <row r="1893" spans="1:7" ht="12.75">
      <c r="A1893" s="8" t="str">
        <f ca="1">IFERROR(__xludf.DUMMYFUNCTION("""COMPUTED_VALUE"""),"19930105NYBRB")</f>
        <v>19930105NYBRB</v>
      </c>
      <c r="B1893" s="8" t="str">
        <f ca="1">IFERROR(__xludf.DUMMYFUNCTION("""COMPUTED_VALUE"""),"Teen")</f>
        <v>Teen</v>
      </c>
      <c r="C1893" s="8" t="str">
        <f ca="1">IFERROR(__xludf.DUMMYFUNCTION("""COMPUTED_VALUE"""),"Male")</f>
        <v>Male</v>
      </c>
      <c r="D1893" s="8" t="str">
        <f ca="1">IFERROR(__xludf.DUMMYFUNCTION("""COMPUTED_VALUE"""),"Rival School Student")</f>
        <v>Rival School Student</v>
      </c>
      <c r="E1893" s="8" t="str">
        <f ca="1">IFERROR(__xludf.DUMMYFUNCTION("""COMPUTED_VALUE"""),"Fled/Escaped")</f>
        <v>Fled/Escaped</v>
      </c>
      <c r="F1893" s="8" t="str">
        <f ca="1">IFERROR(__xludf.DUMMYFUNCTION("""COMPUTED_VALUE"""),"No")</f>
        <v>No</v>
      </c>
      <c r="G1893" s="8" t="str">
        <f ca="1">IFERROR(__xludf.DUMMYFUNCTION("""COMPUTED_VALUE"""),"None")</f>
        <v>None</v>
      </c>
    </row>
    <row r="1894" spans="1:7" ht="12.75">
      <c r="A1894" s="8" t="str">
        <f ca="1">IFERROR(__xludf.DUMMYFUNCTION("""COMPUTED_VALUE"""),"19930105NYBRB")</f>
        <v>19930105NYBRB</v>
      </c>
      <c r="B1894" s="8" t="str">
        <f ca="1">IFERROR(__xludf.DUMMYFUNCTION("""COMPUTED_VALUE"""),"Teen")</f>
        <v>Teen</v>
      </c>
      <c r="C1894" s="8" t="str">
        <f ca="1">IFERROR(__xludf.DUMMYFUNCTION("""COMPUTED_VALUE"""),"Male")</f>
        <v>Male</v>
      </c>
      <c r="D1894" s="8" t="str">
        <f ca="1">IFERROR(__xludf.DUMMYFUNCTION("""COMPUTED_VALUE"""),"Rival School Student")</f>
        <v>Rival School Student</v>
      </c>
      <c r="E1894" s="8" t="str">
        <f ca="1">IFERROR(__xludf.DUMMYFUNCTION("""COMPUTED_VALUE"""),"Fled/Escaped")</f>
        <v>Fled/Escaped</v>
      </c>
      <c r="F1894" s="8" t="str">
        <f ca="1">IFERROR(__xludf.DUMMYFUNCTION("""COMPUTED_VALUE"""),"No")</f>
        <v>No</v>
      </c>
      <c r="G1894" s="8" t="str">
        <f ca="1">IFERROR(__xludf.DUMMYFUNCTION("""COMPUTED_VALUE"""),"None")</f>
        <v>None</v>
      </c>
    </row>
    <row r="1895" spans="1:7" ht="12.75">
      <c r="A1895" s="8" t="str">
        <f ca="1">IFERROR(__xludf.DUMMYFUNCTION("""COMPUTED_VALUE"""),"19921214NYWAW")</f>
        <v>19921214NYWAW</v>
      </c>
      <c r="B1895" s="8">
        <f ca="1">IFERROR(__xludf.DUMMYFUNCTION("""COMPUTED_VALUE"""),15)</f>
        <v>15</v>
      </c>
      <c r="C1895" s="8" t="str">
        <f ca="1">IFERROR(__xludf.DUMMYFUNCTION("""COMPUTED_VALUE"""),"Male")</f>
        <v>Male</v>
      </c>
      <c r="D1895" s="8" t="str">
        <f ca="1">IFERROR(__xludf.DUMMYFUNCTION("""COMPUTED_VALUE"""),"Student")</f>
        <v>Student</v>
      </c>
      <c r="E1895" s="8" t="str">
        <f ca="1">IFERROR(__xludf.DUMMYFUNCTION("""COMPUTED_VALUE"""),"Surrendered")</f>
        <v>Surrendered</v>
      </c>
      <c r="F1895" s="8" t="str">
        <f ca="1">IFERROR(__xludf.DUMMYFUNCTION("""COMPUTED_VALUE"""),"No")</f>
        <v>No</v>
      </c>
      <c r="G1895" s="8" t="str">
        <f ca="1">IFERROR(__xludf.DUMMYFUNCTION("""COMPUTED_VALUE"""),"None")</f>
        <v>None</v>
      </c>
    </row>
    <row r="1896" spans="1:7" ht="12.75">
      <c r="A1896" s="8" t="str">
        <f ca="1">IFERROR(__xludf.DUMMYFUNCTION("""COMPUTED_VALUE"""),"19921203ILWOC")</f>
        <v>19921203ILWOC</v>
      </c>
      <c r="B1896" s="8">
        <f ca="1">IFERROR(__xludf.DUMMYFUNCTION("""COMPUTED_VALUE"""),23)</f>
        <v>23</v>
      </c>
      <c r="C1896" s="8" t="str">
        <f ca="1">IFERROR(__xludf.DUMMYFUNCTION("""COMPUTED_VALUE"""),"Male")</f>
        <v>Male</v>
      </c>
      <c r="D1896" s="8" t="str">
        <f ca="1">IFERROR(__xludf.DUMMYFUNCTION("""COMPUTED_VALUE"""),"Nonstudent Using Athletic Facilities/Attending Game")</f>
        <v>Nonstudent Using Athletic Facilities/Attending Game</v>
      </c>
      <c r="E1896" s="8" t="str">
        <f ca="1">IFERROR(__xludf.DUMMYFUNCTION("""COMPUTED_VALUE"""),"Fled/Apprehended")</f>
        <v>Fled/Apprehended</v>
      </c>
      <c r="F1896" s="8" t="str">
        <f ca="1">IFERROR(__xludf.DUMMYFUNCTION("""COMPUTED_VALUE"""),"No")</f>
        <v>No</v>
      </c>
      <c r="G1896" s="8" t="str">
        <f ca="1">IFERROR(__xludf.DUMMYFUNCTION("""COMPUTED_VALUE"""),"None")</f>
        <v>None</v>
      </c>
    </row>
    <row r="1897" spans="1:7" ht="12.75">
      <c r="A1897" s="8" t="str">
        <f ca="1">IFERROR(__xludf.DUMMYFUNCTION("""COMPUTED_VALUE"""),"19921203ILWOC")</f>
        <v>19921203ILWOC</v>
      </c>
      <c r="B1897" s="8" t="str">
        <f ca="1">IFERROR(__xludf.DUMMYFUNCTION("""COMPUTED_VALUE"""),"Adult")</f>
        <v>Adult</v>
      </c>
      <c r="C1897" s="8" t="str">
        <f ca="1">IFERROR(__xludf.DUMMYFUNCTION("""COMPUTED_VALUE"""),"Male")</f>
        <v>Male</v>
      </c>
      <c r="D1897" s="8" t="str">
        <f ca="1">IFERROR(__xludf.DUMMYFUNCTION("""COMPUTED_VALUE"""),"Nonstudent Using Athletic Facilities/Attending Game")</f>
        <v>Nonstudent Using Athletic Facilities/Attending Game</v>
      </c>
      <c r="E1897" s="8" t="str">
        <f ca="1">IFERROR(__xludf.DUMMYFUNCTION("""COMPUTED_VALUE"""),"Fled/Apprehended")</f>
        <v>Fled/Apprehended</v>
      </c>
      <c r="F1897" s="8" t="str">
        <f ca="1">IFERROR(__xludf.DUMMYFUNCTION("""COMPUTED_VALUE"""),"No")</f>
        <v>No</v>
      </c>
      <c r="G1897" s="8" t="str">
        <f ca="1">IFERROR(__xludf.DUMMYFUNCTION("""COMPUTED_VALUE"""),"None")</f>
        <v>None</v>
      </c>
    </row>
    <row r="1898" spans="1:7" ht="12.75">
      <c r="A1898" s="8" t="str">
        <f ca="1">IFERROR(__xludf.DUMMYFUNCTION("""COMPUTED_VALUE"""),"19921130ILORC")</f>
        <v>19921130ILORC</v>
      </c>
      <c r="B1898" s="8">
        <f ca="1">IFERROR(__xludf.DUMMYFUNCTION("""COMPUTED_VALUE"""),17)</f>
        <v>17</v>
      </c>
      <c r="C1898" s="8" t="str">
        <f ca="1">IFERROR(__xludf.DUMMYFUNCTION("""COMPUTED_VALUE"""),"Male")</f>
        <v>Male</v>
      </c>
      <c r="D1898" s="8" t="str">
        <f ca="1">IFERROR(__xludf.DUMMYFUNCTION("""COMPUTED_VALUE"""),"Student")</f>
        <v>Student</v>
      </c>
      <c r="E1898" s="8" t="str">
        <f ca="1">IFERROR(__xludf.DUMMYFUNCTION("""COMPUTED_VALUE"""),"Fled/Apprehended")</f>
        <v>Fled/Apprehended</v>
      </c>
      <c r="F1898" s="8" t="str">
        <f ca="1">IFERROR(__xludf.DUMMYFUNCTION("""COMPUTED_VALUE"""),"No")</f>
        <v>No</v>
      </c>
      <c r="G1898" s="8" t="str">
        <f ca="1">IFERROR(__xludf.DUMMYFUNCTION("""COMPUTED_VALUE"""),"None")</f>
        <v>None</v>
      </c>
    </row>
    <row r="1899" spans="1:7" ht="12.75">
      <c r="A1899" s="8" t="str">
        <f ca="1">IFERROR(__xludf.DUMMYFUNCTION("""COMPUTED_VALUE"""),"19921124ALROM")</f>
        <v>19921124ALROM</v>
      </c>
      <c r="B1899" s="8">
        <f ca="1">IFERROR(__xludf.DUMMYFUNCTION("""COMPUTED_VALUE"""),18)</f>
        <v>18</v>
      </c>
      <c r="C1899" s="8"/>
      <c r="D1899" s="8" t="str">
        <f ca="1">IFERROR(__xludf.DUMMYFUNCTION("""COMPUTED_VALUE"""),"Student")</f>
        <v>Student</v>
      </c>
      <c r="E1899" s="8" t="str">
        <f ca="1">IFERROR(__xludf.DUMMYFUNCTION("""COMPUTED_VALUE"""),"Unknown")</f>
        <v>Unknown</v>
      </c>
      <c r="F1899" s="8" t="str">
        <f ca="1">IFERROR(__xludf.DUMMYFUNCTION("""COMPUTED_VALUE"""),"No")</f>
        <v>No</v>
      </c>
      <c r="G1899" s="8" t="str">
        <f ca="1">IFERROR(__xludf.DUMMYFUNCTION("""COMPUTED_VALUE"""),"None")</f>
        <v>None</v>
      </c>
    </row>
    <row r="1900" spans="1:7" ht="12.75">
      <c r="A1900" s="8" t="str">
        <f ca="1">IFERROR(__xludf.DUMMYFUNCTION("""COMPUTED_VALUE"""),"19921120ILTIC")</f>
        <v>19921120ILTIC</v>
      </c>
      <c r="B1900" s="8">
        <f ca="1">IFERROR(__xludf.DUMMYFUNCTION("""COMPUTED_VALUE"""),15)</f>
        <v>15</v>
      </c>
      <c r="C1900" s="8" t="str">
        <f ca="1">IFERROR(__xludf.DUMMYFUNCTION("""COMPUTED_VALUE"""),"Male")</f>
        <v>Male</v>
      </c>
      <c r="D1900" s="8" t="str">
        <f ca="1">IFERROR(__xludf.DUMMYFUNCTION("""COMPUTED_VALUE"""),"Student")</f>
        <v>Student</v>
      </c>
      <c r="E1900" s="8" t="str">
        <f ca="1">IFERROR(__xludf.DUMMYFUNCTION("""COMPUTED_VALUE"""),"Fled/Apprehended")</f>
        <v>Fled/Apprehended</v>
      </c>
      <c r="F1900" s="8" t="str">
        <f ca="1">IFERROR(__xludf.DUMMYFUNCTION("""COMPUTED_VALUE"""),"No")</f>
        <v>No</v>
      </c>
      <c r="G1900" s="8" t="str">
        <f ca="1">IFERROR(__xludf.DUMMYFUNCTION("""COMPUTED_VALUE"""),"None")</f>
        <v>None</v>
      </c>
    </row>
    <row r="1901" spans="1:7" ht="12.75">
      <c r="A1901" s="8" t="str">
        <f ca="1">IFERROR(__xludf.DUMMYFUNCTION("""COMPUTED_VALUE"""),"19921116ALFAB")</f>
        <v>19921116ALFAB</v>
      </c>
      <c r="B1901" s="8" t="str">
        <f ca="1">IFERROR(__xludf.DUMMYFUNCTION("""COMPUTED_VALUE"""),"Teen")</f>
        <v>Teen</v>
      </c>
      <c r="C1901" s="8" t="str">
        <f ca="1">IFERROR(__xludf.DUMMYFUNCTION("""COMPUTED_VALUE"""),"Male")</f>
        <v>Male</v>
      </c>
      <c r="D1901" s="8" t="str">
        <f ca="1">IFERROR(__xludf.DUMMYFUNCTION("""COMPUTED_VALUE"""),"Student")</f>
        <v>Student</v>
      </c>
      <c r="E1901" s="8" t="str">
        <f ca="1">IFERROR(__xludf.DUMMYFUNCTION("""COMPUTED_VALUE"""),"Fled/Escaped")</f>
        <v>Fled/Escaped</v>
      </c>
      <c r="F1901" s="8" t="str">
        <f ca="1">IFERROR(__xludf.DUMMYFUNCTION("""COMPUTED_VALUE"""),"No")</f>
        <v>No</v>
      </c>
      <c r="G1901" s="8" t="str">
        <f ca="1">IFERROR(__xludf.DUMMYFUNCTION("""COMPUTED_VALUE"""),"None")</f>
        <v>None</v>
      </c>
    </row>
    <row r="1902" spans="1:7" ht="12.75">
      <c r="A1902" s="8" t="str">
        <f ca="1">IFERROR(__xludf.DUMMYFUNCTION("""COMPUTED_VALUE"""),"19921113TXLAC")</f>
        <v>19921113TXLAC</v>
      </c>
      <c r="B1902" s="8">
        <f ca="1">IFERROR(__xludf.DUMMYFUNCTION("""COMPUTED_VALUE"""),39)</f>
        <v>39</v>
      </c>
      <c r="C1902" s="8" t="str">
        <f ca="1">IFERROR(__xludf.DUMMYFUNCTION("""COMPUTED_VALUE"""),"Male")</f>
        <v>Male</v>
      </c>
      <c r="D1902" s="8" t="str">
        <f ca="1">IFERROR(__xludf.DUMMYFUNCTION("""COMPUTED_VALUE"""),"Intimate Relationship")</f>
        <v>Intimate Relationship</v>
      </c>
      <c r="E1902" s="8" t="str">
        <f ca="1">IFERROR(__xludf.DUMMYFUNCTION("""COMPUTED_VALUE"""),"Suicide")</f>
        <v>Suicide</v>
      </c>
      <c r="F1902" s="8" t="str">
        <f ca="1">IFERROR(__xludf.DUMMYFUNCTION("""COMPUTED_VALUE"""),"Yes")</f>
        <v>Yes</v>
      </c>
      <c r="G1902" s="8" t="str">
        <f ca="1">IFERROR(__xludf.DUMMYFUNCTION("""COMPUTED_VALUE"""),"Suicide")</f>
        <v>Suicide</v>
      </c>
    </row>
    <row r="1903" spans="1:7" ht="12.75">
      <c r="A1903" s="8" t="str">
        <f ca="1">IFERROR(__xludf.DUMMYFUNCTION("""COMPUTED_VALUE"""),"19921110ILSHC")</f>
        <v>19921110ILSHC</v>
      </c>
      <c r="B1903" s="8">
        <f ca="1">IFERROR(__xludf.DUMMYFUNCTION("""COMPUTED_VALUE"""),13)</f>
        <v>13</v>
      </c>
      <c r="C1903" s="8" t="str">
        <f ca="1">IFERROR(__xludf.DUMMYFUNCTION("""COMPUTED_VALUE"""),"Male")</f>
        <v>Male</v>
      </c>
      <c r="D1903" s="8" t="str">
        <f ca="1">IFERROR(__xludf.DUMMYFUNCTION("""COMPUTED_VALUE"""),"Student")</f>
        <v>Student</v>
      </c>
      <c r="E1903" s="8" t="str">
        <f ca="1">IFERROR(__xludf.DUMMYFUNCTION("""COMPUTED_VALUE"""),"Suicide")</f>
        <v>Suicide</v>
      </c>
      <c r="F1903" s="8" t="str">
        <f ca="1">IFERROR(__xludf.DUMMYFUNCTION("""COMPUTED_VALUE"""),"Yes")</f>
        <v>Yes</v>
      </c>
      <c r="G1903" s="8" t="str">
        <f ca="1">IFERROR(__xludf.DUMMYFUNCTION("""COMPUTED_VALUE"""),"Suicide")</f>
        <v>Suicide</v>
      </c>
    </row>
    <row r="1904" spans="1:7" ht="12.75">
      <c r="A1904" s="8" t="str">
        <f ca="1">IFERROR(__xludf.DUMMYFUNCTION("""COMPUTED_VALUE"""),"19921104MIMUD")</f>
        <v>19921104MIMUD</v>
      </c>
      <c r="B1904" s="8">
        <f ca="1">IFERROR(__xludf.DUMMYFUNCTION("""COMPUTED_VALUE"""),14)</f>
        <v>14</v>
      </c>
      <c r="C1904" s="8" t="str">
        <f ca="1">IFERROR(__xludf.DUMMYFUNCTION("""COMPUTED_VALUE"""),"Male")</f>
        <v>Male</v>
      </c>
      <c r="D1904" s="8" t="str">
        <f ca="1">IFERROR(__xludf.DUMMYFUNCTION("""COMPUTED_VALUE"""),"No Relation")</f>
        <v>No Relation</v>
      </c>
      <c r="E1904" s="8" t="str">
        <f ca="1">IFERROR(__xludf.DUMMYFUNCTION("""COMPUTED_VALUE"""),"Fled/Apprehended")</f>
        <v>Fled/Apprehended</v>
      </c>
      <c r="F1904" s="8" t="str">
        <f ca="1">IFERROR(__xludf.DUMMYFUNCTION("""COMPUTED_VALUE"""),"No")</f>
        <v>No</v>
      </c>
      <c r="G1904" s="8" t="str">
        <f ca="1">IFERROR(__xludf.DUMMYFUNCTION("""COMPUTED_VALUE"""),"None")</f>
        <v>None</v>
      </c>
    </row>
    <row r="1905" spans="1:7" ht="12.75">
      <c r="A1905" s="8" t="str">
        <f ca="1">IFERROR(__xludf.DUMMYFUNCTION("""COMPUTED_VALUE"""),"19921104MIMUD")</f>
        <v>19921104MIMUD</v>
      </c>
      <c r="B1905" s="8">
        <f ca="1">IFERROR(__xludf.DUMMYFUNCTION("""COMPUTED_VALUE"""),14)</f>
        <v>14</v>
      </c>
      <c r="C1905" s="8" t="str">
        <f ca="1">IFERROR(__xludf.DUMMYFUNCTION("""COMPUTED_VALUE"""),"Female")</f>
        <v>Female</v>
      </c>
      <c r="D1905" s="8" t="str">
        <f ca="1">IFERROR(__xludf.DUMMYFUNCTION("""COMPUTED_VALUE"""),"No Relation")</f>
        <v>No Relation</v>
      </c>
      <c r="E1905" s="8" t="str">
        <f ca="1">IFERROR(__xludf.DUMMYFUNCTION("""COMPUTED_VALUE"""),"Fled/Apprehended")</f>
        <v>Fled/Apprehended</v>
      </c>
      <c r="F1905" s="8" t="str">
        <f ca="1">IFERROR(__xludf.DUMMYFUNCTION("""COMPUTED_VALUE"""),"No")</f>
        <v>No</v>
      </c>
      <c r="G1905" s="8" t="str">
        <f ca="1">IFERROR(__xludf.DUMMYFUNCTION("""COMPUTED_VALUE"""),"None")</f>
        <v>None</v>
      </c>
    </row>
    <row r="1906" spans="1:7" ht="12.75">
      <c r="A1906" s="8" t="str">
        <f ca="1">IFERROR(__xludf.DUMMYFUNCTION("""COMPUTED_VALUE"""),"19921104MIMUD")</f>
        <v>19921104MIMUD</v>
      </c>
      <c r="B1906" s="8">
        <f ca="1">IFERROR(__xludf.DUMMYFUNCTION("""COMPUTED_VALUE"""),13)</f>
        <v>13</v>
      </c>
      <c r="C1906" s="8" t="str">
        <f ca="1">IFERROR(__xludf.DUMMYFUNCTION("""COMPUTED_VALUE"""),"Female")</f>
        <v>Female</v>
      </c>
      <c r="D1906" s="8" t="str">
        <f ca="1">IFERROR(__xludf.DUMMYFUNCTION("""COMPUTED_VALUE"""),"No Relation")</f>
        <v>No Relation</v>
      </c>
      <c r="E1906" s="8" t="str">
        <f ca="1">IFERROR(__xludf.DUMMYFUNCTION("""COMPUTED_VALUE"""),"Fled/Apprehended")</f>
        <v>Fled/Apprehended</v>
      </c>
      <c r="F1906" s="8" t="str">
        <f ca="1">IFERROR(__xludf.DUMMYFUNCTION("""COMPUTED_VALUE"""),"No")</f>
        <v>No</v>
      </c>
      <c r="G1906" s="8" t="str">
        <f ca="1">IFERROR(__xludf.DUMMYFUNCTION("""COMPUTED_VALUE"""),"None")</f>
        <v>None</v>
      </c>
    </row>
    <row r="1907" spans="1:7" ht="12.75">
      <c r="A1907" s="8" t="str">
        <f ca="1">IFERROR(__xludf.DUMMYFUNCTION("""COMPUTED_VALUE"""),"19921104MIMAD")</f>
        <v>19921104MIMAD</v>
      </c>
      <c r="B1907" s="8"/>
      <c r="C1907" s="8"/>
      <c r="D1907" s="8" t="str">
        <f ca="1">IFERROR(__xludf.DUMMYFUNCTION("""COMPUTED_VALUE"""),"Unknown")</f>
        <v>Unknown</v>
      </c>
      <c r="E1907" s="8" t="str">
        <f ca="1">IFERROR(__xludf.DUMMYFUNCTION("""COMPUTED_VALUE"""),"Fled/Escaped")</f>
        <v>Fled/Escaped</v>
      </c>
      <c r="F1907" s="8" t="str">
        <f ca="1">IFERROR(__xludf.DUMMYFUNCTION("""COMPUTED_VALUE"""),"No")</f>
        <v>No</v>
      </c>
      <c r="G1907" s="8" t="str">
        <f ca="1">IFERROR(__xludf.DUMMYFUNCTION("""COMPUTED_VALUE"""),"None")</f>
        <v>None</v>
      </c>
    </row>
    <row r="1908" spans="1:7" ht="12.75">
      <c r="A1908" s="8" t="str">
        <f ca="1">IFERROR(__xludf.DUMMYFUNCTION("""COMPUTED_VALUE"""),"19921104MIFID")</f>
        <v>19921104MIFID</v>
      </c>
      <c r="B1908" s="8" t="str">
        <f ca="1">IFERROR(__xludf.DUMMYFUNCTION("""COMPUTED_VALUE"""),"Minor")</f>
        <v>Minor</v>
      </c>
      <c r="C1908" s="8" t="str">
        <f ca="1">IFERROR(__xludf.DUMMYFUNCTION("""COMPUTED_VALUE"""),"Male")</f>
        <v>Male</v>
      </c>
      <c r="D1908" s="8" t="str">
        <f ca="1">IFERROR(__xludf.DUMMYFUNCTION("""COMPUTED_VALUE"""),"Student")</f>
        <v>Student</v>
      </c>
      <c r="E1908" s="8" t="str">
        <f ca="1">IFERROR(__xludf.DUMMYFUNCTION("""COMPUTED_VALUE"""),"Fled/Apprehended")</f>
        <v>Fled/Apprehended</v>
      </c>
      <c r="F1908" s="8" t="str">
        <f ca="1">IFERROR(__xludf.DUMMYFUNCTION("""COMPUTED_VALUE"""),"No")</f>
        <v>No</v>
      </c>
      <c r="G1908" s="8" t="str">
        <f ca="1">IFERROR(__xludf.DUMMYFUNCTION("""COMPUTED_VALUE"""),"None")</f>
        <v>None</v>
      </c>
    </row>
    <row r="1909" spans="1:7" ht="12.75">
      <c r="A1909" s="8" t="str">
        <f ca="1">IFERROR(__xludf.DUMMYFUNCTION("""COMPUTED_VALUE"""),"19921104MIFID")</f>
        <v>19921104MIFID</v>
      </c>
      <c r="B1909" s="8">
        <f ca="1">IFERROR(__xludf.DUMMYFUNCTION("""COMPUTED_VALUE"""),18)</f>
        <v>18</v>
      </c>
      <c r="C1909" s="8" t="str">
        <f ca="1">IFERROR(__xludf.DUMMYFUNCTION("""COMPUTED_VALUE"""),"Male")</f>
        <v>Male</v>
      </c>
      <c r="D1909" s="8" t="str">
        <f ca="1">IFERROR(__xludf.DUMMYFUNCTION("""COMPUTED_VALUE"""),"Student")</f>
        <v>Student</v>
      </c>
      <c r="E1909" s="8" t="str">
        <f ca="1">IFERROR(__xludf.DUMMYFUNCTION("""COMPUTED_VALUE"""),"Fled/Apprehended")</f>
        <v>Fled/Apprehended</v>
      </c>
      <c r="F1909" s="8" t="str">
        <f ca="1">IFERROR(__xludf.DUMMYFUNCTION("""COMPUTED_VALUE"""),"No")</f>
        <v>No</v>
      </c>
      <c r="G1909" s="8" t="str">
        <f ca="1">IFERROR(__xludf.DUMMYFUNCTION("""COMPUTED_VALUE"""),"None")</f>
        <v>None</v>
      </c>
    </row>
    <row r="1910" spans="1:7" ht="12.75">
      <c r="A1910" s="8" t="str">
        <f ca="1">IFERROR(__xludf.DUMMYFUNCTION("""COMPUTED_VALUE"""),"19921104MIFID")</f>
        <v>19921104MIFID</v>
      </c>
      <c r="B1910" s="8">
        <f ca="1">IFERROR(__xludf.DUMMYFUNCTION("""COMPUTED_VALUE"""),18)</f>
        <v>18</v>
      </c>
      <c r="C1910" s="8" t="str">
        <f ca="1">IFERROR(__xludf.DUMMYFUNCTION("""COMPUTED_VALUE"""),"Male")</f>
        <v>Male</v>
      </c>
      <c r="D1910" s="8" t="str">
        <f ca="1">IFERROR(__xludf.DUMMYFUNCTION("""COMPUTED_VALUE"""),"Student")</f>
        <v>Student</v>
      </c>
      <c r="E1910" s="8" t="str">
        <f ca="1">IFERROR(__xludf.DUMMYFUNCTION("""COMPUTED_VALUE"""),"Fled/Apprehended")</f>
        <v>Fled/Apprehended</v>
      </c>
      <c r="F1910" s="8" t="str">
        <f ca="1">IFERROR(__xludf.DUMMYFUNCTION("""COMPUTED_VALUE"""),"No")</f>
        <v>No</v>
      </c>
      <c r="G1910" s="8" t="str">
        <f ca="1">IFERROR(__xludf.DUMMYFUNCTION("""COMPUTED_VALUE"""),"None")</f>
        <v>None</v>
      </c>
    </row>
    <row r="1911" spans="1:7" ht="12.75">
      <c r="A1911" s="8" t="str">
        <f ca="1">IFERROR(__xludf.DUMMYFUNCTION("""COMPUTED_VALUE"""),"19921019NYEVB")</f>
        <v>19921019NYEVB</v>
      </c>
      <c r="B1911" s="8"/>
      <c r="C1911" s="8" t="str">
        <f ca="1">IFERROR(__xludf.DUMMYFUNCTION("""COMPUTED_VALUE"""),"Male")</f>
        <v>Male</v>
      </c>
      <c r="D1911" s="8" t="str">
        <f ca="1">IFERROR(__xludf.DUMMYFUNCTION("""COMPUTED_VALUE"""),"Student")</f>
        <v>Student</v>
      </c>
      <c r="E1911" s="8" t="str">
        <f ca="1">IFERROR(__xludf.DUMMYFUNCTION("""COMPUTED_VALUE"""),"Fled/Escaped")</f>
        <v>Fled/Escaped</v>
      </c>
      <c r="F1911" s="8" t="str">
        <f ca="1">IFERROR(__xludf.DUMMYFUNCTION("""COMPUTED_VALUE"""),"No")</f>
        <v>No</v>
      </c>
      <c r="G1911" s="8" t="str">
        <f ca="1">IFERROR(__xludf.DUMMYFUNCTION("""COMPUTED_VALUE"""),"None")</f>
        <v>None</v>
      </c>
    </row>
    <row r="1912" spans="1:7" ht="12.75">
      <c r="A1912" s="8" t="str">
        <f ca="1">IFERROR(__xludf.DUMMYFUNCTION("""COMPUTED_VALUE"""),"19921013AZDET")</f>
        <v>19921013AZDET</v>
      </c>
      <c r="B1912" s="8">
        <f ca="1">IFERROR(__xludf.DUMMYFUNCTION("""COMPUTED_VALUE"""),20)</f>
        <v>20</v>
      </c>
      <c r="C1912" s="8" t="str">
        <f ca="1">IFERROR(__xludf.DUMMYFUNCTION("""COMPUTED_VALUE"""),"Male")</f>
        <v>Male</v>
      </c>
      <c r="D1912" s="8" t="str">
        <f ca="1">IFERROR(__xludf.DUMMYFUNCTION("""COMPUTED_VALUE"""),"No Relation")</f>
        <v>No Relation</v>
      </c>
      <c r="E1912" s="8" t="str">
        <f ca="1">IFERROR(__xludf.DUMMYFUNCTION("""COMPUTED_VALUE"""),"Fled/Apprehended")</f>
        <v>Fled/Apprehended</v>
      </c>
      <c r="F1912" s="8" t="str">
        <f ca="1">IFERROR(__xludf.DUMMYFUNCTION("""COMPUTED_VALUE"""),"No")</f>
        <v>No</v>
      </c>
      <c r="G1912" s="8" t="str">
        <f ca="1">IFERROR(__xludf.DUMMYFUNCTION("""COMPUTED_VALUE"""),"None")</f>
        <v>None</v>
      </c>
    </row>
    <row r="1913" spans="1:7" ht="12.75">
      <c r="A1913" s="8" t="str">
        <f ca="1">IFERROR(__xludf.DUMMYFUNCTION("""COMPUTED_VALUE"""),"19920930TXHOH")</f>
        <v>19920930TXHOH</v>
      </c>
      <c r="B1913" s="8">
        <f ca="1">IFERROR(__xludf.DUMMYFUNCTION("""COMPUTED_VALUE"""),15)</f>
        <v>15</v>
      </c>
      <c r="C1913" s="8" t="str">
        <f ca="1">IFERROR(__xludf.DUMMYFUNCTION("""COMPUTED_VALUE"""),"Male")</f>
        <v>Male</v>
      </c>
      <c r="D1913" s="8" t="str">
        <f ca="1">IFERROR(__xludf.DUMMYFUNCTION("""COMPUTED_VALUE"""),"Student")</f>
        <v>Student</v>
      </c>
      <c r="E1913" s="8" t="str">
        <f ca="1">IFERROR(__xludf.DUMMYFUNCTION("""COMPUTED_VALUE"""),"Fled/Apprehended")</f>
        <v>Fled/Apprehended</v>
      </c>
      <c r="F1913" s="8" t="str">
        <f ca="1">IFERROR(__xludf.DUMMYFUNCTION("""COMPUTED_VALUE"""),"No")</f>
        <v>No</v>
      </c>
      <c r="G1913" s="8" t="str">
        <f ca="1">IFERROR(__xludf.DUMMYFUNCTION("""COMPUTED_VALUE"""),"None")</f>
        <v>None</v>
      </c>
    </row>
    <row r="1914" spans="1:7" ht="12.75">
      <c r="A1914" s="8" t="str">
        <f ca="1">IFERROR(__xludf.DUMMYFUNCTION("""COMPUTED_VALUE"""),"19920930CAPAL")</f>
        <v>19920930CAPAL</v>
      </c>
      <c r="B1914" s="8" t="str">
        <f ca="1">IFERROR(__xludf.DUMMYFUNCTION("""COMPUTED_VALUE"""),"Teen")</f>
        <v>Teen</v>
      </c>
      <c r="C1914" s="8" t="str">
        <f ca="1">IFERROR(__xludf.DUMMYFUNCTION("""COMPUTED_VALUE"""),"Male")</f>
        <v>Male</v>
      </c>
      <c r="D1914" s="8" t="str">
        <f ca="1">IFERROR(__xludf.DUMMYFUNCTION("""COMPUTED_VALUE"""),"Gang Member")</f>
        <v>Gang Member</v>
      </c>
      <c r="E1914" s="8" t="str">
        <f ca="1">IFERROR(__xludf.DUMMYFUNCTION("""COMPUTED_VALUE"""),"Fled/Escaped")</f>
        <v>Fled/Escaped</v>
      </c>
      <c r="F1914" s="8" t="str">
        <f ca="1">IFERROR(__xludf.DUMMYFUNCTION("""COMPUTED_VALUE"""),"No")</f>
        <v>No</v>
      </c>
      <c r="G1914" s="8" t="str">
        <f ca="1">IFERROR(__xludf.DUMMYFUNCTION("""COMPUTED_VALUE"""),"None")</f>
        <v>None</v>
      </c>
    </row>
    <row r="1915" spans="1:7" ht="12.75">
      <c r="A1915" s="8" t="str">
        <f ca="1">IFERROR(__xludf.DUMMYFUNCTION("""COMPUTED_VALUE"""),"19920928CAHIS")</f>
        <v>19920928CAHIS</v>
      </c>
      <c r="B1915" s="8">
        <f ca="1">IFERROR(__xludf.DUMMYFUNCTION("""COMPUTED_VALUE"""),18)</f>
        <v>18</v>
      </c>
      <c r="C1915" s="8" t="str">
        <f ca="1">IFERROR(__xludf.DUMMYFUNCTION("""COMPUTED_VALUE"""),"Male")</f>
        <v>Male</v>
      </c>
      <c r="D1915" s="8" t="str">
        <f ca="1">IFERROR(__xludf.DUMMYFUNCTION("""COMPUTED_VALUE"""),"Student")</f>
        <v>Student</v>
      </c>
      <c r="E1915" s="8" t="str">
        <f ca="1">IFERROR(__xludf.DUMMYFUNCTION("""COMPUTED_VALUE"""),"Fled/Apprehended")</f>
        <v>Fled/Apprehended</v>
      </c>
      <c r="F1915" s="8" t="str">
        <f ca="1">IFERROR(__xludf.DUMMYFUNCTION("""COMPUTED_VALUE"""),"No")</f>
        <v>No</v>
      </c>
      <c r="G1915" s="8" t="str">
        <f ca="1">IFERROR(__xludf.DUMMYFUNCTION("""COMPUTED_VALUE"""),"None")</f>
        <v>None</v>
      </c>
    </row>
    <row r="1916" spans="1:7" ht="12.75">
      <c r="A1916" s="8" t="str">
        <f ca="1">IFERROR(__xludf.DUMMYFUNCTION("""COMPUTED_VALUE"""),"19920928CAHIS")</f>
        <v>19920928CAHIS</v>
      </c>
      <c r="B1916" s="8">
        <f ca="1">IFERROR(__xludf.DUMMYFUNCTION("""COMPUTED_VALUE"""),19)</f>
        <v>19</v>
      </c>
      <c r="C1916" s="8" t="str">
        <f ca="1">IFERROR(__xludf.DUMMYFUNCTION("""COMPUTED_VALUE"""),"Male")</f>
        <v>Male</v>
      </c>
      <c r="D1916" s="8" t="str">
        <f ca="1">IFERROR(__xludf.DUMMYFUNCTION("""COMPUTED_VALUE"""),"Student")</f>
        <v>Student</v>
      </c>
      <c r="E1916" s="8" t="str">
        <f ca="1">IFERROR(__xludf.DUMMYFUNCTION("""COMPUTED_VALUE"""),"Fled/Apprehended")</f>
        <v>Fled/Apprehended</v>
      </c>
      <c r="F1916" s="8" t="str">
        <f ca="1">IFERROR(__xludf.DUMMYFUNCTION("""COMPUTED_VALUE"""),"No")</f>
        <v>No</v>
      </c>
      <c r="G1916" s="8" t="str">
        <f ca="1">IFERROR(__xludf.DUMMYFUNCTION("""COMPUTED_VALUE"""),"None")</f>
        <v>None</v>
      </c>
    </row>
    <row r="1917" spans="1:7" ht="12.75">
      <c r="A1917" s="8" t="str">
        <f ca="1">IFERROR(__xludf.DUMMYFUNCTION("""COMPUTED_VALUE"""),"19920928CAHIS")</f>
        <v>19920928CAHIS</v>
      </c>
      <c r="B1917" s="8">
        <f ca="1">IFERROR(__xludf.DUMMYFUNCTION("""COMPUTED_VALUE"""),20)</f>
        <v>20</v>
      </c>
      <c r="C1917" s="8" t="str">
        <f ca="1">IFERROR(__xludf.DUMMYFUNCTION("""COMPUTED_VALUE"""),"Male")</f>
        <v>Male</v>
      </c>
      <c r="D1917" s="8" t="str">
        <f ca="1">IFERROR(__xludf.DUMMYFUNCTION("""COMPUTED_VALUE"""),"Student")</f>
        <v>Student</v>
      </c>
      <c r="E1917" s="8" t="str">
        <f ca="1">IFERROR(__xludf.DUMMYFUNCTION("""COMPUTED_VALUE"""),"Fled/Apprehended")</f>
        <v>Fled/Apprehended</v>
      </c>
      <c r="F1917" s="8" t="str">
        <f ca="1">IFERROR(__xludf.DUMMYFUNCTION("""COMPUTED_VALUE"""),"No")</f>
        <v>No</v>
      </c>
      <c r="G1917" s="8" t="str">
        <f ca="1">IFERROR(__xludf.DUMMYFUNCTION("""COMPUTED_VALUE"""),"None")</f>
        <v>None</v>
      </c>
    </row>
    <row r="1918" spans="1:7" ht="12.75">
      <c r="A1918" s="8" t="str">
        <f ca="1">IFERROR(__xludf.DUMMYFUNCTION("""COMPUTED_VALUE"""),"19920911TXPAA")</f>
        <v>19920911TXPAA</v>
      </c>
      <c r="B1918" s="8">
        <f ca="1">IFERROR(__xludf.DUMMYFUNCTION("""COMPUTED_VALUE"""),17)</f>
        <v>17</v>
      </c>
      <c r="C1918" s="8" t="str">
        <f ca="1">IFERROR(__xludf.DUMMYFUNCTION("""COMPUTED_VALUE"""),"Male")</f>
        <v>Male</v>
      </c>
      <c r="D1918" s="8" t="str">
        <f ca="1">IFERROR(__xludf.DUMMYFUNCTION("""COMPUTED_VALUE"""),"Student")</f>
        <v>Student</v>
      </c>
      <c r="E1918" s="8" t="str">
        <f ca="1">IFERROR(__xludf.DUMMYFUNCTION("""COMPUTED_VALUE"""),"Fled/Apprehended")</f>
        <v>Fled/Apprehended</v>
      </c>
      <c r="F1918" s="8" t="str">
        <f ca="1">IFERROR(__xludf.DUMMYFUNCTION("""COMPUTED_VALUE"""),"No")</f>
        <v>No</v>
      </c>
      <c r="G1918" s="8" t="str">
        <f ca="1">IFERROR(__xludf.DUMMYFUNCTION("""COMPUTED_VALUE"""),"None")</f>
        <v>None</v>
      </c>
    </row>
    <row r="1919" spans="1:7" ht="12.75">
      <c r="A1919" s="8" t="str">
        <f ca="1">IFERROR(__xludf.DUMMYFUNCTION("""COMPUTED_VALUE"""),"19920606CAMEM")</f>
        <v>19920606CAMEM</v>
      </c>
      <c r="B1919" s="8">
        <f ca="1">IFERROR(__xludf.DUMMYFUNCTION("""COMPUTED_VALUE"""),17)</f>
        <v>17</v>
      </c>
      <c r="C1919" s="8" t="str">
        <f ca="1">IFERROR(__xludf.DUMMYFUNCTION("""COMPUTED_VALUE"""),"Male")</f>
        <v>Male</v>
      </c>
      <c r="D1919" s="8" t="str">
        <f ca="1">IFERROR(__xludf.DUMMYFUNCTION("""COMPUTED_VALUE"""),"Student")</f>
        <v>Student</v>
      </c>
      <c r="E1919" s="8" t="str">
        <f ca="1">IFERROR(__xludf.DUMMYFUNCTION("""COMPUTED_VALUE"""),"Fled/Escaped")</f>
        <v>Fled/Escaped</v>
      </c>
      <c r="F1919" s="8" t="str">
        <f ca="1">IFERROR(__xludf.DUMMYFUNCTION("""COMPUTED_VALUE"""),"No")</f>
        <v>No</v>
      </c>
      <c r="G1919" s="8" t="str">
        <f ca="1">IFERROR(__xludf.DUMMYFUNCTION("""COMPUTED_VALUE"""),"None")</f>
        <v>None</v>
      </c>
    </row>
    <row r="1920" spans="1:7" ht="12.75">
      <c r="A1920" s="8" t="str">
        <f ca="1">IFERROR(__xludf.DUMMYFUNCTION("""COMPUTED_VALUE"""),"19920530DCARW")</f>
        <v>19920530DCARW</v>
      </c>
      <c r="B1920" s="8"/>
      <c r="C1920" s="8" t="str">
        <f ca="1">IFERROR(__xludf.DUMMYFUNCTION("""COMPUTED_VALUE"""),"Male")</f>
        <v>Male</v>
      </c>
      <c r="D1920" s="8"/>
      <c r="E1920" s="8" t="str">
        <f ca="1">IFERROR(__xludf.DUMMYFUNCTION("""COMPUTED_VALUE"""),"Fled/Escaped")</f>
        <v>Fled/Escaped</v>
      </c>
      <c r="F1920" s="8" t="str">
        <f ca="1">IFERROR(__xludf.DUMMYFUNCTION("""COMPUTED_VALUE"""),"No")</f>
        <v>No</v>
      </c>
      <c r="G1920" s="8" t="str">
        <f ca="1">IFERROR(__xludf.DUMMYFUNCTION("""COMPUTED_VALUE"""),"None")</f>
        <v>None</v>
      </c>
    </row>
    <row r="1921" spans="1:7" ht="12.75">
      <c r="A1921" s="8" t="str">
        <f ca="1">IFERROR(__xludf.DUMMYFUNCTION("""COMPUTED_VALUE"""),"19920529CAVEL")</f>
        <v>19920529CAVEL</v>
      </c>
      <c r="B1921" s="8"/>
      <c r="C1921" s="8"/>
      <c r="D1921" s="8" t="str">
        <f ca="1">IFERROR(__xludf.DUMMYFUNCTION("""COMPUTED_VALUE"""),"Unknown")</f>
        <v>Unknown</v>
      </c>
      <c r="E1921" s="8" t="str">
        <f ca="1">IFERROR(__xludf.DUMMYFUNCTION("""COMPUTED_VALUE"""),"Fled/Escaped")</f>
        <v>Fled/Escaped</v>
      </c>
      <c r="F1921" s="8" t="str">
        <f ca="1">IFERROR(__xludf.DUMMYFUNCTION("""COMPUTED_VALUE"""),"No")</f>
        <v>No</v>
      </c>
      <c r="G1921" s="8" t="str">
        <f ca="1">IFERROR(__xludf.DUMMYFUNCTION("""COMPUTED_VALUE"""),"None")</f>
        <v>None</v>
      </c>
    </row>
    <row r="1922" spans="1:7" ht="12.75">
      <c r="A1922" s="8" t="str">
        <f ca="1">IFERROR(__xludf.DUMMYFUNCTION("""COMPUTED_VALUE"""),"19920514TXHUH")</f>
        <v>19920514TXHUH</v>
      </c>
      <c r="B1922" s="8">
        <f ca="1">IFERROR(__xludf.DUMMYFUNCTION("""COMPUTED_VALUE"""),14)</f>
        <v>14</v>
      </c>
      <c r="C1922" s="8" t="str">
        <f ca="1">IFERROR(__xludf.DUMMYFUNCTION("""COMPUTED_VALUE"""),"Male")</f>
        <v>Male</v>
      </c>
      <c r="D1922" s="8" t="str">
        <f ca="1">IFERROR(__xludf.DUMMYFUNCTION("""COMPUTED_VALUE"""),"Student")</f>
        <v>Student</v>
      </c>
      <c r="E1922" s="8" t="str">
        <f ca="1">IFERROR(__xludf.DUMMYFUNCTION("""COMPUTED_VALUE"""),"Surrendered")</f>
        <v>Surrendered</v>
      </c>
      <c r="F1922" s="8" t="str">
        <f ca="1">IFERROR(__xludf.DUMMYFUNCTION("""COMPUTED_VALUE"""),"No")</f>
        <v>No</v>
      </c>
      <c r="G1922" s="8" t="str">
        <f ca="1">IFERROR(__xludf.DUMMYFUNCTION("""COMPUTED_VALUE"""),"None")</f>
        <v>None</v>
      </c>
    </row>
    <row r="1923" spans="1:7" ht="12.75">
      <c r="A1923" s="8" t="str">
        <f ca="1">IFERROR(__xludf.DUMMYFUNCTION("""COMPUTED_VALUE"""),"19920514CASIN")</f>
        <v>19920514CASIN</v>
      </c>
      <c r="B1923" s="8">
        <f ca="1">IFERROR(__xludf.DUMMYFUNCTION("""COMPUTED_VALUE"""),14)</f>
        <v>14</v>
      </c>
      <c r="C1923" s="8" t="str">
        <f ca="1">IFERROR(__xludf.DUMMYFUNCTION("""COMPUTED_VALUE"""),"Male")</f>
        <v>Male</v>
      </c>
      <c r="D1923" s="8" t="str">
        <f ca="1">IFERROR(__xludf.DUMMYFUNCTION("""COMPUTED_VALUE"""),"Student")</f>
        <v>Student</v>
      </c>
      <c r="E1923" s="8" t="str">
        <f ca="1">IFERROR(__xludf.DUMMYFUNCTION("""COMPUTED_VALUE"""),"Surrendered")</f>
        <v>Surrendered</v>
      </c>
      <c r="F1923" s="8" t="str">
        <f ca="1">IFERROR(__xludf.DUMMYFUNCTION("""COMPUTED_VALUE"""),"No")</f>
        <v>No</v>
      </c>
      <c r="G1923" s="8" t="str">
        <f ca="1">IFERROR(__xludf.DUMMYFUNCTION("""COMPUTED_VALUE"""),"None")</f>
        <v>None</v>
      </c>
    </row>
    <row r="1924" spans="1:7" ht="12.75">
      <c r="A1924" s="8" t="str">
        <f ca="1">IFERROR(__xludf.DUMMYFUNCTION("""COMPUTED_VALUE"""),"19920501CALIO")</f>
        <v>19920501CALIO</v>
      </c>
      <c r="B1924" s="8">
        <f ca="1">IFERROR(__xludf.DUMMYFUNCTION("""COMPUTED_VALUE"""),20)</f>
        <v>20</v>
      </c>
      <c r="C1924" s="8" t="str">
        <f ca="1">IFERROR(__xludf.DUMMYFUNCTION("""COMPUTED_VALUE"""),"Male")</f>
        <v>Male</v>
      </c>
      <c r="D1924" s="8" t="str">
        <f ca="1">IFERROR(__xludf.DUMMYFUNCTION("""COMPUTED_VALUE"""),"Former Student")</f>
        <v>Former Student</v>
      </c>
      <c r="E1924" s="8" t="str">
        <f ca="1">IFERROR(__xludf.DUMMYFUNCTION("""COMPUTED_VALUE"""),"Surrendered")</f>
        <v>Surrendered</v>
      </c>
      <c r="F1924" s="8" t="str">
        <f ca="1">IFERROR(__xludf.DUMMYFUNCTION("""COMPUTED_VALUE"""),"No")</f>
        <v>No</v>
      </c>
      <c r="G1924" s="8" t="str">
        <f ca="1">IFERROR(__xludf.DUMMYFUNCTION("""COMPUTED_VALUE"""),"None")</f>
        <v>None</v>
      </c>
    </row>
    <row r="1925" spans="1:7" ht="12.75">
      <c r="A1925" s="8" t="str">
        <f ca="1">IFERROR(__xludf.DUMMYFUNCTION("""COMPUTED_VALUE"""),"19920417TXLID")</f>
        <v>19920417TXLID</v>
      </c>
      <c r="B1925" s="8"/>
      <c r="C1925" s="8"/>
      <c r="D1925" s="8" t="str">
        <f ca="1">IFERROR(__xludf.DUMMYFUNCTION("""COMPUTED_VALUE"""),"Unknown")</f>
        <v>Unknown</v>
      </c>
      <c r="E1925" s="8" t="str">
        <f ca="1">IFERROR(__xludf.DUMMYFUNCTION("""COMPUTED_VALUE"""),"Surrendered")</f>
        <v>Surrendered</v>
      </c>
      <c r="F1925" s="8" t="str">
        <f ca="1">IFERROR(__xludf.DUMMYFUNCTION("""COMPUTED_VALUE"""),"No")</f>
        <v>No</v>
      </c>
      <c r="G1925" s="8" t="str">
        <f ca="1">IFERROR(__xludf.DUMMYFUNCTION("""COMPUTED_VALUE"""),"None")</f>
        <v>None</v>
      </c>
    </row>
    <row r="1926" spans="1:7" ht="12.75">
      <c r="A1926" s="8" t="str">
        <f ca="1">IFERROR(__xludf.DUMMYFUNCTION("""COMPUTED_VALUE"""),"19920409FLFOF")</f>
        <v>19920409FLFOF</v>
      </c>
      <c r="B1926" s="8">
        <f ca="1">IFERROR(__xludf.DUMMYFUNCTION("""COMPUTED_VALUE"""),16)</f>
        <v>16</v>
      </c>
      <c r="C1926" s="8" t="str">
        <f ca="1">IFERROR(__xludf.DUMMYFUNCTION("""COMPUTED_VALUE"""),"Male")</f>
        <v>Male</v>
      </c>
      <c r="D1926" s="8" t="str">
        <f ca="1">IFERROR(__xludf.DUMMYFUNCTION("""COMPUTED_VALUE"""),"Student")</f>
        <v>Student</v>
      </c>
      <c r="E1926" s="8" t="str">
        <f ca="1">IFERROR(__xludf.DUMMYFUNCTION("""COMPUTED_VALUE"""),"Fled/Apprehended")</f>
        <v>Fled/Apprehended</v>
      </c>
      <c r="F1926" s="8" t="str">
        <f ca="1">IFERROR(__xludf.DUMMYFUNCTION("""COMPUTED_VALUE"""),"No")</f>
        <v>No</v>
      </c>
      <c r="G1926" s="8" t="str">
        <f ca="1">IFERROR(__xludf.DUMMYFUNCTION("""COMPUTED_VALUE"""),"None")</f>
        <v>None</v>
      </c>
    </row>
    <row r="1927" spans="1:7" ht="12.75">
      <c r="A1927" s="8" t="str">
        <f ca="1">IFERROR(__xludf.DUMMYFUNCTION("""COMPUTED_VALUE"""),"19920331LAOPA")</f>
        <v>19920331LAOPA</v>
      </c>
      <c r="B1927" s="8">
        <f ca="1">IFERROR(__xludf.DUMMYFUNCTION("""COMPUTED_VALUE"""),15)</f>
        <v>15</v>
      </c>
      <c r="C1927" s="8" t="str">
        <f ca="1">IFERROR(__xludf.DUMMYFUNCTION("""COMPUTED_VALUE"""),"Male")</f>
        <v>Male</v>
      </c>
      <c r="D1927" s="8" t="str">
        <f ca="1">IFERROR(__xludf.DUMMYFUNCTION("""COMPUTED_VALUE"""),"Student")</f>
        <v>Student</v>
      </c>
      <c r="E1927" s="8" t="str">
        <f ca="1">IFERROR(__xludf.DUMMYFUNCTION("""COMPUTED_VALUE"""),"Surrendered")</f>
        <v>Surrendered</v>
      </c>
      <c r="F1927" s="8" t="str">
        <f ca="1">IFERROR(__xludf.DUMMYFUNCTION("""COMPUTED_VALUE"""),"No")</f>
        <v>No</v>
      </c>
      <c r="G1927" s="8" t="str">
        <f ca="1">IFERROR(__xludf.DUMMYFUNCTION("""COMPUTED_VALUE"""),"None")</f>
        <v>None</v>
      </c>
    </row>
    <row r="1928" spans="1:7" ht="12.75">
      <c r="A1928" s="8" t="str">
        <f ca="1">IFERROR(__xludf.DUMMYFUNCTION("""COMPUTED_VALUE"""),"19920305OHHAO")</f>
        <v>19920305OHHAO</v>
      </c>
      <c r="B1928" s="8">
        <f ca="1">IFERROR(__xludf.DUMMYFUNCTION("""COMPUTED_VALUE"""),12)</f>
        <v>12</v>
      </c>
      <c r="C1928" s="8" t="str">
        <f ca="1">IFERROR(__xludf.DUMMYFUNCTION("""COMPUTED_VALUE"""),"Male")</f>
        <v>Male</v>
      </c>
      <c r="D1928" s="8" t="str">
        <f ca="1">IFERROR(__xludf.DUMMYFUNCTION("""COMPUTED_VALUE"""),"Student")</f>
        <v>Student</v>
      </c>
      <c r="E1928" s="8" t="str">
        <f ca="1">IFERROR(__xludf.DUMMYFUNCTION("""COMPUTED_VALUE"""),"Fled/Apprehended")</f>
        <v>Fled/Apprehended</v>
      </c>
      <c r="F1928" s="8" t="str">
        <f ca="1">IFERROR(__xludf.DUMMYFUNCTION("""COMPUTED_VALUE"""),"No")</f>
        <v>No</v>
      </c>
      <c r="G1928" s="8" t="str">
        <f ca="1">IFERROR(__xludf.DUMMYFUNCTION("""COMPUTED_VALUE"""),"None")</f>
        <v>None</v>
      </c>
    </row>
    <row r="1929" spans="1:7" ht="12.75">
      <c r="A1929" s="8" t="str">
        <f ca="1">IFERROR(__xludf.DUMMYFUNCTION("""COMPUTED_VALUE"""),"19920226NYTHB")</f>
        <v>19920226NYTHB</v>
      </c>
      <c r="B1929" s="8">
        <f ca="1">IFERROR(__xludf.DUMMYFUNCTION("""COMPUTED_VALUE"""),15)</f>
        <v>15</v>
      </c>
      <c r="C1929" s="8" t="str">
        <f ca="1">IFERROR(__xludf.DUMMYFUNCTION("""COMPUTED_VALUE"""),"Male")</f>
        <v>Male</v>
      </c>
      <c r="D1929" s="8" t="str">
        <f ca="1">IFERROR(__xludf.DUMMYFUNCTION("""COMPUTED_VALUE"""),"Student")</f>
        <v>Student</v>
      </c>
      <c r="E1929" s="8" t="str">
        <f ca="1">IFERROR(__xludf.DUMMYFUNCTION("""COMPUTED_VALUE"""),"Fled/Apprehended")</f>
        <v>Fled/Apprehended</v>
      </c>
      <c r="F1929" s="8" t="str">
        <f ca="1">IFERROR(__xludf.DUMMYFUNCTION("""COMPUTED_VALUE"""),"No")</f>
        <v>No</v>
      </c>
      <c r="G1929" s="8" t="str">
        <f ca="1">IFERROR(__xludf.DUMMYFUNCTION("""COMPUTED_VALUE"""),"None")</f>
        <v>None</v>
      </c>
    </row>
    <row r="1930" spans="1:7" ht="12.75">
      <c r="A1930" s="8" t="str">
        <f ca="1">IFERROR(__xludf.DUMMYFUNCTION("""COMPUTED_VALUE"""),"19920207VABON")</f>
        <v>19920207VABON</v>
      </c>
      <c r="B1930" s="8"/>
      <c r="C1930" s="8" t="str">
        <f ca="1">IFERROR(__xludf.DUMMYFUNCTION("""COMPUTED_VALUE"""),"Male")</f>
        <v>Male</v>
      </c>
      <c r="D1930" s="8" t="str">
        <f ca="1">IFERROR(__xludf.DUMMYFUNCTION("""COMPUTED_VALUE"""),"No Relation")</f>
        <v>No Relation</v>
      </c>
      <c r="E1930" s="8" t="str">
        <f ca="1">IFERROR(__xludf.DUMMYFUNCTION("""COMPUTED_VALUE"""),"Fled/Escaped")</f>
        <v>Fled/Escaped</v>
      </c>
      <c r="F1930" s="8" t="str">
        <f ca="1">IFERROR(__xludf.DUMMYFUNCTION("""COMPUTED_VALUE"""),"No")</f>
        <v>No</v>
      </c>
      <c r="G1930" s="8" t="str">
        <f ca="1">IFERROR(__xludf.DUMMYFUNCTION("""COMPUTED_VALUE"""),"None")</f>
        <v>None</v>
      </c>
    </row>
    <row r="1931" spans="1:7" ht="12.75">
      <c r="A1931" s="8" t="str">
        <f ca="1">IFERROR(__xludf.DUMMYFUNCTION("""COMPUTED_VALUE"""),"19920206OKDOO")</f>
        <v>19920206OKDOO</v>
      </c>
      <c r="B1931" s="8">
        <f ca="1">IFERROR(__xludf.DUMMYFUNCTION("""COMPUTED_VALUE"""),14)</f>
        <v>14</v>
      </c>
      <c r="C1931" s="8" t="str">
        <f ca="1">IFERROR(__xludf.DUMMYFUNCTION("""COMPUTED_VALUE"""),"Male")</f>
        <v>Male</v>
      </c>
      <c r="D1931" s="8" t="str">
        <f ca="1">IFERROR(__xludf.DUMMYFUNCTION("""COMPUTED_VALUE"""),"Student")</f>
        <v>Student</v>
      </c>
      <c r="E1931" s="8" t="str">
        <f ca="1">IFERROR(__xludf.DUMMYFUNCTION("""COMPUTED_VALUE"""),"Unknown")</f>
        <v>Unknown</v>
      </c>
      <c r="F1931" s="8" t="str">
        <f ca="1">IFERROR(__xludf.DUMMYFUNCTION("""COMPUTED_VALUE"""),"No")</f>
        <v>No</v>
      </c>
      <c r="G1931" s="8" t="str">
        <f ca="1">IFERROR(__xludf.DUMMYFUNCTION("""COMPUTED_VALUE"""),"None")</f>
        <v>None</v>
      </c>
    </row>
    <row r="1932" spans="1:7" ht="12.75">
      <c r="A1932" s="8" t="str">
        <f ca="1">IFERROR(__xludf.DUMMYFUNCTION("""COMPUTED_VALUE"""),"19920131LAFRG")</f>
        <v>19920131LAFRG</v>
      </c>
      <c r="B1932" s="8" t="str">
        <f ca="1">IFERROR(__xludf.DUMMYFUNCTION("""COMPUTED_VALUE"""),"Teen")</f>
        <v>Teen</v>
      </c>
      <c r="C1932" s="8" t="str">
        <f ca="1">IFERROR(__xludf.DUMMYFUNCTION("""COMPUTED_VALUE"""),"Male")</f>
        <v>Male</v>
      </c>
      <c r="D1932" s="8" t="str">
        <f ca="1">IFERROR(__xludf.DUMMYFUNCTION("""COMPUTED_VALUE"""),"Student")</f>
        <v>Student</v>
      </c>
      <c r="E1932" s="8" t="str">
        <f ca="1">IFERROR(__xludf.DUMMYFUNCTION("""COMPUTED_VALUE"""),"Fled/Escaped")</f>
        <v>Fled/Escaped</v>
      </c>
      <c r="F1932" s="8" t="str">
        <f ca="1">IFERROR(__xludf.DUMMYFUNCTION("""COMPUTED_VALUE"""),"No")</f>
        <v>No</v>
      </c>
      <c r="G1932" s="8" t="str">
        <f ca="1">IFERROR(__xludf.DUMMYFUNCTION("""COMPUTED_VALUE"""),"None")</f>
        <v>None</v>
      </c>
    </row>
    <row r="1933" spans="1:7" ht="12.75">
      <c r="A1933" s="8" t="str">
        <f ca="1">IFERROR(__xludf.DUMMYFUNCTION("""COMPUTED_VALUE"""),"19920128LAFRG")</f>
        <v>19920128LAFRG</v>
      </c>
      <c r="B1933" s="8" t="str">
        <f ca="1">IFERROR(__xludf.DUMMYFUNCTION("""COMPUTED_VALUE"""),"Teen")</f>
        <v>Teen</v>
      </c>
      <c r="C1933" s="8" t="str">
        <f ca="1">IFERROR(__xludf.DUMMYFUNCTION("""COMPUTED_VALUE"""),"Male")</f>
        <v>Male</v>
      </c>
      <c r="D1933" s="8" t="str">
        <f ca="1">IFERROR(__xludf.DUMMYFUNCTION("""COMPUTED_VALUE"""),"Student")</f>
        <v>Student</v>
      </c>
      <c r="E1933" s="8" t="str">
        <f ca="1">IFERROR(__xludf.DUMMYFUNCTION("""COMPUTED_VALUE"""),"Fled/Escaped")</f>
        <v>Fled/Escaped</v>
      </c>
      <c r="F1933" s="8" t="str">
        <f ca="1">IFERROR(__xludf.DUMMYFUNCTION("""COMPUTED_VALUE"""),"No")</f>
        <v>No</v>
      </c>
      <c r="G1933" s="8" t="str">
        <f ca="1">IFERROR(__xludf.DUMMYFUNCTION("""COMPUTED_VALUE"""),"None")</f>
        <v>None</v>
      </c>
    </row>
    <row r="1934" spans="1:7" ht="12.75">
      <c r="A1934" s="8" t="str">
        <f ca="1">IFERROR(__xludf.DUMMYFUNCTION("""COMPUTED_VALUE"""),"19920117SCGRG")</f>
        <v>19920117SCGRG</v>
      </c>
      <c r="B1934" s="8">
        <f ca="1">IFERROR(__xludf.DUMMYFUNCTION("""COMPUTED_VALUE"""),16)</f>
        <v>16</v>
      </c>
      <c r="C1934" s="8" t="str">
        <f ca="1">IFERROR(__xludf.DUMMYFUNCTION("""COMPUTED_VALUE"""),"Male")</f>
        <v>Male</v>
      </c>
      <c r="D1934" s="8" t="str">
        <f ca="1">IFERROR(__xludf.DUMMYFUNCTION("""COMPUTED_VALUE"""),"Student")</f>
        <v>Student</v>
      </c>
      <c r="E1934" s="8" t="str">
        <f ca="1">IFERROR(__xludf.DUMMYFUNCTION("""COMPUTED_VALUE"""),"Fled/Apprehended")</f>
        <v>Fled/Apprehended</v>
      </c>
      <c r="F1934" s="8" t="str">
        <f ca="1">IFERROR(__xludf.DUMMYFUNCTION("""COMPUTED_VALUE"""),"No")</f>
        <v>No</v>
      </c>
      <c r="G1934" s="8" t="str">
        <f ca="1">IFERROR(__xludf.DUMMYFUNCTION("""COMPUTED_VALUE"""),"None")</f>
        <v>None</v>
      </c>
    </row>
    <row r="1935" spans="1:7" ht="12.75">
      <c r="A1935" s="8" t="str">
        <f ca="1">IFERROR(__xludf.DUMMYFUNCTION("""COMPUTED_VALUE"""),"19911226NCWHW")</f>
        <v>19911226NCWHW</v>
      </c>
      <c r="B1935" s="8">
        <f ca="1">IFERROR(__xludf.DUMMYFUNCTION("""COMPUTED_VALUE"""),18)</f>
        <v>18</v>
      </c>
      <c r="C1935" s="8" t="str">
        <f ca="1">IFERROR(__xludf.DUMMYFUNCTION("""COMPUTED_VALUE"""),"Male")</f>
        <v>Male</v>
      </c>
      <c r="D1935" s="8" t="str">
        <f ca="1">IFERROR(__xludf.DUMMYFUNCTION("""COMPUTED_VALUE"""),"Nonstudent Using Athletic Facilities/Attending Game")</f>
        <v>Nonstudent Using Athletic Facilities/Attending Game</v>
      </c>
      <c r="E1935" s="8" t="str">
        <f ca="1">IFERROR(__xludf.DUMMYFUNCTION("""COMPUTED_VALUE"""),"Fled/Apprehended")</f>
        <v>Fled/Apprehended</v>
      </c>
      <c r="F1935" s="8" t="str">
        <f ca="1">IFERROR(__xludf.DUMMYFUNCTION("""COMPUTED_VALUE"""),"No")</f>
        <v>No</v>
      </c>
      <c r="G1935" s="8" t="str">
        <f ca="1">IFERROR(__xludf.DUMMYFUNCTION("""COMPUTED_VALUE"""),"None")</f>
        <v>None</v>
      </c>
    </row>
    <row r="1936" spans="1:7" ht="12.75">
      <c r="A1936" s="8" t="str">
        <f ca="1">IFERROR(__xludf.DUMMYFUNCTION("""COMPUTED_VALUE"""),"19911125NYTHB")</f>
        <v>19911125NYTHB</v>
      </c>
      <c r="B1936" s="8">
        <f ca="1">IFERROR(__xludf.DUMMYFUNCTION("""COMPUTED_VALUE"""),14)</f>
        <v>14</v>
      </c>
      <c r="C1936" s="8" t="str">
        <f ca="1">IFERROR(__xludf.DUMMYFUNCTION("""COMPUTED_VALUE"""),"Male")</f>
        <v>Male</v>
      </c>
      <c r="D1936" s="8" t="str">
        <f ca="1">IFERROR(__xludf.DUMMYFUNCTION("""COMPUTED_VALUE"""),"Student")</f>
        <v>Student</v>
      </c>
      <c r="E1936" s="8" t="str">
        <f ca="1">IFERROR(__xludf.DUMMYFUNCTION("""COMPUTED_VALUE"""),"Fled/Apprehended")</f>
        <v>Fled/Apprehended</v>
      </c>
      <c r="F1936" s="8" t="str">
        <f ca="1">IFERROR(__xludf.DUMMYFUNCTION("""COMPUTED_VALUE"""),"No")</f>
        <v>No</v>
      </c>
      <c r="G1936" s="8" t="str">
        <f ca="1">IFERROR(__xludf.DUMMYFUNCTION("""COMPUTED_VALUE"""),"None")</f>
        <v>None</v>
      </c>
    </row>
    <row r="1937" spans="1:7" ht="12.75">
      <c r="A1937" s="8" t="str">
        <f ca="1">IFERROR(__xludf.DUMMYFUNCTION("""COMPUTED_VALUE"""),"19911114TXMIH")</f>
        <v>19911114TXMIH</v>
      </c>
      <c r="B1937" s="8">
        <f ca="1">IFERROR(__xludf.DUMMYFUNCTION("""COMPUTED_VALUE"""),16)</f>
        <v>16</v>
      </c>
      <c r="C1937" s="8" t="str">
        <f ca="1">IFERROR(__xludf.DUMMYFUNCTION("""COMPUTED_VALUE"""),"Male")</f>
        <v>Male</v>
      </c>
      <c r="D1937" s="8" t="str">
        <f ca="1">IFERROR(__xludf.DUMMYFUNCTION("""COMPUTED_VALUE"""),"Student")</f>
        <v>Student</v>
      </c>
      <c r="E1937" s="8" t="str">
        <f ca="1">IFERROR(__xludf.DUMMYFUNCTION("""COMPUTED_VALUE"""),"Apprehended/Killed by SRO")</f>
        <v>Apprehended/Killed by SRO</v>
      </c>
      <c r="F1937" s="8" t="str">
        <f ca="1">IFERROR(__xludf.DUMMYFUNCTION("""COMPUTED_VALUE"""),"No")</f>
        <v>No</v>
      </c>
      <c r="G1937" s="8" t="str">
        <f ca="1">IFERROR(__xludf.DUMMYFUNCTION("""COMPUTED_VALUE"""),"None")</f>
        <v>None</v>
      </c>
    </row>
    <row r="1938" spans="1:7" ht="12.75">
      <c r="A1938" s="8" t="str">
        <f ca="1">IFERROR(__xludf.DUMMYFUNCTION("""COMPUTED_VALUE"""),"19911111TXYSE")</f>
        <v>19911111TXYSE</v>
      </c>
      <c r="B1938" s="8">
        <f ca="1">IFERROR(__xludf.DUMMYFUNCTION("""COMPUTED_VALUE"""),19)</f>
        <v>19</v>
      </c>
      <c r="C1938" s="8" t="str">
        <f ca="1">IFERROR(__xludf.DUMMYFUNCTION("""COMPUTED_VALUE"""),"Male")</f>
        <v>Male</v>
      </c>
      <c r="D1938" s="8" t="str">
        <f ca="1">IFERROR(__xludf.DUMMYFUNCTION("""COMPUTED_VALUE"""),"Former Student")</f>
        <v>Former Student</v>
      </c>
      <c r="E1938" s="8" t="str">
        <f ca="1">IFERROR(__xludf.DUMMYFUNCTION("""COMPUTED_VALUE"""),"Fled/Apprehended")</f>
        <v>Fled/Apprehended</v>
      </c>
      <c r="F1938" s="8" t="str">
        <f ca="1">IFERROR(__xludf.DUMMYFUNCTION("""COMPUTED_VALUE"""),"No")</f>
        <v>No</v>
      </c>
      <c r="G1938" s="8" t="str">
        <f ca="1">IFERROR(__xludf.DUMMYFUNCTION("""COMPUTED_VALUE"""),"None")</f>
        <v>None</v>
      </c>
    </row>
    <row r="1939" spans="1:7" ht="12.75">
      <c r="A1939" s="8" t="str">
        <f ca="1">IFERROR(__xludf.DUMMYFUNCTION("""COMPUTED_VALUE"""),"19911111TXYSE")</f>
        <v>19911111TXYSE</v>
      </c>
      <c r="B1939" s="8">
        <f ca="1">IFERROR(__xludf.DUMMYFUNCTION("""COMPUTED_VALUE"""),17)</f>
        <v>17</v>
      </c>
      <c r="C1939" s="8" t="str">
        <f ca="1">IFERROR(__xludf.DUMMYFUNCTION("""COMPUTED_VALUE"""),"Male")</f>
        <v>Male</v>
      </c>
      <c r="D1939" s="8" t="str">
        <f ca="1">IFERROR(__xludf.DUMMYFUNCTION("""COMPUTED_VALUE"""),"Former Student")</f>
        <v>Former Student</v>
      </c>
      <c r="E1939" s="8" t="str">
        <f ca="1">IFERROR(__xludf.DUMMYFUNCTION("""COMPUTED_VALUE"""),"Fled/Apprehended")</f>
        <v>Fled/Apprehended</v>
      </c>
      <c r="F1939" s="8" t="str">
        <f ca="1">IFERROR(__xludf.DUMMYFUNCTION("""COMPUTED_VALUE"""),"No")</f>
        <v>No</v>
      </c>
      <c r="G1939" s="8" t="str">
        <f ca="1">IFERROR(__xludf.DUMMYFUNCTION("""COMPUTED_VALUE"""),"None")</f>
        <v>None</v>
      </c>
    </row>
    <row r="1940" spans="1:7" ht="12.75">
      <c r="A1940" s="8" t="str">
        <f ca="1">IFERROR(__xludf.DUMMYFUNCTION("""COMPUTED_VALUE"""),"19911111TXYSE")</f>
        <v>19911111TXYSE</v>
      </c>
      <c r="B1940" s="8">
        <f ca="1">IFERROR(__xludf.DUMMYFUNCTION("""COMPUTED_VALUE"""),18)</f>
        <v>18</v>
      </c>
      <c r="C1940" s="8" t="str">
        <f ca="1">IFERROR(__xludf.DUMMYFUNCTION("""COMPUTED_VALUE"""),"Male")</f>
        <v>Male</v>
      </c>
      <c r="D1940" s="8" t="str">
        <f ca="1">IFERROR(__xludf.DUMMYFUNCTION("""COMPUTED_VALUE"""),"Former Student")</f>
        <v>Former Student</v>
      </c>
      <c r="E1940" s="8" t="str">
        <f ca="1">IFERROR(__xludf.DUMMYFUNCTION("""COMPUTED_VALUE"""),"Fled/Apprehended")</f>
        <v>Fled/Apprehended</v>
      </c>
      <c r="F1940" s="8" t="str">
        <f ca="1">IFERROR(__xludf.DUMMYFUNCTION("""COMPUTED_VALUE"""),"No")</f>
        <v>No</v>
      </c>
      <c r="G1940" s="8" t="str">
        <f ca="1">IFERROR(__xludf.DUMMYFUNCTION("""COMPUTED_VALUE"""),"None")</f>
        <v>None</v>
      </c>
    </row>
    <row r="1941" spans="1:7" ht="12.75">
      <c r="A1941" s="8" t="str">
        <f ca="1">IFERROR(__xludf.DUMMYFUNCTION("""COMPUTED_VALUE"""),"19911111TXYSE")</f>
        <v>19911111TXYSE</v>
      </c>
      <c r="B1941" s="8">
        <f ca="1">IFERROR(__xludf.DUMMYFUNCTION("""COMPUTED_VALUE"""),17)</f>
        <v>17</v>
      </c>
      <c r="C1941" s="8" t="str">
        <f ca="1">IFERROR(__xludf.DUMMYFUNCTION("""COMPUTED_VALUE"""),"Male")</f>
        <v>Male</v>
      </c>
      <c r="D1941" s="8" t="str">
        <f ca="1">IFERROR(__xludf.DUMMYFUNCTION("""COMPUTED_VALUE"""),"Former Student")</f>
        <v>Former Student</v>
      </c>
      <c r="E1941" s="8" t="str">
        <f ca="1">IFERROR(__xludf.DUMMYFUNCTION("""COMPUTED_VALUE"""),"Fled/Apprehended")</f>
        <v>Fled/Apprehended</v>
      </c>
      <c r="F1941" s="8" t="str">
        <f ca="1">IFERROR(__xludf.DUMMYFUNCTION("""COMPUTED_VALUE"""),"No")</f>
        <v>No</v>
      </c>
      <c r="G1941" s="8" t="str">
        <f ca="1">IFERROR(__xludf.DUMMYFUNCTION("""COMPUTED_VALUE"""),"None")</f>
        <v>None</v>
      </c>
    </row>
    <row r="1942" spans="1:7" ht="12.75">
      <c r="A1942" s="8" t="str">
        <f ca="1">IFERROR(__xludf.DUMMYFUNCTION("""COMPUTED_VALUE"""),"19911106LAWAN")</f>
        <v>19911106LAWAN</v>
      </c>
      <c r="B1942" s="8">
        <f ca="1">IFERROR(__xludf.DUMMYFUNCTION("""COMPUTED_VALUE"""),18)</f>
        <v>18</v>
      </c>
      <c r="C1942" s="8" t="str">
        <f ca="1">IFERROR(__xludf.DUMMYFUNCTION("""COMPUTED_VALUE"""),"Male")</f>
        <v>Male</v>
      </c>
      <c r="D1942" s="8" t="str">
        <f ca="1">IFERROR(__xludf.DUMMYFUNCTION("""COMPUTED_VALUE"""),"Student")</f>
        <v>Student</v>
      </c>
      <c r="E1942" s="8" t="str">
        <f ca="1">IFERROR(__xludf.DUMMYFUNCTION("""COMPUTED_VALUE"""),"Fled/Escaped")</f>
        <v>Fled/Escaped</v>
      </c>
      <c r="F1942" s="8" t="str">
        <f ca="1">IFERROR(__xludf.DUMMYFUNCTION("""COMPUTED_VALUE"""),"No")</f>
        <v>No</v>
      </c>
      <c r="G1942" s="8" t="str">
        <f ca="1">IFERROR(__xludf.DUMMYFUNCTION("""COMPUTED_VALUE"""),"None")</f>
        <v>None</v>
      </c>
    </row>
    <row r="1943" spans="1:7" ht="12.75">
      <c r="A1943" s="8" t="str">
        <f ca="1">IFERROR(__xludf.DUMMYFUNCTION("""COMPUTED_VALUE"""),"19911023TXOAD")</f>
        <v>19911023TXOAD</v>
      </c>
      <c r="B1943" s="8">
        <f ca="1">IFERROR(__xludf.DUMMYFUNCTION("""COMPUTED_VALUE"""),18)</f>
        <v>18</v>
      </c>
      <c r="C1943" s="8" t="str">
        <f ca="1">IFERROR(__xludf.DUMMYFUNCTION("""COMPUTED_VALUE"""),"Male")</f>
        <v>Male</v>
      </c>
      <c r="D1943" s="8" t="str">
        <f ca="1">IFERROR(__xludf.DUMMYFUNCTION("""COMPUTED_VALUE"""),"Relative")</f>
        <v>Relative</v>
      </c>
      <c r="E1943" s="8" t="str">
        <f ca="1">IFERROR(__xludf.DUMMYFUNCTION("""COMPUTED_VALUE"""),"Fled/Apprehended")</f>
        <v>Fled/Apprehended</v>
      </c>
      <c r="F1943" s="8" t="str">
        <f ca="1">IFERROR(__xludf.DUMMYFUNCTION("""COMPUTED_VALUE"""),"No")</f>
        <v>No</v>
      </c>
      <c r="G1943" s="8" t="str">
        <f ca="1">IFERROR(__xludf.DUMMYFUNCTION("""COMPUTED_VALUE"""),"None")</f>
        <v>None</v>
      </c>
    </row>
    <row r="1944" spans="1:7" ht="12.75">
      <c r="A1944" s="8" t="str">
        <f ca="1">IFERROR(__xludf.DUMMYFUNCTION("""COMPUTED_VALUE"""),"19911015TXGEP")</f>
        <v>19911015TXGEP</v>
      </c>
      <c r="B1944" s="8">
        <f ca="1">IFERROR(__xludf.DUMMYFUNCTION("""COMPUTED_VALUE"""),13)</f>
        <v>13</v>
      </c>
      <c r="C1944" s="8" t="str">
        <f ca="1">IFERROR(__xludf.DUMMYFUNCTION("""COMPUTED_VALUE"""),"Male")</f>
        <v>Male</v>
      </c>
      <c r="D1944" s="8" t="str">
        <f ca="1">IFERROR(__xludf.DUMMYFUNCTION("""COMPUTED_VALUE"""),"No Relation")</f>
        <v>No Relation</v>
      </c>
      <c r="E1944" s="8" t="str">
        <f ca="1">IFERROR(__xludf.DUMMYFUNCTION("""COMPUTED_VALUE"""),"Unknown")</f>
        <v>Unknown</v>
      </c>
      <c r="F1944" s="8" t="str">
        <f ca="1">IFERROR(__xludf.DUMMYFUNCTION("""COMPUTED_VALUE"""),"No")</f>
        <v>No</v>
      </c>
      <c r="G1944" s="8" t="str">
        <f ca="1">IFERROR(__xludf.DUMMYFUNCTION("""COMPUTED_VALUE"""),"None")</f>
        <v>None</v>
      </c>
    </row>
    <row r="1945" spans="1:7" ht="12.75">
      <c r="A1945" s="8" t="str">
        <f ca="1">IFERROR(__xludf.DUMMYFUNCTION("""COMPUTED_VALUE"""),"19911015SCWOW")</f>
        <v>19911015SCWOW</v>
      </c>
      <c r="B1945" s="8">
        <f ca="1">IFERROR(__xludf.DUMMYFUNCTION("""COMPUTED_VALUE"""),15)</f>
        <v>15</v>
      </c>
      <c r="C1945" s="8" t="str">
        <f ca="1">IFERROR(__xludf.DUMMYFUNCTION("""COMPUTED_VALUE"""),"Male")</f>
        <v>Male</v>
      </c>
      <c r="D1945" s="8" t="str">
        <f ca="1">IFERROR(__xludf.DUMMYFUNCTION("""COMPUTED_VALUE"""),"Student")</f>
        <v>Student</v>
      </c>
      <c r="E1945" s="8" t="str">
        <f ca="1">IFERROR(__xludf.DUMMYFUNCTION("""COMPUTED_VALUE"""),"Fled/Apprehended")</f>
        <v>Fled/Apprehended</v>
      </c>
      <c r="F1945" s="8" t="str">
        <f ca="1">IFERROR(__xludf.DUMMYFUNCTION("""COMPUTED_VALUE"""),"No")</f>
        <v>No</v>
      </c>
      <c r="G1945" s="8" t="str">
        <f ca="1">IFERROR(__xludf.DUMMYFUNCTION("""COMPUTED_VALUE"""),"None")</f>
        <v>None</v>
      </c>
    </row>
    <row r="1946" spans="1:7" ht="12.75">
      <c r="A1946" s="8" t="str">
        <f ca="1">IFERROR(__xludf.DUMMYFUNCTION("""COMPUTED_VALUE"""),"19911015NHMOS")</f>
        <v>19911015NHMOS</v>
      </c>
      <c r="B1946" s="8">
        <f ca="1">IFERROR(__xludf.DUMMYFUNCTION("""COMPUTED_VALUE"""),16)</f>
        <v>16</v>
      </c>
      <c r="C1946" s="8" t="str">
        <f ca="1">IFERROR(__xludf.DUMMYFUNCTION("""COMPUTED_VALUE"""),"Male")</f>
        <v>Male</v>
      </c>
      <c r="D1946" s="8" t="str">
        <f ca="1">IFERROR(__xludf.DUMMYFUNCTION("""COMPUTED_VALUE"""),"Former Student")</f>
        <v>Former Student</v>
      </c>
      <c r="E1946" s="8" t="str">
        <f ca="1">IFERROR(__xludf.DUMMYFUNCTION("""COMPUTED_VALUE"""),"Apprehended/Killed by LE")</f>
        <v>Apprehended/Killed by LE</v>
      </c>
      <c r="F1946" s="8" t="str">
        <f ca="1">IFERROR(__xludf.DUMMYFUNCTION("""COMPUTED_VALUE"""),"No")</f>
        <v>No</v>
      </c>
      <c r="G1946" s="8" t="str">
        <f ca="1">IFERROR(__xludf.DUMMYFUNCTION("""COMPUTED_VALUE"""),"None")</f>
        <v>None</v>
      </c>
    </row>
    <row r="1947" spans="1:7" ht="12.75">
      <c r="A1947" s="8" t="str">
        <f ca="1">IFERROR(__xludf.DUMMYFUNCTION("""COMPUTED_VALUE"""),"19911011MAMAR")</f>
        <v>19911011MAMAR</v>
      </c>
      <c r="B1947" s="8">
        <f ca="1">IFERROR(__xludf.DUMMYFUNCTION("""COMPUTED_VALUE"""),18)</f>
        <v>18</v>
      </c>
      <c r="C1947" s="8" t="str">
        <f ca="1">IFERROR(__xludf.DUMMYFUNCTION("""COMPUTED_VALUE"""),"Male")</f>
        <v>Male</v>
      </c>
      <c r="D1947" s="8" t="str">
        <f ca="1">IFERROR(__xludf.DUMMYFUNCTION("""COMPUTED_VALUE"""),"Unknown")</f>
        <v>Unknown</v>
      </c>
      <c r="E1947" s="8" t="str">
        <f ca="1">IFERROR(__xludf.DUMMYFUNCTION("""COMPUTED_VALUE"""),"Fled/Escaped")</f>
        <v>Fled/Escaped</v>
      </c>
      <c r="F1947" s="8" t="str">
        <f ca="1">IFERROR(__xludf.DUMMYFUNCTION("""COMPUTED_VALUE"""),"No")</f>
        <v>No</v>
      </c>
      <c r="G1947" s="8" t="str">
        <f ca="1">IFERROR(__xludf.DUMMYFUNCTION("""COMPUTED_VALUE"""),"None")</f>
        <v>None</v>
      </c>
    </row>
    <row r="1948" spans="1:7" ht="12.75">
      <c r="A1948" s="8" t="str">
        <f ca="1">IFERROR(__xludf.DUMMYFUNCTION("""COMPUTED_VALUE"""),"19911009NYJAB")</f>
        <v>19911009NYJAB</v>
      </c>
      <c r="B1948" s="8"/>
      <c r="C1948" s="8" t="str">
        <f ca="1">IFERROR(__xludf.DUMMYFUNCTION("""COMPUTED_VALUE"""),"Male")</f>
        <v>Male</v>
      </c>
      <c r="D1948" s="8" t="str">
        <f ca="1">IFERROR(__xludf.DUMMYFUNCTION("""COMPUTED_VALUE"""),"Unknown")</f>
        <v>Unknown</v>
      </c>
      <c r="E1948" s="8" t="str">
        <f ca="1">IFERROR(__xludf.DUMMYFUNCTION("""COMPUTED_VALUE"""),"Fled/Escaped")</f>
        <v>Fled/Escaped</v>
      </c>
      <c r="F1948" s="8" t="str">
        <f ca="1">IFERROR(__xludf.DUMMYFUNCTION("""COMPUTED_VALUE"""),"No")</f>
        <v>No</v>
      </c>
      <c r="G1948" s="8" t="str">
        <f ca="1">IFERROR(__xludf.DUMMYFUNCTION("""COMPUTED_VALUE"""),"None")</f>
        <v>None</v>
      </c>
    </row>
    <row r="1949" spans="1:7" ht="12.75">
      <c r="A1949" s="8" t="str">
        <f ca="1">IFERROR(__xludf.DUMMYFUNCTION("""COMPUTED_VALUE"""),"19911004CAROL")</f>
        <v>19911004CAROL</v>
      </c>
      <c r="B1949" s="8"/>
      <c r="C1949" s="8"/>
      <c r="D1949" s="8" t="str">
        <f ca="1">IFERROR(__xludf.DUMMYFUNCTION("""COMPUTED_VALUE"""),"Nonstudent Using Athletic Facilities/Attending Game")</f>
        <v>Nonstudent Using Athletic Facilities/Attending Game</v>
      </c>
      <c r="E1949" s="8" t="str">
        <f ca="1">IFERROR(__xludf.DUMMYFUNCTION("""COMPUTED_VALUE"""),"Fled/Escaped")</f>
        <v>Fled/Escaped</v>
      </c>
      <c r="F1949" s="8" t="str">
        <f ca="1">IFERROR(__xludf.DUMMYFUNCTION("""COMPUTED_VALUE"""),"No")</f>
        <v>No</v>
      </c>
      <c r="G1949" s="8" t="str">
        <f ca="1">IFERROR(__xludf.DUMMYFUNCTION("""COMPUTED_VALUE"""),"None")</f>
        <v>None</v>
      </c>
    </row>
    <row r="1950" spans="1:7" ht="12.75">
      <c r="A1950" s="8" t="str">
        <f ca="1">IFERROR(__xludf.DUMMYFUNCTION("""COMPUTED_VALUE"""),"19911004CADOL")</f>
        <v>19911004CADOL</v>
      </c>
      <c r="B1950" s="8"/>
      <c r="C1950" s="8"/>
      <c r="D1950" s="8" t="str">
        <f ca="1">IFERROR(__xludf.DUMMYFUNCTION("""COMPUTED_VALUE"""),"Unknown")</f>
        <v>Unknown</v>
      </c>
      <c r="E1950" s="8" t="str">
        <f ca="1">IFERROR(__xludf.DUMMYFUNCTION("""COMPUTED_VALUE"""),"Fled/Escaped")</f>
        <v>Fled/Escaped</v>
      </c>
      <c r="F1950" s="8" t="str">
        <f ca="1">IFERROR(__xludf.DUMMYFUNCTION("""COMPUTED_VALUE"""),"No")</f>
        <v>No</v>
      </c>
      <c r="G1950" s="8" t="str">
        <f ca="1">IFERROR(__xludf.DUMMYFUNCTION("""COMPUTED_VALUE"""),"None")</f>
        <v>None</v>
      </c>
    </row>
    <row r="1951" spans="1:7" ht="12.75">
      <c r="A1951" s="8" t="str">
        <f ca="1">IFERROR(__xludf.DUMMYFUNCTION("""COMPUTED_VALUE"""),"19911002TXSPH")</f>
        <v>19911002TXSPH</v>
      </c>
      <c r="B1951" s="8">
        <f ca="1">IFERROR(__xludf.DUMMYFUNCTION("""COMPUTED_VALUE"""),16)</f>
        <v>16</v>
      </c>
      <c r="C1951" s="8" t="str">
        <f ca="1">IFERROR(__xludf.DUMMYFUNCTION("""COMPUTED_VALUE"""),"Male")</f>
        <v>Male</v>
      </c>
      <c r="D1951" s="8" t="str">
        <f ca="1">IFERROR(__xludf.DUMMYFUNCTION("""COMPUTED_VALUE"""),"Student")</f>
        <v>Student</v>
      </c>
      <c r="E1951" s="8" t="str">
        <f ca="1">IFERROR(__xludf.DUMMYFUNCTION("""COMPUTED_VALUE"""),"Fled/Escaped")</f>
        <v>Fled/Escaped</v>
      </c>
      <c r="F1951" s="8" t="str">
        <f ca="1">IFERROR(__xludf.DUMMYFUNCTION("""COMPUTED_VALUE"""),"No")</f>
        <v>No</v>
      </c>
      <c r="G1951" s="8" t="str">
        <f ca="1">IFERROR(__xludf.DUMMYFUNCTION("""COMPUTED_VALUE"""),"None")</f>
        <v>None</v>
      </c>
    </row>
    <row r="1952" spans="1:7" ht="12.75">
      <c r="A1952" s="8" t="str">
        <f ca="1">IFERROR(__xludf.DUMMYFUNCTION("""COMPUTED_VALUE"""),"19910918TXCRC")</f>
        <v>19910918TXCRC</v>
      </c>
      <c r="B1952" s="8">
        <f ca="1">IFERROR(__xludf.DUMMYFUNCTION("""COMPUTED_VALUE"""),15)</f>
        <v>15</v>
      </c>
      <c r="C1952" s="8" t="str">
        <f ca="1">IFERROR(__xludf.DUMMYFUNCTION("""COMPUTED_VALUE"""),"Female")</f>
        <v>Female</v>
      </c>
      <c r="D1952" s="8" t="str">
        <f ca="1">IFERROR(__xludf.DUMMYFUNCTION("""COMPUTED_VALUE"""),"Student")</f>
        <v>Student</v>
      </c>
      <c r="E1952" s="8" t="str">
        <f ca="1">IFERROR(__xludf.DUMMYFUNCTION("""COMPUTED_VALUE"""),"Unknown")</f>
        <v>Unknown</v>
      </c>
      <c r="F1952" s="8" t="str">
        <f ca="1">IFERROR(__xludf.DUMMYFUNCTION("""COMPUTED_VALUE"""),"No")</f>
        <v>No</v>
      </c>
      <c r="G1952" s="8" t="str">
        <f ca="1">IFERROR(__xludf.DUMMYFUNCTION("""COMPUTED_VALUE"""),"None")</f>
        <v>None</v>
      </c>
    </row>
    <row r="1953" spans="1:7" ht="12.75">
      <c r="A1953" s="8" t="str">
        <f ca="1">IFERROR(__xludf.DUMMYFUNCTION("""COMPUTED_VALUE"""),"19910917ILWOC")</f>
        <v>19910917ILWOC</v>
      </c>
      <c r="B1953" s="8">
        <f ca="1">IFERROR(__xludf.DUMMYFUNCTION("""COMPUTED_VALUE"""),14)</f>
        <v>14</v>
      </c>
      <c r="C1953" s="8" t="str">
        <f ca="1">IFERROR(__xludf.DUMMYFUNCTION("""COMPUTED_VALUE"""),"Male")</f>
        <v>Male</v>
      </c>
      <c r="D1953" s="8" t="str">
        <f ca="1">IFERROR(__xludf.DUMMYFUNCTION("""COMPUTED_VALUE"""),"Student")</f>
        <v>Student</v>
      </c>
      <c r="E1953" s="8" t="str">
        <f ca="1">IFERROR(__xludf.DUMMYFUNCTION("""COMPUTED_VALUE"""),"Fled/Apprehended")</f>
        <v>Fled/Apprehended</v>
      </c>
      <c r="F1953" s="8" t="str">
        <f ca="1">IFERROR(__xludf.DUMMYFUNCTION("""COMPUTED_VALUE"""),"No")</f>
        <v>No</v>
      </c>
      <c r="G1953" s="8" t="str">
        <f ca="1">IFERROR(__xludf.DUMMYFUNCTION("""COMPUTED_VALUE"""),"None")</f>
        <v>None</v>
      </c>
    </row>
    <row r="1954" spans="1:7" ht="12.75">
      <c r="A1954" s="8" t="str">
        <f ca="1">IFERROR(__xludf.DUMMYFUNCTION("""COMPUTED_VALUE"""),"19910913TXMAH")</f>
        <v>19910913TXMAH</v>
      </c>
      <c r="B1954" s="8"/>
      <c r="C1954" s="8"/>
      <c r="D1954" s="8" t="str">
        <f ca="1">IFERROR(__xludf.DUMMYFUNCTION("""COMPUTED_VALUE"""),"Nonstudent Using Athletic Facilities/Attending Game")</f>
        <v>Nonstudent Using Athletic Facilities/Attending Game</v>
      </c>
      <c r="E1954" s="8" t="str">
        <f ca="1">IFERROR(__xludf.DUMMYFUNCTION("""COMPUTED_VALUE"""),"Fled/Escaped")</f>
        <v>Fled/Escaped</v>
      </c>
      <c r="F1954" s="8" t="str">
        <f ca="1">IFERROR(__xludf.DUMMYFUNCTION("""COMPUTED_VALUE"""),"No")</f>
        <v>No</v>
      </c>
      <c r="G1954" s="8" t="str">
        <f ca="1">IFERROR(__xludf.DUMMYFUNCTION("""COMPUTED_VALUE"""),"None")</f>
        <v>None</v>
      </c>
    </row>
    <row r="1955" spans="1:7" ht="12.75">
      <c r="A1955" s="8" t="str">
        <f ca="1">IFERROR(__xludf.DUMMYFUNCTION("""COMPUTED_VALUE"""),"19910730CAENC")</f>
        <v>19910730CAENC</v>
      </c>
      <c r="B1955" s="8"/>
      <c r="C1955" s="8" t="str">
        <f ca="1">IFERROR(__xludf.DUMMYFUNCTION("""COMPUTED_VALUE"""),"Male")</f>
        <v>Male</v>
      </c>
      <c r="D1955" s="8" t="str">
        <f ca="1">IFERROR(__xludf.DUMMYFUNCTION("""COMPUTED_VALUE"""),"Student")</f>
        <v>Student</v>
      </c>
      <c r="E1955" s="8" t="str">
        <f ca="1">IFERROR(__xludf.DUMMYFUNCTION("""COMPUTED_VALUE"""),"Fled/Escaped")</f>
        <v>Fled/Escaped</v>
      </c>
      <c r="F1955" s="8" t="str">
        <f ca="1">IFERROR(__xludf.DUMMYFUNCTION("""COMPUTED_VALUE"""),"No")</f>
        <v>No</v>
      </c>
      <c r="G1955" s="8" t="str">
        <f ca="1">IFERROR(__xludf.DUMMYFUNCTION("""COMPUTED_VALUE"""),"None")</f>
        <v>None</v>
      </c>
    </row>
    <row r="1956" spans="1:7" ht="12.75">
      <c r="A1956" s="8" t="str">
        <f ca="1">IFERROR(__xludf.DUMMYFUNCTION("""COMPUTED_VALUE"""),"19910722CAWEL")</f>
        <v>19910722CAWEL</v>
      </c>
      <c r="B1956" s="8"/>
      <c r="C1956" s="8" t="str">
        <f ca="1">IFERROR(__xludf.DUMMYFUNCTION("""COMPUTED_VALUE"""),"Male")</f>
        <v>Male</v>
      </c>
      <c r="D1956" s="8" t="str">
        <f ca="1">IFERROR(__xludf.DUMMYFUNCTION("""COMPUTED_VALUE"""),"Unknown")</f>
        <v>Unknown</v>
      </c>
      <c r="E1956" s="8" t="str">
        <f ca="1">IFERROR(__xludf.DUMMYFUNCTION("""COMPUTED_VALUE"""),"Fled/Escaped")</f>
        <v>Fled/Escaped</v>
      </c>
      <c r="F1956" s="8" t="str">
        <f ca="1">IFERROR(__xludf.DUMMYFUNCTION("""COMPUTED_VALUE"""),"No")</f>
        <v>No</v>
      </c>
      <c r="G1956" s="8" t="str">
        <f ca="1">IFERROR(__xludf.DUMMYFUNCTION("""COMPUTED_VALUE"""),"None")</f>
        <v>None</v>
      </c>
    </row>
    <row r="1957" spans="1:7" ht="12.75">
      <c r="A1957" s="8" t="str">
        <f ca="1">IFERROR(__xludf.DUMMYFUNCTION("""COMPUTED_VALUE"""),"19910521FLSCP")</f>
        <v>19910521FLSCP</v>
      </c>
      <c r="B1957" s="8">
        <f ca="1">IFERROR(__xludf.DUMMYFUNCTION("""COMPUTED_VALUE"""),18)</f>
        <v>18</v>
      </c>
      <c r="C1957" s="8" t="str">
        <f ca="1">IFERROR(__xludf.DUMMYFUNCTION("""COMPUTED_VALUE"""),"Male")</f>
        <v>Male</v>
      </c>
      <c r="D1957" s="8" t="str">
        <f ca="1">IFERROR(__xludf.DUMMYFUNCTION("""COMPUTED_VALUE"""),"Student")</f>
        <v>Student</v>
      </c>
      <c r="E1957" s="8" t="str">
        <f ca="1">IFERROR(__xludf.DUMMYFUNCTION("""COMPUTED_VALUE"""),"Subdued by Students/Staff/Other")</f>
        <v>Subdued by Students/Staff/Other</v>
      </c>
      <c r="F1957" s="8" t="str">
        <f ca="1">IFERROR(__xludf.DUMMYFUNCTION("""COMPUTED_VALUE"""),"No")</f>
        <v>No</v>
      </c>
      <c r="G1957" s="8" t="str">
        <f ca="1">IFERROR(__xludf.DUMMYFUNCTION("""COMPUTED_VALUE"""),"None")</f>
        <v>None</v>
      </c>
    </row>
    <row r="1958" spans="1:7" ht="12.75">
      <c r="A1958" s="8" t="str">
        <f ca="1">IFERROR(__xludf.DUMMYFUNCTION("""COMPUTED_VALUE"""),"19910521CAROS")</f>
        <v>19910521CAROS</v>
      </c>
      <c r="B1958" s="8">
        <f ca="1">IFERROR(__xludf.DUMMYFUNCTION("""COMPUTED_VALUE"""),20)</f>
        <v>20</v>
      </c>
      <c r="C1958" s="8" t="str">
        <f ca="1">IFERROR(__xludf.DUMMYFUNCTION("""COMPUTED_VALUE"""),"Male")</f>
        <v>Male</v>
      </c>
      <c r="D1958" s="8" t="str">
        <f ca="1">IFERROR(__xludf.DUMMYFUNCTION("""COMPUTED_VALUE"""),"No Relation")</f>
        <v>No Relation</v>
      </c>
      <c r="E1958" s="8" t="str">
        <f ca="1">IFERROR(__xludf.DUMMYFUNCTION("""COMPUTED_VALUE"""),"Fled/Escaped")</f>
        <v>Fled/Escaped</v>
      </c>
      <c r="F1958" s="8" t="str">
        <f ca="1">IFERROR(__xludf.DUMMYFUNCTION("""COMPUTED_VALUE"""),"No")</f>
        <v>No</v>
      </c>
      <c r="G1958" s="8" t="str">
        <f ca="1">IFERROR(__xludf.DUMMYFUNCTION("""COMPUTED_VALUE"""),"None")</f>
        <v>None</v>
      </c>
    </row>
    <row r="1959" spans="1:7" ht="12.75">
      <c r="A1959" s="8" t="str">
        <f ca="1">IFERROR(__xludf.DUMMYFUNCTION("""COMPUTED_VALUE"""),"19910516KSCOK")</f>
        <v>19910516KSCOK</v>
      </c>
      <c r="B1959" s="8">
        <f ca="1">IFERROR(__xludf.DUMMYFUNCTION("""COMPUTED_VALUE"""),13)</f>
        <v>13</v>
      </c>
      <c r="C1959" s="8" t="str">
        <f ca="1">IFERROR(__xludf.DUMMYFUNCTION("""COMPUTED_VALUE"""),"Male")</f>
        <v>Male</v>
      </c>
      <c r="D1959" s="8" t="str">
        <f ca="1">IFERROR(__xludf.DUMMYFUNCTION("""COMPUTED_VALUE"""),"Student")</f>
        <v>Student</v>
      </c>
      <c r="E1959" s="8" t="str">
        <f ca="1">IFERROR(__xludf.DUMMYFUNCTION("""COMPUTED_VALUE"""),"Fled/Apprehended")</f>
        <v>Fled/Apprehended</v>
      </c>
      <c r="F1959" s="8" t="str">
        <f ca="1">IFERROR(__xludf.DUMMYFUNCTION("""COMPUTED_VALUE"""),"No")</f>
        <v>No</v>
      </c>
      <c r="G1959" s="8" t="str">
        <f ca="1">IFERROR(__xludf.DUMMYFUNCTION("""COMPUTED_VALUE"""),"None")</f>
        <v>None</v>
      </c>
    </row>
    <row r="1960" spans="1:7" ht="12.75">
      <c r="A1960" s="8" t="str">
        <f ca="1">IFERROR(__xludf.DUMMYFUNCTION("""COMPUTED_VALUE"""),"19910510OHFRC")</f>
        <v>19910510OHFRC</v>
      </c>
      <c r="B1960" s="8">
        <f ca="1">IFERROR(__xludf.DUMMYFUNCTION("""COMPUTED_VALUE"""),15)</f>
        <v>15</v>
      </c>
      <c r="C1960" s="8" t="str">
        <f ca="1">IFERROR(__xludf.DUMMYFUNCTION("""COMPUTED_VALUE"""),"Male")</f>
        <v>Male</v>
      </c>
      <c r="D1960" s="8" t="str">
        <f ca="1">IFERROR(__xludf.DUMMYFUNCTION("""COMPUTED_VALUE"""),"Student")</f>
        <v>Student</v>
      </c>
      <c r="E1960" s="8" t="str">
        <f ca="1">IFERROR(__xludf.DUMMYFUNCTION("""COMPUTED_VALUE"""),"Fled/Apprehended")</f>
        <v>Fled/Apprehended</v>
      </c>
      <c r="F1960" s="8" t="str">
        <f ca="1">IFERROR(__xludf.DUMMYFUNCTION("""COMPUTED_VALUE"""),"No")</f>
        <v>No</v>
      </c>
      <c r="G1960" s="8" t="str">
        <f ca="1">IFERROR(__xludf.DUMMYFUNCTION("""COMPUTED_VALUE"""),"None")</f>
        <v>None</v>
      </c>
    </row>
    <row r="1961" spans="1:7" ht="12.75">
      <c r="A1961" s="8" t="str">
        <f ca="1">IFERROR(__xludf.DUMMYFUNCTION("""COMPUTED_VALUE"""),"19910423MSHUB")</f>
        <v>19910423MSHUB</v>
      </c>
      <c r="B1961" s="8">
        <f ca="1">IFERROR(__xludf.DUMMYFUNCTION("""COMPUTED_VALUE"""),16)</f>
        <v>16</v>
      </c>
      <c r="C1961" s="8" t="str">
        <f ca="1">IFERROR(__xludf.DUMMYFUNCTION("""COMPUTED_VALUE"""),"Male")</f>
        <v>Male</v>
      </c>
      <c r="D1961" s="8" t="str">
        <f ca="1">IFERROR(__xludf.DUMMYFUNCTION("""COMPUTED_VALUE"""),"Student")</f>
        <v>Student</v>
      </c>
      <c r="E1961" s="8" t="str">
        <f ca="1">IFERROR(__xludf.DUMMYFUNCTION("""COMPUTED_VALUE"""),"Surrendered")</f>
        <v>Surrendered</v>
      </c>
      <c r="F1961" s="8" t="str">
        <f ca="1">IFERROR(__xludf.DUMMYFUNCTION("""COMPUTED_VALUE"""),"No")</f>
        <v>No</v>
      </c>
      <c r="G1961" s="8" t="str">
        <f ca="1">IFERROR(__xludf.DUMMYFUNCTION("""COMPUTED_VALUE"""),"None")</f>
        <v>None</v>
      </c>
    </row>
    <row r="1962" spans="1:7" ht="12.75">
      <c r="A1962" s="8" t="str">
        <f ca="1">IFERROR(__xludf.DUMMYFUNCTION("""COMPUTED_VALUE"""),"19910423CARAC")</f>
        <v>19910423CARAC</v>
      </c>
      <c r="B1962" s="8">
        <f ca="1">IFERROR(__xludf.DUMMYFUNCTION("""COMPUTED_VALUE"""),14)</f>
        <v>14</v>
      </c>
      <c r="C1962" s="8" t="str">
        <f ca="1">IFERROR(__xludf.DUMMYFUNCTION("""COMPUTED_VALUE"""),"Male")</f>
        <v>Male</v>
      </c>
      <c r="D1962" s="8" t="str">
        <f ca="1">IFERROR(__xludf.DUMMYFUNCTION("""COMPUTED_VALUE"""),"Unknown")</f>
        <v>Unknown</v>
      </c>
      <c r="E1962" s="8" t="str">
        <f ca="1">IFERROR(__xludf.DUMMYFUNCTION("""COMPUTED_VALUE"""),"Fled/Apprehended")</f>
        <v>Fled/Apprehended</v>
      </c>
      <c r="F1962" s="8" t="str">
        <f ca="1">IFERROR(__xludf.DUMMYFUNCTION("""COMPUTED_VALUE"""),"No")</f>
        <v>No</v>
      </c>
      <c r="G1962" s="8" t="str">
        <f ca="1">IFERROR(__xludf.DUMMYFUNCTION("""COMPUTED_VALUE"""),"None")</f>
        <v>None</v>
      </c>
    </row>
    <row r="1963" spans="1:7" ht="12.75">
      <c r="A1963" s="8" t="str">
        <f ca="1">IFERROR(__xludf.DUMMYFUNCTION("""COMPUTED_VALUE"""),"19910423CARAC")</f>
        <v>19910423CARAC</v>
      </c>
      <c r="B1963" s="8">
        <f ca="1">IFERROR(__xludf.DUMMYFUNCTION("""COMPUTED_VALUE"""),17)</f>
        <v>17</v>
      </c>
      <c r="C1963" s="8" t="str">
        <f ca="1">IFERROR(__xludf.DUMMYFUNCTION("""COMPUTED_VALUE"""),"Male")</f>
        <v>Male</v>
      </c>
      <c r="D1963" s="8" t="str">
        <f ca="1">IFERROR(__xludf.DUMMYFUNCTION("""COMPUTED_VALUE"""),"Unknown")</f>
        <v>Unknown</v>
      </c>
      <c r="E1963" s="8" t="str">
        <f ca="1">IFERROR(__xludf.DUMMYFUNCTION("""COMPUTED_VALUE"""),"Fled/Apprehended")</f>
        <v>Fled/Apprehended</v>
      </c>
      <c r="F1963" s="8" t="str">
        <f ca="1">IFERROR(__xludf.DUMMYFUNCTION("""COMPUTED_VALUE"""),"No")</f>
        <v>No</v>
      </c>
      <c r="G1963" s="8" t="str">
        <f ca="1">IFERROR(__xludf.DUMMYFUNCTION("""COMPUTED_VALUE"""),"None")</f>
        <v>None</v>
      </c>
    </row>
    <row r="1964" spans="1:7" ht="12.75">
      <c r="A1964" s="8" t="str">
        <f ca="1">IFERROR(__xludf.DUMMYFUNCTION("""COMPUTED_VALUE"""),"19910411SCNOR")</f>
        <v>19910411SCNOR</v>
      </c>
      <c r="B1964" s="8">
        <f ca="1">IFERROR(__xludf.DUMMYFUNCTION("""COMPUTED_VALUE"""),18)</f>
        <v>18</v>
      </c>
      <c r="C1964" s="8" t="str">
        <f ca="1">IFERROR(__xludf.DUMMYFUNCTION("""COMPUTED_VALUE"""),"Male")</f>
        <v>Male</v>
      </c>
      <c r="D1964" s="8" t="str">
        <f ca="1">IFERROR(__xludf.DUMMYFUNCTION("""COMPUTED_VALUE"""),"Student")</f>
        <v>Student</v>
      </c>
      <c r="E1964" s="8" t="str">
        <f ca="1">IFERROR(__xludf.DUMMYFUNCTION("""COMPUTED_VALUE"""),"Suicide")</f>
        <v>Suicide</v>
      </c>
      <c r="F1964" s="8" t="str">
        <f ca="1">IFERROR(__xludf.DUMMYFUNCTION("""COMPUTED_VALUE"""),"Yes")</f>
        <v>Yes</v>
      </c>
      <c r="G1964" s="8" t="str">
        <f ca="1">IFERROR(__xludf.DUMMYFUNCTION("""COMPUTED_VALUE"""),"Suicide")</f>
        <v>Suicide</v>
      </c>
    </row>
    <row r="1965" spans="1:7" ht="12.75">
      <c r="A1965" s="8" t="str">
        <f ca="1">IFERROR(__xludf.DUMMYFUNCTION("""COMPUTED_VALUE"""),"19910325NCGAC")</f>
        <v>19910325NCGAC</v>
      </c>
      <c r="B1965" s="8">
        <f ca="1">IFERROR(__xludf.DUMMYFUNCTION("""COMPUTED_VALUE"""),20)</f>
        <v>20</v>
      </c>
      <c r="C1965" s="8" t="str">
        <f ca="1">IFERROR(__xludf.DUMMYFUNCTION("""COMPUTED_VALUE"""),"Male")</f>
        <v>Male</v>
      </c>
      <c r="D1965" s="8" t="str">
        <f ca="1">IFERROR(__xludf.DUMMYFUNCTION("""COMPUTED_VALUE"""),"Former Student")</f>
        <v>Former Student</v>
      </c>
      <c r="E1965" s="8" t="str">
        <f ca="1">IFERROR(__xludf.DUMMYFUNCTION("""COMPUTED_VALUE"""),"Fled/Apprehended")</f>
        <v>Fled/Apprehended</v>
      </c>
      <c r="F1965" s="8" t="str">
        <f ca="1">IFERROR(__xludf.DUMMYFUNCTION("""COMPUTED_VALUE"""),"No")</f>
        <v>No</v>
      </c>
      <c r="G1965" s="8" t="str">
        <f ca="1">IFERROR(__xludf.DUMMYFUNCTION("""COMPUTED_VALUE"""),"None")</f>
        <v>None</v>
      </c>
    </row>
    <row r="1966" spans="1:7" ht="12.75">
      <c r="A1966" s="8" t="str">
        <f ca="1">IFERROR(__xludf.DUMMYFUNCTION("""COMPUTED_VALUE"""),"19910314SCWOP")</f>
        <v>19910314SCWOP</v>
      </c>
      <c r="B1966" s="8">
        <f ca="1">IFERROR(__xludf.DUMMYFUNCTION("""COMPUTED_VALUE"""),18)</f>
        <v>18</v>
      </c>
      <c r="C1966" s="8" t="str">
        <f ca="1">IFERROR(__xludf.DUMMYFUNCTION("""COMPUTED_VALUE"""),"Male")</f>
        <v>Male</v>
      </c>
      <c r="D1966" s="8" t="str">
        <f ca="1">IFERROR(__xludf.DUMMYFUNCTION("""COMPUTED_VALUE"""),"Former Student")</f>
        <v>Former Student</v>
      </c>
      <c r="E1966" s="8" t="str">
        <f ca="1">IFERROR(__xludf.DUMMYFUNCTION("""COMPUTED_VALUE"""),"Fled/Apprehended")</f>
        <v>Fled/Apprehended</v>
      </c>
      <c r="F1966" s="8" t="str">
        <f ca="1">IFERROR(__xludf.DUMMYFUNCTION("""COMPUTED_VALUE"""),"No")</f>
        <v>No</v>
      </c>
      <c r="G1966" s="8" t="str">
        <f ca="1">IFERROR(__xludf.DUMMYFUNCTION("""COMPUTED_VALUE"""),"None")</f>
        <v>None</v>
      </c>
    </row>
    <row r="1967" spans="1:7" ht="12.75">
      <c r="A1967" s="8" t="str">
        <f ca="1">IFERROR(__xludf.DUMMYFUNCTION("""COMPUTED_VALUE"""),"19910314SCWOP")</f>
        <v>19910314SCWOP</v>
      </c>
      <c r="B1967" s="8"/>
      <c r="C1967" s="8" t="str">
        <f ca="1">IFERROR(__xludf.DUMMYFUNCTION("""COMPUTED_VALUE"""),"Male")</f>
        <v>Male</v>
      </c>
      <c r="D1967" s="8" t="str">
        <f ca="1">IFERROR(__xludf.DUMMYFUNCTION("""COMPUTED_VALUE"""),"Former Student")</f>
        <v>Former Student</v>
      </c>
      <c r="E1967" s="8" t="str">
        <f ca="1">IFERROR(__xludf.DUMMYFUNCTION("""COMPUTED_VALUE"""),"Fled/Apprehended")</f>
        <v>Fled/Apprehended</v>
      </c>
      <c r="F1967" s="8" t="str">
        <f ca="1">IFERROR(__xludf.DUMMYFUNCTION("""COMPUTED_VALUE"""),"No")</f>
        <v>No</v>
      </c>
      <c r="G1967" s="8" t="str">
        <f ca="1">IFERROR(__xludf.DUMMYFUNCTION("""COMPUTED_VALUE"""),"None")</f>
        <v>None</v>
      </c>
    </row>
    <row r="1968" spans="1:7" ht="12.75">
      <c r="A1968" s="8" t="str">
        <f ca="1">IFERROR(__xludf.DUMMYFUNCTION("""COMPUTED_VALUE"""),"19910313ALSES")</f>
        <v>19910313ALSES</v>
      </c>
      <c r="B1968" s="8">
        <f ca="1">IFERROR(__xludf.DUMMYFUNCTION("""COMPUTED_VALUE"""),15)</f>
        <v>15</v>
      </c>
      <c r="C1968" s="8" t="str">
        <f ca="1">IFERROR(__xludf.DUMMYFUNCTION("""COMPUTED_VALUE"""),"Male")</f>
        <v>Male</v>
      </c>
      <c r="D1968" s="8" t="str">
        <f ca="1">IFERROR(__xludf.DUMMYFUNCTION("""COMPUTED_VALUE"""),"Student")</f>
        <v>Student</v>
      </c>
      <c r="E1968" s="8" t="str">
        <f ca="1">IFERROR(__xludf.DUMMYFUNCTION("""COMPUTED_VALUE"""),"Fled/Apprehended")</f>
        <v>Fled/Apprehended</v>
      </c>
      <c r="F1968" s="8" t="str">
        <f ca="1">IFERROR(__xludf.DUMMYFUNCTION("""COMPUTED_VALUE"""),"No")</f>
        <v>No</v>
      </c>
      <c r="G1968" s="8" t="str">
        <f ca="1">IFERROR(__xludf.DUMMYFUNCTION("""COMPUTED_VALUE"""),"None")</f>
        <v>None</v>
      </c>
    </row>
    <row r="1969" spans="1:7" ht="12.75">
      <c r="A1969" s="8" t="str">
        <f ca="1">IFERROR(__xludf.DUMMYFUNCTION("""COMPUTED_VALUE"""),"19910219LABON")</f>
        <v>19910219LABON</v>
      </c>
      <c r="B1969" s="8">
        <f ca="1">IFERROR(__xludf.DUMMYFUNCTION("""COMPUTED_VALUE"""),20)</f>
        <v>20</v>
      </c>
      <c r="C1969" s="8" t="str">
        <f ca="1">IFERROR(__xludf.DUMMYFUNCTION("""COMPUTED_VALUE"""),"Male")</f>
        <v>Male</v>
      </c>
      <c r="D1969" s="8" t="str">
        <f ca="1">IFERROR(__xludf.DUMMYFUNCTION("""COMPUTED_VALUE"""),"No Relation")</f>
        <v>No Relation</v>
      </c>
      <c r="E1969" s="8" t="str">
        <f ca="1">IFERROR(__xludf.DUMMYFUNCTION("""COMPUTED_VALUE"""),"Fled/Apprehended")</f>
        <v>Fled/Apprehended</v>
      </c>
      <c r="F1969" s="8" t="str">
        <f ca="1">IFERROR(__xludf.DUMMYFUNCTION("""COMPUTED_VALUE"""),"No")</f>
        <v>No</v>
      </c>
      <c r="G1969" s="8" t="str">
        <f ca="1">IFERROR(__xludf.DUMMYFUNCTION("""COMPUTED_VALUE"""),"None")</f>
        <v>None</v>
      </c>
    </row>
    <row r="1970" spans="1:7" ht="12.75">
      <c r="A1970" s="8" t="str">
        <f ca="1">IFERROR(__xludf.DUMMYFUNCTION("""COMPUTED_VALUE"""),"19910117TXHOD")</f>
        <v>19910117TXHOD</v>
      </c>
      <c r="B1970" s="8"/>
      <c r="C1970" s="8"/>
      <c r="D1970" s="8" t="str">
        <f ca="1">IFERROR(__xludf.DUMMYFUNCTION("""COMPUTED_VALUE"""),"Unknown")</f>
        <v>Unknown</v>
      </c>
      <c r="E1970" s="8" t="str">
        <f ca="1">IFERROR(__xludf.DUMMYFUNCTION("""COMPUTED_VALUE"""),"Fled/Escaped")</f>
        <v>Fled/Escaped</v>
      </c>
      <c r="F1970" s="8" t="str">
        <f ca="1">IFERROR(__xludf.DUMMYFUNCTION("""COMPUTED_VALUE"""),"No")</f>
        <v>No</v>
      </c>
      <c r="G1970" s="8" t="str">
        <f ca="1">IFERROR(__xludf.DUMMYFUNCTION("""COMPUTED_VALUE"""),"None")</f>
        <v>None</v>
      </c>
    </row>
    <row r="1971" spans="1:7" ht="12.75">
      <c r="A1971" s="8" t="str">
        <f ca="1">IFERROR(__xludf.DUMMYFUNCTION("""COMPUTED_VALUE"""),"19910117TXHOD")</f>
        <v>19910117TXHOD</v>
      </c>
      <c r="B1971" s="8"/>
      <c r="C1971" s="8"/>
      <c r="D1971" s="8" t="str">
        <f ca="1">IFERROR(__xludf.DUMMYFUNCTION("""COMPUTED_VALUE"""),"Unknown")</f>
        <v>Unknown</v>
      </c>
      <c r="E1971" s="8" t="str">
        <f ca="1">IFERROR(__xludf.DUMMYFUNCTION("""COMPUTED_VALUE"""),"Fled/Escaped")</f>
        <v>Fled/Escaped</v>
      </c>
      <c r="F1971" s="8" t="str">
        <f ca="1">IFERROR(__xludf.DUMMYFUNCTION("""COMPUTED_VALUE"""),"No")</f>
        <v>No</v>
      </c>
      <c r="G1971" s="8" t="str">
        <f ca="1">IFERROR(__xludf.DUMMYFUNCTION("""COMPUTED_VALUE"""),"None")</f>
        <v>None</v>
      </c>
    </row>
    <row r="1972" spans="1:7" ht="12.75">
      <c r="A1972" s="8" t="str">
        <f ca="1">IFERROR(__xludf.DUMMYFUNCTION("""COMPUTED_VALUE"""),"19910108TXRIR")</f>
        <v>19910108TXRIR</v>
      </c>
      <c r="B1972" s="8">
        <f ca="1">IFERROR(__xludf.DUMMYFUNCTION("""COMPUTED_VALUE"""),15)</f>
        <v>15</v>
      </c>
      <c r="C1972" s="8" t="str">
        <f ca="1">IFERROR(__xludf.DUMMYFUNCTION("""COMPUTED_VALUE"""),"Male")</f>
        <v>Male</v>
      </c>
      <c r="D1972" s="8" t="str">
        <f ca="1">IFERROR(__xludf.DUMMYFUNCTION("""COMPUTED_VALUE"""),"Student")</f>
        <v>Student</v>
      </c>
      <c r="E1972" s="8" t="str">
        <f ca="1">IFERROR(__xludf.DUMMYFUNCTION("""COMPUTED_VALUE"""),"Suicide")</f>
        <v>Suicide</v>
      </c>
      <c r="F1972" s="8" t="str">
        <f ca="1">IFERROR(__xludf.DUMMYFUNCTION("""COMPUTED_VALUE"""),"Yes")</f>
        <v>Yes</v>
      </c>
      <c r="G1972" s="8" t="str">
        <f ca="1">IFERROR(__xludf.DUMMYFUNCTION("""COMPUTED_VALUE"""),"Suicide")</f>
        <v>Suicide</v>
      </c>
    </row>
    <row r="1973" spans="1:7" ht="12.75">
      <c r="A1973" s="8" t="str">
        <f ca="1">IFERROR(__xludf.DUMMYFUNCTION("""COMPUTED_VALUE"""),"19901213LASAS")</f>
        <v>19901213LASAS</v>
      </c>
      <c r="B1973" s="8"/>
      <c r="C1973" s="8"/>
      <c r="D1973" s="8" t="str">
        <f ca="1">IFERROR(__xludf.DUMMYFUNCTION("""COMPUTED_VALUE"""),"Unknown")</f>
        <v>Unknown</v>
      </c>
      <c r="E1973" s="8" t="str">
        <f ca="1">IFERROR(__xludf.DUMMYFUNCTION("""COMPUTED_VALUE"""),"Fled/Escaped")</f>
        <v>Fled/Escaped</v>
      </c>
      <c r="F1973" s="8" t="str">
        <f ca="1">IFERROR(__xludf.DUMMYFUNCTION("""COMPUTED_VALUE"""),"No")</f>
        <v>No</v>
      </c>
      <c r="G1973" s="8" t="str">
        <f ca="1">IFERROR(__xludf.DUMMYFUNCTION("""COMPUTED_VALUE"""),"None")</f>
        <v>None</v>
      </c>
    </row>
    <row r="1974" spans="1:7" ht="12.75">
      <c r="A1974" s="8" t="str">
        <f ca="1">IFERROR(__xludf.DUMMYFUNCTION("""COMPUTED_VALUE"""),"19901110TXJUD")</f>
        <v>19901110TXJUD</v>
      </c>
      <c r="B1974" s="8"/>
      <c r="C1974" s="8"/>
      <c r="D1974" s="8" t="str">
        <f ca="1">IFERROR(__xludf.DUMMYFUNCTION("""COMPUTED_VALUE"""),"Nonstudent Using Athletic Facilities/Attending Game")</f>
        <v>Nonstudent Using Athletic Facilities/Attending Game</v>
      </c>
      <c r="E1974" s="8" t="str">
        <f ca="1">IFERROR(__xludf.DUMMYFUNCTION("""COMPUTED_VALUE"""),"Fled/Escaped")</f>
        <v>Fled/Escaped</v>
      </c>
      <c r="F1974" s="8" t="str">
        <f ca="1">IFERROR(__xludf.DUMMYFUNCTION("""COMPUTED_VALUE"""),"No")</f>
        <v>No</v>
      </c>
      <c r="G1974" s="8" t="str">
        <f ca="1">IFERROR(__xludf.DUMMYFUNCTION("""COMPUTED_VALUE"""),"None")</f>
        <v>None</v>
      </c>
    </row>
    <row r="1975" spans="1:7" ht="12.75">
      <c r="A1975" s="8" t="str">
        <f ca="1">IFERROR(__xludf.DUMMYFUNCTION("""COMPUTED_VALUE"""),"19901030TXNAG")</f>
        <v>19901030TXNAG</v>
      </c>
      <c r="B1975" s="8">
        <f ca="1">IFERROR(__xludf.DUMMYFUNCTION("""COMPUTED_VALUE"""),32)</f>
        <v>32</v>
      </c>
      <c r="C1975" s="8" t="str">
        <f ca="1">IFERROR(__xludf.DUMMYFUNCTION("""COMPUTED_VALUE"""),"Female")</f>
        <v>Female</v>
      </c>
      <c r="D1975" s="8" t="str">
        <f ca="1">IFERROR(__xludf.DUMMYFUNCTION("""COMPUTED_VALUE"""),"Parent")</f>
        <v>Parent</v>
      </c>
      <c r="E1975" s="8" t="str">
        <f ca="1">IFERROR(__xludf.DUMMYFUNCTION("""COMPUTED_VALUE"""),"Apprehended/Killed by LE")</f>
        <v>Apprehended/Killed by LE</v>
      </c>
      <c r="F1975" s="8" t="str">
        <f ca="1">IFERROR(__xludf.DUMMYFUNCTION("""COMPUTED_VALUE"""),"No")</f>
        <v>No</v>
      </c>
      <c r="G1975" s="8" t="str">
        <f ca="1">IFERROR(__xludf.DUMMYFUNCTION("""COMPUTED_VALUE"""),"None")</f>
        <v>None</v>
      </c>
    </row>
    <row r="1976" spans="1:7" ht="12.75">
      <c r="A1976" s="8" t="str">
        <f ca="1">IFERROR(__xludf.DUMMYFUNCTION("""COMPUTED_VALUE"""),"19901029INCHC")</f>
        <v>19901029INCHC</v>
      </c>
      <c r="B1976" s="8">
        <f ca="1">IFERROR(__xludf.DUMMYFUNCTION("""COMPUTED_VALUE"""),18)</f>
        <v>18</v>
      </c>
      <c r="C1976" s="8" t="str">
        <f ca="1">IFERROR(__xludf.DUMMYFUNCTION("""COMPUTED_VALUE"""),"Male")</f>
        <v>Male</v>
      </c>
      <c r="D1976" s="8" t="str">
        <f ca="1">IFERROR(__xludf.DUMMYFUNCTION("""COMPUTED_VALUE"""),"Student")</f>
        <v>Student</v>
      </c>
      <c r="E1976" s="8" t="str">
        <f ca="1">IFERROR(__xludf.DUMMYFUNCTION("""COMPUTED_VALUE"""),"Apprehended/Killed by LE")</f>
        <v>Apprehended/Killed by LE</v>
      </c>
      <c r="F1976" s="8" t="str">
        <f ca="1">IFERROR(__xludf.DUMMYFUNCTION("""COMPUTED_VALUE"""),"No")</f>
        <v>No</v>
      </c>
      <c r="G1976" s="8" t="str">
        <f ca="1">IFERROR(__xludf.DUMMYFUNCTION("""COMPUTED_VALUE"""),"None")</f>
        <v>None</v>
      </c>
    </row>
    <row r="1977" spans="1:7" ht="12.75">
      <c r="A1977" s="8" t="str">
        <f ca="1">IFERROR(__xludf.DUMMYFUNCTION("""COMPUTED_VALUE"""),"19901002TXWHD")</f>
        <v>19901002TXWHD</v>
      </c>
      <c r="B1977" s="8" t="str">
        <f ca="1">IFERROR(__xludf.DUMMYFUNCTION("""COMPUTED_VALUE"""),"Adult")</f>
        <v>Adult</v>
      </c>
      <c r="C1977" s="8" t="str">
        <f ca="1">IFERROR(__xludf.DUMMYFUNCTION("""COMPUTED_VALUE"""),"Female")</f>
        <v>Female</v>
      </c>
      <c r="D1977" s="8" t="str">
        <f ca="1">IFERROR(__xludf.DUMMYFUNCTION("""COMPUTED_VALUE"""),"No Relation")</f>
        <v>No Relation</v>
      </c>
      <c r="E1977" s="8" t="str">
        <f ca="1">IFERROR(__xludf.DUMMYFUNCTION("""COMPUTED_VALUE"""),"Fled/Escaped")</f>
        <v>Fled/Escaped</v>
      </c>
      <c r="F1977" s="8" t="str">
        <f ca="1">IFERROR(__xludf.DUMMYFUNCTION("""COMPUTED_VALUE"""),"No")</f>
        <v>No</v>
      </c>
      <c r="G1977" s="8" t="str">
        <f ca="1">IFERROR(__xludf.DUMMYFUNCTION("""COMPUTED_VALUE"""),"None")</f>
        <v>None</v>
      </c>
    </row>
    <row r="1978" spans="1:7" ht="12.75">
      <c r="A1978" s="8" t="str">
        <f ca="1">IFERROR(__xludf.DUMMYFUNCTION("""COMPUTED_VALUE"""),"19900922ALLEB")</f>
        <v>19900922ALLEB</v>
      </c>
      <c r="B1978" s="8"/>
      <c r="C1978" s="8" t="str">
        <f ca="1">IFERROR(__xludf.DUMMYFUNCTION("""COMPUTED_VALUE"""),"Male")</f>
        <v>Male</v>
      </c>
      <c r="D1978" s="8" t="str">
        <f ca="1">IFERROR(__xludf.DUMMYFUNCTION("""COMPUTED_VALUE"""),"Unknown")</f>
        <v>Unknown</v>
      </c>
      <c r="E1978" s="8" t="str">
        <f ca="1">IFERROR(__xludf.DUMMYFUNCTION("""COMPUTED_VALUE"""),"Fled/Escaped")</f>
        <v>Fled/Escaped</v>
      </c>
      <c r="F1978" s="8" t="str">
        <f ca="1">IFERROR(__xludf.DUMMYFUNCTION("""COMPUTED_VALUE"""),"No")</f>
        <v>No</v>
      </c>
      <c r="G1978" s="8" t="str">
        <f ca="1">IFERROR(__xludf.DUMMYFUNCTION("""COMPUTED_VALUE"""),"None")</f>
        <v>None</v>
      </c>
    </row>
    <row r="1979" spans="1:7" ht="12.75">
      <c r="A1979" s="8" t="str">
        <f ca="1">IFERROR(__xludf.DUMMYFUNCTION("""COMPUTED_VALUE"""),"19900911TXSAS")</f>
        <v>19900911TXSAS</v>
      </c>
      <c r="B1979" s="8"/>
      <c r="C1979" s="8" t="str">
        <f ca="1">IFERROR(__xludf.DUMMYFUNCTION("""COMPUTED_VALUE"""),"Male")</f>
        <v>Male</v>
      </c>
      <c r="D1979" s="8" t="str">
        <f ca="1">IFERROR(__xludf.DUMMYFUNCTION("""COMPUTED_VALUE"""),"Student")</f>
        <v>Student</v>
      </c>
      <c r="E1979" s="8" t="str">
        <f ca="1">IFERROR(__xludf.DUMMYFUNCTION("""COMPUTED_VALUE"""),"Fled/Apprehended")</f>
        <v>Fled/Apprehended</v>
      </c>
      <c r="F1979" s="8" t="str">
        <f ca="1">IFERROR(__xludf.DUMMYFUNCTION("""COMPUTED_VALUE"""),"No")</f>
        <v>No</v>
      </c>
      <c r="G1979" s="8" t="str">
        <f ca="1">IFERROR(__xludf.DUMMYFUNCTION("""COMPUTED_VALUE"""),"None")</f>
        <v>None</v>
      </c>
    </row>
    <row r="1980" spans="1:7" ht="12.75">
      <c r="A1980" s="8" t="str">
        <f ca="1">IFERROR(__xludf.DUMMYFUNCTION("""COMPUTED_VALUE"""),"19900906GASOC")</f>
        <v>19900906GASOC</v>
      </c>
      <c r="B1980" s="8">
        <f ca="1">IFERROR(__xludf.DUMMYFUNCTION("""COMPUTED_VALUE"""),16)</f>
        <v>16</v>
      </c>
      <c r="C1980" s="8" t="str">
        <f ca="1">IFERROR(__xludf.DUMMYFUNCTION("""COMPUTED_VALUE"""),"Male")</f>
        <v>Male</v>
      </c>
      <c r="D1980" s="8" t="str">
        <f ca="1">IFERROR(__xludf.DUMMYFUNCTION("""COMPUTED_VALUE"""),"Student")</f>
        <v>Student</v>
      </c>
      <c r="E1980" s="8" t="str">
        <f ca="1">IFERROR(__xludf.DUMMYFUNCTION("""COMPUTED_VALUE"""),"Surrendered")</f>
        <v>Surrendered</v>
      </c>
      <c r="F1980" s="8" t="str">
        <f ca="1">IFERROR(__xludf.DUMMYFUNCTION("""COMPUTED_VALUE"""),"No")</f>
        <v>No</v>
      </c>
      <c r="G1980" s="8" t="str">
        <f ca="1">IFERROR(__xludf.DUMMYFUNCTION("""COMPUTED_VALUE"""),"None")</f>
        <v>None</v>
      </c>
    </row>
    <row r="1981" spans="1:7" ht="12.75">
      <c r="A1981" s="8" t="str">
        <f ca="1">IFERROR(__xludf.DUMMYFUNCTION("""COMPUTED_VALUE"""),"19900827TXWHD")</f>
        <v>19900827TXWHD</v>
      </c>
      <c r="B1981" s="8"/>
      <c r="C1981" s="8" t="str">
        <f ca="1">IFERROR(__xludf.DUMMYFUNCTION("""COMPUTED_VALUE"""),"Male")</f>
        <v>Male</v>
      </c>
      <c r="D1981" s="8" t="str">
        <f ca="1">IFERROR(__xludf.DUMMYFUNCTION("""COMPUTED_VALUE"""),"Unknown")</f>
        <v>Unknown</v>
      </c>
      <c r="E1981" s="8" t="str">
        <f ca="1">IFERROR(__xludf.DUMMYFUNCTION("""COMPUTED_VALUE"""),"Fled/Escaped")</f>
        <v>Fled/Escaped</v>
      </c>
      <c r="F1981" s="8" t="str">
        <f ca="1">IFERROR(__xludf.DUMMYFUNCTION("""COMPUTED_VALUE"""),"No")</f>
        <v>No</v>
      </c>
      <c r="G1981" s="8" t="str">
        <f ca="1">IFERROR(__xludf.DUMMYFUNCTION("""COMPUTED_VALUE"""),"None")</f>
        <v>None</v>
      </c>
    </row>
    <row r="1982" spans="1:7" ht="12.75">
      <c r="A1982" s="8" t="str">
        <f ca="1">IFERROR(__xludf.DUMMYFUNCTION("""COMPUTED_VALUE"""),"19900827NVELL")</f>
        <v>19900827NVELL</v>
      </c>
      <c r="B1982" s="8">
        <f ca="1">IFERROR(__xludf.DUMMYFUNCTION("""COMPUTED_VALUE"""),15)</f>
        <v>15</v>
      </c>
      <c r="C1982" s="8" t="str">
        <f ca="1">IFERROR(__xludf.DUMMYFUNCTION("""COMPUTED_VALUE"""),"Male")</f>
        <v>Male</v>
      </c>
      <c r="D1982" s="8" t="str">
        <f ca="1">IFERROR(__xludf.DUMMYFUNCTION("""COMPUTED_VALUE"""),"Student")</f>
        <v>Student</v>
      </c>
      <c r="E1982" s="8" t="str">
        <f ca="1">IFERROR(__xludf.DUMMYFUNCTION("""COMPUTED_VALUE"""),"Unknown")</f>
        <v>Unknown</v>
      </c>
      <c r="F1982" s="8" t="str">
        <f ca="1">IFERROR(__xludf.DUMMYFUNCTION("""COMPUTED_VALUE"""),"No")</f>
        <v>No</v>
      </c>
      <c r="G1982" s="8" t="str">
        <f ca="1">IFERROR(__xludf.DUMMYFUNCTION("""COMPUTED_VALUE"""),"None")</f>
        <v>None</v>
      </c>
    </row>
    <row r="1983" spans="1:7" ht="12.75">
      <c r="A1983" s="8" t="str">
        <f ca="1">IFERROR(__xludf.DUMMYFUNCTION("""COMPUTED_VALUE"""),"19900824NCMYC")</f>
        <v>19900824NCMYC</v>
      </c>
      <c r="B1983" s="8"/>
      <c r="C1983" s="8"/>
      <c r="D1983" s="8" t="str">
        <f ca="1">IFERROR(__xludf.DUMMYFUNCTION("""COMPUTED_VALUE"""),"Unknown")</f>
        <v>Unknown</v>
      </c>
      <c r="E1983" s="8" t="str">
        <f ca="1">IFERROR(__xludf.DUMMYFUNCTION("""COMPUTED_VALUE"""),"Fled/Escaped")</f>
        <v>Fled/Escaped</v>
      </c>
      <c r="F1983" s="8" t="str">
        <f ca="1">IFERROR(__xludf.DUMMYFUNCTION("""COMPUTED_VALUE"""),"No")</f>
        <v>No</v>
      </c>
      <c r="G1983" s="8" t="str">
        <f ca="1">IFERROR(__xludf.DUMMYFUNCTION("""COMPUTED_VALUE"""),"None")</f>
        <v>None</v>
      </c>
    </row>
    <row r="1984" spans="1:7" ht="12.75">
      <c r="A1984" s="8" t="str">
        <f ca="1">IFERROR(__xludf.DUMMYFUNCTION("""COMPUTED_VALUE"""),"19900531TXSUF")</f>
        <v>19900531TXSUF</v>
      </c>
      <c r="B1984" s="8">
        <f ca="1">IFERROR(__xludf.DUMMYFUNCTION("""COMPUTED_VALUE"""),16)</f>
        <v>16</v>
      </c>
      <c r="C1984" s="8" t="str">
        <f ca="1">IFERROR(__xludf.DUMMYFUNCTION("""COMPUTED_VALUE"""),"Male")</f>
        <v>Male</v>
      </c>
      <c r="D1984" s="8" t="str">
        <f ca="1">IFERROR(__xludf.DUMMYFUNCTION("""COMPUTED_VALUE"""),"No Relation")</f>
        <v>No Relation</v>
      </c>
      <c r="E1984" s="8" t="str">
        <f ca="1">IFERROR(__xludf.DUMMYFUNCTION("""COMPUTED_VALUE"""),"Fled/Apprehended")</f>
        <v>Fled/Apprehended</v>
      </c>
      <c r="F1984" s="8" t="str">
        <f ca="1">IFERROR(__xludf.DUMMYFUNCTION("""COMPUTED_VALUE"""),"No")</f>
        <v>No</v>
      </c>
      <c r="G1984" s="8" t="str">
        <f ca="1">IFERROR(__xludf.DUMMYFUNCTION("""COMPUTED_VALUE"""),"None")</f>
        <v>None</v>
      </c>
    </row>
    <row r="1985" spans="1:7" ht="12.75">
      <c r="A1985" s="8" t="str">
        <f ca="1">IFERROR(__xludf.DUMMYFUNCTION("""COMPUTED_VALUE"""),"19900520TNHIC")</f>
        <v>19900520TNHIC</v>
      </c>
      <c r="B1985" s="8">
        <f ca="1">IFERROR(__xludf.DUMMYFUNCTION("""COMPUTED_VALUE"""),50)</f>
        <v>50</v>
      </c>
      <c r="C1985" s="8" t="str">
        <f ca="1">IFERROR(__xludf.DUMMYFUNCTION("""COMPUTED_VALUE"""),"Male")</f>
        <v>Male</v>
      </c>
      <c r="D1985" s="8" t="str">
        <f ca="1">IFERROR(__xludf.DUMMYFUNCTION("""COMPUTED_VALUE"""),"Teacher")</f>
        <v>Teacher</v>
      </c>
      <c r="E1985" s="8" t="str">
        <f ca="1">IFERROR(__xludf.DUMMYFUNCTION("""COMPUTED_VALUE"""),"Fled/Apprehended")</f>
        <v>Fled/Apprehended</v>
      </c>
      <c r="F1985" s="8" t="str">
        <f ca="1">IFERROR(__xludf.DUMMYFUNCTION("""COMPUTED_VALUE"""),"No")</f>
        <v>No</v>
      </c>
      <c r="G1985" s="8" t="str">
        <f ca="1">IFERROR(__xludf.DUMMYFUNCTION("""COMPUTED_VALUE"""),"None")</f>
        <v>None</v>
      </c>
    </row>
    <row r="1986" spans="1:7" ht="12.75">
      <c r="A1986" s="8" t="str">
        <f ca="1">IFERROR(__xludf.DUMMYFUNCTION("""COMPUTED_VALUE"""),"19900504CAMOE")</f>
        <v>19900504CAMOE</v>
      </c>
      <c r="B1986" s="8">
        <f ca="1">IFERROR(__xludf.DUMMYFUNCTION("""COMPUTED_VALUE"""),17)</f>
        <v>17</v>
      </c>
      <c r="C1986" s="8" t="str">
        <f ca="1">IFERROR(__xludf.DUMMYFUNCTION("""COMPUTED_VALUE"""),"Male")</f>
        <v>Male</v>
      </c>
      <c r="D1986" s="8" t="str">
        <f ca="1">IFERROR(__xludf.DUMMYFUNCTION("""COMPUTED_VALUE"""),"Student")</f>
        <v>Student</v>
      </c>
      <c r="E1986" s="8" t="str">
        <f ca="1">IFERROR(__xludf.DUMMYFUNCTION("""COMPUTED_VALUE"""),"Fled/Apprehended")</f>
        <v>Fled/Apprehended</v>
      </c>
      <c r="F1986" s="8" t="str">
        <f ca="1">IFERROR(__xludf.DUMMYFUNCTION("""COMPUTED_VALUE"""),"No")</f>
        <v>No</v>
      </c>
      <c r="G1986" s="8" t="str">
        <f ca="1">IFERROR(__xludf.DUMMYFUNCTION("""COMPUTED_VALUE"""),"None")</f>
        <v>None</v>
      </c>
    </row>
    <row r="1987" spans="1:7" ht="12.75">
      <c r="A1987" s="8" t="str">
        <f ca="1">IFERROR(__xludf.DUMMYFUNCTION("""COMPUTED_VALUE"""),"19900403TXSKD")</f>
        <v>19900403TXSKD</v>
      </c>
      <c r="B1987" s="8">
        <f ca="1">IFERROR(__xludf.DUMMYFUNCTION("""COMPUTED_VALUE"""),18)</f>
        <v>18</v>
      </c>
      <c r="C1987" s="8" t="str">
        <f ca="1">IFERROR(__xludf.DUMMYFUNCTION("""COMPUTED_VALUE"""),"Male")</f>
        <v>Male</v>
      </c>
      <c r="D1987" s="8" t="str">
        <f ca="1">IFERROR(__xludf.DUMMYFUNCTION("""COMPUTED_VALUE"""),"Student")</f>
        <v>Student</v>
      </c>
      <c r="E1987" s="8" t="str">
        <f ca="1">IFERROR(__xludf.DUMMYFUNCTION("""COMPUTED_VALUE"""),"Fled/Escaped")</f>
        <v>Fled/Escaped</v>
      </c>
      <c r="F1987" s="8" t="str">
        <f ca="1">IFERROR(__xludf.DUMMYFUNCTION("""COMPUTED_VALUE"""),"No")</f>
        <v>No</v>
      </c>
      <c r="G1987" s="8" t="str">
        <f ca="1">IFERROR(__xludf.DUMMYFUNCTION("""COMPUTED_VALUE"""),"None")</f>
        <v>None</v>
      </c>
    </row>
    <row r="1988" spans="1:7" ht="12.75">
      <c r="A1988" s="8" t="str">
        <f ca="1">IFERROR(__xludf.DUMMYFUNCTION("""COMPUTED_VALUE"""),"19900327NYNEB")</f>
        <v>19900327NYNEB</v>
      </c>
      <c r="B1988" s="8" t="str">
        <f ca="1">IFERROR(__xludf.DUMMYFUNCTION("""COMPUTED_VALUE"""),"Teen")</f>
        <v>Teen</v>
      </c>
      <c r="C1988" s="8" t="str">
        <f ca="1">IFERROR(__xludf.DUMMYFUNCTION("""COMPUTED_VALUE"""),"Male")</f>
        <v>Male</v>
      </c>
      <c r="D1988" s="8" t="str">
        <f ca="1">IFERROR(__xludf.DUMMYFUNCTION("""COMPUTED_VALUE"""),"Student")</f>
        <v>Student</v>
      </c>
      <c r="E1988" s="8" t="str">
        <f ca="1">IFERROR(__xludf.DUMMYFUNCTION("""COMPUTED_VALUE"""),"Fled/Escaped")</f>
        <v>Fled/Escaped</v>
      </c>
      <c r="F1988" s="8" t="str">
        <f ca="1">IFERROR(__xludf.DUMMYFUNCTION("""COMPUTED_VALUE"""),"No")</f>
        <v>No</v>
      </c>
      <c r="G1988" s="8" t="str">
        <f ca="1">IFERROR(__xludf.DUMMYFUNCTION("""COMPUTED_VALUE"""),"None")</f>
        <v>None</v>
      </c>
    </row>
    <row r="1989" spans="1:7" ht="12.75">
      <c r="A1989" s="8" t="str">
        <f ca="1">IFERROR(__xludf.DUMMYFUNCTION("""COMPUTED_VALUE"""),"19900220OHTAC")</f>
        <v>19900220OHTAC</v>
      </c>
      <c r="B1989" s="8">
        <f ca="1">IFERROR(__xludf.DUMMYFUNCTION("""COMPUTED_VALUE"""),17)</f>
        <v>17</v>
      </c>
      <c r="C1989" s="8" t="str">
        <f ca="1">IFERROR(__xludf.DUMMYFUNCTION("""COMPUTED_VALUE"""),"Male")</f>
        <v>Male</v>
      </c>
      <c r="D1989" s="8" t="str">
        <f ca="1">IFERROR(__xludf.DUMMYFUNCTION("""COMPUTED_VALUE"""),"Student")</f>
        <v>Student</v>
      </c>
      <c r="E1989" s="8" t="str">
        <f ca="1">IFERROR(__xludf.DUMMYFUNCTION("""COMPUTED_VALUE"""),"Fled/Apprehended")</f>
        <v>Fled/Apprehended</v>
      </c>
      <c r="F1989" s="8" t="str">
        <f ca="1">IFERROR(__xludf.DUMMYFUNCTION("""COMPUTED_VALUE"""),"No")</f>
        <v>No</v>
      </c>
      <c r="G1989" s="8" t="str">
        <f ca="1">IFERROR(__xludf.DUMMYFUNCTION("""COMPUTED_VALUE"""),"None")</f>
        <v>None</v>
      </c>
    </row>
    <row r="1990" spans="1:7" ht="12.75">
      <c r="A1990" s="8" t="str">
        <f ca="1">IFERROR(__xludf.DUMMYFUNCTION("""COMPUTED_VALUE"""),"19900116RICEP")</f>
        <v>19900116RICEP</v>
      </c>
      <c r="B1990" s="8">
        <f ca="1">IFERROR(__xludf.DUMMYFUNCTION("""COMPUTED_VALUE"""),17)</f>
        <v>17</v>
      </c>
      <c r="C1990" s="8" t="str">
        <f ca="1">IFERROR(__xludf.DUMMYFUNCTION("""COMPUTED_VALUE"""),"Male")</f>
        <v>Male</v>
      </c>
      <c r="D1990" s="8" t="str">
        <f ca="1">IFERROR(__xludf.DUMMYFUNCTION("""COMPUTED_VALUE"""),"Student")</f>
        <v>Student</v>
      </c>
      <c r="E1990" s="8" t="str">
        <f ca="1">IFERROR(__xludf.DUMMYFUNCTION("""COMPUTED_VALUE"""),"Fled/Apprehended")</f>
        <v>Fled/Apprehended</v>
      </c>
      <c r="F1990" s="8" t="str">
        <f ca="1">IFERROR(__xludf.DUMMYFUNCTION("""COMPUTED_VALUE"""),"No")</f>
        <v>No</v>
      </c>
      <c r="G1990" s="8" t="str">
        <f ca="1">IFERROR(__xludf.DUMMYFUNCTION("""COMPUTED_VALUE"""),"None")</f>
        <v>None</v>
      </c>
    </row>
    <row r="1991" spans="1:7" ht="12.75">
      <c r="A1991" s="8" t="str">
        <f ca="1">IFERROR(__xludf.DUMMYFUNCTION("""COMPUTED_VALUE"""),"19891212SCCHC")</f>
        <v>19891212SCCHC</v>
      </c>
      <c r="B1991" s="8">
        <f ca="1">IFERROR(__xludf.DUMMYFUNCTION("""COMPUTED_VALUE"""),21)</f>
        <v>21</v>
      </c>
      <c r="C1991" s="8" t="str">
        <f ca="1">IFERROR(__xludf.DUMMYFUNCTION("""COMPUTED_VALUE"""),"Male")</f>
        <v>Male</v>
      </c>
      <c r="D1991" s="8" t="str">
        <f ca="1">IFERROR(__xludf.DUMMYFUNCTION("""COMPUTED_VALUE"""),"Former Student")</f>
        <v>Former Student</v>
      </c>
      <c r="E1991" s="8" t="str">
        <f ca="1">IFERROR(__xludf.DUMMYFUNCTION("""COMPUTED_VALUE"""),"Fled/Apprehended")</f>
        <v>Fled/Apprehended</v>
      </c>
      <c r="F1991" s="8" t="str">
        <f ca="1">IFERROR(__xludf.DUMMYFUNCTION("""COMPUTED_VALUE"""),"No")</f>
        <v>No</v>
      </c>
      <c r="G1991" s="8" t="str">
        <f ca="1">IFERROR(__xludf.DUMMYFUNCTION("""COMPUTED_VALUE"""),"None")</f>
        <v>None</v>
      </c>
    </row>
    <row r="1992" spans="1:7" ht="12.75">
      <c r="A1992" s="8" t="str">
        <f ca="1">IFERROR(__xludf.DUMMYFUNCTION("""COMPUTED_VALUE"""),"19891205TXWWD")</f>
        <v>19891205TXWWD</v>
      </c>
      <c r="B1992" s="8">
        <f ca="1">IFERROR(__xludf.DUMMYFUNCTION("""COMPUTED_VALUE"""),18)</f>
        <v>18</v>
      </c>
      <c r="C1992" s="8" t="str">
        <f ca="1">IFERROR(__xludf.DUMMYFUNCTION("""COMPUTED_VALUE"""),"Male")</f>
        <v>Male</v>
      </c>
      <c r="D1992" s="8" t="str">
        <f ca="1">IFERROR(__xludf.DUMMYFUNCTION("""COMPUTED_VALUE"""),"Unknown")</f>
        <v>Unknown</v>
      </c>
      <c r="E1992" s="8" t="str">
        <f ca="1">IFERROR(__xludf.DUMMYFUNCTION("""COMPUTED_VALUE"""),"Fled/Apprehended")</f>
        <v>Fled/Apprehended</v>
      </c>
      <c r="F1992" s="8" t="str">
        <f ca="1">IFERROR(__xludf.DUMMYFUNCTION("""COMPUTED_VALUE"""),"No")</f>
        <v>No</v>
      </c>
      <c r="G1992" s="8" t="str">
        <f ca="1">IFERROR(__xludf.DUMMYFUNCTION("""COMPUTED_VALUE"""),"None")</f>
        <v>None</v>
      </c>
    </row>
    <row r="1993" spans="1:7" ht="12.75">
      <c r="A1993" s="8" t="str">
        <f ca="1">IFERROR(__xludf.DUMMYFUNCTION("""COMPUTED_VALUE"""),"19891205PASEM")</f>
        <v>19891205PASEM</v>
      </c>
      <c r="B1993" s="8">
        <f ca="1">IFERROR(__xludf.DUMMYFUNCTION("""COMPUTED_VALUE"""),16)</f>
        <v>16</v>
      </c>
      <c r="C1993" s="8" t="str">
        <f ca="1">IFERROR(__xludf.DUMMYFUNCTION("""COMPUTED_VALUE"""),"Male")</f>
        <v>Male</v>
      </c>
      <c r="D1993" s="8" t="str">
        <f ca="1">IFERROR(__xludf.DUMMYFUNCTION("""COMPUTED_VALUE"""),"Student")</f>
        <v>Student</v>
      </c>
      <c r="E1993" s="8" t="str">
        <f ca="1">IFERROR(__xludf.DUMMYFUNCTION("""COMPUTED_VALUE"""),"Suicide")</f>
        <v>Suicide</v>
      </c>
      <c r="F1993" s="8" t="str">
        <f ca="1">IFERROR(__xludf.DUMMYFUNCTION("""COMPUTED_VALUE"""),"Yes")</f>
        <v>Yes</v>
      </c>
      <c r="G1993" s="8" t="str">
        <f ca="1">IFERROR(__xludf.DUMMYFUNCTION("""COMPUTED_VALUE"""),"Suicide")</f>
        <v>Suicide</v>
      </c>
    </row>
    <row r="1994" spans="1:7" ht="12.75">
      <c r="A1994" s="8" t="str">
        <f ca="1">IFERROR(__xludf.DUMMYFUNCTION("""COMPUTED_VALUE"""),"19891204LACAS")</f>
        <v>19891204LACAS</v>
      </c>
      <c r="B1994" s="8" t="str">
        <f ca="1">IFERROR(__xludf.DUMMYFUNCTION("""COMPUTED_VALUE"""),"Teen")</f>
        <v>Teen</v>
      </c>
      <c r="C1994" s="8" t="str">
        <f ca="1">IFERROR(__xludf.DUMMYFUNCTION("""COMPUTED_VALUE"""),"Male")</f>
        <v>Male</v>
      </c>
      <c r="D1994" s="8" t="str">
        <f ca="1">IFERROR(__xludf.DUMMYFUNCTION("""COMPUTED_VALUE"""),"Student")</f>
        <v>Student</v>
      </c>
      <c r="E1994" s="8" t="str">
        <f ca="1">IFERROR(__xludf.DUMMYFUNCTION("""COMPUTED_VALUE"""),"Unknown")</f>
        <v>Unknown</v>
      </c>
      <c r="F1994" s="8" t="str">
        <f ca="1">IFERROR(__xludf.DUMMYFUNCTION("""COMPUTED_VALUE"""),"No")</f>
        <v>No</v>
      </c>
      <c r="G1994" s="8" t="str">
        <f ca="1">IFERROR(__xludf.DUMMYFUNCTION("""COMPUTED_VALUE"""),"None")</f>
        <v>None</v>
      </c>
    </row>
    <row r="1995" spans="1:7" ht="12.75">
      <c r="A1995" s="8" t="str">
        <f ca="1">IFERROR(__xludf.DUMMYFUNCTION("""COMPUTED_VALUE"""),"19891122CACHO")</f>
        <v>19891122CACHO</v>
      </c>
      <c r="B1995" s="8">
        <f ca="1">IFERROR(__xludf.DUMMYFUNCTION("""COMPUTED_VALUE"""),19)</f>
        <v>19</v>
      </c>
      <c r="C1995" s="8" t="str">
        <f ca="1">IFERROR(__xludf.DUMMYFUNCTION("""COMPUTED_VALUE"""),"Male")</f>
        <v>Male</v>
      </c>
      <c r="D1995" s="8" t="str">
        <f ca="1">IFERROR(__xludf.DUMMYFUNCTION("""COMPUTED_VALUE"""),"Unknown")</f>
        <v>Unknown</v>
      </c>
      <c r="E1995" s="8" t="str">
        <f ca="1">IFERROR(__xludf.DUMMYFUNCTION("""COMPUTED_VALUE"""),"Fled/Apprehended")</f>
        <v>Fled/Apprehended</v>
      </c>
      <c r="F1995" s="8" t="str">
        <f ca="1">IFERROR(__xludf.DUMMYFUNCTION("""COMPUTED_VALUE"""),"No")</f>
        <v>No</v>
      </c>
      <c r="G1995" s="8" t="str">
        <f ca="1">IFERROR(__xludf.DUMMYFUNCTION("""COMPUTED_VALUE"""),"None")</f>
        <v>None</v>
      </c>
    </row>
    <row r="1996" spans="1:7" ht="12.75">
      <c r="A1996" s="8" t="str">
        <f ca="1">IFERROR(__xludf.DUMMYFUNCTION("""COMPUTED_VALUE"""),"19891115TXWOA")</f>
        <v>19891115TXWOA</v>
      </c>
      <c r="B1996" s="8">
        <f ca="1">IFERROR(__xludf.DUMMYFUNCTION("""COMPUTED_VALUE"""),13)</f>
        <v>13</v>
      </c>
      <c r="C1996" s="8" t="str">
        <f ca="1">IFERROR(__xludf.DUMMYFUNCTION("""COMPUTED_VALUE"""),"Male")</f>
        <v>Male</v>
      </c>
      <c r="D1996" s="8" t="str">
        <f ca="1">IFERROR(__xludf.DUMMYFUNCTION("""COMPUTED_VALUE"""),"Student")</f>
        <v>Student</v>
      </c>
      <c r="E1996" s="8" t="str">
        <f ca="1">IFERROR(__xludf.DUMMYFUNCTION("""COMPUTED_VALUE"""),"Fled/Apprehended")</f>
        <v>Fled/Apprehended</v>
      </c>
      <c r="F1996" s="8" t="str">
        <f ca="1">IFERROR(__xludf.DUMMYFUNCTION("""COMPUTED_VALUE"""),"No")</f>
        <v>No</v>
      </c>
      <c r="G1996" s="8" t="str">
        <f ca="1">IFERROR(__xludf.DUMMYFUNCTION("""COMPUTED_VALUE"""),"None")</f>
        <v>None</v>
      </c>
    </row>
    <row r="1997" spans="1:7" ht="12.75">
      <c r="A1997" s="8" t="str">
        <f ca="1">IFERROR(__xludf.DUMMYFUNCTION("""COMPUTED_VALUE"""),"19891113NYALN")</f>
        <v>19891113NYALN</v>
      </c>
      <c r="B1997" s="8">
        <f ca="1">IFERROR(__xludf.DUMMYFUNCTION("""COMPUTED_VALUE"""),15)</f>
        <v>15</v>
      </c>
      <c r="C1997" s="8" t="str">
        <f ca="1">IFERROR(__xludf.DUMMYFUNCTION("""COMPUTED_VALUE"""),"Male")</f>
        <v>Male</v>
      </c>
      <c r="D1997" s="8" t="str">
        <f ca="1">IFERROR(__xludf.DUMMYFUNCTION("""COMPUTED_VALUE"""),"Student")</f>
        <v>Student</v>
      </c>
      <c r="E1997" s="8" t="str">
        <f ca="1">IFERROR(__xludf.DUMMYFUNCTION("""COMPUTED_VALUE"""),"Unknown")</f>
        <v>Unknown</v>
      </c>
      <c r="F1997" s="8" t="str">
        <f ca="1">IFERROR(__xludf.DUMMYFUNCTION("""COMPUTED_VALUE"""),"No")</f>
        <v>No</v>
      </c>
      <c r="G1997" s="8" t="str">
        <f ca="1">IFERROR(__xludf.DUMMYFUNCTION("""COMPUTED_VALUE"""),"None")</f>
        <v>None</v>
      </c>
    </row>
    <row r="1998" spans="1:7" ht="12.75">
      <c r="A1998" s="8" t="str">
        <f ca="1">IFERROR(__xludf.DUMMYFUNCTION("""COMPUTED_VALUE"""),"19891031TXOLD")</f>
        <v>19891031TXOLD</v>
      </c>
      <c r="B1998" s="8">
        <f ca="1">IFERROR(__xludf.DUMMYFUNCTION("""COMPUTED_VALUE"""),14)</f>
        <v>14</v>
      </c>
      <c r="C1998" s="8" t="str">
        <f ca="1">IFERROR(__xludf.DUMMYFUNCTION("""COMPUTED_VALUE"""),"Male")</f>
        <v>Male</v>
      </c>
      <c r="D1998" s="8" t="str">
        <f ca="1">IFERROR(__xludf.DUMMYFUNCTION("""COMPUTED_VALUE"""),"Student")</f>
        <v>Student</v>
      </c>
      <c r="E1998" s="8" t="str">
        <f ca="1">IFERROR(__xludf.DUMMYFUNCTION("""COMPUTED_VALUE"""),"Surrendered")</f>
        <v>Surrendered</v>
      </c>
      <c r="F1998" s="8" t="str">
        <f ca="1">IFERROR(__xludf.DUMMYFUNCTION("""COMPUTED_VALUE"""),"No")</f>
        <v>No</v>
      </c>
      <c r="G1998" s="8" t="str">
        <f ca="1">IFERROR(__xludf.DUMMYFUNCTION("""COMPUTED_VALUE"""),"None")</f>
        <v>None</v>
      </c>
    </row>
    <row r="1999" spans="1:7" ht="12.75">
      <c r="A1999" s="8" t="str">
        <f ca="1">IFERROR(__xludf.DUMMYFUNCTION("""COMPUTED_VALUE"""),"19891005CALOA")</f>
        <v>19891005CALOA</v>
      </c>
      <c r="B1999" s="8">
        <f ca="1">IFERROR(__xludf.DUMMYFUNCTION("""COMPUTED_VALUE"""),15)</f>
        <v>15</v>
      </c>
      <c r="C1999" s="8" t="str">
        <f ca="1">IFERROR(__xludf.DUMMYFUNCTION("""COMPUTED_VALUE"""),"Male")</f>
        <v>Male</v>
      </c>
      <c r="D1999" s="8" t="str">
        <f ca="1">IFERROR(__xludf.DUMMYFUNCTION("""COMPUTED_VALUE"""),"Student")</f>
        <v>Student</v>
      </c>
      <c r="E1999" s="8" t="str">
        <f ca="1">IFERROR(__xludf.DUMMYFUNCTION("""COMPUTED_VALUE"""),"Surrendered")</f>
        <v>Surrendered</v>
      </c>
      <c r="F1999" s="8" t="str">
        <f ca="1">IFERROR(__xludf.DUMMYFUNCTION("""COMPUTED_VALUE"""),"No")</f>
        <v>No</v>
      </c>
      <c r="G1999" s="8" t="str">
        <f ca="1">IFERROR(__xludf.DUMMYFUNCTION("""COMPUTED_VALUE"""),"None")</f>
        <v>None</v>
      </c>
    </row>
    <row r="2000" spans="1:7" ht="12.75">
      <c r="A2000" s="8" t="str">
        <f ca="1">IFERROR(__xludf.DUMMYFUNCTION("""COMPUTED_VALUE"""),"19890918KYJAM")</f>
        <v>19890918KYJAM</v>
      </c>
      <c r="B2000" s="8">
        <f ca="1">IFERROR(__xludf.DUMMYFUNCTION("""COMPUTED_VALUE"""),17)</f>
        <v>17</v>
      </c>
      <c r="C2000" s="8" t="str">
        <f ca="1">IFERROR(__xludf.DUMMYFUNCTION("""COMPUTED_VALUE"""),"Male")</f>
        <v>Male</v>
      </c>
      <c r="D2000" s="8" t="str">
        <f ca="1">IFERROR(__xludf.DUMMYFUNCTION("""COMPUTED_VALUE"""),"Student")</f>
        <v>Student</v>
      </c>
      <c r="E2000" s="8" t="str">
        <f ca="1">IFERROR(__xludf.DUMMYFUNCTION("""COMPUTED_VALUE"""),"Surrendered")</f>
        <v>Surrendered</v>
      </c>
      <c r="F2000" s="8" t="str">
        <f ca="1">IFERROR(__xludf.DUMMYFUNCTION("""COMPUTED_VALUE"""),"No")</f>
        <v>No</v>
      </c>
      <c r="G2000" s="8" t="str">
        <f ca="1">IFERROR(__xludf.DUMMYFUNCTION("""COMPUTED_VALUE"""),"None")</f>
        <v>None</v>
      </c>
    </row>
    <row r="2001" spans="1:7" ht="12.75">
      <c r="A2001" s="8" t="str">
        <f ca="1">IFERROR(__xludf.DUMMYFUNCTION("""COMPUTED_VALUE"""),"19890911AZDYE")</f>
        <v>19890911AZDYE</v>
      </c>
      <c r="B2001" s="8"/>
      <c r="C2001" s="8" t="str">
        <f ca="1">IFERROR(__xludf.DUMMYFUNCTION("""COMPUTED_VALUE"""),"Male")</f>
        <v>Male</v>
      </c>
      <c r="D2001" s="8" t="str">
        <f ca="1">IFERROR(__xludf.DUMMYFUNCTION("""COMPUTED_VALUE"""),"Student")</f>
        <v>Student</v>
      </c>
      <c r="E2001" s="8" t="str">
        <f ca="1">IFERROR(__xludf.DUMMYFUNCTION("""COMPUTED_VALUE"""),"Fled/Escaped")</f>
        <v>Fled/Escaped</v>
      </c>
      <c r="F2001" s="8" t="str">
        <f ca="1">IFERROR(__xludf.DUMMYFUNCTION("""COMPUTED_VALUE"""),"No")</f>
        <v>No</v>
      </c>
      <c r="G2001" s="8" t="str">
        <f ca="1">IFERROR(__xludf.DUMMYFUNCTION("""COMPUTED_VALUE"""),"None")</f>
        <v>None</v>
      </c>
    </row>
    <row r="2002" spans="1:7" ht="12.75">
      <c r="A2002" s="8" t="str">
        <f ca="1">IFERROR(__xludf.DUMMYFUNCTION("""COMPUTED_VALUE"""),"19890901VASAV")</f>
        <v>19890901VASAV</v>
      </c>
      <c r="B2002" s="8">
        <f ca="1">IFERROR(__xludf.DUMMYFUNCTION("""COMPUTED_VALUE"""),19)</f>
        <v>19</v>
      </c>
      <c r="C2002" s="8" t="str">
        <f ca="1">IFERROR(__xludf.DUMMYFUNCTION("""COMPUTED_VALUE"""),"Male")</f>
        <v>Male</v>
      </c>
      <c r="D2002" s="8" t="str">
        <f ca="1">IFERROR(__xludf.DUMMYFUNCTION("""COMPUTED_VALUE"""),"Nonstudent Using Athletic Facilities/Attending Game")</f>
        <v>Nonstudent Using Athletic Facilities/Attending Game</v>
      </c>
      <c r="E2002" s="8" t="str">
        <f ca="1">IFERROR(__xludf.DUMMYFUNCTION("""COMPUTED_VALUE"""),"Fled/Apprehended")</f>
        <v>Fled/Apprehended</v>
      </c>
      <c r="F2002" s="8" t="str">
        <f ca="1">IFERROR(__xludf.DUMMYFUNCTION("""COMPUTED_VALUE"""),"No")</f>
        <v>No</v>
      </c>
      <c r="G2002" s="8" t="str">
        <f ca="1">IFERROR(__xludf.DUMMYFUNCTION("""COMPUTED_VALUE"""),"None")</f>
        <v>None</v>
      </c>
    </row>
    <row r="2003" spans="1:7" ht="12.75">
      <c r="A2003" s="8" t="str">
        <f ca="1">IFERROR(__xludf.DUMMYFUNCTION("""COMPUTED_VALUE"""),"19890901VASAV")</f>
        <v>19890901VASAV</v>
      </c>
      <c r="B2003" s="8">
        <f ca="1">IFERROR(__xludf.DUMMYFUNCTION("""COMPUTED_VALUE"""),18)</f>
        <v>18</v>
      </c>
      <c r="C2003" s="8" t="str">
        <f ca="1">IFERROR(__xludf.DUMMYFUNCTION("""COMPUTED_VALUE"""),"Male")</f>
        <v>Male</v>
      </c>
      <c r="D2003" s="8" t="str">
        <f ca="1">IFERROR(__xludf.DUMMYFUNCTION("""COMPUTED_VALUE"""),"Student")</f>
        <v>Student</v>
      </c>
      <c r="E2003" s="8" t="str">
        <f ca="1">IFERROR(__xludf.DUMMYFUNCTION("""COMPUTED_VALUE"""),"Fled/Apprehended")</f>
        <v>Fled/Apprehended</v>
      </c>
      <c r="F2003" s="8" t="str">
        <f ca="1">IFERROR(__xludf.DUMMYFUNCTION("""COMPUTED_VALUE"""),"No")</f>
        <v>No</v>
      </c>
      <c r="G2003" s="8" t="str">
        <f ca="1">IFERROR(__xludf.DUMMYFUNCTION("""COMPUTED_VALUE"""),"None")</f>
        <v>None</v>
      </c>
    </row>
    <row r="2004" spans="1:7" ht="12.75">
      <c r="A2004" s="8" t="str">
        <f ca="1">IFERROR(__xludf.DUMMYFUNCTION("""COMPUTED_VALUE"""),"19890426TXAMD")</f>
        <v>19890426TXAMD</v>
      </c>
      <c r="B2004" s="8">
        <f ca="1">IFERROR(__xludf.DUMMYFUNCTION("""COMPUTED_VALUE"""),18)</f>
        <v>18</v>
      </c>
      <c r="C2004" s="8" t="str">
        <f ca="1">IFERROR(__xludf.DUMMYFUNCTION("""COMPUTED_VALUE"""),"Male")</f>
        <v>Male</v>
      </c>
      <c r="D2004" s="8" t="str">
        <f ca="1">IFERROR(__xludf.DUMMYFUNCTION("""COMPUTED_VALUE"""),"Nonstudent")</f>
        <v>Nonstudent</v>
      </c>
      <c r="E2004" s="8" t="str">
        <f ca="1">IFERROR(__xludf.DUMMYFUNCTION("""COMPUTED_VALUE"""),"Fled/Apprehended")</f>
        <v>Fled/Apprehended</v>
      </c>
      <c r="F2004" s="8" t="str">
        <f ca="1">IFERROR(__xludf.DUMMYFUNCTION("""COMPUTED_VALUE"""),"No")</f>
        <v>No</v>
      </c>
      <c r="G2004" s="8" t="str">
        <f ca="1">IFERROR(__xludf.DUMMYFUNCTION("""COMPUTED_VALUE"""),"None")</f>
        <v>None</v>
      </c>
    </row>
    <row r="2005" spans="1:7" ht="12.75">
      <c r="A2005" s="8" t="str">
        <f ca="1">IFERROR(__xludf.DUMMYFUNCTION("""COMPUTED_VALUE"""),"19890303INWIG")</f>
        <v>19890303INWIG</v>
      </c>
      <c r="B2005" s="8">
        <f ca="1">IFERROR(__xludf.DUMMYFUNCTION("""COMPUTED_VALUE"""),16)</f>
        <v>16</v>
      </c>
      <c r="C2005" s="8" t="str">
        <f ca="1">IFERROR(__xludf.DUMMYFUNCTION("""COMPUTED_VALUE"""),"Male")</f>
        <v>Male</v>
      </c>
      <c r="D2005" s="8" t="str">
        <f ca="1">IFERROR(__xludf.DUMMYFUNCTION("""COMPUTED_VALUE"""),"Student")</f>
        <v>Student</v>
      </c>
      <c r="E2005" s="8" t="str">
        <f ca="1">IFERROR(__xludf.DUMMYFUNCTION("""COMPUTED_VALUE"""),"Fled/Apprehended")</f>
        <v>Fled/Apprehended</v>
      </c>
      <c r="F2005" s="8" t="str">
        <f ca="1">IFERROR(__xludf.DUMMYFUNCTION("""COMPUTED_VALUE"""),"No")</f>
        <v>No</v>
      </c>
      <c r="G2005" s="8" t="str">
        <f ca="1">IFERROR(__xludf.DUMMYFUNCTION("""COMPUTED_VALUE"""),"None")</f>
        <v>None</v>
      </c>
    </row>
    <row r="2006" spans="1:7" ht="12.75">
      <c r="A2006" s="8" t="str">
        <f ca="1">IFERROR(__xludf.DUMMYFUNCTION("""COMPUTED_VALUE"""),"19890210UTTHK")</f>
        <v>19890210UTTHK</v>
      </c>
      <c r="B2006" s="8">
        <f ca="1">IFERROR(__xludf.DUMMYFUNCTION("""COMPUTED_VALUE"""),12)</f>
        <v>12</v>
      </c>
      <c r="C2006" s="8" t="str">
        <f ca="1">IFERROR(__xludf.DUMMYFUNCTION("""COMPUTED_VALUE"""),"Male")</f>
        <v>Male</v>
      </c>
      <c r="D2006" s="8" t="str">
        <f ca="1">IFERROR(__xludf.DUMMYFUNCTION("""COMPUTED_VALUE"""),"Student")</f>
        <v>Student</v>
      </c>
      <c r="E2006" s="8" t="str">
        <f ca="1">IFERROR(__xludf.DUMMYFUNCTION("""COMPUTED_VALUE"""),"Fled/Apprehended")</f>
        <v>Fled/Apprehended</v>
      </c>
      <c r="F2006" s="8" t="str">
        <f ca="1">IFERROR(__xludf.DUMMYFUNCTION("""COMPUTED_VALUE"""),"No")</f>
        <v>No</v>
      </c>
      <c r="G2006" s="8" t="str">
        <f ca="1">IFERROR(__xludf.DUMMYFUNCTION("""COMPUTED_VALUE"""),"None")</f>
        <v>None</v>
      </c>
    </row>
    <row r="2007" spans="1:7" ht="12.75">
      <c r="A2007" s="8" t="str">
        <f ca="1">IFERROR(__xludf.DUMMYFUNCTION("""COMPUTED_VALUE"""),"19890209IDRIR")</f>
        <v>19890209IDRIR</v>
      </c>
      <c r="B2007" s="8">
        <f ca="1">IFERROR(__xludf.DUMMYFUNCTION("""COMPUTED_VALUE"""),14)</f>
        <v>14</v>
      </c>
      <c r="C2007" s="8" t="str">
        <f ca="1">IFERROR(__xludf.DUMMYFUNCTION("""COMPUTED_VALUE"""),"Male")</f>
        <v>Male</v>
      </c>
      <c r="D2007" s="8" t="str">
        <f ca="1">IFERROR(__xludf.DUMMYFUNCTION("""COMPUTED_VALUE"""),"Student")</f>
        <v>Student</v>
      </c>
      <c r="E2007" s="8" t="str">
        <f ca="1">IFERROR(__xludf.DUMMYFUNCTION("""COMPUTED_VALUE"""),"Apprehended/Killed by LE")</f>
        <v>Apprehended/Killed by LE</v>
      </c>
      <c r="F2007" s="8" t="str">
        <f ca="1">IFERROR(__xludf.DUMMYFUNCTION("""COMPUTED_VALUE"""),"No")</f>
        <v>No</v>
      </c>
      <c r="G2007" s="8" t="str">
        <f ca="1">IFERROR(__xludf.DUMMYFUNCTION("""COMPUTED_VALUE"""),"None")</f>
        <v>None</v>
      </c>
    </row>
    <row r="2008" spans="1:7" ht="12.75">
      <c r="A2008" s="8" t="str">
        <f ca="1">IFERROR(__xludf.DUMMYFUNCTION("""COMPUTED_VALUE"""),"19890126DCWOW")</f>
        <v>19890126DCWOW</v>
      </c>
      <c r="B2008" s="8">
        <f ca="1">IFERROR(__xludf.DUMMYFUNCTION("""COMPUTED_VALUE"""),16)</f>
        <v>16</v>
      </c>
      <c r="C2008" s="8" t="str">
        <f ca="1">IFERROR(__xludf.DUMMYFUNCTION("""COMPUTED_VALUE"""),"Male")</f>
        <v>Male</v>
      </c>
      <c r="D2008" s="8" t="str">
        <f ca="1">IFERROR(__xludf.DUMMYFUNCTION("""COMPUTED_VALUE"""),"Student")</f>
        <v>Student</v>
      </c>
      <c r="E2008" s="8" t="str">
        <f ca="1">IFERROR(__xludf.DUMMYFUNCTION("""COMPUTED_VALUE"""),"Fled/Apprehended")</f>
        <v>Fled/Apprehended</v>
      </c>
      <c r="F2008" s="8" t="str">
        <f ca="1">IFERROR(__xludf.DUMMYFUNCTION("""COMPUTED_VALUE"""),"No")</f>
        <v>No</v>
      </c>
      <c r="G2008" s="8" t="str">
        <f ca="1">IFERROR(__xludf.DUMMYFUNCTION("""COMPUTED_VALUE"""),"None")</f>
        <v>None</v>
      </c>
    </row>
    <row r="2009" spans="1:7" ht="12.75">
      <c r="A2009" s="8" t="str">
        <f ca="1">IFERROR(__xludf.DUMMYFUNCTION("""COMPUTED_VALUE"""),"19890126DCWOW")</f>
        <v>19890126DCWOW</v>
      </c>
      <c r="B2009" s="8">
        <f ca="1">IFERROR(__xludf.DUMMYFUNCTION("""COMPUTED_VALUE"""),18)</f>
        <v>18</v>
      </c>
      <c r="C2009" s="8" t="str">
        <f ca="1">IFERROR(__xludf.DUMMYFUNCTION("""COMPUTED_VALUE"""),"Male")</f>
        <v>Male</v>
      </c>
      <c r="D2009" s="8" t="str">
        <f ca="1">IFERROR(__xludf.DUMMYFUNCTION("""COMPUTED_VALUE"""),"Student")</f>
        <v>Student</v>
      </c>
      <c r="E2009" s="8" t="str">
        <f ca="1">IFERROR(__xludf.DUMMYFUNCTION("""COMPUTED_VALUE"""),"Fled/Apprehended")</f>
        <v>Fled/Apprehended</v>
      </c>
      <c r="F2009" s="8" t="str">
        <f ca="1">IFERROR(__xludf.DUMMYFUNCTION("""COMPUTED_VALUE"""),"No")</f>
        <v>No</v>
      </c>
      <c r="G2009" s="8" t="str">
        <f ca="1">IFERROR(__xludf.DUMMYFUNCTION("""COMPUTED_VALUE"""),"None")</f>
        <v>None</v>
      </c>
    </row>
    <row r="2010" spans="1:7" ht="12.75">
      <c r="A2010" s="8" t="str">
        <f ca="1">IFERROR(__xludf.DUMMYFUNCTION("""COMPUTED_VALUE"""),"19890117CACLS")</f>
        <v>19890117CACLS</v>
      </c>
      <c r="B2010" s="8">
        <f ca="1">IFERROR(__xludf.DUMMYFUNCTION("""COMPUTED_VALUE"""),24)</f>
        <v>24</v>
      </c>
      <c r="C2010" s="8" t="str">
        <f ca="1">IFERROR(__xludf.DUMMYFUNCTION("""COMPUTED_VALUE"""),"Male")</f>
        <v>Male</v>
      </c>
      <c r="D2010" s="8" t="str">
        <f ca="1">IFERROR(__xludf.DUMMYFUNCTION("""COMPUTED_VALUE"""),"Former Student")</f>
        <v>Former Student</v>
      </c>
      <c r="E2010" s="8" t="str">
        <f ca="1">IFERROR(__xludf.DUMMYFUNCTION("""COMPUTED_VALUE"""),"Suicide")</f>
        <v>Suicide</v>
      </c>
      <c r="F2010" s="8" t="str">
        <f ca="1">IFERROR(__xludf.DUMMYFUNCTION("""COMPUTED_VALUE"""),"Yes")</f>
        <v>Yes</v>
      </c>
      <c r="G2010" s="8" t="str">
        <f ca="1">IFERROR(__xludf.DUMMYFUNCTION("""COMPUTED_VALUE"""),"Suicide")</f>
        <v>Suicide</v>
      </c>
    </row>
    <row r="2011" spans="1:7" ht="12.75">
      <c r="A2011" s="8" t="str">
        <f ca="1">IFERROR(__xludf.DUMMYFUNCTION("""COMPUTED_VALUE"""),"19890105ARHEL")</f>
        <v>19890105ARHEL</v>
      </c>
      <c r="B2011" s="8">
        <f ca="1">IFERROR(__xludf.DUMMYFUNCTION("""COMPUTED_VALUE"""),19)</f>
        <v>19</v>
      </c>
      <c r="C2011" s="8" t="str">
        <f ca="1">IFERROR(__xludf.DUMMYFUNCTION("""COMPUTED_VALUE"""),"Male")</f>
        <v>Male</v>
      </c>
      <c r="D2011" s="8" t="str">
        <f ca="1">IFERROR(__xludf.DUMMYFUNCTION("""COMPUTED_VALUE"""),"Unknown")</f>
        <v>Unknown</v>
      </c>
      <c r="E2011" s="8" t="str">
        <f ca="1">IFERROR(__xludf.DUMMYFUNCTION("""COMPUTED_VALUE"""),"Unknown")</f>
        <v>Unknown</v>
      </c>
      <c r="F2011" s="8" t="str">
        <f ca="1">IFERROR(__xludf.DUMMYFUNCTION("""COMPUTED_VALUE"""),"No")</f>
        <v>No</v>
      </c>
      <c r="G2011" s="8" t="str">
        <f ca="1">IFERROR(__xludf.DUMMYFUNCTION("""COMPUTED_VALUE"""),"None")</f>
        <v>None</v>
      </c>
    </row>
    <row r="2012" spans="1:7" ht="12.75">
      <c r="A2012" s="8" t="str">
        <f ca="1">IFERROR(__xludf.DUMMYFUNCTION("""COMPUTED_VALUE"""),"19881216VAATV")</f>
        <v>19881216VAATV</v>
      </c>
      <c r="B2012" s="8">
        <f ca="1">IFERROR(__xludf.DUMMYFUNCTION("""COMPUTED_VALUE"""),16)</f>
        <v>16</v>
      </c>
      <c r="C2012" s="8" t="str">
        <f ca="1">IFERROR(__xludf.DUMMYFUNCTION("""COMPUTED_VALUE"""),"Male")</f>
        <v>Male</v>
      </c>
      <c r="D2012" s="8" t="str">
        <f ca="1">IFERROR(__xludf.DUMMYFUNCTION("""COMPUTED_VALUE"""),"Student")</f>
        <v>Student</v>
      </c>
      <c r="E2012" s="8" t="str">
        <f ca="1">IFERROR(__xludf.DUMMYFUNCTION("""COMPUTED_VALUE"""),"Subdued by Students/Staff/Other")</f>
        <v>Subdued by Students/Staff/Other</v>
      </c>
      <c r="F2012" s="8" t="str">
        <f ca="1">IFERROR(__xludf.DUMMYFUNCTION("""COMPUTED_VALUE"""),"No")</f>
        <v>No</v>
      </c>
      <c r="G2012" s="8" t="str">
        <f ca="1">IFERROR(__xludf.DUMMYFUNCTION("""COMPUTED_VALUE"""),"None")</f>
        <v>None</v>
      </c>
    </row>
    <row r="2013" spans="1:7" ht="12.75">
      <c r="A2013" s="8" t="str">
        <f ca="1">IFERROR(__xludf.DUMMYFUNCTION("""COMPUTED_VALUE"""),"19881122TXABA")</f>
        <v>19881122TXABA</v>
      </c>
      <c r="B2013" s="8">
        <f ca="1">IFERROR(__xludf.DUMMYFUNCTION("""COMPUTED_VALUE"""),16)</f>
        <v>16</v>
      </c>
      <c r="C2013" s="8" t="str">
        <f ca="1">IFERROR(__xludf.DUMMYFUNCTION("""COMPUTED_VALUE"""),"Male")</f>
        <v>Male</v>
      </c>
      <c r="D2013" s="8" t="str">
        <f ca="1">IFERROR(__xludf.DUMMYFUNCTION("""COMPUTED_VALUE"""),"Student")</f>
        <v>Student</v>
      </c>
      <c r="E2013" s="8" t="str">
        <f ca="1">IFERROR(__xludf.DUMMYFUNCTION("""COMPUTED_VALUE"""),"Fled/Apprehended")</f>
        <v>Fled/Apprehended</v>
      </c>
      <c r="F2013" s="8" t="str">
        <f ca="1">IFERROR(__xludf.DUMMYFUNCTION("""COMPUTED_VALUE"""),"No")</f>
        <v>No</v>
      </c>
      <c r="G2013" s="8" t="str">
        <f ca="1">IFERROR(__xludf.DUMMYFUNCTION("""COMPUTED_VALUE"""),"None")</f>
        <v>None</v>
      </c>
    </row>
    <row r="2014" spans="1:7" ht="12.75">
      <c r="A2014" s="8" t="str">
        <f ca="1">IFERROR(__xludf.DUMMYFUNCTION("""COMPUTED_VALUE"""),"19881107UTGLS")</f>
        <v>19881107UTGLS</v>
      </c>
      <c r="B2014" s="8">
        <f ca="1">IFERROR(__xludf.DUMMYFUNCTION("""COMPUTED_VALUE"""),14)</f>
        <v>14</v>
      </c>
      <c r="C2014" s="8" t="str">
        <f ca="1">IFERROR(__xludf.DUMMYFUNCTION("""COMPUTED_VALUE"""),"Male")</f>
        <v>Male</v>
      </c>
      <c r="D2014" s="8" t="str">
        <f ca="1">IFERROR(__xludf.DUMMYFUNCTION("""COMPUTED_VALUE"""),"Student")</f>
        <v>Student</v>
      </c>
      <c r="E2014" s="8" t="str">
        <f ca="1">IFERROR(__xludf.DUMMYFUNCTION("""COMPUTED_VALUE"""),"Apprehended/Killed by LE")</f>
        <v>Apprehended/Killed by LE</v>
      </c>
      <c r="F2014" s="8" t="str">
        <f ca="1">IFERROR(__xludf.DUMMYFUNCTION("""COMPUTED_VALUE"""),"No")</f>
        <v>No</v>
      </c>
      <c r="G2014" s="8" t="str">
        <f ca="1">IFERROR(__xludf.DUMMYFUNCTION("""COMPUTED_VALUE"""),"None")</f>
        <v>None</v>
      </c>
    </row>
    <row r="2015" spans="1:7" ht="12.75">
      <c r="A2015" s="8" t="str">
        <f ca="1">IFERROR(__xludf.DUMMYFUNCTION("""COMPUTED_VALUE"""),"19881101FLPAJ")</f>
        <v>19881101FLPAJ</v>
      </c>
      <c r="B2015" s="8">
        <f ca="1">IFERROR(__xludf.DUMMYFUNCTION("""COMPUTED_VALUE"""),15)</f>
        <v>15</v>
      </c>
      <c r="C2015" s="8" t="str">
        <f ca="1">IFERROR(__xludf.DUMMYFUNCTION("""COMPUTED_VALUE"""),"Male")</f>
        <v>Male</v>
      </c>
      <c r="D2015" s="8" t="str">
        <f ca="1">IFERROR(__xludf.DUMMYFUNCTION("""COMPUTED_VALUE"""),"Student")</f>
        <v>Student</v>
      </c>
      <c r="E2015" s="8" t="str">
        <f ca="1">IFERROR(__xludf.DUMMYFUNCTION("""COMPUTED_VALUE"""),"Fled/Apprehended")</f>
        <v>Fled/Apprehended</v>
      </c>
      <c r="F2015" s="8" t="str">
        <f ca="1">IFERROR(__xludf.DUMMYFUNCTION("""COMPUTED_VALUE"""),"No")</f>
        <v>No</v>
      </c>
      <c r="G2015" s="8" t="str">
        <f ca="1">IFERROR(__xludf.DUMMYFUNCTION("""COMPUTED_VALUE"""),"None")</f>
        <v>None</v>
      </c>
    </row>
    <row r="2016" spans="1:7" ht="12.75">
      <c r="A2016" s="8" t="str">
        <f ca="1">IFERROR(__xludf.DUMMYFUNCTION("""COMPUTED_VALUE"""),"19881007TXDIP")</f>
        <v>19881007TXDIP</v>
      </c>
      <c r="B2016" s="8">
        <f ca="1">IFERROR(__xludf.DUMMYFUNCTION("""COMPUTED_VALUE"""),10)</f>
        <v>10</v>
      </c>
      <c r="C2016" s="8" t="str">
        <f ca="1">IFERROR(__xludf.DUMMYFUNCTION("""COMPUTED_VALUE"""),"Male")</f>
        <v>Male</v>
      </c>
      <c r="D2016" s="8" t="str">
        <f ca="1">IFERROR(__xludf.DUMMYFUNCTION("""COMPUTED_VALUE"""),"Student")</f>
        <v>Student</v>
      </c>
      <c r="E2016" s="8" t="str">
        <f ca="1">IFERROR(__xludf.DUMMYFUNCTION("""COMPUTED_VALUE"""),"Fled/Apprehended")</f>
        <v>Fled/Apprehended</v>
      </c>
      <c r="F2016" s="8" t="str">
        <f ca="1">IFERROR(__xludf.DUMMYFUNCTION("""COMPUTED_VALUE"""),"No")</f>
        <v>No</v>
      </c>
      <c r="G2016" s="8" t="str">
        <f ca="1">IFERROR(__xludf.DUMMYFUNCTION("""COMPUTED_VALUE"""),"None")</f>
        <v>None</v>
      </c>
    </row>
    <row r="2017" spans="1:7" ht="12.75">
      <c r="A2017" s="8" t="str">
        <f ca="1">IFERROR(__xludf.DUMMYFUNCTION("""COMPUTED_VALUE"""),"19881007MDSOB")</f>
        <v>19881007MDSOB</v>
      </c>
      <c r="B2017" s="8">
        <f ca="1">IFERROR(__xludf.DUMMYFUNCTION("""COMPUTED_VALUE"""),17)</f>
        <v>17</v>
      </c>
      <c r="C2017" s="8" t="str">
        <f ca="1">IFERROR(__xludf.DUMMYFUNCTION("""COMPUTED_VALUE"""),"Male")</f>
        <v>Male</v>
      </c>
      <c r="D2017" s="8" t="str">
        <f ca="1">IFERROR(__xludf.DUMMYFUNCTION("""COMPUTED_VALUE"""),"Student")</f>
        <v>Student</v>
      </c>
      <c r="E2017" s="8" t="str">
        <f ca="1">IFERROR(__xludf.DUMMYFUNCTION("""COMPUTED_VALUE"""),"Fled/Apprehended")</f>
        <v>Fled/Apprehended</v>
      </c>
      <c r="F2017" s="8" t="str">
        <f ca="1">IFERROR(__xludf.DUMMYFUNCTION("""COMPUTED_VALUE"""),"No")</f>
        <v>No</v>
      </c>
      <c r="G2017" s="8" t="str">
        <f ca="1">IFERROR(__xludf.DUMMYFUNCTION("""COMPUTED_VALUE"""),"None")</f>
        <v>None</v>
      </c>
    </row>
    <row r="2018" spans="1:7" ht="12.75">
      <c r="A2018" s="8" t="str">
        <f ca="1">IFERROR(__xludf.DUMMYFUNCTION("""COMPUTED_VALUE"""),"19881006ALMOM")</f>
        <v>19881006ALMOM</v>
      </c>
      <c r="B2018" s="8">
        <f ca="1">IFERROR(__xludf.DUMMYFUNCTION("""COMPUTED_VALUE"""),29)</f>
        <v>29</v>
      </c>
      <c r="C2018" s="8" t="str">
        <f ca="1">IFERROR(__xludf.DUMMYFUNCTION("""COMPUTED_VALUE"""),"Female")</f>
        <v>Female</v>
      </c>
      <c r="D2018" s="8" t="str">
        <f ca="1">IFERROR(__xludf.DUMMYFUNCTION("""COMPUTED_VALUE"""),"Relative")</f>
        <v>Relative</v>
      </c>
      <c r="E2018" s="8" t="str">
        <f ca="1">IFERROR(__xludf.DUMMYFUNCTION("""COMPUTED_VALUE"""),"Fled/Apprehended")</f>
        <v>Fled/Apprehended</v>
      </c>
      <c r="F2018" s="8" t="str">
        <f ca="1">IFERROR(__xludf.DUMMYFUNCTION("""COMPUTED_VALUE"""),"No")</f>
        <v>No</v>
      </c>
      <c r="G2018" s="8" t="str">
        <f ca="1">IFERROR(__xludf.DUMMYFUNCTION("""COMPUTED_VALUE"""),"None")</f>
        <v>None</v>
      </c>
    </row>
    <row r="2019" spans="1:7" ht="12.75">
      <c r="A2019" s="8" t="str">
        <f ca="1">IFERROR(__xludf.DUMMYFUNCTION("""COMPUTED_VALUE"""),"19881005MDEDB")</f>
        <v>19881005MDEDB</v>
      </c>
      <c r="B2019" s="8">
        <f ca="1">IFERROR(__xludf.DUMMYFUNCTION("""COMPUTED_VALUE"""),17)</f>
        <v>17</v>
      </c>
      <c r="C2019" s="8" t="str">
        <f ca="1">IFERROR(__xludf.DUMMYFUNCTION("""COMPUTED_VALUE"""),"Male")</f>
        <v>Male</v>
      </c>
      <c r="D2019" s="8" t="str">
        <f ca="1">IFERROR(__xludf.DUMMYFUNCTION("""COMPUTED_VALUE"""),"Student")</f>
        <v>Student</v>
      </c>
      <c r="E2019" s="8" t="str">
        <f ca="1">IFERROR(__xludf.DUMMYFUNCTION("""COMPUTED_VALUE"""),"Unknown")</f>
        <v>Unknown</v>
      </c>
      <c r="F2019" s="8" t="str">
        <f ca="1">IFERROR(__xludf.DUMMYFUNCTION("""COMPUTED_VALUE"""),"No")</f>
        <v>No</v>
      </c>
      <c r="G2019" s="8" t="str">
        <f ca="1">IFERROR(__xludf.DUMMYFUNCTION("""COMPUTED_VALUE"""),"None")</f>
        <v>None</v>
      </c>
    </row>
    <row r="2020" spans="1:7" ht="12.75">
      <c r="A2020" s="8" t="str">
        <f ca="1">IFERROR(__xludf.DUMMYFUNCTION("""COMPUTED_VALUE"""),"19881004LAISB")</f>
        <v>19881004LAISB</v>
      </c>
      <c r="B2020" s="8">
        <f ca="1">IFERROR(__xludf.DUMMYFUNCTION("""COMPUTED_VALUE"""),33)</f>
        <v>33</v>
      </c>
      <c r="C2020" s="8" t="str">
        <f ca="1">IFERROR(__xludf.DUMMYFUNCTION("""COMPUTED_VALUE"""),"Female")</f>
        <v>Female</v>
      </c>
      <c r="D2020" s="8" t="str">
        <f ca="1">IFERROR(__xludf.DUMMYFUNCTION("""COMPUTED_VALUE"""),"Teacher")</f>
        <v>Teacher</v>
      </c>
      <c r="E2020" s="8" t="str">
        <f ca="1">IFERROR(__xludf.DUMMYFUNCTION("""COMPUTED_VALUE"""),"Unknown")</f>
        <v>Unknown</v>
      </c>
      <c r="F2020" s="8" t="str">
        <f ca="1">IFERROR(__xludf.DUMMYFUNCTION("""COMPUTED_VALUE"""),"No")</f>
        <v>No</v>
      </c>
      <c r="G2020" s="8" t="str">
        <f ca="1">IFERROR(__xludf.DUMMYFUNCTION("""COMPUTED_VALUE"""),"None")</f>
        <v>None</v>
      </c>
    </row>
    <row r="2021" spans="1:7" ht="12.75">
      <c r="A2021" s="8" t="str">
        <f ca="1">IFERROR(__xludf.DUMMYFUNCTION("""COMPUTED_VALUE"""),"19881004FLJEJ")</f>
        <v>19881004FLJEJ</v>
      </c>
      <c r="B2021" s="8"/>
      <c r="C2021" s="8"/>
      <c r="D2021" s="8" t="str">
        <f ca="1">IFERROR(__xludf.DUMMYFUNCTION("""COMPUTED_VALUE"""),"Unknown")</f>
        <v>Unknown</v>
      </c>
      <c r="E2021" s="8" t="str">
        <f ca="1">IFERROR(__xludf.DUMMYFUNCTION("""COMPUTED_VALUE"""),"Fled/Escaped")</f>
        <v>Fled/Escaped</v>
      </c>
      <c r="F2021" s="8" t="str">
        <f ca="1">IFERROR(__xludf.DUMMYFUNCTION("""COMPUTED_VALUE"""),"No")</f>
        <v>No</v>
      </c>
      <c r="G2021" s="8" t="str">
        <f ca="1">IFERROR(__xludf.DUMMYFUNCTION("""COMPUTED_VALUE"""),"None")</f>
        <v>None</v>
      </c>
    </row>
    <row r="2022" spans="1:7" ht="12.75">
      <c r="A2022" s="8" t="str">
        <f ca="1">IFERROR(__xludf.DUMMYFUNCTION("""COMPUTED_VALUE"""),"19881003FLMAM")</f>
        <v>19881003FLMAM</v>
      </c>
      <c r="B2022" s="8"/>
      <c r="C2022" s="8"/>
      <c r="D2022" s="8" t="str">
        <f ca="1">IFERROR(__xludf.DUMMYFUNCTION("""COMPUTED_VALUE"""),"Unknown")</f>
        <v>Unknown</v>
      </c>
      <c r="E2022" s="8" t="str">
        <f ca="1">IFERROR(__xludf.DUMMYFUNCTION("""COMPUTED_VALUE"""),"Fled/Escaped")</f>
        <v>Fled/Escaped</v>
      </c>
      <c r="F2022" s="8" t="str">
        <f ca="1">IFERROR(__xludf.DUMMYFUNCTION("""COMPUTED_VALUE"""),"No")</f>
        <v>No</v>
      </c>
      <c r="G2022" s="8" t="str">
        <f ca="1">IFERROR(__xludf.DUMMYFUNCTION("""COMPUTED_VALUE"""),"None")</f>
        <v>None</v>
      </c>
    </row>
    <row r="2023" spans="1:7" ht="12.75">
      <c r="A2023" s="8" t="str">
        <f ca="1">IFERROR(__xludf.DUMMYFUNCTION("""COMPUTED_VALUE"""),"19880926SCOAG")</f>
        <v>19880926SCOAG</v>
      </c>
      <c r="B2023" s="8">
        <f ca="1">IFERROR(__xludf.DUMMYFUNCTION("""COMPUTED_VALUE"""),19)</f>
        <v>19</v>
      </c>
      <c r="C2023" s="8" t="str">
        <f ca="1">IFERROR(__xludf.DUMMYFUNCTION("""COMPUTED_VALUE"""),"Male")</f>
        <v>Male</v>
      </c>
      <c r="D2023" s="8" t="str">
        <f ca="1">IFERROR(__xludf.DUMMYFUNCTION("""COMPUTED_VALUE"""),"Former Student")</f>
        <v>Former Student</v>
      </c>
      <c r="E2023" s="8" t="str">
        <f ca="1">IFERROR(__xludf.DUMMYFUNCTION("""COMPUTED_VALUE"""),"Apprehended/Killed by LE")</f>
        <v>Apprehended/Killed by LE</v>
      </c>
      <c r="F2023" s="8" t="str">
        <f ca="1">IFERROR(__xludf.DUMMYFUNCTION("""COMPUTED_VALUE"""),"No")</f>
        <v>No</v>
      </c>
      <c r="G2023" s="8" t="str">
        <f ca="1">IFERROR(__xludf.DUMMYFUNCTION("""COMPUTED_VALUE"""),"None")</f>
        <v>None</v>
      </c>
    </row>
    <row r="2024" spans="1:7" ht="12.75">
      <c r="A2024" s="8" t="str">
        <f ca="1">IFERROR(__xludf.DUMMYFUNCTION("""COMPUTED_VALUE"""),"19880922ILMOC")</f>
        <v>19880922ILMOC</v>
      </c>
      <c r="B2024" s="8">
        <f ca="1">IFERROR(__xludf.DUMMYFUNCTION("""COMPUTED_VALUE"""),40)</f>
        <v>40</v>
      </c>
      <c r="C2024" s="8" t="str">
        <f ca="1">IFERROR(__xludf.DUMMYFUNCTION("""COMPUTED_VALUE"""),"Male")</f>
        <v>Male</v>
      </c>
      <c r="D2024" s="8" t="str">
        <f ca="1">IFERROR(__xludf.DUMMYFUNCTION("""COMPUTED_VALUE"""),"No Relation")</f>
        <v>No Relation</v>
      </c>
      <c r="E2024" s="8" t="str">
        <f ca="1">IFERROR(__xludf.DUMMYFUNCTION("""COMPUTED_VALUE"""),"Apprehended/Killed by LE")</f>
        <v>Apprehended/Killed by LE</v>
      </c>
      <c r="F2024" s="8" t="str">
        <f ca="1">IFERROR(__xludf.DUMMYFUNCTION("""COMPUTED_VALUE"""),"Yes")</f>
        <v>Yes</v>
      </c>
      <c r="G2024" s="8" t="str">
        <f ca="1">IFERROR(__xludf.DUMMYFUNCTION("""COMPUTED_VALUE"""),"Fatal")</f>
        <v>Fatal</v>
      </c>
    </row>
    <row r="2025" spans="1:7" ht="12.75">
      <c r="A2025" s="8" t="str">
        <f ca="1">IFERROR(__xludf.DUMMYFUNCTION("""COMPUTED_VALUE"""),"19880903TXLID")</f>
        <v>19880903TXLID</v>
      </c>
      <c r="B2025" s="8" t="str">
        <f ca="1">IFERROR(__xludf.DUMMYFUNCTION("""COMPUTED_VALUE"""),"Teen")</f>
        <v>Teen</v>
      </c>
      <c r="C2025" s="8" t="str">
        <f ca="1">IFERROR(__xludf.DUMMYFUNCTION("""COMPUTED_VALUE"""),"Male")</f>
        <v>Male</v>
      </c>
      <c r="D2025" s="8" t="str">
        <f ca="1">IFERROR(__xludf.DUMMYFUNCTION("""COMPUTED_VALUE"""),"No Relation")</f>
        <v>No Relation</v>
      </c>
      <c r="E2025" s="8" t="str">
        <f ca="1">IFERROR(__xludf.DUMMYFUNCTION("""COMPUTED_VALUE"""),"Fled/Escaped")</f>
        <v>Fled/Escaped</v>
      </c>
      <c r="F2025" s="8" t="str">
        <f ca="1">IFERROR(__xludf.DUMMYFUNCTION("""COMPUTED_VALUE"""),"No")</f>
        <v>No</v>
      </c>
      <c r="G2025" s="8" t="str">
        <f ca="1">IFERROR(__xludf.DUMMYFUNCTION("""COMPUTED_VALUE"""),"None")</f>
        <v>None</v>
      </c>
    </row>
    <row r="2026" spans="1:7" ht="12.75">
      <c r="A2026" s="8" t="str">
        <f ca="1">IFERROR(__xludf.DUMMYFUNCTION("""COMPUTED_VALUE"""),"19880903TXLID")</f>
        <v>19880903TXLID</v>
      </c>
      <c r="B2026" s="8" t="str">
        <f ca="1">IFERROR(__xludf.DUMMYFUNCTION("""COMPUTED_VALUE"""),"Teen")</f>
        <v>Teen</v>
      </c>
      <c r="C2026" s="8" t="str">
        <f ca="1">IFERROR(__xludf.DUMMYFUNCTION("""COMPUTED_VALUE"""),"Male")</f>
        <v>Male</v>
      </c>
      <c r="D2026" s="8" t="str">
        <f ca="1">IFERROR(__xludf.DUMMYFUNCTION("""COMPUTED_VALUE"""),"No Relation")</f>
        <v>No Relation</v>
      </c>
      <c r="E2026" s="8" t="str">
        <f ca="1">IFERROR(__xludf.DUMMYFUNCTION("""COMPUTED_VALUE"""),"Fled/Escaped")</f>
        <v>Fled/Escaped</v>
      </c>
      <c r="F2026" s="8" t="str">
        <f ca="1">IFERROR(__xludf.DUMMYFUNCTION("""COMPUTED_VALUE"""),"No")</f>
        <v>No</v>
      </c>
      <c r="G2026" s="8" t="str">
        <f ca="1">IFERROR(__xludf.DUMMYFUNCTION("""COMPUTED_VALUE"""),"None")</f>
        <v>None</v>
      </c>
    </row>
    <row r="2027" spans="1:7" ht="12.75">
      <c r="A2027" s="8" t="str">
        <f ca="1">IFERROR(__xludf.DUMMYFUNCTION("""COMPUTED_VALUE"""),"19880903TXLID")</f>
        <v>19880903TXLID</v>
      </c>
      <c r="B2027" s="8" t="str">
        <f ca="1">IFERROR(__xludf.DUMMYFUNCTION("""COMPUTED_VALUE"""),"Teen")</f>
        <v>Teen</v>
      </c>
      <c r="C2027" s="8" t="str">
        <f ca="1">IFERROR(__xludf.DUMMYFUNCTION("""COMPUTED_VALUE"""),"Male")</f>
        <v>Male</v>
      </c>
      <c r="D2027" s="8" t="str">
        <f ca="1">IFERROR(__xludf.DUMMYFUNCTION("""COMPUTED_VALUE"""),"No Relation")</f>
        <v>No Relation</v>
      </c>
      <c r="E2027" s="8" t="str">
        <f ca="1">IFERROR(__xludf.DUMMYFUNCTION("""COMPUTED_VALUE"""),"Fled/Escaped")</f>
        <v>Fled/Escaped</v>
      </c>
      <c r="F2027" s="8" t="str">
        <f ca="1">IFERROR(__xludf.DUMMYFUNCTION("""COMPUTED_VALUE"""),"No")</f>
        <v>No</v>
      </c>
      <c r="G2027" s="8" t="str">
        <f ca="1">IFERROR(__xludf.DUMMYFUNCTION("""COMPUTED_VALUE"""),"None")</f>
        <v>None</v>
      </c>
    </row>
    <row r="2028" spans="1:7" ht="12.75">
      <c r="A2028" s="8" t="str">
        <f ca="1">IFERROR(__xludf.DUMMYFUNCTION("""COMPUTED_VALUE"""),"19880903TXLID")</f>
        <v>19880903TXLID</v>
      </c>
      <c r="B2028" s="8" t="str">
        <f ca="1">IFERROR(__xludf.DUMMYFUNCTION("""COMPUTED_VALUE"""),"Teen")</f>
        <v>Teen</v>
      </c>
      <c r="C2028" s="8" t="str">
        <f ca="1">IFERROR(__xludf.DUMMYFUNCTION("""COMPUTED_VALUE"""),"Male")</f>
        <v>Male</v>
      </c>
      <c r="D2028" s="8" t="str">
        <f ca="1">IFERROR(__xludf.DUMMYFUNCTION("""COMPUTED_VALUE"""),"No Relation")</f>
        <v>No Relation</v>
      </c>
      <c r="E2028" s="8" t="str">
        <f ca="1">IFERROR(__xludf.DUMMYFUNCTION("""COMPUTED_VALUE"""),"Fled/Escaped")</f>
        <v>Fled/Escaped</v>
      </c>
      <c r="F2028" s="8" t="str">
        <f ca="1">IFERROR(__xludf.DUMMYFUNCTION("""COMPUTED_VALUE"""),"No")</f>
        <v>No</v>
      </c>
      <c r="G2028" s="8" t="str">
        <f ca="1">IFERROR(__xludf.DUMMYFUNCTION("""COMPUTED_VALUE"""),"None")</f>
        <v>None</v>
      </c>
    </row>
    <row r="2029" spans="1:7" ht="12.75">
      <c r="A2029" s="8" t="str">
        <f ca="1">IFERROR(__xludf.DUMMYFUNCTION("""COMPUTED_VALUE"""),"19880902NCGAC")</f>
        <v>19880902NCGAC</v>
      </c>
      <c r="B2029" s="8">
        <f ca="1">IFERROR(__xludf.DUMMYFUNCTION("""COMPUTED_VALUE"""),16)</f>
        <v>16</v>
      </c>
      <c r="C2029" s="8" t="str">
        <f ca="1">IFERROR(__xludf.DUMMYFUNCTION("""COMPUTED_VALUE"""),"Male")</f>
        <v>Male</v>
      </c>
      <c r="D2029" s="8" t="str">
        <f ca="1">IFERROR(__xludf.DUMMYFUNCTION("""COMPUTED_VALUE"""),"Student")</f>
        <v>Student</v>
      </c>
      <c r="E2029" s="8" t="str">
        <f ca="1">IFERROR(__xludf.DUMMYFUNCTION("""COMPUTED_VALUE"""),"Fled/Apprehended")</f>
        <v>Fled/Apprehended</v>
      </c>
      <c r="F2029" s="8" t="str">
        <f ca="1">IFERROR(__xludf.DUMMYFUNCTION("""COMPUTED_VALUE"""),"No")</f>
        <v>No</v>
      </c>
      <c r="G2029" s="8" t="str">
        <f ca="1">IFERROR(__xludf.DUMMYFUNCTION("""COMPUTED_VALUE"""),"None")</f>
        <v>None</v>
      </c>
    </row>
    <row r="2030" spans="1:7" ht="12.75">
      <c r="A2030" s="8" t="str">
        <f ca="1">IFERROR(__xludf.DUMMYFUNCTION("""COMPUTED_VALUE"""),"19880902GAGLA")</f>
        <v>19880902GAGLA</v>
      </c>
      <c r="B2030" s="8"/>
      <c r="C2030" s="8"/>
      <c r="D2030" s="8" t="str">
        <f ca="1">IFERROR(__xludf.DUMMYFUNCTION("""COMPUTED_VALUE"""),"Nonstudent Using Athletic Facilities/Attending Game")</f>
        <v>Nonstudent Using Athletic Facilities/Attending Game</v>
      </c>
      <c r="E2030" s="8" t="str">
        <f ca="1">IFERROR(__xludf.DUMMYFUNCTION("""COMPUTED_VALUE"""),"Fled/Escaped")</f>
        <v>Fled/Escaped</v>
      </c>
      <c r="F2030" s="8" t="str">
        <f ca="1">IFERROR(__xludf.DUMMYFUNCTION("""COMPUTED_VALUE"""),"No")</f>
        <v>No</v>
      </c>
      <c r="G2030" s="8" t="str">
        <f ca="1">IFERROR(__xludf.DUMMYFUNCTION("""COMPUTED_VALUE"""),"None")</f>
        <v>None</v>
      </c>
    </row>
    <row r="2031" spans="1:7" ht="12.75">
      <c r="A2031" s="8" t="str">
        <f ca="1">IFERROR(__xludf.DUMMYFUNCTION("""COMPUTED_VALUE"""),"19880831SCWEA")</f>
        <v>19880831SCWEA</v>
      </c>
      <c r="B2031" s="8">
        <f ca="1">IFERROR(__xludf.DUMMYFUNCTION("""COMPUTED_VALUE"""),20)</f>
        <v>20</v>
      </c>
      <c r="C2031" s="8" t="str">
        <f ca="1">IFERROR(__xludf.DUMMYFUNCTION("""COMPUTED_VALUE"""),"Male")</f>
        <v>Male</v>
      </c>
      <c r="D2031" s="8" t="str">
        <f ca="1">IFERROR(__xludf.DUMMYFUNCTION("""COMPUTED_VALUE"""),"No Relation")</f>
        <v>No Relation</v>
      </c>
      <c r="E2031" s="8" t="str">
        <f ca="1">IFERROR(__xludf.DUMMYFUNCTION("""COMPUTED_VALUE"""),"Fled/Apprehended")</f>
        <v>Fled/Apprehended</v>
      </c>
      <c r="F2031" s="8" t="str">
        <f ca="1">IFERROR(__xludf.DUMMYFUNCTION("""COMPUTED_VALUE"""),"No")</f>
        <v>No</v>
      </c>
      <c r="G2031" s="8" t="str">
        <f ca="1">IFERROR(__xludf.DUMMYFUNCTION("""COMPUTED_VALUE"""),"None")</f>
        <v>None</v>
      </c>
    </row>
    <row r="2032" spans="1:7" ht="12.75">
      <c r="A2032" s="8" t="str">
        <f ca="1">IFERROR(__xludf.DUMMYFUNCTION("""COMPUTED_VALUE"""),"19880831MICED")</f>
        <v>19880831MICED</v>
      </c>
      <c r="B2032" s="8">
        <f ca="1">IFERROR(__xludf.DUMMYFUNCTION("""COMPUTED_VALUE"""),16)</f>
        <v>16</v>
      </c>
      <c r="C2032" s="8" t="str">
        <f ca="1">IFERROR(__xludf.DUMMYFUNCTION("""COMPUTED_VALUE"""),"Male")</f>
        <v>Male</v>
      </c>
      <c r="D2032" s="8" t="str">
        <f ca="1">IFERROR(__xludf.DUMMYFUNCTION("""COMPUTED_VALUE"""),"Former Student")</f>
        <v>Former Student</v>
      </c>
      <c r="E2032" s="8" t="str">
        <f ca="1">IFERROR(__xludf.DUMMYFUNCTION("""COMPUTED_VALUE"""),"Fled/Apprehended")</f>
        <v>Fled/Apprehended</v>
      </c>
      <c r="F2032" s="8" t="str">
        <f ca="1">IFERROR(__xludf.DUMMYFUNCTION("""COMPUTED_VALUE"""),"No")</f>
        <v>No</v>
      </c>
      <c r="G2032" s="8" t="str">
        <f ca="1">IFERROR(__xludf.DUMMYFUNCTION("""COMPUTED_VALUE"""),"None")</f>
        <v>None</v>
      </c>
    </row>
    <row r="2033" spans="1:7" ht="12.75">
      <c r="A2033" s="8" t="str">
        <f ca="1">IFERROR(__xludf.DUMMYFUNCTION("""COMPUTED_VALUE"""),"19880831MICED")</f>
        <v>19880831MICED</v>
      </c>
      <c r="B2033" s="8">
        <f ca="1">IFERROR(__xludf.DUMMYFUNCTION("""COMPUTED_VALUE"""),17)</f>
        <v>17</v>
      </c>
      <c r="C2033" s="8" t="str">
        <f ca="1">IFERROR(__xludf.DUMMYFUNCTION("""COMPUTED_VALUE"""),"Male")</f>
        <v>Male</v>
      </c>
      <c r="D2033" s="8" t="str">
        <f ca="1">IFERROR(__xludf.DUMMYFUNCTION("""COMPUTED_VALUE"""),"Former Student")</f>
        <v>Former Student</v>
      </c>
      <c r="E2033" s="8" t="str">
        <f ca="1">IFERROR(__xludf.DUMMYFUNCTION("""COMPUTED_VALUE"""),"Fled/Apprehended")</f>
        <v>Fled/Apprehended</v>
      </c>
      <c r="F2033" s="8" t="str">
        <f ca="1">IFERROR(__xludf.DUMMYFUNCTION("""COMPUTED_VALUE"""),"No")</f>
        <v>No</v>
      </c>
      <c r="G2033" s="8" t="str">
        <f ca="1">IFERROR(__xludf.DUMMYFUNCTION("""COMPUTED_VALUE"""),"None")</f>
        <v>None</v>
      </c>
    </row>
    <row r="2034" spans="1:7" ht="12.75">
      <c r="A2034" s="8" t="str">
        <f ca="1">IFERROR(__xludf.DUMMYFUNCTION("""COMPUTED_VALUE"""),"19880711MSLAJ")</f>
        <v>19880711MSLAJ</v>
      </c>
      <c r="B2034" s="8">
        <f ca="1">IFERROR(__xludf.DUMMYFUNCTION("""COMPUTED_VALUE"""),17)</f>
        <v>17</v>
      </c>
      <c r="C2034" s="8" t="str">
        <f ca="1">IFERROR(__xludf.DUMMYFUNCTION("""COMPUTED_VALUE"""),"Male")</f>
        <v>Male</v>
      </c>
      <c r="D2034" s="8" t="str">
        <f ca="1">IFERROR(__xludf.DUMMYFUNCTION("""COMPUTED_VALUE"""),"Student")</f>
        <v>Student</v>
      </c>
      <c r="E2034" s="8" t="str">
        <f ca="1">IFERROR(__xludf.DUMMYFUNCTION("""COMPUTED_VALUE"""),"Fled/Apprehended")</f>
        <v>Fled/Apprehended</v>
      </c>
      <c r="F2034" s="8" t="str">
        <f ca="1">IFERROR(__xludf.DUMMYFUNCTION("""COMPUTED_VALUE"""),"No")</f>
        <v>No</v>
      </c>
      <c r="G2034" s="8" t="str">
        <f ca="1">IFERROR(__xludf.DUMMYFUNCTION("""COMPUTED_VALUE"""),"None")</f>
        <v>None</v>
      </c>
    </row>
    <row r="2035" spans="1:7" ht="12.75">
      <c r="A2035" s="8" t="str">
        <f ca="1">IFERROR(__xludf.DUMMYFUNCTION("""COMPUTED_VALUE"""),"19880710WISIM")</f>
        <v>19880710WISIM</v>
      </c>
      <c r="B2035" s="8">
        <f ca="1">IFERROR(__xludf.DUMMYFUNCTION("""COMPUTED_VALUE"""),28)</f>
        <v>28</v>
      </c>
      <c r="C2035" s="8" t="str">
        <f ca="1">IFERROR(__xludf.DUMMYFUNCTION("""COMPUTED_VALUE"""),"Male")</f>
        <v>Male</v>
      </c>
      <c r="D2035" s="8" t="str">
        <f ca="1">IFERROR(__xludf.DUMMYFUNCTION("""COMPUTED_VALUE"""),"Nonstudent Using Athletic Facilities/Attending Game")</f>
        <v>Nonstudent Using Athletic Facilities/Attending Game</v>
      </c>
      <c r="E2035" s="8" t="str">
        <f ca="1">IFERROR(__xludf.DUMMYFUNCTION("""COMPUTED_VALUE"""),"Fled/Escaped")</f>
        <v>Fled/Escaped</v>
      </c>
      <c r="F2035" s="8" t="str">
        <f ca="1">IFERROR(__xludf.DUMMYFUNCTION("""COMPUTED_VALUE"""),"No")</f>
        <v>No</v>
      </c>
      <c r="G2035" s="8" t="str">
        <f ca="1">IFERROR(__xludf.DUMMYFUNCTION("""COMPUTED_VALUE"""),"None")</f>
        <v>None</v>
      </c>
    </row>
    <row r="2036" spans="1:7" ht="12.75">
      <c r="A2036" s="8" t="str">
        <f ca="1">IFERROR(__xludf.DUMMYFUNCTION("""COMPUTED_VALUE"""),"19880630HIAIO")</f>
        <v>19880630HIAIO</v>
      </c>
      <c r="B2036" s="8">
        <f ca="1">IFERROR(__xludf.DUMMYFUNCTION("""COMPUTED_VALUE"""),18)</f>
        <v>18</v>
      </c>
      <c r="C2036" s="8" t="str">
        <f ca="1">IFERROR(__xludf.DUMMYFUNCTION("""COMPUTED_VALUE"""),"Male")</f>
        <v>Male</v>
      </c>
      <c r="D2036" s="8" t="str">
        <f ca="1">IFERROR(__xludf.DUMMYFUNCTION("""COMPUTED_VALUE"""),"Student")</f>
        <v>Student</v>
      </c>
      <c r="E2036" s="8" t="str">
        <f ca="1">IFERROR(__xludf.DUMMYFUNCTION("""COMPUTED_VALUE"""),"Fled/Apprehended")</f>
        <v>Fled/Apprehended</v>
      </c>
      <c r="F2036" s="8" t="str">
        <f ca="1">IFERROR(__xludf.DUMMYFUNCTION("""COMPUTED_VALUE"""),"No")</f>
        <v>No</v>
      </c>
      <c r="G2036" s="8" t="str">
        <f ca="1">IFERROR(__xludf.DUMMYFUNCTION("""COMPUTED_VALUE"""),"None")</f>
        <v>None</v>
      </c>
    </row>
    <row r="2037" spans="1:7" ht="12.75">
      <c r="A2037" s="8" t="str">
        <f ca="1">IFERROR(__xludf.DUMMYFUNCTION("""COMPUTED_VALUE"""),"19880617MIJOD")</f>
        <v>19880617MIJOD</v>
      </c>
      <c r="B2037" s="8">
        <f ca="1">IFERROR(__xludf.DUMMYFUNCTION("""COMPUTED_VALUE"""),14)</f>
        <v>14</v>
      </c>
      <c r="C2037" s="8" t="str">
        <f ca="1">IFERROR(__xludf.DUMMYFUNCTION("""COMPUTED_VALUE"""),"Male")</f>
        <v>Male</v>
      </c>
      <c r="D2037" s="8" t="str">
        <f ca="1">IFERROR(__xludf.DUMMYFUNCTION("""COMPUTED_VALUE"""),"Student")</f>
        <v>Student</v>
      </c>
      <c r="E2037" s="8" t="str">
        <f ca="1">IFERROR(__xludf.DUMMYFUNCTION("""COMPUTED_VALUE"""),"Fled/Apprehended")</f>
        <v>Fled/Apprehended</v>
      </c>
      <c r="F2037" s="8" t="str">
        <f ca="1">IFERROR(__xludf.DUMMYFUNCTION("""COMPUTED_VALUE"""),"No")</f>
        <v>No</v>
      </c>
      <c r="G2037" s="8" t="str">
        <f ca="1">IFERROR(__xludf.DUMMYFUNCTION("""COMPUTED_VALUE"""),"None")</f>
        <v>None</v>
      </c>
    </row>
    <row r="2038" spans="1:7" ht="12.75">
      <c r="A2038" s="8" t="str">
        <f ca="1">IFERROR(__xludf.DUMMYFUNCTION("""COMPUTED_VALUE"""),"19880602MSWIJ")</f>
        <v>19880602MSWIJ</v>
      </c>
      <c r="B2038" s="8" t="str">
        <f ca="1">IFERROR(__xludf.DUMMYFUNCTION("""COMPUTED_VALUE"""),"Adult")</f>
        <v>Adult</v>
      </c>
      <c r="C2038" s="8" t="str">
        <f ca="1">IFERROR(__xludf.DUMMYFUNCTION("""COMPUTED_VALUE"""),"Male")</f>
        <v>Male</v>
      </c>
      <c r="D2038" s="8" t="str">
        <f ca="1">IFERROR(__xludf.DUMMYFUNCTION("""COMPUTED_VALUE"""),"Former Student")</f>
        <v>Former Student</v>
      </c>
      <c r="E2038" s="8" t="str">
        <f ca="1">IFERROR(__xludf.DUMMYFUNCTION("""COMPUTED_VALUE"""),"Fled/Apprehended")</f>
        <v>Fled/Apprehended</v>
      </c>
      <c r="F2038" s="8" t="str">
        <f ca="1">IFERROR(__xludf.DUMMYFUNCTION("""COMPUTED_VALUE"""),"No")</f>
        <v>No</v>
      </c>
      <c r="G2038" s="8" t="str">
        <f ca="1">IFERROR(__xludf.DUMMYFUNCTION("""COMPUTED_VALUE"""),"None")</f>
        <v>None</v>
      </c>
    </row>
    <row r="2039" spans="1:7" ht="12.75">
      <c r="A2039" s="8" t="str">
        <f ca="1">IFERROR(__xludf.DUMMYFUNCTION("""COMPUTED_VALUE"""),"19880602MSWIJ")</f>
        <v>19880602MSWIJ</v>
      </c>
      <c r="B2039" s="8" t="str">
        <f ca="1">IFERROR(__xludf.DUMMYFUNCTION("""COMPUTED_VALUE"""),"Adult")</f>
        <v>Adult</v>
      </c>
      <c r="C2039" s="8" t="str">
        <f ca="1">IFERROR(__xludf.DUMMYFUNCTION("""COMPUTED_VALUE"""),"Male")</f>
        <v>Male</v>
      </c>
      <c r="D2039" s="8" t="str">
        <f ca="1">IFERROR(__xludf.DUMMYFUNCTION("""COMPUTED_VALUE"""),"Former Student")</f>
        <v>Former Student</v>
      </c>
      <c r="E2039" s="8" t="str">
        <f ca="1">IFERROR(__xludf.DUMMYFUNCTION("""COMPUTED_VALUE"""),"Fled/Apprehended")</f>
        <v>Fled/Apprehended</v>
      </c>
      <c r="F2039" s="8" t="str">
        <f ca="1">IFERROR(__xludf.DUMMYFUNCTION("""COMPUTED_VALUE"""),"No")</f>
        <v>No</v>
      </c>
      <c r="G2039" s="8" t="str">
        <f ca="1">IFERROR(__xludf.DUMMYFUNCTION("""COMPUTED_VALUE"""),"None")</f>
        <v>None</v>
      </c>
    </row>
    <row r="2040" spans="1:7" ht="12.75">
      <c r="A2040" s="8" t="str">
        <f ca="1">IFERROR(__xludf.DUMMYFUNCTION("""COMPUTED_VALUE"""),"19880602MSWIJ")</f>
        <v>19880602MSWIJ</v>
      </c>
      <c r="B2040" s="8" t="str">
        <f ca="1">IFERROR(__xludf.DUMMYFUNCTION("""COMPUTED_VALUE"""),"Adult")</f>
        <v>Adult</v>
      </c>
      <c r="C2040" s="8" t="str">
        <f ca="1">IFERROR(__xludf.DUMMYFUNCTION("""COMPUTED_VALUE"""),"Male")</f>
        <v>Male</v>
      </c>
      <c r="D2040" s="8" t="str">
        <f ca="1">IFERROR(__xludf.DUMMYFUNCTION("""COMPUTED_VALUE"""),"Former Student")</f>
        <v>Former Student</v>
      </c>
      <c r="E2040" s="8" t="str">
        <f ca="1">IFERROR(__xludf.DUMMYFUNCTION("""COMPUTED_VALUE"""),"Fled/Apprehended")</f>
        <v>Fled/Apprehended</v>
      </c>
      <c r="F2040" s="8" t="str">
        <f ca="1">IFERROR(__xludf.DUMMYFUNCTION("""COMPUTED_VALUE"""),"No")</f>
        <v>No</v>
      </c>
      <c r="G2040" s="8" t="str">
        <f ca="1">IFERROR(__xludf.DUMMYFUNCTION("""COMPUTED_VALUE"""),"None")</f>
        <v>None</v>
      </c>
    </row>
    <row r="2041" spans="1:7" ht="12.75">
      <c r="A2041" s="8" t="str">
        <f ca="1">IFERROR(__xludf.DUMMYFUNCTION("""COMPUTED_VALUE"""),"19880531NYPUB")</f>
        <v>19880531NYPUB</v>
      </c>
      <c r="B2041" s="8" t="str">
        <f ca="1">IFERROR(__xludf.DUMMYFUNCTION("""COMPUTED_VALUE"""),"Adult")</f>
        <v>Adult</v>
      </c>
      <c r="C2041" s="8" t="str">
        <f ca="1">IFERROR(__xludf.DUMMYFUNCTION("""COMPUTED_VALUE"""),"Male")</f>
        <v>Male</v>
      </c>
      <c r="D2041" s="8" t="str">
        <f ca="1">IFERROR(__xludf.DUMMYFUNCTION("""COMPUTED_VALUE"""),"No Relation")</f>
        <v>No Relation</v>
      </c>
      <c r="E2041" s="8" t="str">
        <f ca="1">IFERROR(__xludf.DUMMYFUNCTION("""COMPUTED_VALUE"""),"Fled/Escaped")</f>
        <v>Fled/Escaped</v>
      </c>
      <c r="F2041" s="8" t="str">
        <f ca="1">IFERROR(__xludf.DUMMYFUNCTION("""COMPUTED_VALUE"""),"No")</f>
        <v>No</v>
      </c>
      <c r="G2041" s="8" t="str">
        <f ca="1">IFERROR(__xludf.DUMMYFUNCTION("""COMPUTED_VALUE"""),"None")</f>
        <v>None</v>
      </c>
    </row>
    <row r="2042" spans="1:7" ht="12.75">
      <c r="A2042" s="8" t="str">
        <f ca="1">IFERROR(__xludf.DUMMYFUNCTION("""COMPUTED_VALUE"""),"19880520ILHUW")</f>
        <v>19880520ILHUW</v>
      </c>
      <c r="B2042" s="8">
        <f ca="1">IFERROR(__xludf.DUMMYFUNCTION("""COMPUTED_VALUE"""),30)</f>
        <v>30</v>
      </c>
      <c r="C2042" s="8" t="str">
        <f ca="1">IFERROR(__xludf.DUMMYFUNCTION("""COMPUTED_VALUE"""),"Female")</f>
        <v>Female</v>
      </c>
      <c r="D2042" s="8" t="str">
        <f ca="1">IFERROR(__xludf.DUMMYFUNCTION("""COMPUTED_VALUE"""),"Nonstudent")</f>
        <v>Nonstudent</v>
      </c>
      <c r="E2042" s="8" t="str">
        <f ca="1">IFERROR(__xludf.DUMMYFUNCTION("""COMPUTED_VALUE"""),"Fled/Apprehended")</f>
        <v>Fled/Apprehended</v>
      </c>
      <c r="F2042" s="8" t="str">
        <f ca="1">IFERROR(__xludf.DUMMYFUNCTION("""COMPUTED_VALUE"""),"Yes")</f>
        <v>Yes</v>
      </c>
      <c r="G2042" s="8" t="str">
        <f ca="1">IFERROR(__xludf.DUMMYFUNCTION("""COMPUTED_VALUE"""),"Suicide")</f>
        <v>Suicide</v>
      </c>
    </row>
    <row r="2043" spans="1:7" ht="12.75">
      <c r="A2043" s="8" t="str">
        <f ca="1">IFERROR(__xludf.DUMMYFUNCTION("""COMPUTED_VALUE"""),"19880516FLFOF")</f>
        <v>19880516FLFOF</v>
      </c>
      <c r="B2043" s="8">
        <f ca="1">IFERROR(__xludf.DUMMYFUNCTION("""COMPUTED_VALUE"""),14)</f>
        <v>14</v>
      </c>
      <c r="C2043" s="8" t="str">
        <f ca="1">IFERROR(__xludf.DUMMYFUNCTION("""COMPUTED_VALUE"""),"Male")</f>
        <v>Male</v>
      </c>
      <c r="D2043" s="8" t="str">
        <f ca="1">IFERROR(__xludf.DUMMYFUNCTION("""COMPUTED_VALUE"""),"Student")</f>
        <v>Student</v>
      </c>
      <c r="E2043" s="8" t="str">
        <f ca="1">IFERROR(__xludf.DUMMYFUNCTION("""COMPUTED_VALUE"""),"Fled/Apprehended")</f>
        <v>Fled/Apprehended</v>
      </c>
      <c r="F2043" s="8" t="str">
        <f ca="1">IFERROR(__xludf.DUMMYFUNCTION("""COMPUTED_VALUE"""),"No")</f>
        <v>No</v>
      </c>
      <c r="G2043" s="8" t="str">
        <f ca="1">IFERROR(__xludf.DUMMYFUNCTION("""COMPUTED_VALUE"""),"None")</f>
        <v>None</v>
      </c>
    </row>
    <row r="2044" spans="1:7" ht="12.75">
      <c r="A2044" s="8" t="str">
        <f ca="1">IFERROR(__xludf.DUMMYFUNCTION("""COMPUTED_VALUE"""),"19880505ILMAC")</f>
        <v>19880505ILMAC</v>
      </c>
      <c r="B2044" s="8">
        <f ca="1">IFERROR(__xludf.DUMMYFUNCTION("""COMPUTED_VALUE"""),16)</f>
        <v>16</v>
      </c>
      <c r="C2044" s="8" t="str">
        <f ca="1">IFERROR(__xludf.DUMMYFUNCTION("""COMPUTED_VALUE"""),"Male")</f>
        <v>Male</v>
      </c>
      <c r="D2044" s="8" t="str">
        <f ca="1">IFERROR(__xludf.DUMMYFUNCTION("""COMPUTED_VALUE"""),"Student")</f>
        <v>Student</v>
      </c>
      <c r="E2044" s="8" t="str">
        <f ca="1">IFERROR(__xludf.DUMMYFUNCTION("""COMPUTED_VALUE"""),"Surrendered")</f>
        <v>Surrendered</v>
      </c>
      <c r="F2044" s="8" t="str">
        <f ca="1">IFERROR(__xludf.DUMMYFUNCTION("""COMPUTED_VALUE"""),"No")</f>
        <v>No</v>
      </c>
      <c r="G2044" s="8" t="str">
        <f ca="1">IFERROR(__xludf.DUMMYFUNCTION("""COMPUTED_VALUE"""),"None")</f>
        <v>None</v>
      </c>
    </row>
    <row r="2045" spans="1:7" ht="12.75">
      <c r="A2045" s="8" t="str">
        <f ca="1">IFERROR(__xludf.DUMMYFUNCTION("""COMPUTED_VALUE"""),"19880324TXTRA")</f>
        <v>19880324TXTRA</v>
      </c>
      <c r="B2045" s="8">
        <f ca="1">IFERROR(__xludf.DUMMYFUNCTION("""COMPUTED_VALUE"""),16)</f>
        <v>16</v>
      </c>
      <c r="C2045" s="8" t="str">
        <f ca="1">IFERROR(__xludf.DUMMYFUNCTION("""COMPUTED_VALUE"""),"Male")</f>
        <v>Male</v>
      </c>
      <c r="D2045" s="8" t="str">
        <f ca="1">IFERROR(__xludf.DUMMYFUNCTION("""COMPUTED_VALUE"""),"Student")</f>
        <v>Student</v>
      </c>
      <c r="E2045" s="8" t="str">
        <f ca="1">IFERROR(__xludf.DUMMYFUNCTION("""COMPUTED_VALUE"""),"Fled/Apprehended")</f>
        <v>Fled/Apprehended</v>
      </c>
      <c r="F2045" s="8" t="str">
        <f ca="1">IFERROR(__xludf.DUMMYFUNCTION("""COMPUTED_VALUE"""),"No")</f>
        <v>No</v>
      </c>
      <c r="G2045" s="8" t="str">
        <f ca="1">IFERROR(__xludf.DUMMYFUNCTION("""COMPUTED_VALUE"""),"None")</f>
        <v>None</v>
      </c>
    </row>
    <row r="2046" spans="1:7" ht="12.75">
      <c r="A2046" s="8" t="str">
        <f ca="1">IFERROR(__xludf.DUMMYFUNCTION("""COMPUTED_VALUE"""),"19880323CACAS")</f>
        <v>19880323CACAS</v>
      </c>
      <c r="B2046" s="8"/>
      <c r="C2046" s="8"/>
      <c r="D2046" s="8" t="str">
        <f ca="1">IFERROR(__xludf.DUMMYFUNCTION("""COMPUTED_VALUE"""),"Unknown")</f>
        <v>Unknown</v>
      </c>
      <c r="E2046" s="8" t="str">
        <f ca="1">IFERROR(__xludf.DUMMYFUNCTION("""COMPUTED_VALUE"""),"Fled/Escaped")</f>
        <v>Fled/Escaped</v>
      </c>
      <c r="F2046" s="8" t="str">
        <f ca="1">IFERROR(__xludf.DUMMYFUNCTION("""COMPUTED_VALUE"""),"No")</f>
        <v>No</v>
      </c>
      <c r="G2046" s="8" t="str">
        <f ca="1">IFERROR(__xludf.DUMMYFUNCTION("""COMPUTED_VALUE"""),"None")</f>
        <v>None</v>
      </c>
    </row>
    <row r="2047" spans="1:7" ht="12.75">
      <c r="A2047" s="8" t="str">
        <f ca="1">IFERROR(__xludf.DUMMYFUNCTION("""COMPUTED_VALUE"""),"19880304MILED")</f>
        <v>19880304MILED</v>
      </c>
      <c r="B2047" s="8">
        <f ca="1">IFERROR(__xludf.DUMMYFUNCTION("""COMPUTED_VALUE"""),13)</f>
        <v>13</v>
      </c>
      <c r="C2047" s="8" t="str">
        <f ca="1">IFERROR(__xludf.DUMMYFUNCTION("""COMPUTED_VALUE"""),"Female")</f>
        <v>Female</v>
      </c>
      <c r="D2047" s="8" t="str">
        <f ca="1">IFERROR(__xludf.DUMMYFUNCTION("""COMPUTED_VALUE"""),"Student")</f>
        <v>Student</v>
      </c>
      <c r="E2047" s="8" t="str">
        <f ca="1">IFERROR(__xludf.DUMMYFUNCTION("""COMPUTED_VALUE"""),"Unknown")</f>
        <v>Unknown</v>
      </c>
      <c r="F2047" s="8" t="str">
        <f ca="1">IFERROR(__xludf.DUMMYFUNCTION("""COMPUTED_VALUE"""),"No")</f>
        <v>No</v>
      </c>
      <c r="G2047" s="8" t="str">
        <f ca="1">IFERROR(__xludf.DUMMYFUNCTION("""COMPUTED_VALUE"""),"None")</f>
        <v>None</v>
      </c>
    </row>
    <row r="2048" spans="1:7" ht="12.75">
      <c r="A2048" s="8" t="str">
        <f ca="1">IFERROR(__xludf.DUMMYFUNCTION("""COMPUTED_VALUE"""),"19880226RIBRB")</f>
        <v>19880226RIBRB</v>
      </c>
      <c r="B2048" s="8">
        <f ca="1">IFERROR(__xludf.DUMMYFUNCTION("""COMPUTED_VALUE"""),15)</f>
        <v>15</v>
      </c>
      <c r="C2048" s="8" t="str">
        <f ca="1">IFERROR(__xludf.DUMMYFUNCTION("""COMPUTED_VALUE"""),"Male")</f>
        <v>Male</v>
      </c>
      <c r="D2048" s="8" t="str">
        <f ca="1">IFERROR(__xludf.DUMMYFUNCTION("""COMPUTED_VALUE"""),"Student")</f>
        <v>Student</v>
      </c>
      <c r="E2048" s="8" t="str">
        <f ca="1">IFERROR(__xludf.DUMMYFUNCTION("""COMPUTED_VALUE"""),"Fled/Apprehended")</f>
        <v>Fled/Apprehended</v>
      </c>
      <c r="F2048" s="8" t="str">
        <f ca="1">IFERROR(__xludf.DUMMYFUNCTION("""COMPUTED_VALUE"""),"No")</f>
        <v>No</v>
      </c>
      <c r="G2048" s="8" t="str">
        <f ca="1">IFERROR(__xludf.DUMMYFUNCTION("""COMPUTED_VALUE"""),"None")</f>
        <v>None</v>
      </c>
    </row>
    <row r="2049" spans="1:7" ht="12.75">
      <c r="A2049" s="8" t="str">
        <f ca="1">IFERROR(__xludf.DUMMYFUNCTION("""COMPUTED_VALUE"""),"19880211FLPIL")</f>
        <v>19880211FLPIL</v>
      </c>
      <c r="B2049" s="8">
        <f ca="1">IFERROR(__xludf.DUMMYFUNCTION("""COMPUTED_VALUE"""),15)</f>
        <v>15</v>
      </c>
      <c r="C2049" s="8" t="str">
        <f ca="1">IFERROR(__xludf.DUMMYFUNCTION("""COMPUTED_VALUE"""),"Male")</f>
        <v>Male</v>
      </c>
      <c r="D2049" s="8" t="str">
        <f ca="1">IFERROR(__xludf.DUMMYFUNCTION("""COMPUTED_VALUE"""),"Student")</f>
        <v>Student</v>
      </c>
      <c r="E2049" s="8" t="str">
        <f ca="1">IFERROR(__xludf.DUMMYFUNCTION("""COMPUTED_VALUE"""),"Fled/Apprehended")</f>
        <v>Fled/Apprehended</v>
      </c>
      <c r="F2049" s="8" t="str">
        <f ca="1">IFERROR(__xludf.DUMMYFUNCTION("""COMPUTED_VALUE"""),"No")</f>
        <v>No</v>
      </c>
      <c r="G2049" s="8" t="str">
        <f ca="1">IFERROR(__xludf.DUMMYFUNCTION("""COMPUTED_VALUE"""),"None")</f>
        <v>None</v>
      </c>
    </row>
    <row r="2050" spans="1:7" ht="12.75">
      <c r="A2050" s="8" t="str">
        <f ca="1">IFERROR(__xludf.DUMMYFUNCTION("""COMPUTED_VALUE"""),"19880211FLPIL")</f>
        <v>19880211FLPIL</v>
      </c>
      <c r="B2050" s="8">
        <f ca="1">IFERROR(__xludf.DUMMYFUNCTION("""COMPUTED_VALUE"""),15)</f>
        <v>15</v>
      </c>
      <c r="C2050" s="8" t="str">
        <f ca="1">IFERROR(__xludf.DUMMYFUNCTION("""COMPUTED_VALUE"""),"Male")</f>
        <v>Male</v>
      </c>
      <c r="D2050" s="8" t="str">
        <f ca="1">IFERROR(__xludf.DUMMYFUNCTION("""COMPUTED_VALUE"""),"Student")</f>
        <v>Student</v>
      </c>
      <c r="E2050" s="8" t="str">
        <f ca="1">IFERROR(__xludf.DUMMYFUNCTION("""COMPUTED_VALUE"""),"Fled/Apprehended")</f>
        <v>Fled/Apprehended</v>
      </c>
      <c r="F2050" s="8" t="str">
        <f ca="1">IFERROR(__xludf.DUMMYFUNCTION("""COMPUTED_VALUE"""),"No")</f>
        <v>No</v>
      </c>
      <c r="G2050" s="8" t="str">
        <f ca="1">IFERROR(__xludf.DUMMYFUNCTION("""COMPUTED_VALUE"""),"None")</f>
        <v>None</v>
      </c>
    </row>
    <row r="2051" spans="1:7" ht="12.75">
      <c r="A2051" s="8" t="str">
        <f ca="1">IFERROR(__xludf.DUMMYFUNCTION("""COMPUTED_VALUE"""),"19880202ALWET")</f>
        <v>19880202ALWET</v>
      </c>
      <c r="B2051" s="8">
        <f ca="1">IFERROR(__xludf.DUMMYFUNCTION("""COMPUTED_VALUE"""),42)</f>
        <v>42</v>
      </c>
      <c r="C2051" s="8" t="str">
        <f ca="1">IFERROR(__xludf.DUMMYFUNCTION("""COMPUTED_VALUE"""),"Male")</f>
        <v>Male</v>
      </c>
      <c r="D2051" s="8" t="str">
        <f ca="1">IFERROR(__xludf.DUMMYFUNCTION("""COMPUTED_VALUE"""),"No Relation")</f>
        <v>No Relation</v>
      </c>
      <c r="E2051" s="8" t="str">
        <f ca="1">IFERROR(__xludf.DUMMYFUNCTION("""COMPUTED_VALUE"""),"Surrendered")</f>
        <v>Surrendered</v>
      </c>
      <c r="F2051" s="8" t="str">
        <f ca="1">IFERROR(__xludf.DUMMYFUNCTION("""COMPUTED_VALUE"""),"No")</f>
        <v>No</v>
      </c>
      <c r="G2051" s="8" t="str">
        <f ca="1">IFERROR(__xludf.DUMMYFUNCTION("""COMPUTED_VALUE"""),"None")</f>
        <v>None</v>
      </c>
    </row>
    <row r="2052" spans="1:7" ht="12.75">
      <c r="A2052" s="8" t="str">
        <f ca="1">IFERROR(__xludf.DUMMYFUNCTION("""COMPUTED_VALUE"""),"19880202ALWET")</f>
        <v>19880202ALWET</v>
      </c>
      <c r="B2052" s="8">
        <f ca="1">IFERROR(__xludf.DUMMYFUNCTION("""COMPUTED_VALUE"""),42)</f>
        <v>42</v>
      </c>
      <c r="C2052" s="8" t="str">
        <f ca="1">IFERROR(__xludf.DUMMYFUNCTION("""COMPUTED_VALUE"""),"Male")</f>
        <v>Male</v>
      </c>
      <c r="D2052" s="8" t="str">
        <f ca="1">IFERROR(__xludf.DUMMYFUNCTION("""COMPUTED_VALUE"""),"No Relation")</f>
        <v>No Relation</v>
      </c>
      <c r="E2052" s="8" t="str">
        <f ca="1">IFERROR(__xludf.DUMMYFUNCTION("""COMPUTED_VALUE"""),"Surrendered")</f>
        <v>Surrendered</v>
      </c>
      <c r="F2052" s="8" t="str">
        <f ca="1">IFERROR(__xludf.DUMMYFUNCTION("""COMPUTED_VALUE"""),"No")</f>
        <v>No</v>
      </c>
      <c r="G2052" s="8" t="str">
        <f ca="1">IFERROR(__xludf.DUMMYFUNCTION("""COMPUTED_VALUE"""),"None")</f>
        <v>None</v>
      </c>
    </row>
    <row r="2053" spans="1:7" ht="12.75">
      <c r="A2053" s="8" t="str">
        <f ca="1">IFERROR(__xludf.DUMMYFUNCTION("""COMPUTED_VALUE"""),"19880129TXREA")</f>
        <v>19880129TXREA</v>
      </c>
      <c r="B2053" s="8">
        <f ca="1">IFERROR(__xludf.DUMMYFUNCTION("""COMPUTED_VALUE"""),18)</f>
        <v>18</v>
      </c>
      <c r="C2053" s="8" t="str">
        <f ca="1">IFERROR(__xludf.DUMMYFUNCTION("""COMPUTED_VALUE"""),"Male")</f>
        <v>Male</v>
      </c>
      <c r="D2053" s="8" t="str">
        <f ca="1">IFERROR(__xludf.DUMMYFUNCTION("""COMPUTED_VALUE"""),"Student")</f>
        <v>Student</v>
      </c>
      <c r="E2053" s="8" t="str">
        <f ca="1">IFERROR(__xludf.DUMMYFUNCTION("""COMPUTED_VALUE"""),"Fled/Apprehended")</f>
        <v>Fled/Apprehended</v>
      </c>
      <c r="F2053" s="8" t="str">
        <f ca="1">IFERROR(__xludf.DUMMYFUNCTION("""COMPUTED_VALUE"""),"No")</f>
        <v>No</v>
      </c>
      <c r="G2053" s="8" t="str">
        <f ca="1">IFERROR(__xludf.DUMMYFUNCTION("""COMPUTED_VALUE"""),"None")</f>
        <v>None</v>
      </c>
    </row>
    <row r="2054" spans="1:7" ht="12.75">
      <c r="A2054" s="8" t="str">
        <f ca="1">IFERROR(__xludf.DUMMYFUNCTION("""COMPUTED_VALUE"""),"19880120LASIR")</f>
        <v>19880120LASIR</v>
      </c>
      <c r="B2054" s="8">
        <f ca="1">IFERROR(__xludf.DUMMYFUNCTION("""COMPUTED_VALUE"""),18)</f>
        <v>18</v>
      </c>
      <c r="C2054" s="8" t="str">
        <f ca="1">IFERROR(__xludf.DUMMYFUNCTION("""COMPUTED_VALUE"""),"Male")</f>
        <v>Male</v>
      </c>
      <c r="D2054" s="8" t="str">
        <f ca="1">IFERROR(__xludf.DUMMYFUNCTION("""COMPUTED_VALUE"""),"Student")</f>
        <v>Student</v>
      </c>
      <c r="E2054" s="8" t="str">
        <f ca="1">IFERROR(__xludf.DUMMYFUNCTION("""COMPUTED_VALUE"""),"Unknown")</f>
        <v>Unknown</v>
      </c>
      <c r="F2054" s="8" t="str">
        <f ca="1">IFERROR(__xludf.DUMMYFUNCTION("""COMPUTED_VALUE"""),"No")</f>
        <v>No</v>
      </c>
      <c r="G2054" s="8" t="str">
        <f ca="1">IFERROR(__xludf.DUMMYFUNCTION("""COMPUTED_VALUE"""),"None")</f>
        <v>None</v>
      </c>
    </row>
    <row r="2055" spans="1:7" ht="12.75">
      <c r="A2055" s="8" t="str">
        <f ca="1">IFERROR(__xludf.DUMMYFUNCTION("""COMPUTED_VALUE"""),"19880108PACRM")</f>
        <v>19880108PACRM</v>
      </c>
      <c r="B2055" s="8">
        <f ca="1">IFERROR(__xludf.DUMMYFUNCTION("""COMPUTED_VALUE"""),15)</f>
        <v>15</v>
      </c>
      <c r="C2055" s="8" t="str">
        <f ca="1">IFERROR(__xludf.DUMMYFUNCTION("""COMPUTED_VALUE"""),"Male")</f>
        <v>Male</v>
      </c>
      <c r="D2055" s="8" t="str">
        <f ca="1">IFERROR(__xludf.DUMMYFUNCTION("""COMPUTED_VALUE"""),"Student")</f>
        <v>Student</v>
      </c>
      <c r="E2055" s="8" t="str">
        <f ca="1">IFERROR(__xludf.DUMMYFUNCTION("""COMPUTED_VALUE"""),"Attempted Suicide")</f>
        <v>Attempted Suicide</v>
      </c>
      <c r="F2055" s="8" t="str">
        <f ca="1">IFERROR(__xludf.DUMMYFUNCTION("""COMPUTED_VALUE"""),"No")</f>
        <v>No</v>
      </c>
      <c r="G2055" s="8" t="str">
        <f ca="1">IFERROR(__xludf.DUMMYFUNCTION("""COMPUTED_VALUE"""),"None")</f>
        <v>None</v>
      </c>
    </row>
    <row r="2056" spans="1:7" ht="12.75">
      <c r="A2056" s="8" t="str">
        <f ca="1">IFERROR(__xludf.DUMMYFUNCTION("""COMPUTED_VALUE"""),"19880106FLGAT")</f>
        <v>19880106FLGAT</v>
      </c>
      <c r="B2056" s="8">
        <f ca="1">IFERROR(__xludf.DUMMYFUNCTION("""COMPUTED_VALUE"""),17)</f>
        <v>17</v>
      </c>
      <c r="C2056" s="8" t="str">
        <f ca="1">IFERROR(__xludf.DUMMYFUNCTION("""COMPUTED_VALUE"""),"Female")</f>
        <v>Female</v>
      </c>
      <c r="D2056" s="8" t="str">
        <f ca="1">IFERROR(__xludf.DUMMYFUNCTION("""COMPUTED_VALUE"""),"Student")</f>
        <v>Student</v>
      </c>
      <c r="E2056" s="8" t="str">
        <f ca="1">IFERROR(__xludf.DUMMYFUNCTION("""COMPUTED_VALUE"""),"Attempted Suicide")</f>
        <v>Attempted Suicide</v>
      </c>
      <c r="F2056" s="8" t="str">
        <f ca="1">IFERROR(__xludf.DUMMYFUNCTION("""COMPUTED_VALUE"""),"No")</f>
        <v>No</v>
      </c>
      <c r="G2056" s="8" t="str">
        <f ca="1">IFERROR(__xludf.DUMMYFUNCTION("""COMPUTED_VALUE"""),"Wounded")</f>
        <v>Wounded</v>
      </c>
    </row>
    <row r="2057" spans="1:7" ht="12.75">
      <c r="A2057" s="8" t="str">
        <f ca="1">IFERROR(__xludf.DUMMYFUNCTION("""COMPUTED_VALUE"""),"19880105PASPS")</f>
        <v>19880105PASPS</v>
      </c>
      <c r="B2057" s="8">
        <f ca="1">IFERROR(__xludf.DUMMYFUNCTION("""COMPUTED_VALUE"""),20)</f>
        <v>20</v>
      </c>
      <c r="C2057" s="8" t="str">
        <f ca="1">IFERROR(__xludf.DUMMYFUNCTION("""COMPUTED_VALUE"""),"Male")</f>
        <v>Male</v>
      </c>
      <c r="D2057" s="8" t="str">
        <f ca="1">IFERROR(__xludf.DUMMYFUNCTION("""COMPUTED_VALUE"""),"Nonstudent Using Athletic Facilities/Attending Game")</f>
        <v>Nonstudent Using Athletic Facilities/Attending Game</v>
      </c>
      <c r="E2057" s="8" t="str">
        <f ca="1">IFERROR(__xludf.DUMMYFUNCTION("""COMPUTED_VALUE"""),"Fled/Apprehended")</f>
        <v>Fled/Apprehended</v>
      </c>
      <c r="F2057" s="8" t="str">
        <f ca="1">IFERROR(__xludf.DUMMYFUNCTION("""COMPUTED_VALUE"""),"No")</f>
        <v>No</v>
      </c>
      <c r="G2057" s="8" t="str">
        <f ca="1">IFERROR(__xludf.DUMMYFUNCTION("""COMPUTED_VALUE"""),"None")</f>
        <v>None</v>
      </c>
    </row>
    <row r="2058" spans="1:7" ht="12.75">
      <c r="A2058" s="8" t="str">
        <f ca="1">IFERROR(__xludf.DUMMYFUNCTION("""COMPUTED_VALUE"""),"19871216TXMAK")</f>
        <v>19871216TXMAK</v>
      </c>
      <c r="B2058" s="8">
        <f ca="1">IFERROR(__xludf.DUMMYFUNCTION("""COMPUTED_VALUE"""),15)</f>
        <v>15</v>
      </c>
      <c r="C2058" s="8" t="str">
        <f ca="1">IFERROR(__xludf.DUMMYFUNCTION("""COMPUTED_VALUE"""),"Male")</f>
        <v>Male</v>
      </c>
      <c r="D2058" s="8" t="str">
        <f ca="1">IFERROR(__xludf.DUMMYFUNCTION("""COMPUTED_VALUE"""),"Student")</f>
        <v>Student</v>
      </c>
      <c r="E2058" s="8" t="str">
        <f ca="1">IFERROR(__xludf.DUMMYFUNCTION("""COMPUTED_VALUE"""),"Suicide")</f>
        <v>Suicide</v>
      </c>
      <c r="F2058" s="8" t="str">
        <f ca="1">IFERROR(__xludf.DUMMYFUNCTION("""COMPUTED_VALUE"""),"Yes")</f>
        <v>Yes</v>
      </c>
      <c r="G2058" s="8" t="str">
        <f ca="1">IFERROR(__xludf.DUMMYFUNCTION("""COMPUTED_VALUE"""),"Suicide")</f>
        <v>Suicide</v>
      </c>
    </row>
    <row r="2059" spans="1:7" ht="12.75">
      <c r="A2059" s="8" t="str">
        <f ca="1">IFERROR(__xludf.DUMMYFUNCTION("""COMPUTED_VALUE"""),"19871215NYGRB")</f>
        <v>19871215NYGRB</v>
      </c>
      <c r="B2059" s="8">
        <f ca="1">IFERROR(__xludf.DUMMYFUNCTION("""COMPUTED_VALUE"""),15)</f>
        <v>15</v>
      </c>
      <c r="C2059" s="8" t="str">
        <f ca="1">IFERROR(__xludf.DUMMYFUNCTION("""COMPUTED_VALUE"""),"Male")</f>
        <v>Male</v>
      </c>
      <c r="D2059" s="8" t="str">
        <f ca="1">IFERROR(__xludf.DUMMYFUNCTION("""COMPUTED_VALUE"""),"Student")</f>
        <v>Student</v>
      </c>
      <c r="E2059" s="8" t="str">
        <f ca="1">IFERROR(__xludf.DUMMYFUNCTION("""COMPUTED_VALUE"""),"Fled/Apprehended")</f>
        <v>Fled/Apprehended</v>
      </c>
      <c r="F2059" s="8" t="str">
        <f ca="1">IFERROR(__xludf.DUMMYFUNCTION("""COMPUTED_VALUE"""),"No")</f>
        <v>No</v>
      </c>
      <c r="G2059" s="8" t="str">
        <f ca="1">IFERROR(__xludf.DUMMYFUNCTION("""COMPUTED_VALUE"""),"None")</f>
        <v>None</v>
      </c>
    </row>
    <row r="2060" spans="1:7" ht="12.75">
      <c r="A2060" s="8" t="str">
        <f ca="1">IFERROR(__xludf.DUMMYFUNCTION("""COMPUTED_VALUE"""),"19871204NYEAN")</f>
        <v>19871204NYEAN</v>
      </c>
      <c r="B2060" s="8">
        <f ca="1">IFERROR(__xludf.DUMMYFUNCTION("""COMPUTED_VALUE"""),17)</f>
        <v>17</v>
      </c>
      <c r="C2060" s="8" t="str">
        <f ca="1">IFERROR(__xludf.DUMMYFUNCTION("""COMPUTED_VALUE"""),"Male")</f>
        <v>Male</v>
      </c>
      <c r="D2060" s="8" t="str">
        <f ca="1">IFERROR(__xludf.DUMMYFUNCTION("""COMPUTED_VALUE"""),"Student")</f>
        <v>Student</v>
      </c>
      <c r="E2060" s="8" t="str">
        <f ca="1">IFERROR(__xludf.DUMMYFUNCTION("""COMPUTED_VALUE"""),"Fled/Apprehended")</f>
        <v>Fled/Apprehended</v>
      </c>
      <c r="F2060" s="8" t="str">
        <f ca="1">IFERROR(__xludf.DUMMYFUNCTION("""COMPUTED_VALUE"""),"No")</f>
        <v>No</v>
      </c>
      <c r="G2060" s="8" t="str">
        <f ca="1">IFERROR(__xludf.DUMMYFUNCTION("""COMPUTED_VALUE"""),"None")</f>
        <v>None</v>
      </c>
    </row>
    <row r="2061" spans="1:7" ht="12.75">
      <c r="A2061" s="8" t="str">
        <f ca="1">IFERROR(__xludf.DUMMYFUNCTION("""COMPUTED_VALUE"""),"19871202FLENJ")</f>
        <v>19871202FLENJ</v>
      </c>
      <c r="B2061" s="8">
        <f ca="1">IFERROR(__xludf.DUMMYFUNCTION("""COMPUTED_VALUE"""),16)</f>
        <v>16</v>
      </c>
      <c r="C2061" s="8" t="str">
        <f ca="1">IFERROR(__xludf.DUMMYFUNCTION("""COMPUTED_VALUE"""),"Male")</f>
        <v>Male</v>
      </c>
      <c r="D2061" s="8" t="str">
        <f ca="1">IFERROR(__xludf.DUMMYFUNCTION("""COMPUTED_VALUE"""),"Student")</f>
        <v>Student</v>
      </c>
      <c r="E2061" s="8" t="str">
        <f ca="1">IFERROR(__xludf.DUMMYFUNCTION("""COMPUTED_VALUE"""),"Surrendered")</f>
        <v>Surrendered</v>
      </c>
      <c r="F2061" s="8" t="str">
        <f ca="1">IFERROR(__xludf.DUMMYFUNCTION("""COMPUTED_VALUE"""),"No")</f>
        <v>No</v>
      </c>
      <c r="G2061" s="8" t="str">
        <f ca="1">IFERROR(__xludf.DUMMYFUNCTION("""COMPUTED_VALUE"""),"None")</f>
        <v>None</v>
      </c>
    </row>
    <row r="2062" spans="1:7" ht="12.75">
      <c r="A2062" s="8" t="str">
        <f ca="1">IFERROR(__xludf.DUMMYFUNCTION("""COMPUTED_VALUE"""),"19871130TXPES")</f>
        <v>19871130TXPES</v>
      </c>
      <c r="B2062" s="8">
        <f ca="1">IFERROR(__xludf.DUMMYFUNCTION("""COMPUTED_VALUE"""),51)</f>
        <v>51</v>
      </c>
      <c r="C2062" s="8" t="str">
        <f ca="1">IFERROR(__xludf.DUMMYFUNCTION("""COMPUTED_VALUE"""),"Male")</f>
        <v>Male</v>
      </c>
      <c r="D2062" s="8" t="str">
        <f ca="1">IFERROR(__xludf.DUMMYFUNCTION("""COMPUTED_VALUE"""),"Intimate Relationship")</f>
        <v>Intimate Relationship</v>
      </c>
      <c r="E2062" s="8" t="str">
        <f ca="1">IFERROR(__xludf.DUMMYFUNCTION("""COMPUTED_VALUE"""),"Suicide")</f>
        <v>Suicide</v>
      </c>
      <c r="F2062" s="8" t="str">
        <f ca="1">IFERROR(__xludf.DUMMYFUNCTION("""COMPUTED_VALUE"""),"Yes")</f>
        <v>Yes</v>
      </c>
      <c r="G2062" s="8" t="str">
        <f ca="1">IFERROR(__xludf.DUMMYFUNCTION("""COMPUTED_VALUE"""),"Suicide")</f>
        <v>Suicide</v>
      </c>
    </row>
    <row r="2063" spans="1:7" ht="12.75">
      <c r="A2063" s="8" t="str">
        <f ca="1">IFERROR(__xludf.DUMMYFUNCTION("""COMPUTED_VALUE"""),"19871114FLCLC")</f>
        <v>19871114FLCLC</v>
      </c>
      <c r="B2063" s="8">
        <f ca="1">IFERROR(__xludf.DUMMYFUNCTION("""COMPUTED_VALUE"""),18)</f>
        <v>18</v>
      </c>
      <c r="C2063" s="8" t="str">
        <f ca="1">IFERROR(__xludf.DUMMYFUNCTION("""COMPUTED_VALUE"""),"Male")</f>
        <v>Male</v>
      </c>
      <c r="D2063" s="8" t="str">
        <f ca="1">IFERROR(__xludf.DUMMYFUNCTION("""COMPUTED_VALUE"""),"Student")</f>
        <v>Student</v>
      </c>
      <c r="E2063" s="8" t="str">
        <f ca="1">IFERROR(__xludf.DUMMYFUNCTION("""COMPUTED_VALUE"""),"Suicide")</f>
        <v>Suicide</v>
      </c>
      <c r="F2063" s="8" t="str">
        <f ca="1">IFERROR(__xludf.DUMMYFUNCTION("""COMPUTED_VALUE"""),"Yes")</f>
        <v>Yes</v>
      </c>
      <c r="G2063" s="8" t="str">
        <f ca="1">IFERROR(__xludf.DUMMYFUNCTION("""COMPUTED_VALUE"""),"Suicide")</f>
        <v>Suicide</v>
      </c>
    </row>
    <row r="2064" spans="1:7" ht="12.75">
      <c r="A2064" s="8" t="str">
        <f ca="1">IFERROR(__xludf.DUMMYFUNCTION("""COMPUTED_VALUE"""),"19871104MISOD")</f>
        <v>19871104MISOD</v>
      </c>
      <c r="B2064" s="8"/>
      <c r="C2064" s="8" t="str">
        <f ca="1">IFERROR(__xludf.DUMMYFUNCTION("""COMPUTED_VALUE"""),"Male")</f>
        <v>Male</v>
      </c>
      <c r="D2064" s="8" t="str">
        <f ca="1">IFERROR(__xludf.DUMMYFUNCTION("""COMPUTED_VALUE"""),"No Relation")</f>
        <v>No Relation</v>
      </c>
      <c r="E2064" s="8" t="str">
        <f ca="1">IFERROR(__xludf.DUMMYFUNCTION("""COMPUTED_VALUE"""),"Fled/Escaped")</f>
        <v>Fled/Escaped</v>
      </c>
      <c r="F2064" s="8" t="str">
        <f ca="1">IFERROR(__xludf.DUMMYFUNCTION("""COMPUTED_VALUE"""),"No")</f>
        <v>No</v>
      </c>
      <c r="G2064" s="8" t="str">
        <f ca="1">IFERROR(__xludf.DUMMYFUNCTION("""COMPUTED_VALUE"""),"None")</f>
        <v>None</v>
      </c>
    </row>
    <row r="2065" spans="1:7" ht="12.75">
      <c r="A2065" s="8" t="str">
        <f ca="1">IFERROR(__xludf.DUMMYFUNCTION("""COMPUTED_VALUE"""),"19871031SCANA")</f>
        <v>19871031SCANA</v>
      </c>
      <c r="B2065" s="8"/>
      <c r="C2065" s="8" t="str">
        <f ca="1">IFERROR(__xludf.DUMMYFUNCTION("""COMPUTED_VALUE"""),"Male")</f>
        <v>Male</v>
      </c>
      <c r="D2065" s="8"/>
      <c r="E2065" s="8" t="str">
        <f ca="1">IFERROR(__xludf.DUMMYFUNCTION("""COMPUTED_VALUE"""),"Fled/Escaped")</f>
        <v>Fled/Escaped</v>
      </c>
      <c r="F2065" s="8" t="str">
        <f ca="1">IFERROR(__xludf.DUMMYFUNCTION("""COMPUTED_VALUE"""),"No")</f>
        <v>No</v>
      </c>
      <c r="G2065" s="8" t="str">
        <f ca="1">IFERROR(__xludf.DUMMYFUNCTION("""COMPUTED_VALUE"""),"None")</f>
        <v>None</v>
      </c>
    </row>
    <row r="2066" spans="1:7" ht="12.75">
      <c r="A2066" s="8" t="str">
        <f ca="1">IFERROR(__xludf.DUMMYFUNCTION("""COMPUTED_VALUE"""),"19871030NCSOK")</f>
        <v>19871030NCSOK</v>
      </c>
      <c r="B2066" s="8">
        <f ca="1">IFERROR(__xludf.DUMMYFUNCTION("""COMPUTED_VALUE"""),15)</f>
        <v>15</v>
      </c>
      <c r="C2066" s="8" t="str">
        <f ca="1">IFERROR(__xludf.DUMMYFUNCTION("""COMPUTED_VALUE"""),"Male")</f>
        <v>Male</v>
      </c>
      <c r="D2066" s="8" t="str">
        <f ca="1">IFERROR(__xludf.DUMMYFUNCTION("""COMPUTED_VALUE"""),"Relative")</f>
        <v>Relative</v>
      </c>
      <c r="E2066" s="8" t="str">
        <f ca="1">IFERROR(__xludf.DUMMYFUNCTION("""COMPUTED_VALUE"""),"Fled/Apprehended")</f>
        <v>Fled/Apprehended</v>
      </c>
      <c r="F2066" s="8" t="str">
        <f ca="1">IFERROR(__xludf.DUMMYFUNCTION("""COMPUTED_VALUE"""),"No")</f>
        <v>No</v>
      </c>
      <c r="G2066" s="8" t="str">
        <f ca="1">IFERROR(__xludf.DUMMYFUNCTION("""COMPUTED_VALUE"""),"None")</f>
        <v>None</v>
      </c>
    </row>
    <row r="2067" spans="1:7" ht="12.75">
      <c r="A2067" s="8" t="str">
        <f ca="1">IFERROR(__xludf.DUMMYFUNCTION("""COMPUTED_VALUE"""),"19871014ILDUC")</f>
        <v>19871014ILDUC</v>
      </c>
      <c r="B2067" s="8">
        <f ca="1">IFERROR(__xludf.DUMMYFUNCTION("""COMPUTED_VALUE"""),16)</f>
        <v>16</v>
      </c>
      <c r="C2067" s="8" t="str">
        <f ca="1">IFERROR(__xludf.DUMMYFUNCTION("""COMPUTED_VALUE"""),"Male")</f>
        <v>Male</v>
      </c>
      <c r="D2067" s="8" t="str">
        <f ca="1">IFERROR(__xludf.DUMMYFUNCTION("""COMPUTED_VALUE"""),"Student")</f>
        <v>Student</v>
      </c>
      <c r="E2067" s="8" t="str">
        <f ca="1">IFERROR(__xludf.DUMMYFUNCTION("""COMPUTED_VALUE"""),"Fled/Apprehended")</f>
        <v>Fled/Apprehended</v>
      </c>
      <c r="F2067" s="8" t="str">
        <f ca="1">IFERROR(__xludf.DUMMYFUNCTION("""COMPUTED_VALUE"""),"No")</f>
        <v>No</v>
      </c>
      <c r="G2067" s="8" t="str">
        <f ca="1">IFERROR(__xludf.DUMMYFUNCTION("""COMPUTED_VALUE"""),"None")</f>
        <v>None</v>
      </c>
    </row>
    <row r="2068" spans="1:7" ht="12.75">
      <c r="A2068" s="8" t="str">
        <f ca="1">IFERROR(__xludf.DUMMYFUNCTION("""COMPUTED_VALUE"""),"19870928ILILL")</f>
        <v>19870928ILILL</v>
      </c>
      <c r="B2068" s="8">
        <f ca="1">IFERROR(__xludf.DUMMYFUNCTION("""COMPUTED_VALUE"""),16)</f>
        <v>16</v>
      </c>
      <c r="C2068" s="8" t="str">
        <f ca="1">IFERROR(__xludf.DUMMYFUNCTION("""COMPUTED_VALUE"""),"Male")</f>
        <v>Male</v>
      </c>
      <c r="D2068" s="8" t="str">
        <f ca="1">IFERROR(__xludf.DUMMYFUNCTION("""COMPUTED_VALUE"""),"Student")</f>
        <v>Student</v>
      </c>
      <c r="E2068" s="8" t="str">
        <f ca="1">IFERROR(__xludf.DUMMYFUNCTION("""COMPUTED_VALUE"""),"Fled/Apprehended")</f>
        <v>Fled/Apprehended</v>
      </c>
      <c r="F2068" s="8" t="str">
        <f ca="1">IFERROR(__xludf.DUMMYFUNCTION("""COMPUTED_VALUE"""),"No")</f>
        <v>No</v>
      </c>
      <c r="G2068" s="8" t="str">
        <f ca="1">IFERROR(__xludf.DUMMYFUNCTION("""COMPUTED_VALUE"""),"None")</f>
        <v>None</v>
      </c>
    </row>
    <row r="2069" spans="1:7" ht="12.75">
      <c r="A2069" s="8" t="str">
        <f ca="1">IFERROR(__xludf.DUMMYFUNCTION("""COMPUTED_VALUE"""),"19870513ILOAO")</f>
        <v>19870513ILOAO</v>
      </c>
      <c r="B2069" s="8">
        <f ca="1">IFERROR(__xludf.DUMMYFUNCTION("""COMPUTED_VALUE"""),17)</f>
        <v>17</v>
      </c>
      <c r="C2069" s="8" t="str">
        <f ca="1">IFERROR(__xludf.DUMMYFUNCTION("""COMPUTED_VALUE"""),"Male")</f>
        <v>Male</v>
      </c>
      <c r="D2069" s="8" t="str">
        <f ca="1">IFERROR(__xludf.DUMMYFUNCTION("""COMPUTED_VALUE"""),"Student")</f>
        <v>Student</v>
      </c>
      <c r="E2069" s="8" t="str">
        <f ca="1">IFERROR(__xludf.DUMMYFUNCTION("""COMPUTED_VALUE"""),"Attempted Suicide")</f>
        <v>Attempted Suicide</v>
      </c>
      <c r="F2069" s="8" t="str">
        <f ca="1">IFERROR(__xludf.DUMMYFUNCTION("""COMPUTED_VALUE"""),"No")</f>
        <v>No</v>
      </c>
      <c r="G2069" s="8" t="str">
        <f ca="1">IFERROR(__xludf.DUMMYFUNCTION("""COMPUTED_VALUE"""),"Wounded")</f>
        <v>Wounded</v>
      </c>
    </row>
    <row r="2070" spans="1:7" ht="12.75">
      <c r="A2070" s="8" t="str">
        <f ca="1">IFERROR(__xludf.DUMMYFUNCTION("""COMPUTED_VALUE"""),"19870506FLLET")</f>
        <v>19870506FLLET</v>
      </c>
      <c r="B2070" s="8">
        <f ca="1">IFERROR(__xludf.DUMMYFUNCTION("""COMPUTED_VALUE"""),15)</f>
        <v>15</v>
      </c>
      <c r="C2070" s="8" t="str">
        <f ca="1">IFERROR(__xludf.DUMMYFUNCTION("""COMPUTED_VALUE"""),"Male")</f>
        <v>Male</v>
      </c>
      <c r="D2070" s="8" t="str">
        <f ca="1">IFERROR(__xludf.DUMMYFUNCTION("""COMPUTED_VALUE"""),"Student")</f>
        <v>Student</v>
      </c>
      <c r="E2070" s="8" t="str">
        <f ca="1">IFERROR(__xludf.DUMMYFUNCTION("""COMPUTED_VALUE"""),"Suicide")</f>
        <v>Suicide</v>
      </c>
      <c r="F2070" s="8" t="str">
        <f ca="1">IFERROR(__xludf.DUMMYFUNCTION("""COMPUTED_VALUE"""),"Yes")</f>
        <v>Yes</v>
      </c>
      <c r="G2070" s="8" t="str">
        <f ca="1">IFERROR(__xludf.DUMMYFUNCTION("""COMPUTED_VALUE"""),"Suicide")</f>
        <v>Suicide</v>
      </c>
    </row>
    <row r="2071" spans="1:7" ht="12.75">
      <c r="A2071" s="8" t="str">
        <f ca="1">IFERROR(__xludf.DUMMYFUNCTION("""COMPUTED_VALUE"""),"19870506ARMAJ")</f>
        <v>19870506ARMAJ</v>
      </c>
      <c r="B2071" s="8">
        <f ca="1">IFERROR(__xludf.DUMMYFUNCTION("""COMPUTED_VALUE"""),15)</f>
        <v>15</v>
      </c>
      <c r="C2071" s="8" t="str">
        <f ca="1">IFERROR(__xludf.DUMMYFUNCTION("""COMPUTED_VALUE"""),"Male")</f>
        <v>Male</v>
      </c>
      <c r="D2071" s="8" t="str">
        <f ca="1">IFERROR(__xludf.DUMMYFUNCTION("""COMPUTED_VALUE"""),"Student")</f>
        <v>Student</v>
      </c>
      <c r="E2071" s="8" t="str">
        <f ca="1">IFERROR(__xludf.DUMMYFUNCTION("""COMPUTED_VALUE"""),"Attempted Suicide")</f>
        <v>Attempted Suicide</v>
      </c>
      <c r="F2071" s="8" t="str">
        <f ca="1">IFERROR(__xludf.DUMMYFUNCTION("""COMPUTED_VALUE"""),"No")</f>
        <v>No</v>
      </c>
      <c r="G2071" s="8" t="str">
        <f ca="1">IFERROR(__xludf.DUMMYFUNCTION("""COMPUTED_VALUE"""),"Wounded")</f>
        <v>Wounded</v>
      </c>
    </row>
    <row r="2072" spans="1:7" ht="12.75">
      <c r="A2072" s="8" t="str">
        <f ca="1">IFERROR(__xludf.DUMMYFUNCTION("""COMPUTED_VALUE"""),"19870503INPII")</f>
        <v>19870503INPII</v>
      </c>
      <c r="B2072" s="8">
        <f ca="1">IFERROR(__xludf.DUMMYFUNCTION("""COMPUTED_VALUE"""),17)</f>
        <v>17</v>
      </c>
      <c r="C2072" s="8" t="str">
        <f ca="1">IFERROR(__xludf.DUMMYFUNCTION("""COMPUTED_VALUE"""),"Male")</f>
        <v>Male</v>
      </c>
      <c r="D2072" s="8" t="str">
        <f ca="1">IFERROR(__xludf.DUMMYFUNCTION("""COMPUTED_VALUE"""),"Unknown")</f>
        <v>Unknown</v>
      </c>
      <c r="E2072" s="8" t="str">
        <f ca="1">IFERROR(__xludf.DUMMYFUNCTION("""COMPUTED_VALUE"""),"Fled/Apprehended")</f>
        <v>Fled/Apprehended</v>
      </c>
      <c r="F2072" s="8" t="str">
        <f ca="1">IFERROR(__xludf.DUMMYFUNCTION("""COMPUTED_VALUE"""),"No")</f>
        <v>No</v>
      </c>
      <c r="G2072" s="8" t="str">
        <f ca="1">IFERROR(__xludf.DUMMYFUNCTION("""COMPUTED_VALUE"""),"None")</f>
        <v>None</v>
      </c>
    </row>
    <row r="2073" spans="1:7" ht="12.75">
      <c r="A2073" s="8" t="str">
        <f ca="1">IFERROR(__xludf.DUMMYFUNCTION("""COMPUTED_VALUE"""),"19870430ORGRP")</f>
        <v>19870430ORGRP</v>
      </c>
      <c r="B2073" s="8">
        <f ca="1">IFERROR(__xludf.DUMMYFUNCTION("""COMPUTED_VALUE"""),16)</f>
        <v>16</v>
      </c>
      <c r="C2073" s="8" t="str">
        <f ca="1">IFERROR(__xludf.DUMMYFUNCTION("""COMPUTED_VALUE"""),"Male")</f>
        <v>Male</v>
      </c>
      <c r="D2073" s="8" t="str">
        <f ca="1">IFERROR(__xludf.DUMMYFUNCTION("""COMPUTED_VALUE"""),"Student")</f>
        <v>Student</v>
      </c>
      <c r="E2073" s="8" t="str">
        <f ca="1">IFERROR(__xludf.DUMMYFUNCTION("""COMPUTED_VALUE"""),"Fled/Apprehended")</f>
        <v>Fled/Apprehended</v>
      </c>
      <c r="F2073" s="8" t="str">
        <f ca="1">IFERROR(__xludf.DUMMYFUNCTION("""COMPUTED_VALUE"""),"No")</f>
        <v>No</v>
      </c>
      <c r="G2073" s="8" t="str">
        <f ca="1">IFERROR(__xludf.DUMMYFUNCTION("""COMPUTED_VALUE"""),"None")</f>
        <v>None</v>
      </c>
    </row>
    <row r="2074" spans="1:7" ht="12.75">
      <c r="A2074" s="8" t="str">
        <f ca="1">IFERROR(__xludf.DUMMYFUNCTION("""COMPUTED_VALUE"""),"19870416MIMUD")</f>
        <v>19870416MIMUD</v>
      </c>
      <c r="B2074" s="8">
        <f ca="1">IFERROR(__xludf.DUMMYFUNCTION("""COMPUTED_VALUE"""),14)</f>
        <v>14</v>
      </c>
      <c r="C2074" s="8" t="str">
        <f ca="1">IFERROR(__xludf.DUMMYFUNCTION("""COMPUTED_VALUE"""),"Male")</f>
        <v>Male</v>
      </c>
      <c r="D2074" s="8" t="str">
        <f ca="1">IFERROR(__xludf.DUMMYFUNCTION("""COMPUTED_VALUE"""),"Student")</f>
        <v>Student</v>
      </c>
      <c r="E2074" s="8" t="str">
        <f ca="1">IFERROR(__xludf.DUMMYFUNCTION("""COMPUTED_VALUE"""),"Fled/Apprehended")</f>
        <v>Fled/Apprehended</v>
      </c>
      <c r="F2074" s="8" t="str">
        <f ca="1">IFERROR(__xludf.DUMMYFUNCTION("""COMPUTED_VALUE"""),"No")</f>
        <v>No</v>
      </c>
      <c r="G2074" s="8" t="str">
        <f ca="1">IFERROR(__xludf.DUMMYFUNCTION("""COMPUTED_VALUE"""),"None")</f>
        <v>None</v>
      </c>
    </row>
    <row r="2075" spans="1:7" ht="12.75">
      <c r="A2075" s="8" t="str">
        <f ca="1">IFERROR(__xludf.DUMMYFUNCTION("""COMPUTED_VALUE"""),"19870330CAPAS")</f>
        <v>19870330CAPAS</v>
      </c>
      <c r="B2075" s="8">
        <f ca="1">IFERROR(__xludf.DUMMYFUNCTION("""COMPUTED_VALUE"""),44)</f>
        <v>44</v>
      </c>
      <c r="C2075" s="8" t="str">
        <f ca="1">IFERROR(__xludf.DUMMYFUNCTION("""COMPUTED_VALUE"""),"Female")</f>
        <v>Female</v>
      </c>
      <c r="D2075" s="8" t="str">
        <f ca="1">IFERROR(__xludf.DUMMYFUNCTION("""COMPUTED_VALUE"""),"No Relation")</f>
        <v>No Relation</v>
      </c>
      <c r="E2075" s="8" t="str">
        <f ca="1">IFERROR(__xludf.DUMMYFUNCTION("""COMPUTED_VALUE"""),"Suicide")</f>
        <v>Suicide</v>
      </c>
      <c r="F2075" s="8" t="str">
        <f ca="1">IFERROR(__xludf.DUMMYFUNCTION("""COMPUTED_VALUE"""),"Yes")</f>
        <v>Yes</v>
      </c>
      <c r="G2075" s="8" t="str">
        <f ca="1">IFERROR(__xludf.DUMMYFUNCTION("""COMPUTED_VALUE"""),"Suicide")</f>
        <v>Suicide</v>
      </c>
    </row>
    <row r="2076" spans="1:7" ht="12.75">
      <c r="A2076" s="8" t="str">
        <f ca="1">IFERROR(__xludf.DUMMYFUNCTION("""COMPUTED_VALUE"""),"19870306TXRIE")</f>
        <v>19870306TXRIE</v>
      </c>
      <c r="B2076" s="8">
        <f ca="1">IFERROR(__xludf.DUMMYFUNCTION("""COMPUTED_VALUE"""),19)</f>
        <v>19</v>
      </c>
      <c r="C2076" s="8" t="str">
        <f ca="1">IFERROR(__xludf.DUMMYFUNCTION("""COMPUTED_VALUE"""),"Male")</f>
        <v>Male</v>
      </c>
      <c r="D2076" s="8" t="str">
        <f ca="1">IFERROR(__xludf.DUMMYFUNCTION("""COMPUTED_VALUE"""),"No Relation")</f>
        <v>No Relation</v>
      </c>
      <c r="E2076" s="8" t="str">
        <f ca="1">IFERROR(__xludf.DUMMYFUNCTION("""COMPUTED_VALUE"""),"Fled/Apprehended")</f>
        <v>Fled/Apprehended</v>
      </c>
      <c r="F2076" s="8" t="str">
        <f ca="1">IFERROR(__xludf.DUMMYFUNCTION("""COMPUTED_VALUE"""),"No")</f>
        <v>No</v>
      </c>
      <c r="G2076" s="8" t="str">
        <f ca="1">IFERROR(__xludf.DUMMYFUNCTION("""COMPUTED_VALUE"""),"None")</f>
        <v>None</v>
      </c>
    </row>
    <row r="2077" spans="1:7" ht="12.75">
      <c r="A2077" s="8" t="str">
        <f ca="1">IFERROR(__xludf.DUMMYFUNCTION("""COMPUTED_VALUE"""),"19870306TXRIE")</f>
        <v>19870306TXRIE</v>
      </c>
      <c r="B2077" s="8" t="str">
        <f ca="1">IFERROR(__xludf.DUMMYFUNCTION("""COMPUTED_VALUE"""),"Adult")</f>
        <v>Adult</v>
      </c>
      <c r="C2077" s="8" t="str">
        <f ca="1">IFERROR(__xludf.DUMMYFUNCTION("""COMPUTED_VALUE"""),"Male")</f>
        <v>Male</v>
      </c>
      <c r="D2077" s="8" t="str">
        <f ca="1">IFERROR(__xludf.DUMMYFUNCTION("""COMPUTED_VALUE"""),"No Relation")</f>
        <v>No Relation</v>
      </c>
      <c r="E2077" s="8" t="str">
        <f ca="1">IFERROR(__xludf.DUMMYFUNCTION("""COMPUTED_VALUE"""),"Fled/Apprehended")</f>
        <v>Fled/Apprehended</v>
      </c>
      <c r="F2077" s="8" t="str">
        <f ca="1">IFERROR(__xludf.DUMMYFUNCTION("""COMPUTED_VALUE"""),"No")</f>
        <v>No</v>
      </c>
      <c r="G2077" s="8" t="str">
        <f ca="1">IFERROR(__xludf.DUMMYFUNCTION("""COMPUTED_VALUE"""),"None")</f>
        <v>None</v>
      </c>
    </row>
    <row r="2078" spans="1:7" ht="12.75">
      <c r="A2078" s="8" t="str">
        <f ca="1">IFERROR(__xludf.DUMMYFUNCTION("""COMPUTED_VALUE"""),"19870302MODED")</f>
        <v>19870302MODED</v>
      </c>
      <c r="B2078" s="8">
        <f ca="1">IFERROR(__xludf.DUMMYFUNCTION("""COMPUTED_VALUE"""),12)</f>
        <v>12</v>
      </c>
      <c r="C2078" s="8" t="str">
        <f ca="1">IFERROR(__xludf.DUMMYFUNCTION("""COMPUTED_VALUE"""),"Male")</f>
        <v>Male</v>
      </c>
      <c r="D2078" s="8" t="str">
        <f ca="1">IFERROR(__xludf.DUMMYFUNCTION("""COMPUTED_VALUE"""),"Student")</f>
        <v>Student</v>
      </c>
      <c r="E2078" s="8" t="str">
        <f ca="1">IFERROR(__xludf.DUMMYFUNCTION("""COMPUTED_VALUE"""),"Suicide")</f>
        <v>Suicide</v>
      </c>
      <c r="F2078" s="8" t="str">
        <f ca="1">IFERROR(__xludf.DUMMYFUNCTION("""COMPUTED_VALUE"""),"Yes")</f>
        <v>Yes</v>
      </c>
      <c r="G2078" s="8" t="str">
        <f ca="1">IFERROR(__xludf.DUMMYFUNCTION("""COMPUTED_VALUE"""),"Suicide")</f>
        <v>Suicide</v>
      </c>
    </row>
    <row r="2079" spans="1:7" ht="12.75">
      <c r="A2079" s="8" t="str">
        <f ca="1">IFERROR(__xludf.DUMMYFUNCTION("""COMPUTED_VALUE"""),"19870224NYMON")</f>
        <v>19870224NYMON</v>
      </c>
      <c r="B2079" s="8" t="str">
        <f ca="1">IFERROR(__xludf.DUMMYFUNCTION("""COMPUTED_VALUE"""),"Adult")</f>
        <v>Adult</v>
      </c>
      <c r="C2079" s="8" t="str">
        <f ca="1">IFERROR(__xludf.DUMMYFUNCTION("""COMPUTED_VALUE"""),"Male")</f>
        <v>Male</v>
      </c>
      <c r="D2079" s="8" t="str">
        <f ca="1">IFERROR(__xludf.DUMMYFUNCTION("""COMPUTED_VALUE"""),"No Relation")</f>
        <v>No Relation</v>
      </c>
      <c r="E2079" s="8" t="str">
        <f ca="1">IFERROR(__xludf.DUMMYFUNCTION("""COMPUTED_VALUE"""),"Fled/Escaped")</f>
        <v>Fled/Escaped</v>
      </c>
      <c r="F2079" s="8" t="str">
        <f ca="1">IFERROR(__xludf.DUMMYFUNCTION("""COMPUTED_VALUE"""),"No")</f>
        <v>No</v>
      </c>
      <c r="G2079" s="8" t="str">
        <f ca="1">IFERROR(__xludf.DUMMYFUNCTION("""COMPUTED_VALUE"""),"None")</f>
        <v>None</v>
      </c>
    </row>
    <row r="2080" spans="1:7" ht="12.75">
      <c r="A2080" s="8" t="str">
        <f ca="1">IFERROR(__xludf.DUMMYFUNCTION("""COMPUTED_VALUE"""),"19870224NYMON")</f>
        <v>19870224NYMON</v>
      </c>
      <c r="B2080" s="8" t="str">
        <f ca="1">IFERROR(__xludf.DUMMYFUNCTION("""COMPUTED_VALUE"""),"Adult")</f>
        <v>Adult</v>
      </c>
      <c r="C2080" s="8" t="str">
        <f ca="1">IFERROR(__xludf.DUMMYFUNCTION("""COMPUTED_VALUE"""),"Male")</f>
        <v>Male</v>
      </c>
      <c r="D2080" s="8" t="str">
        <f ca="1">IFERROR(__xludf.DUMMYFUNCTION("""COMPUTED_VALUE"""),"No Relation")</f>
        <v>No Relation</v>
      </c>
      <c r="E2080" s="8" t="str">
        <f ca="1">IFERROR(__xludf.DUMMYFUNCTION("""COMPUTED_VALUE"""),"Fled/Escaped")</f>
        <v>Fled/Escaped</v>
      </c>
      <c r="F2080" s="8" t="str">
        <f ca="1">IFERROR(__xludf.DUMMYFUNCTION("""COMPUTED_VALUE"""),"No")</f>
        <v>No</v>
      </c>
      <c r="G2080" s="8" t="str">
        <f ca="1">IFERROR(__xludf.DUMMYFUNCTION("""COMPUTED_VALUE"""),"None")</f>
        <v>None</v>
      </c>
    </row>
    <row r="2081" spans="1:7" ht="12.75">
      <c r="A2081" s="8" t="str">
        <f ca="1">IFERROR(__xludf.DUMMYFUNCTION("""COMPUTED_VALUE"""),"19870213AZORM")</f>
        <v>19870213AZORM</v>
      </c>
      <c r="B2081" s="8">
        <f ca="1">IFERROR(__xludf.DUMMYFUNCTION("""COMPUTED_VALUE"""),17)</f>
        <v>17</v>
      </c>
      <c r="C2081" s="8" t="str">
        <f ca="1">IFERROR(__xludf.DUMMYFUNCTION("""COMPUTED_VALUE"""),"Male")</f>
        <v>Male</v>
      </c>
      <c r="D2081" s="8" t="str">
        <f ca="1">IFERROR(__xludf.DUMMYFUNCTION("""COMPUTED_VALUE"""),"Student")</f>
        <v>Student</v>
      </c>
      <c r="E2081" s="8" t="str">
        <f ca="1">IFERROR(__xludf.DUMMYFUNCTION("""COMPUTED_VALUE"""),"Fled/Apprehended")</f>
        <v>Fled/Apprehended</v>
      </c>
      <c r="F2081" s="8" t="str">
        <f ca="1">IFERROR(__xludf.DUMMYFUNCTION("""COMPUTED_VALUE"""),"No")</f>
        <v>No</v>
      </c>
      <c r="G2081" s="8" t="str">
        <f ca="1">IFERROR(__xludf.DUMMYFUNCTION("""COMPUTED_VALUE"""),"None")</f>
        <v>None</v>
      </c>
    </row>
    <row r="2082" spans="1:7" ht="12.75">
      <c r="A2082" s="8" t="str">
        <f ca="1">IFERROR(__xludf.DUMMYFUNCTION("""COMPUTED_VALUE"""),"19870210ARDAD")</f>
        <v>19870210ARDAD</v>
      </c>
      <c r="B2082" s="8">
        <f ca="1">IFERROR(__xludf.DUMMYFUNCTION("""COMPUTED_VALUE"""),17)</f>
        <v>17</v>
      </c>
      <c r="C2082" s="8" t="str">
        <f ca="1">IFERROR(__xludf.DUMMYFUNCTION("""COMPUTED_VALUE"""),"Male")</f>
        <v>Male</v>
      </c>
      <c r="D2082" s="8" t="str">
        <f ca="1">IFERROR(__xludf.DUMMYFUNCTION("""COMPUTED_VALUE"""),"Student")</f>
        <v>Student</v>
      </c>
      <c r="E2082" s="8" t="str">
        <f ca="1">IFERROR(__xludf.DUMMYFUNCTION("""COMPUTED_VALUE"""),"Suicide")</f>
        <v>Suicide</v>
      </c>
      <c r="F2082" s="8" t="str">
        <f ca="1">IFERROR(__xludf.DUMMYFUNCTION("""COMPUTED_VALUE"""),"Yes")</f>
        <v>Yes</v>
      </c>
      <c r="G2082" s="8" t="str">
        <f ca="1">IFERROR(__xludf.DUMMYFUNCTION("""COMPUTED_VALUE"""),"Suicide")</f>
        <v>Suicide</v>
      </c>
    </row>
    <row r="2083" spans="1:7" ht="12.75">
      <c r="A2083" s="8" t="str">
        <f ca="1">IFERROR(__xludf.DUMMYFUNCTION("""COMPUTED_VALUE"""),"19870123MIRED")</f>
        <v>19870123MIRED</v>
      </c>
      <c r="B2083" s="8">
        <f ca="1">IFERROR(__xludf.DUMMYFUNCTION("""COMPUTED_VALUE"""),15)</f>
        <v>15</v>
      </c>
      <c r="C2083" s="8" t="str">
        <f ca="1">IFERROR(__xludf.DUMMYFUNCTION("""COMPUTED_VALUE"""),"Male")</f>
        <v>Male</v>
      </c>
      <c r="D2083" s="8" t="str">
        <f ca="1">IFERROR(__xludf.DUMMYFUNCTION("""COMPUTED_VALUE"""),"Student")</f>
        <v>Student</v>
      </c>
      <c r="E2083" s="8" t="str">
        <f ca="1">IFERROR(__xludf.DUMMYFUNCTION("""COMPUTED_VALUE"""),"Fled/Apprehended")</f>
        <v>Fled/Apprehended</v>
      </c>
      <c r="F2083" s="8" t="str">
        <f ca="1">IFERROR(__xludf.DUMMYFUNCTION("""COMPUTED_VALUE"""),"No")</f>
        <v>No</v>
      </c>
      <c r="G2083" s="8" t="str">
        <f ca="1">IFERROR(__xludf.DUMMYFUNCTION("""COMPUTED_VALUE"""),"None")</f>
        <v>None</v>
      </c>
    </row>
    <row r="2084" spans="1:7" ht="12.75">
      <c r="A2084" s="8" t="str">
        <f ca="1">IFERROR(__xludf.DUMMYFUNCTION("""COMPUTED_VALUE"""),"19870114CALOL")</f>
        <v>19870114CALOL</v>
      </c>
      <c r="B2084" s="8">
        <f ca="1">IFERROR(__xludf.DUMMYFUNCTION("""COMPUTED_VALUE"""),18)</f>
        <v>18</v>
      </c>
      <c r="C2084" s="8" t="str">
        <f ca="1">IFERROR(__xludf.DUMMYFUNCTION("""COMPUTED_VALUE"""),"Male")</f>
        <v>Male</v>
      </c>
      <c r="D2084" s="8" t="str">
        <f ca="1">IFERROR(__xludf.DUMMYFUNCTION("""COMPUTED_VALUE"""),"Student")</f>
        <v>Student</v>
      </c>
      <c r="E2084" s="8" t="str">
        <f ca="1">IFERROR(__xludf.DUMMYFUNCTION("""COMPUTED_VALUE"""),"Attempted Suicide")</f>
        <v>Attempted Suicide</v>
      </c>
      <c r="F2084" s="8" t="str">
        <f ca="1">IFERROR(__xludf.DUMMYFUNCTION("""COMPUTED_VALUE"""),"No")</f>
        <v>No</v>
      </c>
      <c r="G2084" s="8" t="str">
        <f ca="1">IFERROR(__xludf.DUMMYFUNCTION("""COMPUTED_VALUE"""),"Wounded")</f>
        <v>Wounded</v>
      </c>
    </row>
    <row r="2085" spans="1:7" ht="12.75">
      <c r="A2085" s="8" t="str">
        <f ca="1">IFERROR(__xludf.DUMMYFUNCTION("""COMPUTED_VALUE"""),"19861204MTFEL")</f>
        <v>19861204MTFEL</v>
      </c>
      <c r="B2085" s="8">
        <f ca="1">IFERROR(__xludf.DUMMYFUNCTION("""COMPUTED_VALUE"""),14)</f>
        <v>14</v>
      </c>
      <c r="C2085" s="8" t="str">
        <f ca="1">IFERROR(__xludf.DUMMYFUNCTION("""COMPUTED_VALUE"""),"Male")</f>
        <v>Male</v>
      </c>
      <c r="D2085" s="8" t="str">
        <f ca="1">IFERROR(__xludf.DUMMYFUNCTION("""COMPUTED_VALUE"""),"Student")</f>
        <v>Student</v>
      </c>
      <c r="E2085" s="8" t="str">
        <f ca="1">IFERROR(__xludf.DUMMYFUNCTION("""COMPUTED_VALUE"""),"Fled/Apprehended")</f>
        <v>Fled/Apprehended</v>
      </c>
      <c r="F2085" s="8" t="str">
        <f ca="1">IFERROR(__xludf.DUMMYFUNCTION("""COMPUTED_VALUE"""),"No")</f>
        <v>No</v>
      </c>
      <c r="G2085" s="8" t="str">
        <f ca="1">IFERROR(__xludf.DUMMYFUNCTION("""COMPUTED_VALUE"""),"None")</f>
        <v>None</v>
      </c>
    </row>
    <row r="2086" spans="1:7" ht="12.75">
      <c r="A2086" s="8" t="str">
        <f ca="1">IFERROR(__xludf.DUMMYFUNCTION("""COMPUTED_VALUE"""),"19861008TXSOD")</f>
        <v>19861008TXSOD</v>
      </c>
      <c r="B2086" s="8">
        <f ca="1">IFERROR(__xludf.DUMMYFUNCTION("""COMPUTED_VALUE"""),19)</f>
        <v>19</v>
      </c>
      <c r="C2086" s="8" t="str">
        <f ca="1">IFERROR(__xludf.DUMMYFUNCTION("""COMPUTED_VALUE"""),"Male")</f>
        <v>Male</v>
      </c>
      <c r="D2086" s="8" t="str">
        <f ca="1">IFERROR(__xludf.DUMMYFUNCTION("""COMPUTED_VALUE"""),"Student")</f>
        <v>Student</v>
      </c>
      <c r="E2086" s="8" t="str">
        <f ca="1">IFERROR(__xludf.DUMMYFUNCTION("""COMPUTED_VALUE"""),"Fled/Apprehended")</f>
        <v>Fled/Apprehended</v>
      </c>
      <c r="F2086" s="8" t="str">
        <f ca="1">IFERROR(__xludf.DUMMYFUNCTION("""COMPUTED_VALUE"""),"No")</f>
        <v>No</v>
      </c>
      <c r="G2086" s="8" t="str">
        <f ca="1">IFERROR(__xludf.DUMMYFUNCTION("""COMPUTED_VALUE"""),"None")</f>
        <v>None</v>
      </c>
    </row>
    <row r="2087" spans="1:7" ht="12.75">
      <c r="A2087" s="8" t="str">
        <f ca="1">IFERROR(__xludf.DUMMYFUNCTION("""COMPUTED_VALUE"""),"19861003CAMOM")</f>
        <v>19861003CAMOM</v>
      </c>
      <c r="B2087" s="8">
        <f ca="1">IFERROR(__xludf.DUMMYFUNCTION("""COMPUTED_VALUE"""),19)</f>
        <v>19</v>
      </c>
      <c r="C2087" s="8" t="str">
        <f ca="1">IFERROR(__xludf.DUMMYFUNCTION("""COMPUTED_VALUE"""),"Male")</f>
        <v>Male</v>
      </c>
      <c r="D2087" s="8" t="str">
        <f ca="1">IFERROR(__xludf.DUMMYFUNCTION("""COMPUTED_VALUE"""),"Nonstudent Using Athletic Facilities/Attending Game")</f>
        <v>Nonstudent Using Athletic Facilities/Attending Game</v>
      </c>
      <c r="E2087" s="8" t="str">
        <f ca="1">IFERROR(__xludf.DUMMYFUNCTION("""COMPUTED_VALUE"""),"Fled/Apprehended")</f>
        <v>Fled/Apprehended</v>
      </c>
      <c r="F2087" s="8" t="str">
        <f ca="1">IFERROR(__xludf.DUMMYFUNCTION("""COMPUTED_VALUE"""),"No")</f>
        <v>No</v>
      </c>
      <c r="G2087" s="8" t="str">
        <f ca="1">IFERROR(__xludf.DUMMYFUNCTION("""COMPUTED_VALUE"""),"None")</f>
        <v>None</v>
      </c>
    </row>
    <row r="2088" spans="1:7" ht="12.75">
      <c r="A2088" s="8" t="str">
        <f ca="1">IFERROR(__xludf.DUMMYFUNCTION("""COMPUTED_VALUE"""),"19861003CAMOM")</f>
        <v>19861003CAMOM</v>
      </c>
      <c r="B2088" s="8">
        <f ca="1">IFERROR(__xludf.DUMMYFUNCTION("""COMPUTED_VALUE"""),18)</f>
        <v>18</v>
      </c>
      <c r="C2088" s="8" t="str">
        <f ca="1">IFERROR(__xludf.DUMMYFUNCTION("""COMPUTED_VALUE"""),"Male")</f>
        <v>Male</v>
      </c>
      <c r="D2088" s="8" t="str">
        <f ca="1">IFERROR(__xludf.DUMMYFUNCTION("""COMPUTED_VALUE"""),"Nonstudent Using Athletic Facilities/Attending Game")</f>
        <v>Nonstudent Using Athletic Facilities/Attending Game</v>
      </c>
      <c r="E2088" s="8" t="str">
        <f ca="1">IFERROR(__xludf.DUMMYFUNCTION("""COMPUTED_VALUE"""),"Fled/Apprehended")</f>
        <v>Fled/Apprehended</v>
      </c>
      <c r="F2088" s="8" t="str">
        <f ca="1">IFERROR(__xludf.DUMMYFUNCTION("""COMPUTED_VALUE"""),"No")</f>
        <v>No</v>
      </c>
      <c r="G2088" s="8" t="str">
        <f ca="1">IFERROR(__xludf.DUMMYFUNCTION("""COMPUTED_VALUE"""),"None")</f>
        <v>None</v>
      </c>
    </row>
    <row r="2089" spans="1:7" ht="12.75">
      <c r="A2089" s="8" t="str">
        <f ca="1">IFERROR(__xludf.DUMMYFUNCTION("""COMPUTED_VALUE"""),"19861003CAMOM")</f>
        <v>19861003CAMOM</v>
      </c>
      <c r="B2089" s="8">
        <f ca="1">IFERROR(__xludf.DUMMYFUNCTION("""COMPUTED_VALUE"""),17)</f>
        <v>17</v>
      </c>
      <c r="C2089" s="8" t="str">
        <f ca="1">IFERROR(__xludf.DUMMYFUNCTION("""COMPUTED_VALUE"""),"Male")</f>
        <v>Male</v>
      </c>
      <c r="D2089" s="8" t="str">
        <f ca="1">IFERROR(__xludf.DUMMYFUNCTION("""COMPUTED_VALUE"""),"Nonstudent Using Athletic Facilities/Attending Game")</f>
        <v>Nonstudent Using Athletic Facilities/Attending Game</v>
      </c>
      <c r="E2089" s="8" t="str">
        <f ca="1">IFERROR(__xludf.DUMMYFUNCTION("""COMPUTED_VALUE"""),"Fled/Apprehended")</f>
        <v>Fled/Apprehended</v>
      </c>
      <c r="F2089" s="8" t="str">
        <f ca="1">IFERROR(__xludf.DUMMYFUNCTION("""COMPUTED_VALUE"""),"No")</f>
        <v>No</v>
      </c>
      <c r="G2089" s="8" t="str">
        <f ca="1">IFERROR(__xludf.DUMMYFUNCTION("""COMPUTED_VALUE"""),"None")</f>
        <v>None</v>
      </c>
    </row>
    <row r="2090" spans="1:7" ht="12.75">
      <c r="A2090" s="8" t="str">
        <f ca="1">IFERROR(__xludf.DUMMYFUNCTION("""COMPUTED_VALUE"""),"19860918CABEB")</f>
        <v>19860918CABEB</v>
      </c>
      <c r="B2090" s="8">
        <f ca="1">IFERROR(__xludf.DUMMYFUNCTION("""COMPUTED_VALUE"""),18)</f>
        <v>18</v>
      </c>
      <c r="C2090" s="8" t="str">
        <f ca="1">IFERROR(__xludf.DUMMYFUNCTION("""COMPUTED_VALUE"""),"Male")</f>
        <v>Male</v>
      </c>
      <c r="D2090" s="8" t="str">
        <f ca="1">IFERROR(__xludf.DUMMYFUNCTION("""COMPUTED_VALUE"""),"Student")</f>
        <v>Student</v>
      </c>
      <c r="E2090" s="8" t="str">
        <f ca="1">IFERROR(__xludf.DUMMYFUNCTION("""COMPUTED_VALUE"""),"Surrendered")</f>
        <v>Surrendered</v>
      </c>
      <c r="F2090" s="8" t="str">
        <f ca="1">IFERROR(__xludf.DUMMYFUNCTION("""COMPUTED_VALUE"""),"No")</f>
        <v>No</v>
      </c>
      <c r="G2090" s="8" t="str">
        <f ca="1">IFERROR(__xludf.DUMMYFUNCTION("""COMPUTED_VALUE"""),"None")</f>
        <v>None</v>
      </c>
    </row>
    <row r="2091" spans="1:7" ht="12.75">
      <c r="A2091" s="8" t="str">
        <f ca="1">IFERROR(__xludf.DUMMYFUNCTION("""COMPUTED_VALUE"""),"19860912CAFAL")</f>
        <v>19860912CAFAL</v>
      </c>
      <c r="B2091" s="8">
        <f ca="1">IFERROR(__xludf.DUMMYFUNCTION("""COMPUTED_VALUE"""),16)</f>
        <v>16</v>
      </c>
      <c r="C2091" s="8" t="str">
        <f ca="1">IFERROR(__xludf.DUMMYFUNCTION("""COMPUTED_VALUE"""),"Male")</f>
        <v>Male</v>
      </c>
      <c r="D2091" s="8" t="str">
        <f ca="1">IFERROR(__xludf.DUMMYFUNCTION("""COMPUTED_VALUE"""),"Student")</f>
        <v>Student</v>
      </c>
      <c r="E2091" s="8" t="str">
        <f ca="1">IFERROR(__xludf.DUMMYFUNCTION("""COMPUTED_VALUE"""),"Fled/Apprehended")</f>
        <v>Fled/Apprehended</v>
      </c>
      <c r="F2091" s="8" t="str">
        <f ca="1">IFERROR(__xludf.DUMMYFUNCTION("""COMPUTED_VALUE"""),"No")</f>
        <v>No</v>
      </c>
      <c r="G2091" s="8" t="str">
        <f ca="1">IFERROR(__xludf.DUMMYFUNCTION("""COMPUTED_VALUE"""),"None")</f>
        <v>None</v>
      </c>
    </row>
    <row r="2092" spans="1:7" ht="12.75">
      <c r="A2092" s="8" t="str">
        <f ca="1">IFERROR(__xludf.DUMMYFUNCTION("""COMPUTED_VALUE"""),"19860517TNMAN")</f>
        <v>19860517TNMAN</v>
      </c>
      <c r="B2092" s="8">
        <f ca="1">IFERROR(__xludf.DUMMYFUNCTION("""COMPUTED_VALUE"""),16)</f>
        <v>16</v>
      </c>
      <c r="C2092" s="8" t="str">
        <f ca="1">IFERROR(__xludf.DUMMYFUNCTION("""COMPUTED_VALUE"""),"Male")</f>
        <v>Male</v>
      </c>
      <c r="D2092" s="8" t="str">
        <f ca="1">IFERROR(__xludf.DUMMYFUNCTION("""COMPUTED_VALUE"""),"Student")</f>
        <v>Student</v>
      </c>
      <c r="E2092" s="8" t="str">
        <f ca="1">IFERROR(__xludf.DUMMYFUNCTION("""COMPUTED_VALUE"""),"Fled/Apprehended")</f>
        <v>Fled/Apprehended</v>
      </c>
      <c r="F2092" s="8" t="str">
        <f ca="1">IFERROR(__xludf.DUMMYFUNCTION("""COMPUTED_VALUE"""),"No")</f>
        <v>No</v>
      </c>
      <c r="G2092" s="8" t="str">
        <f ca="1">IFERROR(__xludf.DUMMYFUNCTION("""COMPUTED_VALUE"""),"None")</f>
        <v>None</v>
      </c>
    </row>
    <row r="2093" spans="1:7" ht="12.75">
      <c r="A2093" s="8" t="str">
        <f ca="1">IFERROR(__xludf.DUMMYFUNCTION("""COMPUTED_VALUE"""),"19860516WYCOC")</f>
        <v>19860516WYCOC</v>
      </c>
      <c r="B2093" s="8">
        <f ca="1">IFERROR(__xludf.DUMMYFUNCTION("""COMPUTED_VALUE"""),43)</f>
        <v>43</v>
      </c>
      <c r="C2093" s="8" t="str">
        <f ca="1">IFERROR(__xludf.DUMMYFUNCTION("""COMPUTED_VALUE"""),"Male")</f>
        <v>Male</v>
      </c>
      <c r="D2093" s="8" t="str">
        <f ca="1">IFERROR(__xludf.DUMMYFUNCTION("""COMPUTED_VALUE"""),"No Relation")</f>
        <v>No Relation</v>
      </c>
      <c r="E2093" s="8" t="str">
        <f ca="1">IFERROR(__xludf.DUMMYFUNCTION("""COMPUTED_VALUE"""),"Suicide")</f>
        <v>Suicide</v>
      </c>
      <c r="F2093" s="8" t="str">
        <f ca="1">IFERROR(__xludf.DUMMYFUNCTION("""COMPUTED_VALUE"""),"Yes")</f>
        <v>Yes</v>
      </c>
      <c r="G2093" s="8" t="str">
        <f ca="1">IFERROR(__xludf.DUMMYFUNCTION("""COMPUTED_VALUE"""),"Suicide")</f>
        <v>Suicide</v>
      </c>
    </row>
    <row r="2094" spans="1:7" ht="12.75">
      <c r="A2094" s="8" t="str">
        <f ca="1">IFERROR(__xludf.DUMMYFUNCTION("""COMPUTED_VALUE"""),"19860516WYCOC")</f>
        <v>19860516WYCOC</v>
      </c>
      <c r="B2094" s="8">
        <f ca="1">IFERROR(__xludf.DUMMYFUNCTION("""COMPUTED_VALUE"""),47)</f>
        <v>47</v>
      </c>
      <c r="C2094" s="8" t="str">
        <f ca="1">IFERROR(__xludf.DUMMYFUNCTION("""COMPUTED_VALUE"""),"Female")</f>
        <v>Female</v>
      </c>
      <c r="D2094" s="8" t="str">
        <f ca="1">IFERROR(__xludf.DUMMYFUNCTION("""COMPUTED_VALUE"""),"No Relation")</f>
        <v>No Relation</v>
      </c>
      <c r="E2094" s="8" t="str">
        <f ca="1">IFERROR(__xludf.DUMMYFUNCTION("""COMPUTED_VALUE"""),"Apprehended/Killed by LE")</f>
        <v>Apprehended/Killed by LE</v>
      </c>
      <c r="F2094" s="8" t="str">
        <f ca="1">IFERROR(__xludf.DUMMYFUNCTION("""COMPUTED_VALUE"""),"No")</f>
        <v>No</v>
      </c>
      <c r="G2094" s="8" t="str">
        <f ca="1">IFERROR(__xludf.DUMMYFUNCTION("""COMPUTED_VALUE"""),"Wounded")</f>
        <v>Wounded</v>
      </c>
    </row>
    <row r="2095" spans="1:7" ht="12.75">
      <c r="A2095" s="8" t="str">
        <f ca="1">IFERROR(__xludf.DUMMYFUNCTION("""COMPUTED_VALUE"""),"19860515GACAA")</f>
        <v>19860515GACAA</v>
      </c>
      <c r="B2095" s="8" t="str">
        <f ca="1">IFERROR(__xludf.DUMMYFUNCTION("""COMPUTED_VALUE"""),"Teen")</f>
        <v>Teen</v>
      </c>
      <c r="C2095" s="8"/>
      <c r="D2095" s="8" t="str">
        <f ca="1">IFERROR(__xludf.DUMMYFUNCTION("""COMPUTED_VALUE"""),"Student")</f>
        <v>Student</v>
      </c>
      <c r="E2095" s="8" t="str">
        <f ca="1">IFERROR(__xludf.DUMMYFUNCTION("""COMPUTED_VALUE"""),"Surrendered")</f>
        <v>Surrendered</v>
      </c>
      <c r="F2095" s="8" t="str">
        <f ca="1">IFERROR(__xludf.DUMMYFUNCTION("""COMPUTED_VALUE"""),"No")</f>
        <v>No</v>
      </c>
      <c r="G2095" s="8" t="str">
        <f ca="1">IFERROR(__xludf.DUMMYFUNCTION("""COMPUTED_VALUE"""),"None")</f>
        <v>None</v>
      </c>
    </row>
    <row r="2096" spans="1:7" ht="12.75">
      <c r="A2096" s="8" t="str">
        <f ca="1">IFERROR(__xludf.DUMMYFUNCTION("""COMPUTED_VALUE"""),"19860509NCPIF")</f>
        <v>19860509NCPIF</v>
      </c>
      <c r="B2096" s="8">
        <f ca="1">IFERROR(__xludf.DUMMYFUNCTION("""COMPUTED_VALUE"""),17)</f>
        <v>17</v>
      </c>
      <c r="C2096" s="8" t="str">
        <f ca="1">IFERROR(__xludf.DUMMYFUNCTION("""COMPUTED_VALUE"""),"Male")</f>
        <v>Male</v>
      </c>
      <c r="D2096" s="8" t="str">
        <f ca="1">IFERROR(__xludf.DUMMYFUNCTION("""COMPUTED_VALUE"""),"Student")</f>
        <v>Student</v>
      </c>
      <c r="E2096" s="8" t="str">
        <f ca="1">IFERROR(__xludf.DUMMYFUNCTION("""COMPUTED_VALUE"""),"Apprehended/Killed by LE")</f>
        <v>Apprehended/Killed by LE</v>
      </c>
      <c r="F2096" s="8" t="str">
        <f ca="1">IFERROR(__xludf.DUMMYFUNCTION("""COMPUTED_VALUE"""),"No")</f>
        <v>No</v>
      </c>
      <c r="G2096" s="8" t="str">
        <f ca="1">IFERROR(__xludf.DUMMYFUNCTION("""COMPUTED_VALUE"""),"None")</f>
        <v>None</v>
      </c>
    </row>
    <row r="2097" spans="1:7" ht="12.75">
      <c r="A2097" s="8" t="str">
        <f ca="1">IFERROR(__xludf.DUMMYFUNCTION("""COMPUTED_VALUE"""),"19860429MOSES")</f>
        <v>19860429MOSES</v>
      </c>
      <c r="B2097" s="8">
        <f ca="1">IFERROR(__xludf.DUMMYFUNCTION("""COMPUTED_VALUE"""),16)</f>
        <v>16</v>
      </c>
      <c r="C2097" s="8" t="str">
        <f ca="1">IFERROR(__xludf.DUMMYFUNCTION("""COMPUTED_VALUE"""),"Male")</f>
        <v>Male</v>
      </c>
      <c r="D2097" s="8" t="str">
        <f ca="1">IFERROR(__xludf.DUMMYFUNCTION("""COMPUTED_VALUE"""),"Student")</f>
        <v>Student</v>
      </c>
      <c r="E2097" s="8" t="str">
        <f ca="1">IFERROR(__xludf.DUMMYFUNCTION("""COMPUTED_VALUE"""),"Surrendered")</f>
        <v>Surrendered</v>
      </c>
      <c r="F2097" s="8" t="str">
        <f ca="1">IFERROR(__xludf.DUMMYFUNCTION("""COMPUTED_VALUE"""),"No")</f>
        <v>No</v>
      </c>
      <c r="G2097" s="8" t="str">
        <f ca="1">IFERROR(__xludf.DUMMYFUNCTION("""COMPUTED_VALUE"""),"None")</f>
        <v>None</v>
      </c>
    </row>
    <row r="2098" spans="1:7" ht="12.75">
      <c r="A2098" s="8" t="str">
        <f ca="1">IFERROR(__xludf.DUMMYFUNCTION("""COMPUTED_VALUE"""),"19860423FLCHM")</f>
        <v>19860423FLCHM</v>
      </c>
      <c r="B2098" s="8">
        <f ca="1">IFERROR(__xludf.DUMMYFUNCTION("""COMPUTED_VALUE"""),17)</f>
        <v>17</v>
      </c>
      <c r="C2098" s="8" t="str">
        <f ca="1">IFERROR(__xludf.DUMMYFUNCTION("""COMPUTED_VALUE"""),"Male")</f>
        <v>Male</v>
      </c>
      <c r="D2098" s="8" t="str">
        <f ca="1">IFERROR(__xludf.DUMMYFUNCTION("""COMPUTED_VALUE"""),"Student")</f>
        <v>Student</v>
      </c>
      <c r="E2098" s="8" t="str">
        <f ca="1">IFERROR(__xludf.DUMMYFUNCTION("""COMPUTED_VALUE"""),"Surrendered")</f>
        <v>Surrendered</v>
      </c>
      <c r="F2098" s="8" t="str">
        <f ca="1">IFERROR(__xludf.DUMMYFUNCTION("""COMPUTED_VALUE"""),"No")</f>
        <v>No</v>
      </c>
      <c r="G2098" s="8" t="str">
        <f ca="1">IFERROR(__xludf.DUMMYFUNCTION("""COMPUTED_VALUE"""),"None")</f>
        <v>None</v>
      </c>
    </row>
    <row r="2099" spans="1:7" ht="12.75">
      <c r="A2099" s="8" t="str">
        <f ca="1">IFERROR(__xludf.DUMMYFUNCTION("""COMPUTED_VALUE"""),"19860306ILTHD")</f>
        <v>19860306ILTHD</v>
      </c>
      <c r="B2099" s="8">
        <f ca="1">IFERROR(__xludf.DUMMYFUNCTION("""COMPUTED_VALUE"""),14)</f>
        <v>14</v>
      </c>
      <c r="C2099" s="8" t="str">
        <f ca="1">IFERROR(__xludf.DUMMYFUNCTION("""COMPUTED_VALUE"""),"Male")</f>
        <v>Male</v>
      </c>
      <c r="D2099" s="8" t="str">
        <f ca="1">IFERROR(__xludf.DUMMYFUNCTION("""COMPUTED_VALUE"""),"Student")</f>
        <v>Student</v>
      </c>
      <c r="E2099" s="8" t="str">
        <f ca="1">IFERROR(__xludf.DUMMYFUNCTION("""COMPUTED_VALUE"""),"Surrendered")</f>
        <v>Surrendered</v>
      </c>
      <c r="F2099" s="8" t="str">
        <f ca="1">IFERROR(__xludf.DUMMYFUNCTION("""COMPUTED_VALUE"""),"No")</f>
        <v>No</v>
      </c>
      <c r="G2099" s="8" t="str">
        <f ca="1">IFERROR(__xludf.DUMMYFUNCTION("""COMPUTED_VALUE"""),"None")</f>
        <v>None</v>
      </c>
    </row>
    <row r="2100" spans="1:7" ht="12.75">
      <c r="A2100" s="8" t="str">
        <f ca="1">IFERROR(__xludf.DUMMYFUNCTION("""COMPUTED_VALUE"""),"19860224LABOS")</f>
        <v>19860224LABOS</v>
      </c>
      <c r="B2100" s="8">
        <f ca="1">IFERROR(__xludf.DUMMYFUNCTION("""COMPUTED_VALUE"""),13)</f>
        <v>13</v>
      </c>
      <c r="C2100" s="8" t="str">
        <f ca="1">IFERROR(__xludf.DUMMYFUNCTION("""COMPUTED_VALUE"""),"Male")</f>
        <v>Male</v>
      </c>
      <c r="D2100" s="8" t="str">
        <f ca="1">IFERROR(__xludf.DUMMYFUNCTION("""COMPUTED_VALUE"""),"Student")</f>
        <v>Student</v>
      </c>
      <c r="E2100" s="8" t="str">
        <f ca="1">IFERROR(__xludf.DUMMYFUNCTION("""COMPUTED_VALUE"""),"Suicide")</f>
        <v>Suicide</v>
      </c>
      <c r="F2100" s="8" t="str">
        <f ca="1">IFERROR(__xludf.DUMMYFUNCTION("""COMPUTED_VALUE"""),"Yes")</f>
        <v>Yes</v>
      </c>
      <c r="G2100" s="8" t="str">
        <f ca="1">IFERROR(__xludf.DUMMYFUNCTION("""COMPUTED_VALUE"""),"Suicide")</f>
        <v>Suicide</v>
      </c>
    </row>
    <row r="2101" spans="1:7" ht="12.75">
      <c r="A2101" s="8" t="str">
        <f ca="1">IFERROR(__xludf.DUMMYFUNCTION("""COMPUTED_VALUE"""),"19860129MDLAB")</f>
        <v>19860129MDLAB</v>
      </c>
      <c r="B2101" s="8">
        <f ca="1">IFERROR(__xludf.DUMMYFUNCTION("""COMPUTED_VALUE"""),14)</f>
        <v>14</v>
      </c>
      <c r="C2101" s="8" t="str">
        <f ca="1">IFERROR(__xludf.DUMMYFUNCTION("""COMPUTED_VALUE"""),"Male")</f>
        <v>Male</v>
      </c>
      <c r="D2101" s="8" t="str">
        <f ca="1">IFERROR(__xludf.DUMMYFUNCTION("""COMPUTED_VALUE"""),"Student")</f>
        <v>Student</v>
      </c>
      <c r="E2101" s="8" t="str">
        <f ca="1">IFERROR(__xludf.DUMMYFUNCTION("""COMPUTED_VALUE"""),"Fled/Apprehended")</f>
        <v>Fled/Apprehended</v>
      </c>
      <c r="F2101" s="8" t="str">
        <f ca="1">IFERROR(__xludf.DUMMYFUNCTION("""COMPUTED_VALUE"""),"No")</f>
        <v>No</v>
      </c>
      <c r="G2101" s="8" t="str">
        <f ca="1">IFERROR(__xludf.DUMMYFUNCTION("""COMPUTED_VALUE"""),"None")</f>
        <v>None</v>
      </c>
    </row>
    <row r="2102" spans="1:7" ht="12.75">
      <c r="A2102" s="8" t="str">
        <f ca="1">IFERROR(__xludf.DUMMYFUNCTION("""COMPUTED_VALUE"""),"19860117CAVAL")</f>
        <v>19860117CAVAL</v>
      </c>
      <c r="B2102" s="8">
        <f ca="1">IFERROR(__xludf.DUMMYFUNCTION("""COMPUTED_VALUE"""),14)</f>
        <v>14</v>
      </c>
      <c r="C2102" s="8" t="str">
        <f ca="1">IFERROR(__xludf.DUMMYFUNCTION("""COMPUTED_VALUE"""),"Male")</f>
        <v>Male</v>
      </c>
      <c r="D2102" s="8" t="str">
        <f ca="1">IFERROR(__xludf.DUMMYFUNCTION("""COMPUTED_VALUE"""),"Student")</f>
        <v>Student</v>
      </c>
      <c r="E2102" s="8" t="str">
        <f ca="1">IFERROR(__xludf.DUMMYFUNCTION("""COMPUTED_VALUE"""),"Fled/Apprehended")</f>
        <v>Fled/Apprehended</v>
      </c>
      <c r="F2102" s="8" t="str">
        <f ca="1">IFERROR(__xludf.DUMMYFUNCTION("""COMPUTED_VALUE"""),"No")</f>
        <v>No</v>
      </c>
      <c r="G2102" s="8" t="str">
        <f ca="1">IFERROR(__xludf.DUMMYFUNCTION("""COMPUTED_VALUE"""),"None")</f>
        <v>None</v>
      </c>
    </row>
    <row r="2103" spans="1:7" ht="12.75">
      <c r="A2103" s="8" t="str">
        <f ca="1">IFERROR(__xludf.DUMMYFUNCTION("""COMPUTED_VALUE"""),"19860109NCNOD")</f>
        <v>19860109NCNOD</v>
      </c>
      <c r="B2103" s="8">
        <f ca="1">IFERROR(__xludf.DUMMYFUNCTION("""COMPUTED_VALUE"""),17)</f>
        <v>17</v>
      </c>
      <c r="C2103" s="8" t="str">
        <f ca="1">IFERROR(__xludf.DUMMYFUNCTION("""COMPUTED_VALUE"""),"Male")</f>
        <v>Male</v>
      </c>
      <c r="D2103" s="8" t="str">
        <f ca="1">IFERROR(__xludf.DUMMYFUNCTION("""COMPUTED_VALUE"""),"Student")</f>
        <v>Student</v>
      </c>
      <c r="E2103" s="8" t="str">
        <f ca="1">IFERROR(__xludf.DUMMYFUNCTION("""COMPUTED_VALUE"""),"Fled/Apprehended")</f>
        <v>Fled/Apprehended</v>
      </c>
      <c r="F2103" s="8" t="str">
        <f ca="1">IFERROR(__xludf.DUMMYFUNCTION("""COMPUTED_VALUE"""),"No")</f>
        <v>No</v>
      </c>
      <c r="G2103" s="8" t="str">
        <f ca="1">IFERROR(__xludf.DUMMYFUNCTION("""COMPUTED_VALUE"""),"None")</f>
        <v>None</v>
      </c>
    </row>
    <row r="2104" spans="1:7" ht="12.75">
      <c r="A2104" s="8" t="str">
        <f ca="1">IFERROR(__xludf.DUMMYFUNCTION("""COMPUTED_VALUE"""),"19851210CTPOP")</f>
        <v>19851210CTPOP</v>
      </c>
      <c r="B2104" s="8">
        <f ca="1">IFERROR(__xludf.DUMMYFUNCTION("""COMPUTED_VALUE"""),13)</f>
        <v>13</v>
      </c>
      <c r="C2104" s="8" t="str">
        <f ca="1">IFERROR(__xludf.DUMMYFUNCTION("""COMPUTED_VALUE"""),"Male")</f>
        <v>Male</v>
      </c>
      <c r="D2104" s="8" t="str">
        <f ca="1">IFERROR(__xludf.DUMMYFUNCTION("""COMPUTED_VALUE"""),"Student")</f>
        <v>Student</v>
      </c>
      <c r="E2104" s="8" t="str">
        <f ca="1">IFERROR(__xludf.DUMMYFUNCTION("""COMPUTED_VALUE"""),"Surrendered")</f>
        <v>Surrendered</v>
      </c>
      <c r="F2104" s="8" t="str">
        <f ca="1">IFERROR(__xludf.DUMMYFUNCTION("""COMPUTED_VALUE"""),"No")</f>
        <v>No</v>
      </c>
      <c r="G2104" s="8" t="str">
        <f ca="1">IFERROR(__xludf.DUMMYFUNCTION("""COMPUTED_VALUE"""),"None")</f>
        <v>None</v>
      </c>
    </row>
    <row r="2105" spans="1:7" ht="12.75">
      <c r="A2105" s="8" t="str">
        <f ca="1">IFERROR(__xludf.DUMMYFUNCTION("""COMPUTED_VALUE"""),"19851209PAARP")</f>
        <v>19851209PAARP</v>
      </c>
      <c r="B2105" s="8">
        <f ca="1">IFERROR(__xludf.DUMMYFUNCTION("""COMPUTED_VALUE"""),22)</f>
        <v>22</v>
      </c>
      <c r="C2105" s="8" t="str">
        <f ca="1">IFERROR(__xludf.DUMMYFUNCTION("""COMPUTED_VALUE"""),"Male")</f>
        <v>Male</v>
      </c>
      <c r="D2105" s="8" t="str">
        <f ca="1">IFERROR(__xludf.DUMMYFUNCTION("""COMPUTED_VALUE"""),"No Relation")</f>
        <v>No Relation</v>
      </c>
      <c r="E2105" s="8" t="str">
        <f ca="1">IFERROR(__xludf.DUMMYFUNCTION("""COMPUTED_VALUE"""),"Subdued by Students/Staff/Other")</f>
        <v>Subdued by Students/Staff/Other</v>
      </c>
      <c r="F2105" s="8" t="str">
        <f ca="1">IFERROR(__xludf.DUMMYFUNCTION("""COMPUTED_VALUE"""),"No")</f>
        <v>No</v>
      </c>
      <c r="G2105" s="8" t="str">
        <f ca="1">IFERROR(__xludf.DUMMYFUNCTION("""COMPUTED_VALUE"""),"None")</f>
        <v>None</v>
      </c>
    </row>
    <row r="2106" spans="1:7" ht="12.75">
      <c r="A2106" s="8" t="str">
        <f ca="1">IFERROR(__xludf.DUMMYFUNCTION("""COMPUTED_VALUE"""),"19851203NHCOC")</f>
        <v>19851203NHCOC</v>
      </c>
      <c r="B2106" s="8">
        <f ca="1">IFERROR(__xludf.DUMMYFUNCTION("""COMPUTED_VALUE"""),16)</f>
        <v>16</v>
      </c>
      <c r="C2106" s="8" t="str">
        <f ca="1">IFERROR(__xludf.DUMMYFUNCTION("""COMPUTED_VALUE"""),"Male")</f>
        <v>Male</v>
      </c>
      <c r="D2106" s="8" t="str">
        <f ca="1">IFERROR(__xludf.DUMMYFUNCTION("""COMPUTED_VALUE"""),"Former Student")</f>
        <v>Former Student</v>
      </c>
      <c r="E2106" s="8" t="str">
        <f ca="1">IFERROR(__xludf.DUMMYFUNCTION("""COMPUTED_VALUE"""),"Apprehended/Killed by LE")</f>
        <v>Apprehended/Killed by LE</v>
      </c>
      <c r="F2106" s="8" t="str">
        <f ca="1">IFERROR(__xludf.DUMMYFUNCTION("""COMPUTED_VALUE"""),"Yes")</f>
        <v>Yes</v>
      </c>
      <c r="G2106" s="8" t="str">
        <f ca="1">IFERROR(__xludf.DUMMYFUNCTION("""COMPUTED_VALUE"""),"Fatal")</f>
        <v>Fatal</v>
      </c>
    </row>
    <row r="2107" spans="1:7" ht="12.75">
      <c r="A2107" s="8" t="str">
        <f ca="1">IFERROR(__xludf.DUMMYFUNCTION("""COMPUTED_VALUE"""),"19851127ALCHB")</f>
        <v>19851127ALCHB</v>
      </c>
      <c r="B2107" s="8">
        <f ca="1">IFERROR(__xludf.DUMMYFUNCTION("""COMPUTED_VALUE"""),16)</f>
        <v>16</v>
      </c>
      <c r="C2107" s="8" t="str">
        <f ca="1">IFERROR(__xludf.DUMMYFUNCTION("""COMPUTED_VALUE"""),"Male")</f>
        <v>Male</v>
      </c>
      <c r="D2107" s="8" t="str">
        <f ca="1">IFERROR(__xludf.DUMMYFUNCTION("""COMPUTED_VALUE"""),"Student")</f>
        <v>Student</v>
      </c>
      <c r="E2107" s="8" t="str">
        <f ca="1">IFERROR(__xludf.DUMMYFUNCTION("""COMPUTED_VALUE"""),"Suicide")</f>
        <v>Suicide</v>
      </c>
      <c r="F2107" s="8" t="str">
        <f ca="1">IFERROR(__xludf.DUMMYFUNCTION("""COMPUTED_VALUE"""),"Yes")</f>
        <v>Yes</v>
      </c>
      <c r="G2107" s="8" t="str">
        <f ca="1">IFERROR(__xludf.DUMMYFUNCTION("""COMPUTED_VALUE"""),"Suicide")</f>
        <v>Suicide</v>
      </c>
    </row>
    <row r="2108" spans="1:7" ht="12.75">
      <c r="A2108" s="8" t="str">
        <f ca="1">IFERROR(__xludf.DUMMYFUNCTION("""COMPUTED_VALUE"""),"19851126WASPS")</f>
        <v>19851126WASPS</v>
      </c>
      <c r="B2108" s="8">
        <f ca="1">IFERROR(__xludf.DUMMYFUNCTION("""COMPUTED_VALUE"""),14)</f>
        <v>14</v>
      </c>
      <c r="C2108" s="8" t="str">
        <f ca="1">IFERROR(__xludf.DUMMYFUNCTION("""COMPUTED_VALUE"""),"Female")</f>
        <v>Female</v>
      </c>
      <c r="D2108" s="8" t="str">
        <f ca="1">IFERROR(__xludf.DUMMYFUNCTION("""COMPUTED_VALUE"""),"Student")</f>
        <v>Student</v>
      </c>
      <c r="E2108" s="8" t="str">
        <f ca="1">IFERROR(__xludf.DUMMYFUNCTION("""COMPUTED_VALUE"""),"Suicide")</f>
        <v>Suicide</v>
      </c>
      <c r="F2108" s="8" t="str">
        <f ca="1">IFERROR(__xludf.DUMMYFUNCTION("""COMPUTED_VALUE"""),"Yes")</f>
        <v>Yes</v>
      </c>
      <c r="G2108" s="8" t="str">
        <f ca="1">IFERROR(__xludf.DUMMYFUNCTION("""COMPUTED_VALUE"""),"Suicide")</f>
        <v>Suicide</v>
      </c>
    </row>
    <row r="2109" spans="1:7" ht="12.75">
      <c r="A2109" s="8" t="str">
        <f ca="1">IFERROR(__xludf.DUMMYFUNCTION("""COMPUTED_VALUE"""),"19851022OHSOG")</f>
        <v>19851022OHSOG</v>
      </c>
      <c r="B2109" s="8" t="str">
        <f ca="1">IFERROR(__xludf.DUMMYFUNCTION("""COMPUTED_VALUE"""),"Adult")</f>
        <v>Adult</v>
      </c>
      <c r="C2109" s="8"/>
      <c r="D2109" s="8" t="str">
        <f ca="1">IFERROR(__xludf.DUMMYFUNCTION("""COMPUTED_VALUE"""),"Police Officer/SRO")</f>
        <v>Police Officer/SRO</v>
      </c>
      <c r="E2109" s="8" t="str">
        <f ca="1">IFERROR(__xludf.DUMMYFUNCTION("""COMPUTED_VALUE"""),"Law Enforcement")</f>
        <v>Law Enforcement</v>
      </c>
      <c r="F2109" s="8" t="str">
        <f ca="1">IFERROR(__xludf.DUMMYFUNCTION("""COMPUTED_VALUE"""),"No")</f>
        <v>No</v>
      </c>
      <c r="G2109" s="8" t="str">
        <f ca="1">IFERROR(__xludf.DUMMYFUNCTION("""COMPUTED_VALUE"""),"None")</f>
        <v>None</v>
      </c>
    </row>
    <row r="2110" spans="1:7" ht="12.75">
      <c r="A2110" s="8" t="str">
        <f ca="1">IFERROR(__xludf.DUMMYFUNCTION("""COMPUTED_VALUE"""),"19851018MIMUD")</f>
        <v>19851018MIMUD</v>
      </c>
      <c r="B2110" s="8"/>
      <c r="C2110" s="8"/>
      <c r="D2110" s="8" t="str">
        <f ca="1">IFERROR(__xludf.DUMMYFUNCTION("""COMPUTED_VALUE"""),"Unknown")</f>
        <v>Unknown</v>
      </c>
      <c r="E2110" s="8" t="str">
        <f ca="1">IFERROR(__xludf.DUMMYFUNCTION("""COMPUTED_VALUE"""),"Fled/Escaped")</f>
        <v>Fled/Escaped</v>
      </c>
      <c r="F2110" s="8" t="str">
        <f ca="1">IFERROR(__xludf.DUMMYFUNCTION("""COMPUTED_VALUE"""),"No")</f>
        <v>No</v>
      </c>
      <c r="G2110" s="8" t="str">
        <f ca="1">IFERROR(__xludf.DUMMYFUNCTION("""COMPUTED_VALUE"""),"None")</f>
        <v>None</v>
      </c>
    </row>
    <row r="2111" spans="1:7" ht="12.75">
      <c r="A2111" s="8" t="str">
        <f ca="1">IFERROR(__xludf.DUMMYFUNCTION("""COMPUTED_VALUE"""),"19851008MDLAB")</f>
        <v>19851008MDLAB</v>
      </c>
      <c r="B2111" s="8">
        <f ca="1">IFERROR(__xludf.DUMMYFUNCTION("""COMPUTED_VALUE"""),18)</f>
        <v>18</v>
      </c>
      <c r="C2111" s="8" t="str">
        <f ca="1">IFERROR(__xludf.DUMMYFUNCTION("""COMPUTED_VALUE"""),"Male")</f>
        <v>Male</v>
      </c>
      <c r="D2111" s="8" t="str">
        <f ca="1">IFERROR(__xludf.DUMMYFUNCTION("""COMPUTED_VALUE"""),"Student")</f>
        <v>Student</v>
      </c>
      <c r="E2111" s="8" t="str">
        <f ca="1">IFERROR(__xludf.DUMMYFUNCTION("""COMPUTED_VALUE"""),"Fled/Apprehended")</f>
        <v>Fled/Apprehended</v>
      </c>
      <c r="F2111" s="8" t="str">
        <f ca="1">IFERROR(__xludf.DUMMYFUNCTION("""COMPUTED_VALUE"""),"No")</f>
        <v>No</v>
      </c>
      <c r="G2111" s="8" t="str">
        <f ca="1">IFERROR(__xludf.DUMMYFUNCTION("""COMPUTED_VALUE"""),"None")</f>
        <v>None</v>
      </c>
    </row>
    <row r="2112" spans="1:7" ht="12.75">
      <c r="A2112" s="8" t="str">
        <f ca="1">IFERROR(__xludf.DUMMYFUNCTION("""COMPUTED_VALUE"""),"19851008MDLAB")</f>
        <v>19851008MDLAB</v>
      </c>
      <c r="B2112" s="8">
        <f ca="1">IFERROR(__xludf.DUMMYFUNCTION("""COMPUTED_VALUE"""),22)</f>
        <v>22</v>
      </c>
      <c r="C2112" s="8" t="str">
        <f ca="1">IFERROR(__xludf.DUMMYFUNCTION("""COMPUTED_VALUE"""),"Male")</f>
        <v>Male</v>
      </c>
      <c r="D2112" s="8" t="str">
        <f ca="1">IFERROR(__xludf.DUMMYFUNCTION("""COMPUTED_VALUE"""),"Relative")</f>
        <v>Relative</v>
      </c>
      <c r="E2112" s="8" t="str">
        <f ca="1">IFERROR(__xludf.DUMMYFUNCTION("""COMPUTED_VALUE"""),"Fled/Apprehended")</f>
        <v>Fled/Apprehended</v>
      </c>
      <c r="F2112" s="8" t="str">
        <f ca="1">IFERROR(__xludf.DUMMYFUNCTION("""COMPUTED_VALUE"""),"No")</f>
        <v>No</v>
      </c>
      <c r="G2112" s="8" t="str">
        <f ca="1">IFERROR(__xludf.DUMMYFUNCTION("""COMPUTED_VALUE"""),"None")</f>
        <v>None</v>
      </c>
    </row>
    <row r="2113" spans="1:7" ht="12.75">
      <c r="A2113" s="8" t="str">
        <f ca="1">IFERROR(__xludf.DUMMYFUNCTION("""COMPUTED_VALUE"""),"19851008MDLAB")</f>
        <v>19851008MDLAB</v>
      </c>
      <c r="B2113" s="8">
        <f ca="1">IFERROR(__xludf.DUMMYFUNCTION("""COMPUTED_VALUE"""),19)</f>
        <v>19</v>
      </c>
      <c r="C2113" s="8" t="str">
        <f ca="1">IFERROR(__xludf.DUMMYFUNCTION("""COMPUTED_VALUE"""),"Male")</f>
        <v>Male</v>
      </c>
      <c r="D2113" s="8" t="str">
        <f ca="1">IFERROR(__xludf.DUMMYFUNCTION("""COMPUTED_VALUE"""),"Former Student")</f>
        <v>Former Student</v>
      </c>
      <c r="E2113" s="8" t="str">
        <f ca="1">IFERROR(__xludf.DUMMYFUNCTION("""COMPUTED_VALUE"""),"Fled/Apprehended")</f>
        <v>Fled/Apprehended</v>
      </c>
      <c r="F2113" s="8" t="str">
        <f ca="1">IFERROR(__xludf.DUMMYFUNCTION("""COMPUTED_VALUE"""),"No")</f>
        <v>No</v>
      </c>
      <c r="G2113" s="8" t="str">
        <f ca="1">IFERROR(__xludf.DUMMYFUNCTION("""COMPUTED_VALUE"""),"None")</f>
        <v>None</v>
      </c>
    </row>
    <row r="2114" spans="1:7" ht="12.75">
      <c r="A2114" s="8" t="str">
        <f ca="1">IFERROR(__xludf.DUMMYFUNCTION("""COMPUTED_VALUE"""),"19850925OHTRT")</f>
        <v>19850925OHTRT</v>
      </c>
      <c r="B2114" s="8">
        <f ca="1">IFERROR(__xludf.DUMMYFUNCTION("""COMPUTED_VALUE"""),16)</f>
        <v>16</v>
      </c>
      <c r="C2114" s="8" t="str">
        <f ca="1">IFERROR(__xludf.DUMMYFUNCTION("""COMPUTED_VALUE"""),"Male")</f>
        <v>Male</v>
      </c>
      <c r="D2114" s="8" t="str">
        <f ca="1">IFERROR(__xludf.DUMMYFUNCTION("""COMPUTED_VALUE"""),"Student")</f>
        <v>Student</v>
      </c>
      <c r="E2114" s="8" t="str">
        <f ca="1">IFERROR(__xludf.DUMMYFUNCTION("""COMPUTED_VALUE"""),"Fled/Apprehended")</f>
        <v>Fled/Apprehended</v>
      </c>
      <c r="F2114" s="8" t="str">
        <f ca="1">IFERROR(__xludf.DUMMYFUNCTION("""COMPUTED_VALUE"""),"No")</f>
        <v>No</v>
      </c>
      <c r="G2114" s="8" t="str">
        <f ca="1">IFERROR(__xludf.DUMMYFUNCTION("""COMPUTED_VALUE"""),"None")</f>
        <v>None</v>
      </c>
    </row>
    <row r="2115" spans="1:7" ht="12.75">
      <c r="A2115" s="8" t="str">
        <f ca="1">IFERROR(__xludf.DUMMYFUNCTION("""COMPUTED_VALUE"""),"19850920TXLAC")</f>
        <v>19850920TXLAC</v>
      </c>
      <c r="B2115" s="8">
        <f ca="1">IFERROR(__xludf.DUMMYFUNCTION("""COMPUTED_VALUE"""),16)</f>
        <v>16</v>
      </c>
      <c r="C2115" s="8" t="str">
        <f ca="1">IFERROR(__xludf.DUMMYFUNCTION("""COMPUTED_VALUE"""),"Male")</f>
        <v>Male</v>
      </c>
      <c r="D2115" s="8" t="str">
        <f ca="1">IFERROR(__xludf.DUMMYFUNCTION("""COMPUTED_VALUE"""),"Student")</f>
        <v>Student</v>
      </c>
      <c r="E2115" s="8" t="str">
        <f ca="1">IFERROR(__xludf.DUMMYFUNCTION("""COMPUTED_VALUE"""),"Unknown")</f>
        <v>Unknown</v>
      </c>
      <c r="F2115" s="8" t="str">
        <f ca="1">IFERROR(__xludf.DUMMYFUNCTION("""COMPUTED_VALUE"""),"No")</f>
        <v>No</v>
      </c>
      <c r="G2115" s="8" t="str">
        <f ca="1">IFERROR(__xludf.DUMMYFUNCTION("""COMPUTED_VALUE"""),"None")</f>
        <v>None</v>
      </c>
    </row>
    <row r="2116" spans="1:7" ht="12.75">
      <c r="A2116" s="8" t="str">
        <f ca="1">IFERROR(__xludf.DUMMYFUNCTION("""COMPUTED_VALUE"""),"19850909TXWHH")</f>
        <v>19850909TXWHH</v>
      </c>
      <c r="B2116" s="8">
        <f ca="1">IFERROR(__xludf.DUMMYFUNCTION("""COMPUTED_VALUE"""),18)</f>
        <v>18</v>
      </c>
      <c r="C2116" s="8" t="str">
        <f ca="1">IFERROR(__xludf.DUMMYFUNCTION("""COMPUTED_VALUE"""),"Male")</f>
        <v>Male</v>
      </c>
      <c r="D2116" s="8" t="str">
        <f ca="1">IFERROR(__xludf.DUMMYFUNCTION("""COMPUTED_VALUE"""),"No Relation")</f>
        <v>No Relation</v>
      </c>
      <c r="E2116" s="8" t="str">
        <f ca="1">IFERROR(__xludf.DUMMYFUNCTION("""COMPUTED_VALUE"""),"Fled/Apprehended")</f>
        <v>Fled/Apprehended</v>
      </c>
      <c r="F2116" s="8" t="str">
        <f ca="1">IFERROR(__xludf.DUMMYFUNCTION("""COMPUTED_VALUE"""),"No")</f>
        <v>No</v>
      </c>
      <c r="G2116" s="8" t="str">
        <f ca="1">IFERROR(__xludf.DUMMYFUNCTION("""COMPUTED_VALUE"""),"None")</f>
        <v>None</v>
      </c>
    </row>
    <row r="2117" spans="1:7" ht="12.75">
      <c r="A2117" s="8" t="str">
        <f ca="1">IFERROR(__xludf.DUMMYFUNCTION("""COMPUTED_VALUE"""),"19850904VAEAR")</f>
        <v>19850904VAEAR</v>
      </c>
      <c r="B2117" s="8">
        <f ca="1">IFERROR(__xludf.DUMMYFUNCTION("""COMPUTED_VALUE"""),12)</f>
        <v>12</v>
      </c>
      <c r="C2117" s="8" t="str">
        <f ca="1">IFERROR(__xludf.DUMMYFUNCTION("""COMPUTED_VALUE"""),"Male")</f>
        <v>Male</v>
      </c>
      <c r="D2117" s="8" t="str">
        <f ca="1">IFERROR(__xludf.DUMMYFUNCTION("""COMPUTED_VALUE"""),"Student")</f>
        <v>Student</v>
      </c>
      <c r="E2117" s="8" t="str">
        <f ca="1">IFERROR(__xludf.DUMMYFUNCTION("""COMPUTED_VALUE"""),"Fled/Apprehended")</f>
        <v>Fled/Apprehended</v>
      </c>
      <c r="F2117" s="8" t="str">
        <f ca="1">IFERROR(__xludf.DUMMYFUNCTION("""COMPUTED_VALUE"""),"No")</f>
        <v>No</v>
      </c>
      <c r="G2117" s="8" t="str">
        <f ca="1">IFERROR(__xludf.DUMMYFUNCTION("""COMPUTED_VALUE"""),"None")</f>
        <v>None</v>
      </c>
    </row>
    <row r="2118" spans="1:7" ht="12.75">
      <c r="A2118" s="8" t="str">
        <f ca="1">IFERROR(__xludf.DUMMYFUNCTION("""COMPUTED_VALUE"""),"19850724TXHIH")</f>
        <v>19850724TXHIH</v>
      </c>
      <c r="B2118" s="8">
        <f ca="1">IFERROR(__xludf.DUMMYFUNCTION("""COMPUTED_VALUE"""),65)</f>
        <v>65</v>
      </c>
      <c r="C2118" s="8" t="str">
        <f ca="1">IFERROR(__xludf.DUMMYFUNCTION("""COMPUTED_VALUE"""),"Female")</f>
        <v>Female</v>
      </c>
      <c r="D2118" s="8" t="str">
        <f ca="1">IFERROR(__xludf.DUMMYFUNCTION("""COMPUTED_VALUE"""),"No Relation")</f>
        <v>No Relation</v>
      </c>
      <c r="E2118" s="8" t="str">
        <f ca="1">IFERROR(__xludf.DUMMYFUNCTION("""COMPUTED_VALUE"""),"Surrendered")</f>
        <v>Surrendered</v>
      </c>
      <c r="F2118" s="8" t="str">
        <f ca="1">IFERROR(__xludf.DUMMYFUNCTION("""COMPUTED_VALUE"""),"No")</f>
        <v>No</v>
      </c>
      <c r="G2118" s="8" t="str">
        <f ca="1">IFERROR(__xludf.DUMMYFUNCTION("""COMPUTED_VALUE"""),"None")</f>
        <v>None</v>
      </c>
    </row>
    <row r="2119" spans="1:7" ht="12.75">
      <c r="A2119" s="8" t="str">
        <f ca="1">IFERROR(__xludf.DUMMYFUNCTION("""COMPUTED_VALUE"""),"19850516FLPAB")</f>
        <v>19850516FLPAB</v>
      </c>
      <c r="B2119" s="8">
        <f ca="1">IFERROR(__xludf.DUMMYFUNCTION("""COMPUTED_VALUE"""),15)</f>
        <v>15</v>
      </c>
      <c r="C2119" s="8" t="str">
        <f ca="1">IFERROR(__xludf.DUMMYFUNCTION("""COMPUTED_VALUE"""),"Female")</f>
        <v>Female</v>
      </c>
      <c r="D2119" s="8" t="str">
        <f ca="1">IFERROR(__xludf.DUMMYFUNCTION("""COMPUTED_VALUE"""),"Student")</f>
        <v>Student</v>
      </c>
      <c r="E2119" s="8" t="str">
        <f ca="1">IFERROR(__xludf.DUMMYFUNCTION("""COMPUTED_VALUE"""),"Attempted Suicide")</f>
        <v>Attempted Suicide</v>
      </c>
      <c r="F2119" s="8" t="str">
        <f ca="1">IFERROR(__xludf.DUMMYFUNCTION("""COMPUTED_VALUE"""),"No")</f>
        <v>No</v>
      </c>
      <c r="G2119" s="8" t="str">
        <f ca="1">IFERROR(__xludf.DUMMYFUNCTION("""COMPUTED_VALUE"""),"Wounded")</f>
        <v>Wounded</v>
      </c>
    </row>
    <row r="2120" spans="1:7" ht="12.75">
      <c r="A2120" s="8" t="str">
        <f ca="1">IFERROR(__xludf.DUMMYFUNCTION("""COMPUTED_VALUE"""),"19850418TNSOS")</f>
        <v>19850418TNSOS</v>
      </c>
      <c r="B2120" s="8">
        <f ca="1">IFERROR(__xludf.DUMMYFUNCTION("""COMPUTED_VALUE"""),18)</f>
        <v>18</v>
      </c>
      <c r="C2120" s="8" t="str">
        <f ca="1">IFERROR(__xludf.DUMMYFUNCTION("""COMPUTED_VALUE"""),"Male")</f>
        <v>Male</v>
      </c>
      <c r="D2120" s="8" t="str">
        <f ca="1">IFERROR(__xludf.DUMMYFUNCTION("""COMPUTED_VALUE"""),"Student")</f>
        <v>Student</v>
      </c>
      <c r="E2120" s="8" t="str">
        <f ca="1">IFERROR(__xludf.DUMMYFUNCTION("""COMPUTED_VALUE"""),"Apprehended/Killed by LE")</f>
        <v>Apprehended/Killed by LE</v>
      </c>
      <c r="F2120" s="8" t="str">
        <f ca="1">IFERROR(__xludf.DUMMYFUNCTION("""COMPUTED_VALUE"""),"No")</f>
        <v>No</v>
      </c>
      <c r="G2120" s="8" t="str">
        <f ca="1">IFERROR(__xludf.DUMMYFUNCTION("""COMPUTED_VALUE"""),"None")</f>
        <v>None</v>
      </c>
    </row>
    <row r="2121" spans="1:7" ht="12.75">
      <c r="A2121" s="8" t="str">
        <f ca="1">IFERROR(__xludf.DUMMYFUNCTION("""COMPUTED_VALUE"""),"19850416TXMAA")</f>
        <v>19850416TXMAA</v>
      </c>
      <c r="B2121" s="8">
        <f ca="1">IFERROR(__xludf.DUMMYFUNCTION("""COMPUTED_VALUE"""),31)</f>
        <v>31</v>
      </c>
      <c r="C2121" s="8" t="str">
        <f ca="1">IFERROR(__xludf.DUMMYFUNCTION("""COMPUTED_VALUE"""),"Male")</f>
        <v>Male</v>
      </c>
      <c r="D2121" s="8" t="str">
        <f ca="1">IFERROR(__xludf.DUMMYFUNCTION("""COMPUTED_VALUE"""),"Police Officer/SRO")</f>
        <v>Police Officer/SRO</v>
      </c>
      <c r="E2121" s="8" t="str">
        <f ca="1">IFERROR(__xludf.DUMMYFUNCTION("""COMPUTED_VALUE"""),"Surrendered")</f>
        <v>Surrendered</v>
      </c>
      <c r="F2121" s="8" t="str">
        <f ca="1">IFERROR(__xludf.DUMMYFUNCTION("""COMPUTED_VALUE"""),"No")</f>
        <v>No</v>
      </c>
      <c r="G2121" s="8" t="str">
        <f ca="1">IFERROR(__xludf.DUMMYFUNCTION("""COMPUTED_VALUE"""),"None")</f>
        <v>None</v>
      </c>
    </row>
    <row r="2122" spans="1:7" ht="12.75">
      <c r="A2122" s="8" t="str">
        <f ca="1">IFERROR(__xludf.DUMMYFUNCTION("""COMPUTED_VALUE"""),"19850205CTAIH")</f>
        <v>19850205CTAIH</v>
      </c>
      <c r="B2122" s="8">
        <f ca="1">IFERROR(__xludf.DUMMYFUNCTION("""COMPUTED_VALUE"""),18)</f>
        <v>18</v>
      </c>
      <c r="C2122" s="8" t="str">
        <f ca="1">IFERROR(__xludf.DUMMYFUNCTION("""COMPUTED_VALUE"""),"Male")</f>
        <v>Male</v>
      </c>
      <c r="D2122" s="8" t="str">
        <f ca="1">IFERROR(__xludf.DUMMYFUNCTION("""COMPUTED_VALUE"""),"Intimate Relationship")</f>
        <v>Intimate Relationship</v>
      </c>
      <c r="E2122" s="8" t="str">
        <f ca="1">IFERROR(__xludf.DUMMYFUNCTION("""COMPUTED_VALUE"""),"Fled/Escaped")</f>
        <v>Fled/Escaped</v>
      </c>
      <c r="F2122" s="8" t="str">
        <f ca="1">IFERROR(__xludf.DUMMYFUNCTION("""COMPUTED_VALUE"""),"No")</f>
        <v>No</v>
      </c>
      <c r="G2122" s="8" t="str">
        <f ca="1">IFERROR(__xludf.DUMMYFUNCTION("""COMPUTED_VALUE"""),"None")</f>
        <v>None</v>
      </c>
    </row>
    <row r="2123" spans="1:7" ht="12.75">
      <c r="A2123" s="8" t="str">
        <f ca="1">IFERROR(__xludf.DUMMYFUNCTION("""COMPUTED_VALUE"""),"19850126MASTB")</f>
        <v>19850126MASTB</v>
      </c>
      <c r="B2123" s="8">
        <f ca="1">IFERROR(__xludf.DUMMYFUNCTION("""COMPUTED_VALUE"""),16)</f>
        <v>16</v>
      </c>
      <c r="C2123" s="8" t="str">
        <f ca="1">IFERROR(__xludf.DUMMYFUNCTION("""COMPUTED_VALUE"""),"Male")</f>
        <v>Male</v>
      </c>
      <c r="D2123" s="8" t="str">
        <f ca="1">IFERROR(__xludf.DUMMYFUNCTION("""COMPUTED_VALUE"""),"Student")</f>
        <v>Student</v>
      </c>
      <c r="E2123" s="8" t="str">
        <f ca="1">IFERROR(__xludf.DUMMYFUNCTION("""COMPUTED_VALUE"""),"Fled/Apprehended")</f>
        <v>Fled/Apprehended</v>
      </c>
      <c r="F2123" s="8" t="str">
        <f ca="1">IFERROR(__xludf.DUMMYFUNCTION("""COMPUTED_VALUE"""),"No")</f>
        <v>No</v>
      </c>
      <c r="G2123" s="8" t="str">
        <f ca="1">IFERROR(__xludf.DUMMYFUNCTION("""COMPUTED_VALUE"""),"None")</f>
        <v>None</v>
      </c>
    </row>
    <row r="2124" spans="1:7" ht="12.75">
      <c r="A2124" s="8" t="str">
        <f ca="1">IFERROR(__xludf.DUMMYFUNCTION("""COMPUTED_VALUE"""),"19850121KSGOG")</f>
        <v>19850121KSGOG</v>
      </c>
      <c r="B2124" s="8">
        <f ca="1">IFERROR(__xludf.DUMMYFUNCTION("""COMPUTED_VALUE"""),14)</f>
        <v>14</v>
      </c>
      <c r="C2124" s="8" t="str">
        <f ca="1">IFERROR(__xludf.DUMMYFUNCTION("""COMPUTED_VALUE"""),"Male")</f>
        <v>Male</v>
      </c>
      <c r="D2124" s="8" t="str">
        <f ca="1">IFERROR(__xludf.DUMMYFUNCTION("""COMPUTED_VALUE"""),"Student")</f>
        <v>Student</v>
      </c>
      <c r="E2124" s="8" t="str">
        <f ca="1">IFERROR(__xludf.DUMMYFUNCTION("""COMPUTED_VALUE"""),"Fled/Apprehended")</f>
        <v>Fled/Apprehended</v>
      </c>
      <c r="F2124" s="8" t="str">
        <f ca="1">IFERROR(__xludf.DUMMYFUNCTION("""COMPUTED_VALUE"""),"No")</f>
        <v>No</v>
      </c>
      <c r="G2124" s="8" t="str">
        <f ca="1">IFERROR(__xludf.DUMMYFUNCTION("""COMPUTED_VALUE"""),"None")</f>
        <v>None</v>
      </c>
    </row>
    <row r="2125" spans="1:7" ht="12.75">
      <c r="A2125" s="8" t="str">
        <f ca="1">IFERROR(__xludf.DUMMYFUNCTION("""COMPUTED_VALUE"""),"19850118TXARA")</f>
        <v>19850118TXARA</v>
      </c>
      <c r="B2125" s="8">
        <f ca="1">IFERROR(__xludf.DUMMYFUNCTION("""COMPUTED_VALUE"""),17)</f>
        <v>17</v>
      </c>
      <c r="C2125" s="8" t="str">
        <f ca="1">IFERROR(__xludf.DUMMYFUNCTION("""COMPUTED_VALUE"""),"Male")</f>
        <v>Male</v>
      </c>
      <c r="D2125" s="8" t="str">
        <f ca="1">IFERROR(__xludf.DUMMYFUNCTION("""COMPUTED_VALUE"""),"Student")</f>
        <v>Student</v>
      </c>
      <c r="E2125" s="8" t="str">
        <f ca="1">IFERROR(__xludf.DUMMYFUNCTION("""COMPUTED_VALUE"""),"Suicide")</f>
        <v>Suicide</v>
      </c>
      <c r="F2125" s="8" t="str">
        <f ca="1">IFERROR(__xludf.DUMMYFUNCTION("""COMPUTED_VALUE"""),"Yes")</f>
        <v>Yes</v>
      </c>
      <c r="G2125" s="8" t="str">
        <f ca="1">IFERROR(__xludf.DUMMYFUNCTION("""COMPUTED_VALUE"""),"Suicide")</f>
        <v>Suicide</v>
      </c>
    </row>
    <row r="2126" spans="1:7" ht="12.75">
      <c r="A2126" s="8" t="str">
        <f ca="1">IFERROR(__xludf.DUMMYFUNCTION("""COMPUTED_VALUE"""),"19841207MOEDS")</f>
        <v>19841207MOEDS</v>
      </c>
      <c r="B2126" s="8">
        <f ca="1">IFERROR(__xludf.DUMMYFUNCTION("""COMPUTED_VALUE"""),17)</f>
        <v>17</v>
      </c>
      <c r="C2126" s="8" t="str">
        <f ca="1">IFERROR(__xludf.DUMMYFUNCTION("""COMPUTED_VALUE"""),"Male")</f>
        <v>Male</v>
      </c>
      <c r="D2126" s="8" t="str">
        <f ca="1">IFERROR(__xludf.DUMMYFUNCTION("""COMPUTED_VALUE"""),"Student")</f>
        <v>Student</v>
      </c>
      <c r="E2126" s="8" t="str">
        <f ca="1">IFERROR(__xludf.DUMMYFUNCTION("""COMPUTED_VALUE"""),"Surrendered")</f>
        <v>Surrendered</v>
      </c>
      <c r="F2126" s="8" t="str">
        <f ca="1">IFERROR(__xludf.DUMMYFUNCTION("""COMPUTED_VALUE"""),"No")</f>
        <v>No</v>
      </c>
      <c r="G2126" s="8" t="str">
        <f ca="1">IFERROR(__xludf.DUMMYFUNCTION("""COMPUTED_VALUE"""),"None")</f>
        <v>None</v>
      </c>
    </row>
    <row r="2127" spans="1:7" ht="12.75">
      <c r="A2127" s="8" t="str">
        <f ca="1">IFERROR(__xludf.DUMMYFUNCTION("""COMPUTED_VALUE"""),"19841126MDMIR")</f>
        <v>19841126MDMIR</v>
      </c>
      <c r="B2127" s="8">
        <f ca="1">IFERROR(__xludf.DUMMYFUNCTION("""COMPUTED_VALUE"""),16)</f>
        <v>16</v>
      </c>
      <c r="C2127" s="8" t="str">
        <f ca="1">IFERROR(__xludf.DUMMYFUNCTION("""COMPUTED_VALUE"""),"Male")</f>
        <v>Male</v>
      </c>
      <c r="D2127" s="8" t="str">
        <f ca="1">IFERROR(__xludf.DUMMYFUNCTION("""COMPUTED_VALUE"""),"Unknown")</f>
        <v>Unknown</v>
      </c>
      <c r="E2127" s="8" t="str">
        <f ca="1">IFERROR(__xludf.DUMMYFUNCTION("""COMPUTED_VALUE"""),"Fled/Apprehended")</f>
        <v>Fled/Apprehended</v>
      </c>
      <c r="F2127" s="8" t="str">
        <f ca="1">IFERROR(__xludf.DUMMYFUNCTION("""COMPUTED_VALUE"""),"No")</f>
        <v>No</v>
      </c>
      <c r="G2127" s="8" t="str">
        <f ca="1">IFERROR(__xludf.DUMMYFUNCTION("""COMPUTED_VALUE"""),"None")</f>
        <v>None</v>
      </c>
    </row>
    <row r="2128" spans="1:7" ht="12.75">
      <c r="A2128" s="8" t="str">
        <f ca="1">IFERROR(__xludf.DUMMYFUNCTION("""COMPUTED_VALUE"""),"19841109CTWIN")</f>
        <v>19841109CTWIN</v>
      </c>
      <c r="B2128" s="8">
        <f ca="1">IFERROR(__xludf.DUMMYFUNCTION("""COMPUTED_VALUE"""),16)</f>
        <v>16</v>
      </c>
      <c r="C2128" s="8" t="str">
        <f ca="1">IFERROR(__xludf.DUMMYFUNCTION("""COMPUTED_VALUE"""),"Male")</f>
        <v>Male</v>
      </c>
      <c r="D2128" s="8" t="str">
        <f ca="1">IFERROR(__xludf.DUMMYFUNCTION("""COMPUTED_VALUE"""),"Student")</f>
        <v>Student</v>
      </c>
      <c r="E2128" s="8" t="str">
        <f ca="1">IFERROR(__xludf.DUMMYFUNCTION("""COMPUTED_VALUE"""),"Fled/Apprehended")</f>
        <v>Fled/Apprehended</v>
      </c>
      <c r="F2128" s="8" t="str">
        <f ca="1">IFERROR(__xludf.DUMMYFUNCTION("""COMPUTED_VALUE"""),"No")</f>
        <v>No</v>
      </c>
      <c r="G2128" s="8" t="str">
        <f ca="1">IFERROR(__xludf.DUMMYFUNCTION("""COMPUTED_VALUE"""),"None")</f>
        <v>None</v>
      </c>
    </row>
    <row r="2129" spans="1:7" ht="12.75">
      <c r="A2129" s="8" t="str">
        <f ca="1">IFERROR(__xludf.DUMMYFUNCTION("""COMPUTED_VALUE"""),"19841031LAEAG")</f>
        <v>19841031LAEAG</v>
      </c>
      <c r="B2129" s="8">
        <f ca="1">IFERROR(__xludf.DUMMYFUNCTION("""COMPUTED_VALUE"""),16)</f>
        <v>16</v>
      </c>
      <c r="C2129" s="8" t="str">
        <f ca="1">IFERROR(__xludf.DUMMYFUNCTION("""COMPUTED_VALUE"""),"Male")</f>
        <v>Male</v>
      </c>
      <c r="D2129" s="8" t="str">
        <f ca="1">IFERROR(__xludf.DUMMYFUNCTION("""COMPUTED_VALUE"""),"Student")</f>
        <v>Student</v>
      </c>
      <c r="E2129" s="8" t="str">
        <f ca="1">IFERROR(__xludf.DUMMYFUNCTION("""COMPUTED_VALUE"""),"Unknown")</f>
        <v>Unknown</v>
      </c>
      <c r="F2129" s="8" t="str">
        <f ca="1">IFERROR(__xludf.DUMMYFUNCTION("""COMPUTED_VALUE"""),"No")</f>
        <v>No</v>
      </c>
      <c r="G2129" s="8" t="str">
        <f ca="1">IFERROR(__xludf.DUMMYFUNCTION("""COMPUTED_VALUE"""),"None")</f>
        <v>None</v>
      </c>
    </row>
    <row r="2130" spans="1:7" ht="12.75">
      <c r="A2130" s="8" t="str">
        <f ca="1">IFERROR(__xludf.DUMMYFUNCTION("""COMPUTED_VALUE"""),"19841030SCPEP")</f>
        <v>19841030SCPEP</v>
      </c>
      <c r="B2130" s="8">
        <f ca="1">IFERROR(__xludf.DUMMYFUNCTION("""COMPUTED_VALUE"""),21)</f>
        <v>21</v>
      </c>
      <c r="C2130" s="8" t="str">
        <f ca="1">IFERROR(__xludf.DUMMYFUNCTION("""COMPUTED_VALUE"""),"Male")</f>
        <v>Male</v>
      </c>
      <c r="D2130" s="8" t="str">
        <f ca="1">IFERROR(__xludf.DUMMYFUNCTION("""COMPUTED_VALUE"""),"Intimate Relationship")</f>
        <v>Intimate Relationship</v>
      </c>
      <c r="E2130" s="8" t="str">
        <f ca="1">IFERROR(__xludf.DUMMYFUNCTION("""COMPUTED_VALUE"""),"Apprehended/Killed by LE")</f>
        <v>Apprehended/Killed by LE</v>
      </c>
      <c r="F2130" s="8" t="str">
        <f ca="1">IFERROR(__xludf.DUMMYFUNCTION("""COMPUTED_VALUE"""),"No")</f>
        <v>No</v>
      </c>
      <c r="G2130" s="8" t="str">
        <f ca="1">IFERROR(__xludf.DUMMYFUNCTION("""COMPUTED_VALUE"""),"None")</f>
        <v>None</v>
      </c>
    </row>
    <row r="2131" spans="1:7" ht="12.75">
      <c r="A2131" s="8" t="str">
        <f ca="1">IFERROR(__xludf.DUMMYFUNCTION("""COMPUTED_VALUE"""),"19841024OHWEC")</f>
        <v>19841024OHWEC</v>
      </c>
      <c r="B2131" s="8">
        <f ca="1">IFERROR(__xludf.DUMMYFUNCTION("""COMPUTED_VALUE"""),45)</f>
        <v>45</v>
      </c>
      <c r="C2131" s="8" t="str">
        <f ca="1">IFERROR(__xludf.DUMMYFUNCTION("""COMPUTED_VALUE"""),"Female")</f>
        <v>Female</v>
      </c>
      <c r="D2131" s="8" t="str">
        <f ca="1">IFERROR(__xludf.DUMMYFUNCTION("""COMPUTED_VALUE"""),"Parent")</f>
        <v>Parent</v>
      </c>
      <c r="E2131" s="8" t="str">
        <f ca="1">IFERROR(__xludf.DUMMYFUNCTION("""COMPUTED_VALUE"""),"Fled/Apprehended")</f>
        <v>Fled/Apprehended</v>
      </c>
      <c r="F2131" s="8" t="str">
        <f ca="1">IFERROR(__xludf.DUMMYFUNCTION("""COMPUTED_VALUE"""),"No")</f>
        <v>No</v>
      </c>
      <c r="G2131" s="8" t="str">
        <f ca="1">IFERROR(__xludf.DUMMYFUNCTION("""COMPUTED_VALUE"""),"None")</f>
        <v>None</v>
      </c>
    </row>
    <row r="2132" spans="1:7" ht="12.75">
      <c r="A2132" s="8" t="str">
        <f ca="1">IFERROR(__xludf.DUMMYFUNCTION("""COMPUTED_VALUE"""),"19841024MISOD")</f>
        <v>19841024MISOD</v>
      </c>
      <c r="B2132" s="8">
        <f ca="1">IFERROR(__xludf.DUMMYFUNCTION("""COMPUTED_VALUE"""),17)</f>
        <v>17</v>
      </c>
      <c r="C2132" s="8" t="str">
        <f ca="1">IFERROR(__xludf.DUMMYFUNCTION("""COMPUTED_VALUE"""),"Male")</f>
        <v>Male</v>
      </c>
      <c r="D2132" s="8" t="str">
        <f ca="1">IFERROR(__xludf.DUMMYFUNCTION("""COMPUTED_VALUE"""),"Student")</f>
        <v>Student</v>
      </c>
      <c r="E2132" s="8" t="str">
        <f ca="1">IFERROR(__xludf.DUMMYFUNCTION("""COMPUTED_VALUE"""),"Surrendered")</f>
        <v>Surrendered</v>
      </c>
      <c r="F2132" s="8" t="str">
        <f ca="1">IFERROR(__xludf.DUMMYFUNCTION("""COMPUTED_VALUE"""),"No")</f>
        <v>No</v>
      </c>
      <c r="G2132" s="8" t="str">
        <f ca="1">IFERROR(__xludf.DUMMYFUNCTION("""COMPUTED_VALUE"""),"None")</f>
        <v>None</v>
      </c>
    </row>
    <row r="2133" spans="1:7" ht="12.75">
      <c r="A2133" s="8" t="str">
        <f ca="1">IFERROR(__xludf.DUMMYFUNCTION("""COMPUTED_VALUE"""),"19841022MICED")</f>
        <v>19841022MICED</v>
      </c>
      <c r="B2133" s="8">
        <f ca="1">IFERROR(__xludf.DUMMYFUNCTION("""COMPUTED_VALUE"""),16)</f>
        <v>16</v>
      </c>
      <c r="C2133" s="8" t="str">
        <f ca="1">IFERROR(__xludf.DUMMYFUNCTION("""COMPUTED_VALUE"""),"Male")</f>
        <v>Male</v>
      </c>
      <c r="D2133" s="8" t="str">
        <f ca="1">IFERROR(__xludf.DUMMYFUNCTION("""COMPUTED_VALUE"""),"Student")</f>
        <v>Student</v>
      </c>
      <c r="E2133" s="8" t="str">
        <f ca="1">IFERROR(__xludf.DUMMYFUNCTION("""COMPUTED_VALUE"""),"Fled/Apprehended")</f>
        <v>Fled/Apprehended</v>
      </c>
      <c r="F2133" s="8" t="str">
        <f ca="1">IFERROR(__xludf.DUMMYFUNCTION("""COMPUTED_VALUE"""),"No")</f>
        <v>No</v>
      </c>
      <c r="G2133" s="8" t="str">
        <f ca="1">IFERROR(__xludf.DUMMYFUNCTION("""COMPUTED_VALUE"""),"None")</f>
        <v>None</v>
      </c>
    </row>
    <row r="2134" spans="1:7" ht="12.75">
      <c r="A2134" s="8" t="str">
        <f ca="1">IFERROR(__xludf.DUMMYFUNCTION("""COMPUTED_VALUE"""),"19841021PAWYE")</f>
        <v>19841021PAWYE</v>
      </c>
      <c r="B2134" s="8"/>
      <c r="C2134" s="8" t="str">
        <f ca="1">IFERROR(__xludf.DUMMYFUNCTION("""COMPUTED_VALUE"""),"Male")</f>
        <v>Male</v>
      </c>
      <c r="D2134" s="8" t="str">
        <f ca="1">IFERROR(__xludf.DUMMYFUNCTION("""COMPUTED_VALUE"""),"Unknown")</f>
        <v>Unknown</v>
      </c>
      <c r="E2134" s="8" t="str">
        <f ca="1">IFERROR(__xludf.DUMMYFUNCTION("""COMPUTED_VALUE"""),"Unknown")</f>
        <v>Unknown</v>
      </c>
      <c r="F2134" s="8" t="str">
        <f ca="1">IFERROR(__xludf.DUMMYFUNCTION("""COMPUTED_VALUE"""),"No")</f>
        <v>No</v>
      </c>
      <c r="G2134" s="8" t="str">
        <f ca="1">IFERROR(__xludf.DUMMYFUNCTION("""COMPUTED_VALUE"""),"None")</f>
        <v>None</v>
      </c>
    </row>
    <row r="2135" spans="1:7" ht="12.75">
      <c r="A2135" s="8" t="str">
        <f ca="1">IFERROR(__xludf.DUMMYFUNCTION("""COMPUTED_VALUE"""),"19840928TXRIN")</f>
        <v>19840928TXRIN</v>
      </c>
      <c r="B2135" s="8">
        <f ca="1">IFERROR(__xludf.DUMMYFUNCTION("""COMPUTED_VALUE"""),21)</f>
        <v>21</v>
      </c>
      <c r="C2135" s="8" t="str">
        <f ca="1">IFERROR(__xludf.DUMMYFUNCTION("""COMPUTED_VALUE"""),"Male")</f>
        <v>Male</v>
      </c>
      <c r="D2135" s="8" t="str">
        <f ca="1">IFERROR(__xludf.DUMMYFUNCTION("""COMPUTED_VALUE"""),"Former Student")</f>
        <v>Former Student</v>
      </c>
      <c r="E2135" s="8" t="str">
        <f ca="1">IFERROR(__xludf.DUMMYFUNCTION("""COMPUTED_VALUE"""),"Surrendered")</f>
        <v>Surrendered</v>
      </c>
      <c r="F2135" s="8" t="str">
        <f ca="1">IFERROR(__xludf.DUMMYFUNCTION("""COMPUTED_VALUE"""),"No")</f>
        <v>No</v>
      </c>
      <c r="G2135" s="8" t="str">
        <f ca="1">IFERROR(__xludf.DUMMYFUNCTION("""COMPUTED_VALUE"""),"None")</f>
        <v>None</v>
      </c>
    </row>
    <row r="2136" spans="1:7" ht="12.75">
      <c r="A2136" s="8" t="str">
        <f ca="1">IFERROR(__xludf.DUMMYFUNCTION("""COMPUTED_VALUE"""),"19840928TXMIH")</f>
        <v>19840928TXMIH</v>
      </c>
      <c r="B2136" s="8"/>
      <c r="C2136" s="8"/>
      <c r="D2136" s="8" t="str">
        <f ca="1">IFERROR(__xludf.DUMMYFUNCTION("""COMPUTED_VALUE"""),"Unknown")</f>
        <v>Unknown</v>
      </c>
      <c r="E2136" s="8" t="str">
        <f ca="1">IFERROR(__xludf.DUMMYFUNCTION("""COMPUTED_VALUE"""),"Fled/Escaped")</f>
        <v>Fled/Escaped</v>
      </c>
      <c r="F2136" s="8" t="str">
        <f ca="1">IFERROR(__xludf.DUMMYFUNCTION("""COMPUTED_VALUE"""),"No")</f>
        <v>No</v>
      </c>
      <c r="G2136" s="8" t="str">
        <f ca="1">IFERROR(__xludf.DUMMYFUNCTION("""COMPUTED_VALUE"""),"None")</f>
        <v>None</v>
      </c>
    </row>
    <row r="2137" spans="1:7" ht="12.75">
      <c r="A2137" s="8" t="str">
        <f ca="1">IFERROR(__xludf.DUMMYFUNCTION("""COMPUTED_VALUE"""),"19840831LABOS")</f>
        <v>19840831LABOS</v>
      </c>
      <c r="B2137" s="8"/>
      <c r="C2137" s="8" t="str">
        <f ca="1">IFERROR(__xludf.DUMMYFUNCTION("""COMPUTED_VALUE"""),"Male")</f>
        <v>Male</v>
      </c>
      <c r="D2137" s="8" t="str">
        <f ca="1">IFERROR(__xludf.DUMMYFUNCTION("""COMPUTED_VALUE"""),"Gang Member")</f>
        <v>Gang Member</v>
      </c>
      <c r="E2137" s="8" t="str">
        <f ca="1">IFERROR(__xludf.DUMMYFUNCTION("""COMPUTED_VALUE"""),"Fled/Escaped")</f>
        <v>Fled/Escaped</v>
      </c>
      <c r="F2137" s="8" t="str">
        <f ca="1">IFERROR(__xludf.DUMMYFUNCTION("""COMPUTED_VALUE"""),"No")</f>
        <v>No</v>
      </c>
      <c r="G2137" s="8" t="str">
        <f ca="1">IFERROR(__xludf.DUMMYFUNCTION("""COMPUTED_VALUE"""),"None")</f>
        <v>None</v>
      </c>
    </row>
    <row r="2138" spans="1:7" ht="12.75">
      <c r="A2138" s="8" t="str">
        <f ca="1">IFERROR(__xludf.DUMMYFUNCTION("""COMPUTED_VALUE"""),"19840710MIMUD")</f>
        <v>19840710MIMUD</v>
      </c>
      <c r="B2138" s="8" t="str">
        <f ca="1">IFERROR(__xludf.DUMMYFUNCTION("""COMPUTED_VALUE"""),"Adult")</f>
        <v>Adult</v>
      </c>
      <c r="C2138" s="8" t="str">
        <f ca="1">IFERROR(__xludf.DUMMYFUNCTION("""COMPUTED_VALUE"""),"Male")</f>
        <v>Male</v>
      </c>
      <c r="D2138" s="8" t="str">
        <f ca="1">IFERROR(__xludf.DUMMYFUNCTION("""COMPUTED_VALUE"""),"No Relation")</f>
        <v>No Relation</v>
      </c>
      <c r="E2138" s="8" t="str">
        <f ca="1">IFERROR(__xludf.DUMMYFUNCTION("""COMPUTED_VALUE"""),"Fled/Escaped")</f>
        <v>Fled/Escaped</v>
      </c>
      <c r="F2138" s="8" t="str">
        <f ca="1">IFERROR(__xludf.DUMMYFUNCTION("""COMPUTED_VALUE"""),"No")</f>
        <v>No</v>
      </c>
      <c r="G2138" s="8" t="str">
        <f ca="1">IFERROR(__xludf.DUMMYFUNCTION("""COMPUTED_VALUE"""),"None")</f>
        <v>None</v>
      </c>
    </row>
    <row r="2139" spans="1:7" ht="12.75">
      <c r="A2139" s="8" t="str">
        <f ca="1">IFERROR(__xludf.DUMMYFUNCTION("""COMPUTED_VALUE"""),"19840522OHCLC")</f>
        <v>19840522OHCLC</v>
      </c>
      <c r="B2139" s="8">
        <f ca="1">IFERROR(__xludf.DUMMYFUNCTION("""COMPUTED_VALUE"""),18)</f>
        <v>18</v>
      </c>
      <c r="C2139" s="8" t="str">
        <f ca="1">IFERROR(__xludf.DUMMYFUNCTION("""COMPUTED_VALUE"""),"Male")</f>
        <v>Male</v>
      </c>
      <c r="D2139" s="8" t="str">
        <f ca="1">IFERROR(__xludf.DUMMYFUNCTION("""COMPUTED_VALUE"""),"Student")</f>
        <v>Student</v>
      </c>
      <c r="E2139" s="8" t="str">
        <f ca="1">IFERROR(__xludf.DUMMYFUNCTION("""COMPUTED_VALUE"""),"Surrendered")</f>
        <v>Surrendered</v>
      </c>
      <c r="F2139" s="8" t="str">
        <f ca="1">IFERROR(__xludf.DUMMYFUNCTION("""COMPUTED_VALUE"""),"No")</f>
        <v>No</v>
      </c>
      <c r="G2139" s="8" t="str">
        <f ca="1">IFERROR(__xludf.DUMMYFUNCTION("""COMPUTED_VALUE"""),"None")</f>
        <v>None</v>
      </c>
    </row>
    <row r="2140" spans="1:7" ht="12.75">
      <c r="A2140" s="8" t="str">
        <f ca="1">IFERROR(__xludf.DUMMYFUNCTION("""COMPUTED_VALUE"""),"19840518CANON")</f>
        <v>19840518CANON</v>
      </c>
      <c r="B2140" s="8">
        <f ca="1">IFERROR(__xludf.DUMMYFUNCTION("""COMPUTED_VALUE"""),17)</f>
        <v>17</v>
      </c>
      <c r="C2140" s="8" t="str">
        <f ca="1">IFERROR(__xludf.DUMMYFUNCTION("""COMPUTED_VALUE"""),"Male")</f>
        <v>Male</v>
      </c>
      <c r="D2140" s="8" t="str">
        <f ca="1">IFERROR(__xludf.DUMMYFUNCTION("""COMPUTED_VALUE"""),"Student")</f>
        <v>Student</v>
      </c>
      <c r="E2140" s="8" t="str">
        <f ca="1">IFERROR(__xludf.DUMMYFUNCTION("""COMPUTED_VALUE"""),"Subdued by Students/Staff/Other")</f>
        <v>Subdued by Students/Staff/Other</v>
      </c>
      <c r="F2140" s="8" t="str">
        <f ca="1">IFERROR(__xludf.DUMMYFUNCTION("""COMPUTED_VALUE"""),"No")</f>
        <v>No</v>
      </c>
      <c r="G2140" s="8" t="str">
        <f ca="1">IFERROR(__xludf.DUMMYFUNCTION("""COMPUTED_VALUE"""),"None")</f>
        <v>None</v>
      </c>
    </row>
    <row r="2141" spans="1:7" ht="12.75">
      <c r="A2141" s="8" t="str">
        <f ca="1">IFERROR(__xludf.DUMMYFUNCTION("""COMPUTED_VALUE"""),"19840517TXBOH")</f>
        <v>19840517TXBOH</v>
      </c>
      <c r="B2141" s="8">
        <f ca="1">IFERROR(__xludf.DUMMYFUNCTION("""COMPUTED_VALUE"""),18)</f>
        <v>18</v>
      </c>
      <c r="C2141" s="8" t="str">
        <f ca="1">IFERROR(__xludf.DUMMYFUNCTION("""COMPUTED_VALUE"""),"Male")</f>
        <v>Male</v>
      </c>
      <c r="D2141" s="8" t="str">
        <f ca="1">IFERROR(__xludf.DUMMYFUNCTION("""COMPUTED_VALUE"""),"Student")</f>
        <v>Student</v>
      </c>
      <c r="E2141" s="8" t="str">
        <f ca="1">IFERROR(__xludf.DUMMYFUNCTION("""COMPUTED_VALUE"""),"Suicide")</f>
        <v>Suicide</v>
      </c>
      <c r="F2141" s="8" t="str">
        <f ca="1">IFERROR(__xludf.DUMMYFUNCTION("""COMPUTED_VALUE"""),"Yes")</f>
        <v>Yes</v>
      </c>
      <c r="G2141" s="8" t="str">
        <f ca="1">IFERROR(__xludf.DUMMYFUNCTION("""COMPUTED_VALUE"""),"Suicide")</f>
        <v>Suicide</v>
      </c>
    </row>
    <row r="2142" spans="1:7" ht="12.75">
      <c r="A2142" s="8" t="str">
        <f ca="1">IFERROR(__xludf.DUMMYFUNCTION("""COMPUTED_VALUE"""),"19840517IASOP")</f>
        <v>19840517IASOP</v>
      </c>
      <c r="B2142" s="8">
        <f ca="1">IFERROR(__xludf.DUMMYFUNCTION("""COMPUTED_VALUE"""),17)</f>
        <v>17</v>
      </c>
      <c r="C2142" s="8" t="str">
        <f ca="1">IFERROR(__xludf.DUMMYFUNCTION("""COMPUTED_VALUE"""),"Male")</f>
        <v>Male</v>
      </c>
      <c r="D2142" s="8" t="str">
        <f ca="1">IFERROR(__xludf.DUMMYFUNCTION("""COMPUTED_VALUE"""),"Student")</f>
        <v>Student</v>
      </c>
      <c r="E2142" s="8" t="str">
        <f ca="1">IFERROR(__xludf.DUMMYFUNCTION("""COMPUTED_VALUE"""),"Suicide")</f>
        <v>Suicide</v>
      </c>
      <c r="F2142" s="8" t="str">
        <f ca="1">IFERROR(__xludf.DUMMYFUNCTION("""COMPUTED_VALUE"""),"Yes")</f>
        <v>Yes</v>
      </c>
      <c r="G2142" s="8" t="str">
        <f ca="1">IFERROR(__xludf.DUMMYFUNCTION("""COMPUTED_VALUE"""),"Suicide")</f>
        <v>Suicide</v>
      </c>
    </row>
    <row r="2143" spans="1:7" ht="12.75">
      <c r="A2143" s="8" t="str">
        <f ca="1">IFERROR(__xludf.DUMMYFUNCTION("""COMPUTED_VALUE"""),"19840515MTCMG")</f>
        <v>19840515MTCMG</v>
      </c>
      <c r="B2143" s="8">
        <f ca="1">IFERROR(__xludf.DUMMYFUNCTION("""COMPUTED_VALUE"""),18)</f>
        <v>18</v>
      </c>
      <c r="C2143" s="8" t="str">
        <f ca="1">IFERROR(__xludf.DUMMYFUNCTION("""COMPUTED_VALUE"""),"Male")</f>
        <v>Male</v>
      </c>
      <c r="D2143" s="8" t="str">
        <f ca="1">IFERROR(__xludf.DUMMYFUNCTION("""COMPUTED_VALUE"""),"Student")</f>
        <v>Student</v>
      </c>
      <c r="E2143" s="8" t="str">
        <f ca="1">IFERROR(__xludf.DUMMYFUNCTION("""COMPUTED_VALUE"""),"Attempted Suicide")</f>
        <v>Attempted Suicide</v>
      </c>
      <c r="F2143" s="8" t="str">
        <f ca="1">IFERROR(__xludf.DUMMYFUNCTION("""COMPUTED_VALUE"""),"No")</f>
        <v>No</v>
      </c>
      <c r="G2143" s="8" t="str">
        <f ca="1">IFERROR(__xludf.DUMMYFUNCTION("""COMPUTED_VALUE"""),"Wounded")</f>
        <v>Wounded</v>
      </c>
    </row>
    <row r="2144" spans="1:7" ht="12.75">
      <c r="A2144" s="8" t="str">
        <f ca="1">IFERROR(__xludf.DUMMYFUNCTION("""COMPUTED_VALUE"""),"19840426NCROW")</f>
        <v>19840426NCROW</v>
      </c>
      <c r="B2144" s="8">
        <f ca="1">IFERROR(__xludf.DUMMYFUNCTION("""COMPUTED_VALUE"""),11)</f>
        <v>11</v>
      </c>
      <c r="C2144" s="8" t="str">
        <f ca="1">IFERROR(__xludf.DUMMYFUNCTION("""COMPUTED_VALUE"""),"Male")</f>
        <v>Male</v>
      </c>
      <c r="D2144" s="8" t="str">
        <f ca="1">IFERROR(__xludf.DUMMYFUNCTION("""COMPUTED_VALUE"""),"Student")</f>
        <v>Student</v>
      </c>
      <c r="E2144" s="8" t="str">
        <f ca="1">IFERROR(__xludf.DUMMYFUNCTION("""COMPUTED_VALUE"""),"Attempted Suicide")</f>
        <v>Attempted Suicide</v>
      </c>
      <c r="F2144" s="8" t="str">
        <f ca="1">IFERROR(__xludf.DUMMYFUNCTION("""COMPUTED_VALUE"""),"No")</f>
        <v>No</v>
      </c>
      <c r="G2144" s="8" t="str">
        <f ca="1">IFERROR(__xludf.DUMMYFUNCTION("""COMPUTED_VALUE"""),"Wounded")</f>
        <v>Wounded</v>
      </c>
    </row>
    <row r="2145" spans="1:7" ht="12.75">
      <c r="A2145" s="8" t="str">
        <f ca="1">IFERROR(__xludf.DUMMYFUNCTION("""COMPUTED_VALUE"""),"19840420MIPRD")</f>
        <v>19840420MIPRD</v>
      </c>
      <c r="B2145" s="8">
        <f ca="1">IFERROR(__xludf.DUMMYFUNCTION("""COMPUTED_VALUE"""),13)</f>
        <v>13</v>
      </c>
      <c r="C2145" s="8"/>
      <c r="D2145" s="8" t="str">
        <f ca="1">IFERROR(__xludf.DUMMYFUNCTION("""COMPUTED_VALUE"""),"Student")</f>
        <v>Student</v>
      </c>
      <c r="E2145" s="8" t="str">
        <f ca="1">IFERROR(__xludf.DUMMYFUNCTION("""COMPUTED_VALUE"""),"Unknown")</f>
        <v>Unknown</v>
      </c>
      <c r="F2145" s="8" t="str">
        <f ca="1">IFERROR(__xludf.DUMMYFUNCTION("""COMPUTED_VALUE"""),"No")</f>
        <v>No</v>
      </c>
      <c r="G2145" s="8" t="str">
        <f ca="1">IFERROR(__xludf.DUMMYFUNCTION("""COMPUTED_VALUE"""),"None")</f>
        <v>None</v>
      </c>
    </row>
    <row r="2146" spans="1:7" ht="12.75">
      <c r="A2146" s="8" t="str">
        <f ca="1">IFERROR(__xludf.DUMMYFUNCTION("""COMPUTED_VALUE"""),"19840405LACLC")</f>
        <v>19840405LACLC</v>
      </c>
      <c r="B2146" s="8">
        <f ca="1">IFERROR(__xludf.DUMMYFUNCTION("""COMPUTED_VALUE"""),17)</f>
        <v>17</v>
      </c>
      <c r="C2146" s="8" t="str">
        <f ca="1">IFERROR(__xludf.DUMMYFUNCTION("""COMPUTED_VALUE"""),"Male")</f>
        <v>Male</v>
      </c>
      <c r="D2146" s="8" t="str">
        <f ca="1">IFERROR(__xludf.DUMMYFUNCTION("""COMPUTED_VALUE"""),"Student")</f>
        <v>Student</v>
      </c>
      <c r="E2146" s="8" t="str">
        <f ca="1">IFERROR(__xludf.DUMMYFUNCTION("""COMPUTED_VALUE"""),"Unknown")</f>
        <v>Unknown</v>
      </c>
      <c r="F2146" s="8" t="str">
        <f ca="1">IFERROR(__xludf.DUMMYFUNCTION("""COMPUTED_VALUE"""),"No")</f>
        <v>No</v>
      </c>
      <c r="G2146" s="8" t="str">
        <f ca="1">IFERROR(__xludf.DUMMYFUNCTION("""COMPUTED_VALUE"""),"None")</f>
        <v>None</v>
      </c>
    </row>
    <row r="2147" spans="1:7" ht="12.75">
      <c r="A2147" s="8" t="str">
        <f ca="1">IFERROR(__xludf.DUMMYFUNCTION("""COMPUTED_VALUE"""),"19840224CA49L")</f>
        <v>19840224CA49L</v>
      </c>
      <c r="B2147" s="8">
        <f ca="1">IFERROR(__xludf.DUMMYFUNCTION("""COMPUTED_VALUE"""),28)</f>
        <v>28</v>
      </c>
      <c r="C2147" s="8" t="str">
        <f ca="1">IFERROR(__xludf.DUMMYFUNCTION("""COMPUTED_VALUE"""),"Male")</f>
        <v>Male</v>
      </c>
      <c r="D2147" s="8" t="str">
        <f ca="1">IFERROR(__xludf.DUMMYFUNCTION("""COMPUTED_VALUE"""),"Former Student")</f>
        <v>Former Student</v>
      </c>
      <c r="E2147" s="8" t="str">
        <f ca="1">IFERROR(__xludf.DUMMYFUNCTION("""COMPUTED_VALUE"""),"Suicide")</f>
        <v>Suicide</v>
      </c>
      <c r="F2147" s="8" t="str">
        <f ca="1">IFERROR(__xludf.DUMMYFUNCTION("""COMPUTED_VALUE"""),"Yes")</f>
        <v>Yes</v>
      </c>
      <c r="G2147" s="8" t="str">
        <f ca="1">IFERROR(__xludf.DUMMYFUNCTION("""COMPUTED_VALUE"""),"Suicide")</f>
        <v>Suicide</v>
      </c>
    </row>
    <row r="2148" spans="1:7" ht="12.75">
      <c r="A2148" s="8" t="str">
        <f ca="1">IFERROR(__xludf.DUMMYFUNCTION("""COMPUTED_VALUE"""),"19840221TXSHH")</f>
        <v>19840221TXSHH</v>
      </c>
      <c r="B2148" s="8">
        <f ca="1">IFERROR(__xludf.DUMMYFUNCTION("""COMPUTED_VALUE"""),16)</f>
        <v>16</v>
      </c>
      <c r="C2148" s="8" t="str">
        <f ca="1">IFERROR(__xludf.DUMMYFUNCTION("""COMPUTED_VALUE"""),"Male")</f>
        <v>Male</v>
      </c>
      <c r="D2148" s="8" t="str">
        <f ca="1">IFERROR(__xludf.DUMMYFUNCTION("""COMPUTED_VALUE"""),"Student")</f>
        <v>Student</v>
      </c>
      <c r="E2148" s="8" t="str">
        <f ca="1">IFERROR(__xludf.DUMMYFUNCTION("""COMPUTED_VALUE"""),"Surrendered")</f>
        <v>Surrendered</v>
      </c>
      <c r="F2148" s="8" t="str">
        <f ca="1">IFERROR(__xludf.DUMMYFUNCTION("""COMPUTED_VALUE"""),"No")</f>
        <v>No</v>
      </c>
      <c r="G2148" s="8" t="str">
        <f ca="1">IFERROR(__xludf.DUMMYFUNCTION("""COMPUTED_VALUE"""),"None")</f>
        <v>None</v>
      </c>
    </row>
    <row r="2149" spans="1:7" ht="12.75">
      <c r="A2149" s="8" t="str">
        <f ca="1">IFERROR(__xludf.DUMMYFUNCTION("""COMPUTED_VALUE"""),"19840206KYCEL")</f>
        <v>19840206KYCEL</v>
      </c>
      <c r="B2149" s="8">
        <f ca="1">IFERROR(__xludf.DUMMYFUNCTION("""COMPUTED_VALUE"""),16)</f>
        <v>16</v>
      </c>
      <c r="C2149" s="8" t="str">
        <f ca="1">IFERROR(__xludf.DUMMYFUNCTION("""COMPUTED_VALUE"""),"Male")</f>
        <v>Male</v>
      </c>
      <c r="D2149" s="8" t="str">
        <f ca="1">IFERROR(__xludf.DUMMYFUNCTION("""COMPUTED_VALUE"""),"Student")</f>
        <v>Student</v>
      </c>
      <c r="E2149" s="8" t="str">
        <f ca="1">IFERROR(__xludf.DUMMYFUNCTION("""COMPUTED_VALUE"""),"Fled/Apprehended")</f>
        <v>Fled/Apprehended</v>
      </c>
      <c r="F2149" s="8" t="str">
        <f ca="1">IFERROR(__xludf.DUMMYFUNCTION("""COMPUTED_VALUE"""),"No")</f>
        <v>No</v>
      </c>
      <c r="G2149" s="8" t="str">
        <f ca="1">IFERROR(__xludf.DUMMYFUNCTION("""COMPUTED_VALUE"""),"None")</f>
        <v>None</v>
      </c>
    </row>
    <row r="2150" spans="1:7" ht="12.75">
      <c r="A2150" s="8" t="str">
        <f ca="1">IFERROR(__xludf.DUMMYFUNCTION("""COMPUTED_VALUE"""),"19840105MDLAB")</f>
        <v>19840105MDLAB</v>
      </c>
      <c r="B2150" s="8"/>
      <c r="C2150" s="8" t="str">
        <f ca="1">IFERROR(__xludf.DUMMYFUNCTION("""COMPUTED_VALUE"""),"Male")</f>
        <v>Male</v>
      </c>
      <c r="D2150" s="8" t="str">
        <f ca="1">IFERROR(__xludf.DUMMYFUNCTION("""COMPUTED_VALUE"""),"Unknown")</f>
        <v>Unknown</v>
      </c>
      <c r="E2150" s="8" t="str">
        <f ca="1">IFERROR(__xludf.DUMMYFUNCTION("""COMPUTED_VALUE"""),"Fled/Escaped")</f>
        <v>Fled/Escaped</v>
      </c>
      <c r="F2150" s="8" t="str">
        <f ca="1">IFERROR(__xludf.DUMMYFUNCTION("""COMPUTED_VALUE"""),"No")</f>
        <v>No</v>
      </c>
      <c r="G2150" s="8" t="str">
        <f ca="1">IFERROR(__xludf.DUMMYFUNCTION("""COMPUTED_VALUE"""),"None")</f>
        <v>None</v>
      </c>
    </row>
    <row r="2151" spans="1:7" ht="12.75">
      <c r="A2151" s="8" t="str">
        <f ca="1">IFERROR(__xludf.DUMMYFUNCTION("""COMPUTED_VALUE"""),"19831216ILBOR")</f>
        <v>19831216ILBOR</v>
      </c>
      <c r="B2151" s="8">
        <f ca="1">IFERROR(__xludf.DUMMYFUNCTION("""COMPUTED_VALUE"""),15)</f>
        <v>15</v>
      </c>
      <c r="C2151" s="8" t="str">
        <f ca="1">IFERROR(__xludf.DUMMYFUNCTION("""COMPUTED_VALUE"""),"Male")</f>
        <v>Male</v>
      </c>
      <c r="D2151" s="8" t="str">
        <f ca="1">IFERROR(__xludf.DUMMYFUNCTION("""COMPUTED_VALUE"""),"Student")</f>
        <v>Student</v>
      </c>
      <c r="E2151" s="8" t="str">
        <f ca="1">IFERROR(__xludf.DUMMYFUNCTION("""COMPUTED_VALUE"""),"Fled/Apprehended")</f>
        <v>Fled/Apprehended</v>
      </c>
      <c r="F2151" s="8" t="str">
        <f ca="1">IFERROR(__xludf.DUMMYFUNCTION("""COMPUTED_VALUE"""),"No")</f>
        <v>No</v>
      </c>
      <c r="G2151" s="8" t="str">
        <f ca="1">IFERROR(__xludf.DUMMYFUNCTION("""COMPUTED_VALUE"""),"None")</f>
        <v>None</v>
      </c>
    </row>
    <row r="2152" spans="1:7" ht="12.75">
      <c r="A2152" s="8" t="str">
        <f ca="1">IFERROR(__xludf.DUMMYFUNCTION("""COMPUTED_VALUE"""),"19831202INCRC")</f>
        <v>19831202INCRC</v>
      </c>
      <c r="B2152" s="8">
        <f ca="1">IFERROR(__xludf.DUMMYFUNCTION("""COMPUTED_VALUE"""),17)</f>
        <v>17</v>
      </c>
      <c r="C2152" s="8" t="str">
        <f ca="1">IFERROR(__xludf.DUMMYFUNCTION("""COMPUTED_VALUE"""),"Male")</f>
        <v>Male</v>
      </c>
      <c r="D2152" s="8" t="str">
        <f ca="1">IFERROR(__xludf.DUMMYFUNCTION("""COMPUTED_VALUE"""),"Student")</f>
        <v>Student</v>
      </c>
      <c r="E2152" s="8" t="str">
        <f ca="1">IFERROR(__xludf.DUMMYFUNCTION("""COMPUTED_VALUE"""),"Fled/Apprehended")</f>
        <v>Fled/Apprehended</v>
      </c>
      <c r="F2152" s="8" t="str">
        <f ca="1">IFERROR(__xludf.DUMMYFUNCTION("""COMPUTED_VALUE"""),"No")</f>
        <v>No</v>
      </c>
      <c r="G2152" s="8" t="str">
        <f ca="1">IFERROR(__xludf.DUMMYFUNCTION("""COMPUTED_VALUE"""),"None")</f>
        <v>None</v>
      </c>
    </row>
    <row r="2153" spans="1:7" ht="12.75">
      <c r="A2153" s="8" t="str">
        <f ca="1">IFERROR(__xludf.DUMMYFUNCTION("""COMPUTED_VALUE"""),"19831118MDHAB")</f>
        <v>19831118MDHAB</v>
      </c>
      <c r="B2153" s="8">
        <f ca="1">IFERROR(__xludf.DUMMYFUNCTION("""COMPUTED_VALUE"""),17)</f>
        <v>17</v>
      </c>
      <c r="C2153" s="8" t="str">
        <f ca="1">IFERROR(__xludf.DUMMYFUNCTION("""COMPUTED_VALUE"""),"Male")</f>
        <v>Male</v>
      </c>
      <c r="D2153" s="8" t="str">
        <f ca="1">IFERROR(__xludf.DUMMYFUNCTION("""COMPUTED_VALUE"""),"Student")</f>
        <v>Student</v>
      </c>
      <c r="E2153" s="8" t="str">
        <f ca="1">IFERROR(__xludf.DUMMYFUNCTION("""COMPUTED_VALUE"""),"Fled/Apprehended")</f>
        <v>Fled/Apprehended</v>
      </c>
      <c r="F2153" s="8" t="str">
        <f ca="1">IFERROR(__xludf.DUMMYFUNCTION("""COMPUTED_VALUE"""),"No")</f>
        <v>No</v>
      </c>
      <c r="G2153" s="8" t="str">
        <f ca="1">IFERROR(__xludf.DUMMYFUNCTION("""COMPUTED_VALUE"""),"None")</f>
        <v>None</v>
      </c>
    </row>
    <row r="2154" spans="1:7" ht="12.75">
      <c r="A2154" s="8" t="str">
        <f ca="1">IFERROR(__xludf.DUMMYFUNCTION("""COMPUTED_VALUE"""),"19831117ILJAC")</f>
        <v>19831117ILJAC</v>
      </c>
      <c r="B2154" s="8">
        <f ca="1">IFERROR(__xludf.DUMMYFUNCTION("""COMPUTED_VALUE"""),14)</f>
        <v>14</v>
      </c>
      <c r="C2154" s="8" t="str">
        <f ca="1">IFERROR(__xludf.DUMMYFUNCTION("""COMPUTED_VALUE"""),"Male")</f>
        <v>Male</v>
      </c>
      <c r="D2154" s="8" t="str">
        <f ca="1">IFERROR(__xludf.DUMMYFUNCTION("""COMPUTED_VALUE"""),"Gang Member")</f>
        <v>Gang Member</v>
      </c>
      <c r="E2154" s="8" t="str">
        <f ca="1">IFERROR(__xludf.DUMMYFUNCTION("""COMPUTED_VALUE"""),"Fled/Apprehended")</f>
        <v>Fled/Apprehended</v>
      </c>
      <c r="F2154" s="8" t="str">
        <f ca="1">IFERROR(__xludf.DUMMYFUNCTION("""COMPUTED_VALUE"""),"No")</f>
        <v>No</v>
      </c>
      <c r="G2154" s="8" t="str">
        <f ca="1">IFERROR(__xludf.DUMMYFUNCTION("""COMPUTED_VALUE"""),"None")</f>
        <v>None</v>
      </c>
    </row>
    <row r="2155" spans="1:7" ht="12.75">
      <c r="A2155" s="8" t="str">
        <f ca="1">IFERROR(__xludf.DUMMYFUNCTION("""COMPUTED_VALUE"""),"19831108MIHIH")</f>
        <v>19831108MIHIH</v>
      </c>
      <c r="B2155" s="8">
        <f ca="1">IFERROR(__xludf.DUMMYFUNCTION("""COMPUTED_VALUE"""),15)</f>
        <v>15</v>
      </c>
      <c r="C2155" s="8" t="str">
        <f ca="1">IFERROR(__xludf.DUMMYFUNCTION("""COMPUTED_VALUE"""),"Male")</f>
        <v>Male</v>
      </c>
      <c r="D2155" s="8" t="str">
        <f ca="1">IFERROR(__xludf.DUMMYFUNCTION("""COMPUTED_VALUE"""),"Student")</f>
        <v>Student</v>
      </c>
      <c r="E2155" s="8" t="str">
        <f ca="1">IFERROR(__xludf.DUMMYFUNCTION("""COMPUTED_VALUE"""),"Surrendered")</f>
        <v>Surrendered</v>
      </c>
      <c r="F2155" s="8" t="str">
        <f ca="1">IFERROR(__xludf.DUMMYFUNCTION("""COMPUTED_VALUE"""),"No")</f>
        <v>No</v>
      </c>
      <c r="G2155" s="8" t="str">
        <f ca="1">IFERROR(__xludf.DUMMYFUNCTION("""COMPUTED_VALUE"""),"None")</f>
        <v>None</v>
      </c>
    </row>
    <row r="2156" spans="1:7" ht="12.75">
      <c r="A2156" s="8" t="str">
        <f ca="1">IFERROR(__xludf.DUMMYFUNCTION("""COMPUTED_VALUE"""),"19831022MDCAB")</f>
        <v>19831022MDCAB</v>
      </c>
      <c r="B2156" s="8">
        <f ca="1">IFERROR(__xludf.DUMMYFUNCTION("""COMPUTED_VALUE"""),18)</f>
        <v>18</v>
      </c>
      <c r="C2156" s="8" t="str">
        <f ca="1">IFERROR(__xludf.DUMMYFUNCTION("""COMPUTED_VALUE"""),"Male")</f>
        <v>Male</v>
      </c>
      <c r="D2156" s="8" t="str">
        <f ca="1">IFERROR(__xludf.DUMMYFUNCTION("""COMPUTED_VALUE"""),"Unknown")</f>
        <v>Unknown</v>
      </c>
      <c r="E2156" s="8" t="str">
        <f ca="1">IFERROR(__xludf.DUMMYFUNCTION("""COMPUTED_VALUE"""),"Fled/Apprehended")</f>
        <v>Fled/Apprehended</v>
      </c>
      <c r="F2156" s="8" t="str">
        <f ca="1">IFERROR(__xludf.DUMMYFUNCTION("""COMPUTED_VALUE"""),"No")</f>
        <v>No</v>
      </c>
      <c r="G2156" s="8" t="str">
        <f ca="1">IFERROR(__xludf.DUMMYFUNCTION("""COMPUTED_VALUE"""),"None")</f>
        <v>None</v>
      </c>
    </row>
    <row r="2157" spans="1:7" ht="12.75">
      <c r="A2157" s="8" t="str">
        <f ca="1">IFERROR(__xludf.DUMMYFUNCTION("""COMPUTED_VALUE"""),"19831007CACOL")</f>
        <v>19831007CACOL</v>
      </c>
      <c r="B2157" s="8"/>
      <c r="C2157" s="8" t="str">
        <f ca="1">IFERROR(__xludf.DUMMYFUNCTION("""COMPUTED_VALUE"""),"Male")</f>
        <v>Male</v>
      </c>
      <c r="D2157" s="8" t="str">
        <f ca="1">IFERROR(__xludf.DUMMYFUNCTION("""COMPUTED_VALUE"""),"Gang Member")</f>
        <v>Gang Member</v>
      </c>
      <c r="E2157" s="8" t="str">
        <f ca="1">IFERROR(__xludf.DUMMYFUNCTION("""COMPUTED_VALUE"""),"Fled/Escaped")</f>
        <v>Fled/Escaped</v>
      </c>
      <c r="F2157" s="8" t="str">
        <f ca="1">IFERROR(__xludf.DUMMYFUNCTION("""COMPUTED_VALUE"""),"No")</f>
        <v>No</v>
      </c>
      <c r="G2157" s="8" t="str">
        <f ca="1">IFERROR(__xludf.DUMMYFUNCTION("""COMPUTED_VALUE"""),"None")</f>
        <v>None</v>
      </c>
    </row>
    <row r="2158" spans="1:7" ht="12.75">
      <c r="A2158" s="8" t="str">
        <f ca="1">IFERROR(__xludf.DUMMYFUNCTION("""COMPUTED_VALUE"""),"19830930TXTET")</f>
        <v>19830930TXTET</v>
      </c>
      <c r="B2158" s="8">
        <f ca="1">IFERROR(__xludf.DUMMYFUNCTION("""COMPUTED_VALUE"""),20)</f>
        <v>20</v>
      </c>
      <c r="C2158" s="8" t="str">
        <f ca="1">IFERROR(__xludf.DUMMYFUNCTION("""COMPUTED_VALUE"""),"Male")</f>
        <v>Male</v>
      </c>
      <c r="D2158" s="8" t="str">
        <f ca="1">IFERROR(__xludf.DUMMYFUNCTION("""COMPUTED_VALUE"""),"Former Student")</f>
        <v>Former Student</v>
      </c>
      <c r="E2158" s="8" t="str">
        <f ca="1">IFERROR(__xludf.DUMMYFUNCTION("""COMPUTED_VALUE"""),"Fled/Apprehended")</f>
        <v>Fled/Apprehended</v>
      </c>
      <c r="F2158" s="8" t="str">
        <f ca="1">IFERROR(__xludf.DUMMYFUNCTION("""COMPUTED_VALUE"""),"No")</f>
        <v>No</v>
      </c>
      <c r="G2158" s="8" t="str">
        <f ca="1">IFERROR(__xludf.DUMMYFUNCTION("""COMPUTED_VALUE"""),"None")</f>
        <v>None</v>
      </c>
    </row>
    <row r="2159" spans="1:7" ht="12.75">
      <c r="A2159" s="8" t="str">
        <f ca="1">IFERROR(__xludf.DUMMYFUNCTION("""COMPUTED_VALUE"""),"19830921MDWAB")</f>
        <v>19830921MDWAB</v>
      </c>
      <c r="B2159" s="8">
        <f ca="1">IFERROR(__xludf.DUMMYFUNCTION("""COMPUTED_VALUE"""),18)</f>
        <v>18</v>
      </c>
      <c r="C2159" s="8" t="str">
        <f ca="1">IFERROR(__xludf.DUMMYFUNCTION("""COMPUTED_VALUE"""),"Male")</f>
        <v>Male</v>
      </c>
      <c r="D2159" s="8" t="str">
        <f ca="1">IFERROR(__xludf.DUMMYFUNCTION("""COMPUTED_VALUE"""),"Student")</f>
        <v>Student</v>
      </c>
      <c r="E2159" s="8" t="str">
        <f ca="1">IFERROR(__xludf.DUMMYFUNCTION("""COMPUTED_VALUE"""),"Surrendered")</f>
        <v>Surrendered</v>
      </c>
      <c r="F2159" s="8" t="str">
        <f ca="1">IFERROR(__xludf.DUMMYFUNCTION("""COMPUTED_VALUE"""),"No")</f>
        <v>No</v>
      </c>
      <c r="G2159" s="8" t="str">
        <f ca="1">IFERROR(__xludf.DUMMYFUNCTION("""COMPUTED_VALUE"""),"Wounded")</f>
        <v>Wounded</v>
      </c>
    </row>
    <row r="2160" spans="1:7" ht="12.75">
      <c r="A2160" s="8" t="str">
        <f ca="1">IFERROR(__xludf.DUMMYFUNCTION("""COMPUTED_VALUE"""),"19830912MIHED")</f>
        <v>19830912MIHED</v>
      </c>
      <c r="B2160" s="8">
        <f ca="1">IFERROR(__xludf.DUMMYFUNCTION("""COMPUTED_VALUE"""),16)</f>
        <v>16</v>
      </c>
      <c r="C2160" s="8" t="str">
        <f ca="1">IFERROR(__xludf.DUMMYFUNCTION("""COMPUTED_VALUE"""),"Male")</f>
        <v>Male</v>
      </c>
      <c r="D2160" s="8" t="str">
        <f ca="1">IFERROR(__xludf.DUMMYFUNCTION("""COMPUTED_VALUE"""),"Student")</f>
        <v>Student</v>
      </c>
      <c r="E2160" s="8" t="str">
        <f ca="1">IFERROR(__xludf.DUMMYFUNCTION("""COMPUTED_VALUE"""),"Fled/Escaped")</f>
        <v>Fled/Escaped</v>
      </c>
      <c r="F2160" s="8" t="str">
        <f ca="1">IFERROR(__xludf.DUMMYFUNCTION("""COMPUTED_VALUE"""),"No")</f>
        <v>No</v>
      </c>
      <c r="G2160" s="8" t="str">
        <f ca="1">IFERROR(__xludf.DUMMYFUNCTION("""COMPUTED_VALUE"""),"None")</f>
        <v>None</v>
      </c>
    </row>
    <row r="2161" spans="1:7" ht="12.75">
      <c r="A2161" s="8" t="str">
        <f ca="1">IFERROR(__xludf.DUMMYFUNCTION("""COMPUTED_VALUE"""),"19830912CAMAC")</f>
        <v>19830912CAMAC</v>
      </c>
      <c r="B2161" s="8" t="str">
        <f ca="1">IFERROR(__xludf.DUMMYFUNCTION("""COMPUTED_VALUE"""),"Teen")</f>
        <v>Teen</v>
      </c>
      <c r="C2161" s="8" t="str">
        <f ca="1">IFERROR(__xludf.DUMMYFUNCTION("""COMPUTED_VALUE"""),"Male")</f>
        <v>Male</v>
      </c>
      <c r="D2161" s="8" t="str">
        <f ca="1">IFERROR(__xludf.DUMMYFUNCTION("""COMPUTED_VALUE"""),"Student")</f>
        <v>Student</v>
      </c>
      <c r="E2161" s="8" t="str">
        <f ca="1">IFERROR(__xludf.DUMMYFUNCTION("""COMPUTED_VALUE"""),"Fled/Apprehended")</f>
        <v>Fled/Apprehended</v>
      </c>
      <c r="F2161" s="8" t="str">
        <f ca="1">IFERROR(__xludf.DUMMYFUNCTION("""COMPUTED_VALUE"""),"No")</f>
        <v>No</v>
      </c>
      <c r="G2161" s="8" t="str">
        <f ca="1">IFERROR(__xludf.DUMMYFUNCTION("""COMPUTED_VALUE"""),"None")</f>
        <v>None</v>
      </c>
    </row>
    <row r="2162" spans="1:7" ht="12.75">
      <c r="A2162" s="8" t="str">
        <f ca="1">IFERROR(__xludf.DUMMYFUNCTION("""COMPUTED_VALUE"""),"19830912CAMAC")</f>
        <v>19830912CAMAC</v>
      </c>
      <c r="B2162" s="8" t="str">
        <f ca="1">IFERROR(__xludf.DUMMYFUNCTION("""COMPUTED_VALUE"""),"Teen")</f>
        <v>Teen</v>
      </c>
      <c r="C2162" s="8" t="str">
        <f ca="1">IFERROR(__xludf.DUMMYFUNCTION("""COMPUTED_VALUE"""),"Male")</f>
        <v>Male</v>
      </c>
      <c r="D2162" s="8" t="str">
        <f ca="1">IFERROR(__xludf.DUMMYFUNCTION("""COMPUTED_VALUE"""),"Student")</f>
        <v>Student</v>
      </c>
      <c r="E2162" s="8" t="str">
        <f ca="1">IFERROR(__xludf.DUMMYFUNCTION("""COMPUTED_VALUE"""),"Fled/Apprehended")</f>
        <v>Fled/Apprehended</v>
      </c>
      <c r="F2162" s="8" t="str">
        <f ca="1">IFERROR(__xludf.DUMMYFUNCTION("""COMPUTED_VALUE"""),"No")</f>
        <v>No</v>
      </c>
      <c r="G2162" s="8" t="str">
        <f ca="1">IFERROR(__xludf.DUMMYFUNCTION("""COMPUTED_VALUE"""),"None")</f>
        <v>None</v>
      </c>
    </row>
    <row r="2163" spans="1:7" ht="12.75">
      <c r="A2163" s="8" t="str">
        <f ca="1">IFERROR(__xludf.DUMMYFUNCTION("""COMPUTED_VALUE"""),"19830526PAGRJ")</f>
        <v>19830526PAGRJ</v>
      </c>
      <c r="B2163" s="8">
        <f ca="1">IFERROR(__xludf.DUMMYFUNCTION("""COMPUTED_VALUE"""),17)</f>
        <v>17</v>
      </c>
      <c r="C2163" s="8" t="str">
        <f ca="1">IFERROR(__xludf.DUMMYFUNCTION("""COMPUTED_VALUE"""),"Male")</f>
        <v>Male</v>
      </c>
      <c r="D2163" s="8" t="str">
        <f ca="1">IFERROR(__xludf.DUMMYFUNCTION("""COMPUTED_VALUE"""),"Student")</f>
        <v>Student</v>
      </c>
      <c r="E2163" s="8" t="str">
        <f ca="1">IFERROR(__xludf.DUMMYFUNCTION("""COMPUTED_VALUE"""),"Suicide")</f>
        <v>Suicide</v>
      </c>
      <c r="F2163" s="8" t="str">
        <f ca="1">IFERROR(__xludf.DUMMYFUNCTION("""COMPUTED_VALUE"""),"Yes")</f>
        <v>Yes</v>
      </c>
      <c r="G2163" s="8" t="str">
        <f ca="1">IFERROR(__xludf.DUMMYFUNCTION("""COMPUTED_VALUE"""),"Suicide")</f>
        <v>Suicide</v>
      </c>
    </row>
    <row r="2164" spans="1:7" ht="12.75">
      <c r="A2164" s="8" t="str">
        <f ca="1">IFERROR(__xludf.DUMMYFUNCTION("""COMPUTED_VALUE"""),"19830523OHMAM")</f>
        <v>19830523OHMAM</v>
      </c>
      <c r="B2164" s="8">
        <f ca="1">IFERROR(__xludf.DUMMYFUNCTION("""COMPUTED_VALUE"""),15)</f>
        <v>15</v>
      </c>
      <c r="C2164" s="8" t="str">
        <f ca="1">IFERROR(__xludf.DUMMYFUNCTION("""COMPUTED_VALUE"""),"Male")</f>
        <v>Male</v>
      </c>
      <c r="D2164" s="8" t="str">
        <f ca="1">IFERROR(__xludf.DUMMYFUNCTION("""COMPUTED_VALUE"""),"Student")</f>
        <v>Student</v>
      </c>
      <c r="E2164" s="8" t="str">
        <f ca="1">IFERROR(__xludf.DUMMYFUNCTION("""COMPUTED_VALUE"""),"Fled/Apprehended")</f>
        <v>Fled/Apprehended</v>
      </c>
      <c r="F2164" s="8" t="str">
        <f ca="1">IFERROR(__xludf.DUMMYFUNCTION("""COMPUTED_VALUE"""),"No")</f>
        <v>No</v>
      </c>
      <c r="G2164" s="8" t="str">
        <f ca="1">IFERROR(__xludf.DUMMYFUNCTION("""COMPUTED_VALUE"""),"None")</f>
        <v>None</v>
      </c>
    </row>
    <row r="2165" spans="1:7" ht="12.75">
      <c r="A2165" s="8" t="str">
        <f ca="1">IFERROR(__xludf.DUMMYFUNCTION("""COMPUTED_VALUE"""),"19830518FLNOM")</f>
        <v>19830518FLNOM</v>
      </c>
      <c r="B2165" s="8">
        <f ca="1">IFERROR(__xludf.DUMMYFUNCTION("""COMPUTED_VALUE"""),22)</f>
        <v>22</v>
      </c>
      <c r="C2165" s="8" t="str">
        <f ca="1">IFERROR(__xludf.DUMMYFUNCTION("""COMPUTED_VALUE"""),"Male")</f>
        <v>Male</v>
      </c>
      <c r="D2165" s="8" t="str">
        <f ca="1">IFERROR(__xludf.DUMMYFUNCTION("""COMPUTED_VALUE"""),"No Relation")</f>
        <v>No Relation</v>
      </c>
      <c r="E2165" s="8" t="str">
        <f ca="1">IFERROR(__xludf.DUMMYFUNCTION("""COMPUTED_VALUE"""),"Fled/Apprehended")</f>
        <v>Fled/Apprehended</v>
      </c>
      <c r="F2165" s="8" t="str">
        <f ca="1">IFERROR(__xludf.DUMMYFUNCTION("""COMPUTED_VALUE"""),"No")</f>
        <v>No</v>
      </c>
      <c r="G2165" s="8" t="str">
        <f ca="1">IFERROR(__xludf.DUMMYFUNCTION("""COMPUTED_VALUE"""),"None")</f>
        <v>None</v>
      </c>
    </row>
    <row r="2166" spans="1:7" ht="12.75">
      <c r="A2166" s="8" t="str">
        <f ca="1">IFERROR(__xludf.DUMMYFUNCTION("""COMPUTED_VALUE"""),"19830516TXLAD")</f>
        <v>19830516TXLAD</v>
      </c>
      <c r="B2166" s="8">
        <f ca="1">IFERROR(__xludf.DUMMYFUNCTION("""COMPUTED_VALUE"""),41)</f>
        <v>41</v>
      </c>
      <c r="C2166" s="8" t="str">
        <f ca="1">IFERROR(__xludf.DUMMYFUNCTION("""COMPUTED_VALUE"""),"Male")</f>
        <v>Male</v>
      </c>
      <c r="D2166" s="8" t="str">
        <f ca="1">IFERROR(__xludf.DUMMYFUNCTION("""COMPUTED_VALUE"""),"No Relation")</f>
        <v>No Relation</v>
      </c>
      <c r="E2166" s="8" t="str">
        <f ca="1">IFERROR(__xludf.DUMMYFUNCTION("""COMPUTED_VALUE"""),"Fled/Apprehended")</f>
        <v>Fled/Apprehended</v>
      </c>
      <c r="F2166" s="8" t="str">
        <f ca="1">IFERROR(__xludf.DUMMYFUNCTION("""COMPUTED_VALUE"""),"No")</f>
        <v>No</v>
      </c>
      <c r="G2166" s="8" t="str">
        <f ca="1">IFERROR(__xludf.DUMMYFUNCTION("""COMPUTED_VALUE"""),"None")</f>
        <v>None</v>
      </c>
    </row>
    <row r="2167" spans="1:7" ht="12.75">
      <c r="A2167" s="8" t="str">
        <f ca="1">IFERROR(__xludf.DUMMYFUNCTION("""COMPUTED_VALUE"""),"19830516NYBRN")</f>
        <v>19830516NYBRN</v>
      </c>
      <c r="B2167" s="8">
        <f ca="1">IFERROR(__xludf.DUMMYFUNCTION("""COMPUTED_VALUE"""),24)</f>
        <v>24</v>
      </c>
      <c r="C2167" s="8" t="str">
        <f ca="1">IFERROR(__xludf.DUMMYFUNCTION("""COMPUTED_VALUE"""),"Male")</f>
        <v>Male</v>
      </c>
      <c r="D2167" s="8" t="str">
        <f ca="1">IFERROR(__xludf.DUMMYFUNCTION("""COMPUTED_VALUE"""),"Former Teacher")</f>
        <v>Former Teacher</v>
      </c>
      <c r="E2167" s="8" t="str">
        <f ca="1">IFERROR(__xludf.DUMMYFUNCTION("""COMPUTED_VALUE"""),"Suicide")</f>
        <v>Suicide</v>
      </c>
      <c r="F2167" s="8" t="str">
        <f ca="1">IFERROR(__xludf.DUMMYFUNCTION("""COMPUTED_VALUE"""),"Yes")</f>
        <v>Yes</v>
      </c>
      <c r="G2167" s="8" t="str">
        <f ca="1">IFERROR(__xludf.DUMMYFUNCTION("""COMPUTED_VALUE"""),"Suicide")</f>
        <v>Suicide</v>
      </c>
    </row>
    <row r="2168" spans="1:7" ht="12.75">
      <c r="A2168" s="8" t="str">
        <f ca="1">IFERROR(__xludf.DUMMYFUNCTION("""COMPUTED_VALUE"""),"19830421MOBES")</f>
        <v>19830421MOBES</v>
      </c>
      <c r="B2168" s="8" t="str">
        <f ca="1">IFERROR(__xludf.DUMMYFUNCTION("""COMPUTED_VALUE"""),"Adult")</f>
        <v>Adult</v>
      </c>
      <c r="C2168" s="8" t="str">
        <f ca="1">IFERROR(__xludf.DUMMYFUNCTION("""COMPUTED_VALUE"""),"Male")</f>
        <v>Male</v>
      </c>
      <c r="D2168" s="8" t="str">
        <f ca="1">IFERROR(__xludf.DUMMYFUNCTION("""COMPUTED_VALUE"""),"Unknown")</f>
        <v>Unknown</v>
      </c>
      <c r="E2168" s="8" t="str">
        <f ca="1">IFERROR(__xludf.DUMMYFUNCTION("""COMPUTED_VALUE"""),"Fled/Escaped")</f>
        <v>Fled/Escaped</v>
      </c>
      <c r="F2168" s="8" t="str">
        <f ca="1">IFERROR(__xludf.DUMMYFUNCTION("""COMPUTED_VALUE"""),"No")</f>
        <v>No</v>
      </c>
      <c r="G2168" s="8" t="str">
        <f ca="1">IFERROR(__xludf.DUMMYFUNCTION("""COMPUTED_VALUE"""),"None")</f>
        <v>None</v>
      </c>
    </row>
    <row r="2169" spans="1:7" ht="12.75">
      <c r="A2169" s="8" t="str">
        <f ca="1">IFERROR(__xludf.DUMMYFUNCTION("""COMPUTED_VALUE"""),"19830331ILSAC")</f>
        <v>19830331ILSAC</v>
      </c>
      <c r="B2169" s="8">
        <f ca="1">IFERROR(__xludf.DUMMYFUNCTION("""COMPUTED_VALUE"""),11)</f>
        <v>11</v>
      </c>
      <c r="C2169" s="8" t="str">
        <f ca="1">IFERROR(__xludf.DUMMYFUNCTION("""COMPUTED_VALUE"""),"Male")</f>
        <v>Male</v>
      </c>
      <c r="D2169" s="8" t="str">
        <f ca="1">IFERROR(__xludf.DUMMYFUNCTION("""COMPUTED_VALUE"""),"Student")</f>
        <v>Student</v>
      </c>
      <c r="E2169" s="8" t="str">
        <f ca="1">IFERROR(__xludf.DUMMYFUNCTION("""COMPUTED_VALUE"""),"Surrendered")</f>
        <v>Surrendered</v>
      </c>
      <c r="F2169" s="8" t="str">
        <f ca="1">IFERROR(__xludf.DUMMYFUNCTION("""COMPUTED_VALUE"""),"No")</f>
        <v>No</v>
      </c>
      <c r="G2169" s="8" t="str">
        <f ca="1">IFERROR(__xludf.DUMMYFUNCTION("""COMPUTED_VALUE"""),"None")</f>
        <v>None</v>
      </c>
    </row>
    <row r="2170" spans="1:7" ht="12.75">
      <c r="A2170" s="8" t="str">
        <f ca="1">IFERROR(__xludf.DUMMYFUNCTION("""COMPUTED_VALUE"""),"19830202NMALA")</f>
        <v>19830202NMALA</v>
      </c>
      <c r="B2170" s="8"/>
      <c r="C2170" s="8" t="str">
        <f ca="1">IFERROR(__xludf.DUMMYFUNCTION("""COMPUTED_VALUE"""),"Male")</f>
        <v>Male</v>
      </c>
      <c r="D2170" s="8" t="str">
        <f ca="1">IFERROR(__xludf.DUMMYFUNCTION("""COMPUTED_VALUE"""),"Unknown")</f>
        <v>Unknown</v>
      </c>
      <c r="E2170" s="8" t="str">
        <f ca="1">IFERROR(__xludf.DUMMYFUNCTION("""COMPUTED_VALUE"""),"Fled/Escaped")</f>
        <v>Fled/Escaped</v>
      </c>
      <c r="F2170" s="8" t="str">
        <f ca="1">IFERROR(__xludf.DUMMYFUNCTION("""COMPUTED_VALUE"""),"No")</f>
        <v>No</v>
      </c>
      <c r="G2170" s="8" t="str">
        <f ca="1">IFERROR(__xludf.DUMMYFUNCTION("""COMPUTED_VALUE"""),"None")</f>
        <v>None</v>
      </c>
    </row>
    <row r="2171" spans="1:7" ht="12.75">
      <c r="A2171" s="8" t="str">
        <f ca="1">IFERROR(__xludf.DUMMYFUNCTION("""COMPUTED_VALUE"""),"19830201TNRIM")</f>
        <v>19830201TNRIM</v>
      </c>
      <c r="B2171" s="8">
        <f ca="1">IFERROR(__xludf.DUMMYFUNCTION("""COMPUTED_VALUE"""),16)</f>
        <v>16</v>
      </c>
      <c r="C2171" s="8" t="str">
        <f ca="1">IFERROR(__xludf.DUMMYFUNCTION("""COMPUTED_VALUE"""),"Male")</f>
        <v>Male</v>
      </c>
      <c r="D2171" s="8" t="str">
        <f ca="1">IFERROR(__xludf.DUMMYFUNCTION("""COMPUTED_VALUE"""),"Student")</f>
        <v>Student</v>
      </c>
      <c r="E2171" s="8" t="str">
        <f ca="1">IFERROR(__xludf.DUMMYFUNCTION("""COMPUTED_VALUE"""),"Surrendered")</f>
        <v>Surrendered</v>
      </c>
      <c r="F2171" s="8" t="str">
        <f ca="1">IFERROR(__xludf.DUMMYFUNCTION("""COMPUTED_VALUE"""),"No")</f>
        <v>No</v>
      </c>
      <c r="G2171" s="8" t="str">
        <f ca="1">IFERROR(__xludf.DUMMYFUNCTION("""COMPUTED_VALUE"""),"Wounded")</f>
        <v>Wounded</v>
      </c>
    </row>
    <row r="2172" spans="1:7" ht="12.75">
      <c r="A2172" s="8" t="str">
        <f ca="1">IFERROR(__xludf.DUMMYFUNCTION("""COMPUTED_VALUE"""),"19830131FLDED")</f>
        <v>19830131FLDED</v>
      </c>
      <c r="B2172" s="8">
        <f ca="1">IFERROR(__xludf.DUMMYFUNCTION("""COMPUTED_VALUE"""),16)</f>
        <v>16</v>
      </c>
      <c r="C2172" s="8" t="str">
        <f ca="1">IFERROR(__xludf.DUMMYFUNCTION("""COMPUTED_VALUE"""),"Female")</f>
        <v>Female</v>
      </c>
      <c r="D2172" s="8" t="str">
        <f ca="1">IFERROR(__xludf.DUMMYFUNCTION("""COMPUTED_VALUE"""),"Student")</f>
        <v>Student</v>
      </c>
      <c r="E2172" s="8" t="str">
        <f ca="1">IFERROR(__xludf.DUMMYFUNCTION("""COMPUTED_VALUE"""),"Attempted Suicide")</f>
        <v>Attempted Suicide</v>
      </c>
      <c r="F2172" s="8" t="str">
        <f ca="1">IFERROR(__xludf.DUMMYFUNCTION("""COMPUTED_VALUE"""),"No")</f>
        <v>No</v>
      </c>
      <c r="G2172" s="8" t="str">
        <f ca="1">IFERROR(__xludf.DUMMYFUNCTION("""COMPUTED_VALUE"""),"Wounded")</f>
        <v>Wounded</v>
      </c>
    </row>
    <row r="2173" spans="1:7" ht="12.75">
      <c r="A2173" s="8" t="str">
        <f ca="1">IFERROR(__xludf.DUMMYFUNCTION("""COMPUTED_VALUE"""),"19830130TXWEC")</f>
        <v>19830130TXWEC</v>
      </c>
      <c r="B2173" s="8"/>
      <c r="C2173" s="8" t="str">
        <f ca="1">IFERROR(__xludf.DUMMYFUNCTION("""COMPUTED_VALUE"""),"Male")</f>
        <v>Male</v>
      </c>
      <c r="D2173" s="8" t="str">
        <f ca="1">IFERROR(__xludf.DUMMYFUNCTION("""COMPUTED_VALUE"""),"Unknown")</f>
        <v>Unknown</v>
      </c>
      <c r="E2173" s="8" t="str">
        <f ca="1">IFERROR(__xludf.DUMMYFUNCTION("""COMPUTED_VALUE"""),"Fled/Apprehended")</f>
        <v>Fled/Apprehended</v>
      </c>
      <c r="F2173" s="8" t="str">
        <f ca="1">IFERROR(__xludf.DUMMYFUNCTION("""COMPUTED_VALUE"""),"No")</f>
        <v>No</v>
      </c>
      <c r="G2173" s="8" t="str">
        <f ca="1">IFERROR(__xludf.DUMMYFUNCTION("""COMPUTED_VALUE"""),"None")</f>
        <v>None</v>
      </c>
    </row>
    <row r="2174" spans="1:7" ht="12.75">
      <c r="A2174" s="8" t="str">
        <f ca="1">IFERROR(__xludf.DUMMYFUNCTION("""COMPUTED_VALUE"""),"19830128MDWIB")</f>
        <v>19830128MDWIB</v>
      </c>
      <c r="B2174" s="8">
        <f ca="1">IFERROR(__xludf.DUMMYFUNCTION("""COMPUTED_VALUE"""),14)</f>
        <v>14</v>
      </c>
      <c r="C2174" s="8" t="str">
        <f ca="1">IFERROR(__xludf.DUMMYFUNCTION("""COMPUTED_VALUE"""),"Male")</f>
        <v>Male</v>
      </c>
      <c r="D2174" s="8" t="str">
        <f ca="1">IFERROR(__xludf.DUMMYFUNCTION("""COMPUTED_VALUE"""),"Student")</f>
        <v>Student</v>
      </c>
      <c r="E2174" s="8" t="str">
        <f ca="1">IFERROR(__xludf.DUMMYFUNCTION("""COMPUTED_VALUE"""),"Surrendered")</f>
        <v>Surrendered</v>
      </c>
      <c r="F2174" s="8" t="str">
        <f ca="1">IFERROR(__xludf.DUMMYFUNCTION("""COMPUTED_VALUE"""),"No")</f>
        <v>No</v>
      </c>
      <c r="G2174" s="8" t="str">
        <f ca="1">IFERROR(__xludf.DUMMYFUNCTION("""COMPUTED_VALUE"""),"Wounded")</f>
        <v>Wounded</v>
      </c>
    </row>
    <row r="2175" spans="1:7" ht="12.75">
      <c r="A2175" s="8" t="str">
        <f ca="1">IFERROR(__xludf.DUMMYFUNCTION("""COMPUTED_VALUE"""),"19830120MOPAB")</f>
        <v>19830120MOPAB</v>
      </c>
      <c r="B2175" s="8">
        <f ca="1">IFERROR(__xludf.DUMMYFUNCTION("""COMPUTED_VALUE"""),14)</f>
        <v>14</v>
      </c>
      <c r="C2175" s="8" t="str">
        <f ca="1">IFERROR(__xludf.DUMMYFUNCTION("""COMPUTED_VALUE"""),"Male")</f>
        <v>Male</v>
      </c>
      <c r="D2175" s="8" t="str">
        <f ca="1">IFERROR(__xludf.DUMMYFUNCTION("""COMPUTED_VALUE"""),"Student")</f>
        <v>Student</v>
      </c>
      <c r="E2175" s="8" t="str">
        <f ca="1">IFERROR(__xludf.DUMMYFUNCTION("""COMPUTED_VALUE"""),"Suicide")</f>
        <v>Suicide</v>
      </c>
      <c r="F2175" s="8" t="str">
        <f ca="1">IFERROR(__xludf.DUMMYFUNCTION("""COMPUTED_VALUE"""),"Yes")</f>
        <v>Yes</v>
      </c>
      <c r="G2175" s="8" t="str">
        <f ca="1">IFERROR(__xludf.DUMMYFUNCTION("""COMPUTED_VALUE"""),"Suicide")</f>
        <v>Suicide</v>
      </c>
    </row>
    <row r="2176" spans="1:7" ht="12.75">
      <c r="A2176" s="8" t="str">
        <f ca="1">IFERROR(__xludf.DUMMYFUNCTION("""COMPUTED_VALUE"""),"19830118TXJOH")</f>
        <v>19830118TXJOH</v>
      </c>
      <c r="B2176" s="8">
        <f ca="1">IFERROR(__xludf.DUMMYFUNCTION("""COMPUTED_VALUE"""),21)</f>
        <v>21</v>
      </c>
      <c r="C2176" s="8" t="str">
        <f ca="1">IFERROR(__xludf.DUMMYFUNCTION("""COMPUTED_VALUE"""),"Male")</f>
        <v>Male</v>
      </c>
      <c r="D2176" s="8" t="str">
        <f ca="1">IFERROR(__xludf.DUMMYFUNCTION("""COMPUTED_VALUE"""),"Student")</f>
        <v>Student</v>
      </c>
      <c r="E2176" s="8" t="str">
        <f ca="1">IFERROR(__xludf.DUMMYFUNCTION("""COMPUTED_VALUE"""),"Suicide")</f>
        <v>Suicide</v>
      </c>
      <c r="F2176" s="8" t="str">
        <f ca="1">IFERROR(__xludf.DUMMYFUNCTION("""COMPUTED_VALUE"""),"Yes")</f>
        <v>Yes</v>
      </c>
      <c r="G2176" s="8" t="str">
        <f ca="1">IFERROR(__xludf.DUMMYFUNCTION("""COMPUTED_VALUE"""),"Suicide")</f>
        <v>Suicide</v>
      </c>
    </row>
    <row r="2177" spans="1:7" ht="12.75">
      <c r="A2177" s="8" t="str">
        <f ca="1">IFERROR(__xludf.DUMMYFUNCTION("""COMPUTED_VALUE"""),"19821220MIFID")</f>
        <v>19821220MIFID</v>
      </c>
      <c r="B2177" s="8" t="str">
        <f ca="1">IFERROR(__xludf.DUMMYFUNCTION("""COMPUTED_VALUE"""),"Adult")</f>
        <v>Adult</v>
      </c>
      <c r="C2177" s="8" t="str">
        <f ca="1">IFERROR(__xludf.DUMMYFUNCTION("""COMPUTED_VALUE"""),"Male")</f>
        <v>Male</v>
      </c>
      <c r="D2177" s="8" t="str">
        <f ca="1">IFERROR(__xludf.DUMMYFUNCTION("""COMPUTED_VALUE"""),"Unknown")</f>
        <v>Unknown</v>
      </c>
      <c r="E2177" s="8" t="str">
        <f ca="1">IFERROR(__xludf.DUMMYFUNCTION("""COMPUTED_VALUE"""),"Fled/Escaped")</f>
        <v>Fled/Escaped</v>
      </c>
      <c r="F2177" s="8" t="str">
        <f ca="1">IFERROR(__xludf.DUMMYFUNCTION("""COMPUTED_VALUE"""),"No")</f>
        <v>No</v>
      </c>
      <c r="G2177" s="8" t="str">
        <f ca="1">IFERROR(__xludf.DUMMYFUNCTION("""COMPUTED_VALUE"""),"None")</f>
        <v>None</v>
      </c>
    </row>
    <row r="2178" spans="1:7" ht="12.75">
      <c r="A2178" s="8" t="str">
        <f ca="1">IFERROR(__xludf.DUMMYFUNCTION("""COMPUTED_VALUE"""),"19821206ALHUH")</f>
        <v>19821206ALHUH</v>
      </c>
      <c r="B2178" s="8">
        <f ca="1">IFERROR(__xludf.DUMMYFUNCTION("""COMPUTED_VALUE"""),17)</f>
        <v>17</v>
      </c>
      <c r="C2178" s="8" t="str">
        <f ca="1">IFERROR(__xludf.DUMMYFUNCTION("""COMPUTED_VALUE"""),"Male")</f>
        <v>Male</v>
      </c>
      <c r="D2178" s="8" t="str">
        <f ca="1">IFERROR(__xludf.DUMMYFUNCTION("""COMPUTED_VALUE"""),"Student")</f>
        <v>Student</v>
      </c>
      <c r="E2178" s="8" t="str">
        <f ca="1">IFERROR(__xludf.DUMMYFUNCTION("""COMPUTED_VALUE"""),"Suicide")</f>
        <v>Suicide</v>
      </c>
      <c r="F2178" s="8" t="str">
        <f ca="1">IFERROR(__xludf.DUMMYFUNCTION("""COMPUTED_VALUE"""),"Yes")</f>
        <v>Yes</v>
      </c>
      <c r="G2178" s="8" t="str">
        <f ca="1">IFERROR(__xludf.DUMMYFUNCTION("""COMPUTED_VALUE"""),"Suicide")</f>
        <v>Suicide</v>
      </c>
    </row>
    <row r="2179" spans="1:7" ht="12.75">
      <c r="A2179" s="8" t="str">
        <f ca="1">IFERROR(__xludf.DUMMYFUNCTION("""COMPUTED_VALUE"""),"19821112MSWIJ")</f>
        <v>19821112MSWIJ</v>
      </c>
      <c r="B2179" s="8">
        <f ca="1">IFERROR(__xludf.DUMMYFUNCTION("""COMPUTED_VALUE"""),20)</f>
        <v>20</v>
      </c>
      <c r="C2179" s="8" t="str">
        <f ca="1">IFERROR(__xludf.DUMMYFUNCTION("""COMPUTED_VALUE"""),"Male")</f>
        <v>Male</v>
      </c>
      <c r="D2179" s="8" t="str">
        <f ca="1">IFERROR(__xludf.DUMMYFUNCTION("""COMPUTED_VALUE"""),"Intimate Relationship")</f>
        <v>Intimate Relationship</v>
      </c>
      <c r="E2179" s="8" t="str">
        <f ca="1">IFERROR(__xludf.DUMMYFUNCTION("""COMPUTED_VALUE"""),"Suicide")</f>
        <v>Suicide</v>
      </c>
      <c r="F2179" s="8" t="str">
        <f ca="1">IFERROR(__xludf.DUMMYFUNCTION("""COMPUTED_VALUE"""),"Yes")</f>
        <v>Yes</v>
      </c>
      <c r="G2179" s="8" t="str">
        <f ca="1">IFERROR(__xludf.DUMMYFUNCTION("""COMPUTED_VALUE"""),"Suicide")</f>
        <v>Suicide</v>
      </c>
    </row>
    <row r="2180" spans="1:7" ht="12.75">
      <c r="A2180" s="8" t="str">
        <f ca="1">IFERROR(__xludf.DUMMYFUNCTION("""COMPUTED_VALUE"""),"19821108MICOD")</f>
        <v>19821108MICOD</v>
      </c>
      <c r="B2180" s="8">
        <f ca="1">IFERROR(__xludf.DUMMYFUNCTION("""COMPUTED_VALUE"""),15)</f>
        <v>15</v>
      </c>
      <c r="C2180" s="8" t="str">
        <f ca="1">IFERROR(__xludf.DUMMYFUNCTION("""COMPUTED_VALUE"""),"Male")</f>
        <v>Male</v>
      </c>
      <c r="D2180" s="8" t="str">
        <f ca="1">IFERROR(__xludf.DUMMYFUNCTION("""COMPUTED_VALUE"""),"Student")</f>
        <v>Student</v>
      </c>
      <c r="E2180" s="8" t="str">
        <f ca="1">IFERROR(__xludf.DUMMYFUNCTION("""COMPUTED_VALUE"""),"Surrendered")</f>
        <v>Surrendered</v>
      </c>
      <c r="F2180" s="8" t="str">
        <f ca="1">IFERROR(__xludf.DUMMYFUNCTION("""COMPUTED_VALUE"""),"No")</f>
        <v>No</v>
      </c>
      <c r="G2180" s="8" t="str">
        <f ca="1">IFERROR(__xludf.DUMMYFUNCTION("""COMPUTED_VALUE"""),"None")</f>
        <v>None</v>
      </c>
    </row>
    <row r="2181" spans="1:7" ht="12.75">
      <c r="A2181" s="8" t="str">
        <f ca="1">IFERROR(__xludf.DUMMYFUNCTION("""COMPUTED_VALUE"""),"19821101NYELE")</f>
        <v>19821101NYELE</v>
      </c>
      <c r="B2181" s="8">
        <f ca="1">IFERROR(__xludf.DUMMYFUNCTION("""COMPUTED_VALUE"""),16)</f>
        <v>16</v>
      </c>
      <c r="C2181" s="8" t="str">
        <f ca="1">IFERROR(__xludf.DUMMYFUNCTION("""COMPUTED_VALUE"""),"Male")</f>
        <v>Male</v>
      </c>
      <c r="D2181" s="8" t="str">
        <f ca="1">IFERROR(__xludf.DUMMYFUNCTION("""COMPUTED_VALUE"""),"Student")</f>
        <v>Student</v>
      </c>
      <c r="E2181" s="8" t="str">
        <f ca="1">IFERROR(__xludf.DUMMYFUNCTION("""COMPUTED_VALUE"""),"Fled/Escaped")</f>
        <v>Fled/Escaped</v>
      </c>
      <c r="F2181" s="8" t="str">
        <f ca="1">IFERROR(__xludf.DUMMYFUNCTION("""COMPUTED_VALUE"""),"No")</f>
        <v>No</v>
      </c>
      <c r="G2181" s="8" t="str">
        <f ca="1">IFERROR(__xludf.DUMMYFUNCTION("""COMPUTED_VALUE"""),"None")</f>
        <v>None</v>
      </c>
    </row>
    <row r="2182" spans="1:7" ht="12.75">
      <c r="A2182" s="8" t="str">
        <f ca="1">IFERROR(__xludf.DUMMYFUNCTION("""COMPUTED_VALUE"""),"19820915ARSOP")</f>
        <v>19820915ARSOP</v>
      </c>
      <c r="B2182" s="8">
        <f ca="1">IFERROR(__xludf.DUMMYFUNCTION("""COMPUTED_VALUE"""),12)</f>
        <v>12</v>
      </c>
      <c r="C2182" s="8" t="str">
        <f ca="1">IFERROR(__xludf.DUMMYFUNCTION("""COMPUTED_VALUE"""),"Male")</f>
        <v>Male</v>
      </c>
      <c r="D2182" s="8" t="str">
        <f ca="1">IFERROR(__xludf.DUMMYFUNCTION("""COMPUTED_VALUE"""),"Student")</f>
        <v>Student</v>
      </c>
      <c r="E2182" s="8" t="str">
        <f ca="1">IFERROR(__xludf.DUMMYFUNCTION("""COMPUTED_VALUE"""),"Attempted Suicide")</f>
        <v>Attempted Suicide</v>
      </c>
      <c r="F2182" s="8" t="str">
        <f ca="1">IFERROR(__xludf.DUMMYFUNCTION("""COMPUTED_VALUE"""),"No")</f>
        <v>No</v>
      </c>
      <c r="G2182" s="8" t="str">
        <f ca="1">IFERROR(__xludf.DUMMYFUNCTION("""COMPUTED_VALUE"""),"Wounded")</f>
        <v>Wounded</v>
      </c>
    </row>
    <row r="2183" spans="1:7" ht="12.75">
      <c r="A2183" s="8" t="str">
        <f ca="1">IFERROR(__xludf.DUMMYFUNCTION("""COMPUTED_VALUE"""),"19820910VALAB")</f>
        <v>19820910VALAB</v>
      </c>
      <c r="B2183" s="8">
        <f ca="1">IFERROR(__xludf.DUMMYFUNCTION("""COMPUTED_VALUE"""),18)</f>
        <v>18</v>
      </c>
      <c r="C2183" s="8" t="str">
        <f ca="1">IFERROR(__xludf.DUMMYFUNCTION("""COMPUTED_VALUE"""),"Male")</f>
        <v>Male</v>
      </c>
      <c r="D2183" s="8" t="str">
        <f ca="1">IFERROR(__xludf.DUMMYFUNCTION("""COMPUTED_VALUE"""),"Former Student")</f>
        <v>Former Student</v>
      </c>
      <c r="E2183" s="8" t="str">
        <f ca="1">IFERROR(__xludf.DUMMYFUNCTION("""COMPUTED_VALUE"""),"Surrendered")</f>
        <v>Surrendered</v>
      </c>
      <c r="F2183" s="8" t="str">
        <f ca="1">IFERROR(__xludf.DUMMYFUNCTION("""COMPUTED_VALUE"""),"No")</f>
        <v>No</v>
      </c>
      <c r="G2183" s="8" t="str">
        <f ca="1">IFERROR(__xludf.DUMMYFUNCTION("""COMPUTED_VALUE"""),"None")</f>
        <v>None</v>
      </c>
    </row>
    <row r="2184" spans="1:7" ht="12.75">
      <c r="A2184" s="8" t="str">
        <f ca="1">IFERROR(__xludf.DUMMYFUNCTION("""COMPUTED_VALUE"""),"19820527NVGAL")</f>
        <v>19820527NVGAL</v>
      </c>
      <c r="B2184" s="8" t="str">
        <f ca="1">IFERROR(__xludf.DUMMYFUNCTION("""COMPUTED_VALUE"""),"Teen")</f>
        <v>Teen</v>
      </c>
      <c r="C2184" s="8" t="str">
        <f ca="1">IFERROR(__xludf.DUMMYFUNCTION("""COMPUTED_VALUE"""),"Male")</f>
        <v>Male</v>
      </c>
      <c r="D2184" s="8" t="str">
        <f ca="1">IFERROR(__xludf.DUMMYFUNCTION("""COMPUTED_VALUE"""),"Unknown")</f>
        <v>Unknown</v>
      </c>
      <c r="E2184" s="8" t="str">
        <f ca="1">IFERROR(__xludf.DUMMYFUNCTION("""COMPUTED_VALUE"""),"Fled/Escaped")</f>
        <v>Fled/Escaped</v>
      </c>
      <c r="F2184" s="8" t="str">
        <f ca="1">IFERROR(__xludf.DUMMYFUNCTION("""COMPUTED_VALUE"""),"No")</f>
        <v>No</v>
      </c>
      <c r="G2184" s="8" t="str">
        <f ca="1">IFERROR(__xludf.DUMMYFUNCTION("""COMPUTED_VALUE"""),"None")</f>
        <v>None</v>
      </c>
    </row>
    <row r="2185" spans="1:7" ht="12.75">
      <c r="A2185" s="8" t="str">
        <f ca="1">IFERROR(__xludf.DUMMYFUNCTION("""COMPUTED_VALUE"""),"19820527NVGAL")</f>
        <v>19820527NVGAL</v>
      </c>
      <c r="B2185" s="8" t="str">
        <f ca="1">IFERROR(__xludf.DUMMYFUNCTION("""COMPUTED_VALUE"""),"Teen")</f>
        <v>Teen</v>
      </c>
      <c r="C2185" s="8" t="str">
        <f ca="1">IFERROR(__xludf.DUMMYFUNCTION("""COMPUTED_VALUE"""),"Male")</f>
        <v>Male</v>
      </c>
      <c r="D2185" s="8" t="str">
        <f ca="1">IFERROR(__xludf.DUMMYFUNCTION("""COMPUTED_VALUE"""),"Unknown")</f>
        <v>Unknown</v>
      </c>
      <c r="E2185" s="8" t="str">
        <f ca="1">IFERROR(__xludf.DUMMYFUNCTION("""COMPUTED_VALUE"""),"Fled/Escaped")</f>
        <v>Fled/Escaped</v>
      </c>
      <c r="F2185" s="8" t="str">
        <f ca="1">IFERROR(__xludf.DUMMYFUNCTION("""COMPUTED_VALUE"""),"No")</f>
        <v>No</v>
      </c>
      <c r="G2185" s="8" t="str">
        <f ca="1">IFERROR(__xludf.DUMMYFUNCTION("""COMPUTED_VALUE"""),"None")</f>
        <v>None</v>
      </c>
    </row>
    <row r="2186" spans="1:7" ht="12.75">
      <c r="A2186" s="8" t="str">
        <f ca="1">IFERROR(__xludf.DUMMYFUNCTION("""COMPUTED_VALUE"""),"19820527NVGAL")</f>
        <v>19820527NVGAL</v>
      </c>
      <c r="B2186" s="8" t="str">
        <f ca="1">IFERROR(__xludf.DUMMYFUNCTION("""COMPUTED_VALUE"""),"Teen")</f>
        <v>Teen</v>
      </c>
      <c r="C2186" s="8" t="str">
        <f ca="1">IFERROR(__xludf.DUMMYFUNCTION("""COMPUTED_VALUE"""),"Male")</f>
        <v>Male</v>
      </c>
      <c r="D2186" s="8" t="str">
        <f ca="1">IFERROR(__xludf.DUMMYFUNCTION("""COMPUTED_VALUE"""),"Unknown")</f>
        <v>Unknown</v>
      </c>
      <c r="E2186" s="8" t="str">
        <f ca="1">IFERROR(__xludf.DUMMYFUNCTION("""COMPUTED_VALUE"""),"Fled/Escaped")</f>
        <v>Fled/Escaped</v>
      </c>
      <c r="F2186" s="8" t="str">
        <f ca="1">IFERROR(__xludf.DUMMYFUNCTION("""COMPUTED_VALUE"""),"No")</f>
        <v>No</v>
      </c>
      <c r="G2186" s="8" t="str">
        <f ca="1">IFERROR(__xludf.DUMMYFUNCTION("""COMPUTED_VALUE"""),"None")</f>
        <v>None</v>
      </c>
    </row>
    <row r="2187" spans="1:7" ht="12.75">
      <c r="A2187" s="8" t="str">
        <f ca="1">IFERROR(__xludf.DUMMYFUNCTION("""COMPUTED_VALUE"""),"19820430FLANA")</f>
        <v>19820430FLANA</v>
      </c>
      <c r="B2187" s="8">
        <f ca="1">IFERROR(__xludf.DUMMYFUNCTION("""COMPUTED_VALUE"""),19)</f>
        <v>19</v>
      </c>
      <c r="C2187" s="8" t="str">
        <f ca="1">IFERROR(__xludf.DUMMYFUNCTION("""COMPUTED_VALUE"""),"Male")</f>
        <v>Male</v>
      </c>
      <c r="D2187" s="8" t="str">
        <f ca="1">IFERROR(__xludf.DUMMYFUNCTION("""COMPUTED_VALUE"""),"Student")</f>
        <v>Student</v>
      </c>
      <c r="E2187" s="8" t="str">
        <f ca="1">IFERROR(__xludf.DUMMYFUNCTION("""COMPUTED_VALUE"""),"Fled/Apprehended")</f>
        <v>Fled/Apprehended</v>
      </c>
      <c r="F2187" s="8" t="str">
        <f ca="1">IFERROR(__xludf.DUMMYFUNCTION("""COMPUTED_VALUE"""),"No")</f>
        <v>No</v>
      </c>
      <c r="G2187" s="8" t="str">
        <f ca="1">IFERROR(__xludf.DUMMYFUNCTION("""COMPUTED_VALUE"""),"None")</f>
        <v>None</v>
      </c>
    </row>
    <row r="2188" spans="1:7" ht="12.75">
      <c r="A2188" s="8" t="str">
        <f ca="1">IFERROR(__xludf.DUMMYFUNCTION("""COMPUTED_VALUE"""),"19820429GARUE")</f>
        <v>19820429GARUE</v>
      </c>
      <c r="B2188" s="8">
        <f ca="1">IFERROR(__xludf.DUMMYFUNCTION("""COMPUTED_VALUE"""),16)</f>
        <v>16</v>
      </c>
      <c r="C2188" s="8" t="str">
        <f ca="1">IFERROR(__xludf.DUMMYFUNCTION("""COMPUTED_VALUE"""),"Male")</f>
        <v>Male</v>
      </c>
      <c r="D2188" s="8" t="str">
        <f ca="1">IFERROR(__xludf.DUMMYFUNCTION("""COMPUTED_VALUE"""),"Student")</f>
        <v>Student</v>
      </c>
      <c r="E2188" s="8" t="str">
        <f ca="1">IFERROR(__xludf.DUMMYFUNCTION("""COMPUTED_VALUE"""),"Surrendered")</f>
        <v>Surrendered</v>
      </c>
      <c r="F2188" s="8" t="str">
        <f ca="1">IFERROR(__xludf.DUMMYFUNCTION("""COMPUTED_VALUE"""),"No")</f>
        <v>No</v>
      </c>
      <c r="G2188" s="8" t="str">
        <f ca="1">IFERROR(__xludf.DUMMYFUNCTION("""COMPUTED_VALUE"""),"Wounded")</f>
        <v>Wounded</v>
      </c>
    </row>
    <row r="2189" spans="1:7" ht="12.75">
      <c r="A2189" s="8" t="str">
        <f ca="1">IFERROR(__xludf.DUMMYFUNCTION("""COMPUTED_VALUE"""),"19820415MDFOB")</f>
        <v>19820415MDFOB</v>
      </c>
      <c r="B2189" s="8" t="str">
        <f ca="1">IFERROR(__xludf.DUMMYFUNCTION("""COMPUTED_VALUE"""),"Teen")</f>
        <v>Teen</v>
      </c>
      <c r="C2189" s="8" t="str">
        <f ca="1">IFERROR(__xludf.DUMMYFUNCTION("""COMPUTED_VALUE"""),"Male")</f>
        <v>Male</v>
      </c>
      <c r="D2189" s="8" t="str">
        <f ca="1">IFERROR(__xludf.DUMMYFUNCTION("""COMPUTED_VALUE"""),"Unknown")</f>
        <v>Unknown</v>
      </c>
      <c r="E2189" s="8" t="str">
        <f ca="1">IFERROR(__xludf.DUMMYFUNCTION("""COMPUTED_VALUE"""),"Fled/Apprehended")</f>
        <v>Fled/Apprehended</v>
      </c>
      <c r="F2189" s="8" t="str">
        <f ca="1">IFERROR(__xludf.DUMMYFUNCTION("""COMPUTED_VALUE"""),"No")</f>
        <v>No</v>
      </c>
      <c r="G2189" s="8" t="str">
        <f ca="1">IFERROR(__xludf.DUMMYFUNCTION("""COMPUTED_VALUE"""),"None")</f>
        <v>None</v>
      </c>
    </row>
    <row r="2190" spans="1:7" ht="12.75">
      <c r="A2190" s="8" t="str">
        <f ca="1">IFERROR(__xludf.DUMMYFUNCTION("""COMPUTED_VALUE"""),"19820407CODEL")</f>
        <v>19820407CODEL</v>
      </c>
      <c r="B2190" s="8">
        <f ca="1">IFERROR(__xludf.DUMMYFUNCTION("""COMPUTED_VALUE"""),14)</f>
        <v>14</v>
      </c>
      <c r="C2190" s="8" t="str">
        <f ca="1">IFERROR(__xludf.DUMMYFUNCTION("""COMPUTED_VALUE"""),"Male")</f>
        <v>Male</v>
      </c>
      <c r="D2190" s="8" t="str">
        <f ca="1">IFERROR(__xludf.DUMMYFUNCTION("""COMPUTED_VALUE"""),"Student")</f>
        <v>Student</v>
      </c>
      <c r="E2190" s="8" t="str">
        <f ca="1">IFERROR(__xludf.DUMMYFUNCTION("""COMPUTED_VALUE"""),"Unknown")</f>
        <v>Unknown</v>
      </c>
      <c r="F2190" s="8" t="str">
        <f ca="1">IFERROR(__xludf.DUMMYFUNCTION("""COMPUTED_VALUE"""),"No")</f>
        <v>No</v>
      </c>
      <c r="G2190" s="8" t="str">
        <f ca="1">IFERROR(__xludf.DUMMYFUNCTION("""COMPUTED_VALUE"""),"None")</f>
        <v>None</v>
      </c>
    </row>
    <row r="2191" spans="1:7" ht="12.75">
      <c r="A2191" s="8" t="str">
        <f ca="1">IFERROR(__xludf.DUMMYFUNCTION("""COMPUTED_VALUE"""),"19820319NVVAL")</f>
        <v>19820319NVVAL</v>
      </c>
      <c r="B2191" s="8">
        <f ca="1">IFERROR(__xludf.DUMMYFUNCTION("""COMPUTED_VALUE"""),17)</f>
        <v>17</v>
      </c>
      <c r="C2191" s="8" t="str">
        <f ca="1">IFERROR(__xludf.DUMMYFUNCTION("""COMPUTED_VALUE"""),"Male")</f>
        <v>Male</v>
      </c>
      <c r="D2191" s="8" t="str">
        <f ca="1">IFERROR(__xludf.DUMMYFUNCTION("""COMPUTED_VALUE"""),"Student")</f>
        <v>Student</v>
      </c>
      <c r="E2191" s="8" t="str">
        <f ca="1">IFERROR(__xludf.DUMMYFUNCTION("""COMPUTED_VALUE"""),"Fled/Apprehended")</f>
        <v>Fled/Apprehended</v>
      </c>
      <c r="F2191" s="8" t="str">
        <f ca="1">IFERROR(__xludf.DUMMYFUNCTION("""COMPUTED_VALUE"""),"No")</f>
        <v>No</v>
      </c>
      <c r="G2191" s="8" t="str">
        <f ca="1">IFERROR(__xludf.DUMMYFUNCTION("""COMPUTED_VALUE"""),"None")</f>
        <v>None</v>
      </c>
    </row>
    <row r="2192" spans="1:7" ht="12.75">
      <c r="A2192" s="8" t="str">
        <f ca="1">IFERROR(__xludf.DUMMYFUNCTION("""COMPUTED_VALUE"""),"19820317OHLOL")</f>
        <v>19820317OHLOL</v>
      </c>
      <c r="B2192" s="8">
        <f ca="1">IFERROR(__xludf.DUMMYFUNCTION("""COMPUTED_VALUE"""),17)</f>
        <v>17</v>
      </c>
      <c r="C2192" s="8" t="str">
        <f ca="1">IFERROR(__xludf.DUMMYFUNCTION("""COMPUTED_VALUE"""),"Male")</f>
        <v>Male</v>
      </c>
      <c r="D2192" s="8" t="str">
        <f ca="1">IFERROR(__xludf.DUMMYFUNCTION("""COMPUTED_VALUE"""),"Student")</f>
        <v>Student</v>
      </c>
      <c r="E2192" s="8" t="str">
        <f ca="1">IFERROR(__xludf.DUMMYFUNCTION("""COMPUTED_VALUE"""),"Attempted Suicide")</f>
        <v>Attempted Suicide</v>
      </c>
      <c r="F2192" s="8" t="str">
        <f ca="1">IFERROR(__xludf.DUMMYFUNCTION("""COMPUTED_VALUE"""),"No")</f>
        <v>No</v>
      </c>
      <c r="G2192" s="8" t="str">
        <f ca="1">IFERROR(__xludf.DUMMYFUNCTION("""COMPUTED_VALUE"""),"Wounded")</f>
        <v>Wounded</v>
      </c>
    </row>
    <row r="2193" spans="1:7" ht="12.75">
      <c r="A2193" s="8" t="str">
        <f ca="1">IFERROR(__xludf.DUMMYFUNCTION("""COMPUTED_VALUE"""),"19820315ORSPS")</f>
        <v>19820315ORSPS</v>
      </c>
      <c r="B2193" s="8">
        <f ca="1">IFERROR(__xludf.DUMMYFUNCTION("""COMPUTED_VALUE"""),14)</f>
        <v>14</v>
      </c>
      <c r="C2193" s="8" t="str">
        <f ca="1">IFERROR(__xludf.DUMMYFUNCTION("""COMPUTED_VALUE"""),"Male")</f>
        <v>Male</v>
      </c>
      <c r="D2193" s="8" t="str">
        <f ca="1">IFERROR(__xludf.DUMMYFUNCTION("""COMPUTED_VALUE"""),"Student")</f>
        <v>Student</v>
      </c>
      <c r="E2193" s="8" t="str">
        <f ca="1">IFERROR(__xludf.DUMMYFUNCTION("""COMPUTED_VALUE"""),"Suicide")</f>
        <v>Suicide</v>
      </c>
      <c r="F2193" s="8" t="str">
        <f ca="1">IFERROR(__xludf.DUMMYFUNCTION("""COMPUTED_VALUE"""),"Yes")</f>
        <v>Yes</v>
      </c>
      <c r="G2193" s="8" t="str">
        <f ca="1">IFERROR(__xludf.DUMMYFUNCTION("""COMPUTED_VALUE"""),"Suicide")</f>
        <v>Suicide</v>
      </c>
    </row>
    <row r="2194" spans="1:7" ht="12.75">
      <c r="A2194" s="8" t="str">
        <f ca="1">IFERROR(__xludf.DUMMYFUNCTION("""COMPUTED_VALUE"""),"19820209LAJON")</f>
        <v>19820209LAJON</v>
      </c>
      <c r="B2194" s="8">
        <f ca="1">IFERROR(__xludf.DUMMYFUNCTION("""COMPUTED_VALUE"""),16)</f>
        <v>16</v>
      </c>
      <c r="C2194" s="8" t="str">
        <f ca="1">IFERROR(__xludf.DUMMYFUNCTION("""COMPUTED_VALUE"""),"Male")</f>
        <v>Male</v>
      </c>
      <c r="D2194" s="8" t="str">
        <f ca="1">IFERROR(__xludf.DUMMYFUNCTION("""COMPUTED_VALUE"""),"Former Student")</f>
        <v>Former Student</v>
      </c>
      <c r="E2194" s="8" t="str">
        <f ca="1">IFERROR(__xludf.DUMMYFUNCTION("""COMPUTED_VALUE"""),"Fled/Apprehended")</f>
        <v>Fled/Apprehended</v>
      </c>
      <c r="F2194" s="8" t="str">
        <f ca="1">IFERROR(__xludf.DUMMYFUNCTION("""COMPUTED_VALUE"""),"No")</f>
        <v>No</v>
      </c>
      <c r="G2194" s="8" t="str">
        <f ca="1">IFERROR(__xludf.DUMMYFUNCTION("""COMPUTED_VALUE"""),"Wounded")</f>
        <v>Wounded</v>
      </c>
    </row>
    <row r="2195" spans="1:7" ht="12.75">
      <c r="A2195" s="8" t="str">
        <f ca="1">IFERROR(__xludf.DUMMYFUNCTION("""COMPUTED_VALUE"""),"19820209LAJON")</f>
        <v>19820209LAJON</v>
      </c>
      <c r="B2195" s="8">
        <f ca="1">IFERROR(__xludf.DUMMYFUNCTION("""COMPUTED_VALUE"""),15)</f>
        <v>15</v>
      </c>
      <c r="C2195" s="8" t="str">
        <f ca="1">IFERROR(__xludf.DUMMYFUNCTION("""COMPUTED_VALUE"""),"Male")</f>
        <v>Male</v>
      </c>
      <c r="D2195" s="8" t="str">
        <f ca="1">IFERROR(__xludf.DUMMYFUNCTION("""COMPUTED_VALUE"""),"Former Student")</f>
        <v>Former Student</v>
      </c>
      <c r="E2195" s="8" t="str">
        <f ca="1">IFERROR(__xludf.DUMMYFUNCTION("""COMPUTED_VALUE"""),"Fled/Apprehended")</f>
        <v>Fled/Apprehended</v>
      </c>
      <c r="F2195" s="8" t="str">
        <f ca="1">IFERROR(__xludf.DUMMYFUNCTION("""COMPUTED_VALUE"""),"No")</f>
        <v>No</v>
      </c>
      <c r="G2195" s="8" t="str">
        <f ca="1">IFERROR(__xludf.DUMMYFUNCTION("""COMPUTED_VALUE"""),"Wounded")</f>
        <v>Wounded</v>
      </c>
    </row>
    <row r="2196" spans="1:7" ht="12.75">
      <c r="A2196" s="8" t="str">
        <f ca="1">IFERROR(__xludf.DUMMYFUNCTION("""COMPUTED_VALUE"""),"19820208MADOD")</f>
        <v>19820208MADOD</v>
      </c>
      <c r="B2196" s="8">
        <f ca="1">IFERROR(__xludf.DUMMYFUNCTION("""COMPUTED_VALUE"""),19)</f>
        <v>19</v>
      </c>
      <c r="C2196" s="8" t="str">
        <f ca="1">IFERROR(__xludf.DUMMYFUNCTION("""COMPUTED_VALUE"""),"Male")</f>
        <v>Male</v>
      </c>
      <c r="D2196" s="8" t="str">
        <f ca="1">IFERROR(__xludf.DUMMYFUNCTION("""COMPUTED_VALUE"""),"Student")</f>
        <v>Student</v>
      </c>
      <c r="E2196" s="8" t="str">
        <f ca="1">IFERROR(__xludf.DUMMYFUNCTION("""COMPUTED_VALUE"""),"Fled/Apprehended")</f>
        <v>Fled/Apprehended</v>
      </c>
      <c r="F2196" s="8" t="str">
        <f ca="1">IFERROR(__xludf.DUMMYFUNCTION("""COMPUTED_VALUE"""),"No")</f>
        <v>No</v>
      </c>
      <c r="G2196" s="8" t="str">
        <f ca="1">IFERROR(__xludf.DUMMYFUNCTION("""COMPUTED_VALUE"""),"None")</f>
        <v>None</v>
      </c>
    </row>
    <row r="2197" spans="1:7" ht="12.75">
      <c r="A2197" s="8" t="str">
        <f ca="1">IFERROR(__xludf.DUMMYFUNCTION("""COMPUTED_VALUE"""),"19820205TNHAM")</f>
        <v>19820205TNHAM</v>
      </c>
      <c r="B2197" s="8"/>
      <c r="C2197" s="8" t="str">
        <f ca="1">IFERROR(__xludf.DUMMYFUNCTION("""COMPUTED_VALUE"""),"Male")</f>
        <v>Male</v>
      </c>
      <c r="D2197" s="8" t="str">
        <f ca="1">IFERROR(__xludf.DUMMYFUNCTION("""COMPUTED_VALUE"""),"Unknown")</f>
        <v>Unknown</v>
      </c>
      <c r="E2197" s="8" t="str">
        <f ca="1">IFERROR(__xludf.DUMMYFUNCTION("""COMPUTED_VALUE"""),"Fled/Escaped")</f>
        <v>Fled/Escaped</v>
      </c>
      <c r="F2197" s="8" t="str">
        <f ca="1">IFERROR(__xludf.DUMMYFUNCTION("""COMPUTED_VALUE"""),"No")</f>
        <v>No</v>
      </c>
      <c r="G2197" s="8" t="str">
        <f ca="1">IFERROR(__xludf.DUMMYFUNCTION("""COMPUTED_VALUE"""),"None")</f>
        <v>None</v>
      </c>
    </row>
    <row r="2198" spans="1:7" ht="12.75">
      <c r="A2198" s="8" t="str">
        <f ca="1">IFERROR(__xludf.DUMMYFUNCTION("""COMPUTED_VALUE"""),"19811223NYJAB")</f>
        <v>19811223NYJAB</v>
      </c>
      <c r="B2198" s="8" t="str">
        <f ca="1">IFERROR(__xludf.DUMMYFUNCTION("""COMPUTED_VALUE"""),"Teen")</f>
        <v>Teen</v>
      </c>
      <c r="C2198" s="8" t="str">
        <f ca="1">IFERROR(__xludf.DUMMYFUNCTION("""COMPUTED_VALUE"""),"Male")</f>
        <v>Male</v>
      </c>
      <c r="D2198" s="8" t="str">
        <f ca="1">IFERROR(__xludf.DUMMYFUNCTION("""COMPUTED_VALUE"""),"Student")</f>
        <v>Student</v>
      </c>
      <c r="E2198" s="8" t="str">
        <f ca="1">IFERROR(__xludf.DUMMYFUNCTION("""COMPUTED_VALUE"""),"Fled/Escaped")</f>
        <v>Fled/Escaped</v>
      </c>
      <c r="F2198" s="8" t="str">
        <f ca="1">IFERROR(__xludf.DUMMYFUNCTION("""COMPUTED_VALUE"""),"No")</f>
        <v>No</v>
      </c>
      <c r="G2198" s="8" t="str">
        <f ca="1">IFERROR(__xludf.DUMMYFUNCTION("""COMPUTED_VALUE"""),"None")</f>
        <v>None</v>
      </c>
    </row>
    <row r="2199" spans="1:7" ht="12.75">
      <c r="A2199" s="8" t="str">
        <f ca="1">IFERROR(__xludf.DUMMYFUNCTION("""COMPUTED_VALUE"""),"19811216TXUNH")</f>
        <v>19811216TXUNH</v>
      </c>
      <c r="B2199" s="8">
        <f ca="1">IFERROR(__xludf.DUMMYFUNCTION("""COMPUTED_VALUE"""),17)</f>
        <v>17</v>
      </c>
      <c r="C2199" s="8" t="str">
        <f ca="1">IFERROR(__xludf.DUMMYFUNCTION("""COMPUTED_VALUE"""),"Male")</f>
        <v>Male</v>
      </c>
      <c r="D2199" s="8" t="str">
        <f ca="1">IFERROR(__xludf.DUMMYFUNCTION("""COMPUTED_VALUE"""),"Student")</f>
        <v>Student</v>
      </c>
      <c r="E2199" s="8" t="str">
        <f ca="1">IFERROR(__xludf.DUMMYFUNCTION("""COMPUTED_VALUE"""),"Fled/Apprehended")</f>
        <v>Fled/Apprehended</v>
      </c>
      <c r="F2199" s="8" t="str">
        <f ca="1">IFERROR(__xludf.DUMMYFUNCTION("""COMPUTED_VALUE"""),"No")</f>
        <v>No</v>
      </c>
      <c r="G2199" s="8" t="str">
        <f ca="1">IFERROR(__xludf.DUMMYFUNCTION("""COMPUTED_VALUE"""),"None")</f>
        <v>None</v>
      </c>
    </row>
    <row r="2200" spans="1:7" ht="12.75">
      <c r="A2200" s="8" t="str">
        <f ca="1">IFERROR(__xludf.DUMMYFUNCTION("""COMPUTED_VALUE"""),"19811209NYGEB")</f>
        <v>19811209NYGEB</v>
      </c>
      <c r="B2200" s="8"/>
      <c r="C2200" s="8" t="str">
        <f ca="1">IFERROR(__xludf.DUMMYFUNCTION("""COMPUTED_VALUE"""),"Male")</f>
        <v>Male</v>
      </c>
      <c r="D2200" s="8" t="str">
        <f ca="1">IFERROR(__xludf.DUMMYFUNCTION("""COMPUTED_VALUE"""),"Unknown")</f>
        <v>Unknown</v>
      </c>
      <c r="E2200" s="8" t="str">
        <f ca="1">IFERROR(__xludf.DUMMYFUNCTION("""COMPUTED_VALUE"""),"Fled/Escaped")</f>
        <v>Fled/Escaped</v>
      </c>
      <c r="F2200" s="8" t="str">
        <f ca="1">IFERROR(__xludf.DUMMYFUNCTION("""COMPUTED_VALUE"""),"No")</f>
        <v>No</v>
      </c>
      <c r="G2200" s="8" t="str">
        <f ca="1">IFERROR(__xludf.DUMMYFUNCTION("""COMPUTED_VALUE"""),"None")</f>
        <v>None</v>
      </c>
    </row>
    <row r="2201" spans="1:7" ht="12.75">
      <c r="A2201" s="8" t="str">
        <f ca="1">IFERROR(__xludf.DUMMYFUNCTION("""COMPUTED_VALUE"""),"19811013CTHAH")</f>
        <v>19811013CTHAH</v>
      </c>
      <c r="B2201" s="8">
        <f ca="1">IFERROR(__xludf.DUMMYFUNCTION("""COMPUTED_VALUE"""),16)</f>
        <v>16</v>
      </c>
      <c r="C2201" s="8" t="str">
        <f ca="1">IFERROR(__xludf.DUMMYFUNCTION("""COMPUTED_VALUE"""),"Male")</f>
        <v>Male</v>
      </c>
      <c r="D2201" s="8" t="str">
        <f ca="1">IFERROR(__xludf.DUMMYFUNCTION("""COMPUTED_VALUE"""),"Student")</f>
        <v>Student</v>
      </c>
      <c r="E2201" s="8" t="str">
        <f ca="1">IFERROR(__xludf.DUMMYFUNCTION("""COMPUTED_VALUE"""),"Fled/Apprehended")</f>
        <v>Fled/Apprehended</v>
      </c>
      <c r="F2201" s="8" t="str">
        <f ca="1">IFERROR(__xludf.DUMMYFUNCTION("""COMPUTED_VALUE"""),"No")</f>
        <v>No</v>
      </c>
      <c r="G2201" s="8" t="str">
        <f ca="1">IFERROR(__xludf.DUMMYFUNCTION("""COMPUTED_VALUE"""),"None")</f>
        <v>None</v>
      </c>
    </row>
    <row r="2202" spans="1:7" ht="12.75">
      <c r="A2202" s="8" t="str">
        <f ca="1">IFERROR(__xludf.DUMMYFUNCTION("""COMPUTED_VALUE"""),"19810913MDABA")</f>
        <v>19810913MDABA</v>
      </c>
      <c r="B2202" s="8" t="str">
        <f ca="1">IFERROR(__xludf.DUMMYFUNCTION("""COMPUTED_VALUE"""),"Adult")</f>
        <v>Adult</v>
      </c>
      <c r="C2202" s="8"/>
      <c r="D2202" s="8" t="str">
        <f ca="1">IFERROR(__xludf.DUMMYFUNCTION("""COMPUTED_VALUE"""),"Police Officer/SRO")</f>
        <v>Police Officer/SRO</v>
      </c>
      <c r="E2202" s="8" t="str">
        <f ca="1">IFERROR(__xludf.DUMMYFUNCTION("""COMPUTED_VALUE"""),"Law Enforcement")</f>
        <v>Law Enforcement</v>
      </c>
      <c r="F2202" s="8" t="str">
        <f ca="1">IFERROR(__xludf.DUMMYFUNCTION("""COMPUTED_VALUE"""),"No")</f>
        <v>No</v>
      </c>
      <c r="G2202" s="8" t="str">
        <f ca="1">IFERROR(__xludf.DUMMYFUNCTION("""COMPUTED_VALUE"""),"None")</f>
        <v>None</v>
      </c>
    </row>
    <row r="2203" spans="1:7" ht="12.75">
      <c r="A2203" s="8" t="str">
        <f ca="1">IFERROR(__xludf.DUMMYFUNCTION("""COMPUTED_VALUE"""),"19810908FLSTW")</f>
        <v>19810908FLSTW</v>
      </c>
      <c r="B2203" s="8">
        <f ca="1">IFERROR(__xludf.DUMMYFUNCTION("""COMPUTED_VALUE"""),12)</f>
        <v>12</v>
      </c>
      <c r="C2203" s="8" t="str">
        <f ca="1">IFERROR(__xludf.DUMMYFUNCTION("""COMPUTED_VALUE"""),"Male")</f>
        <v>Male</v>
      </c>
      <c r="D2203" s="8" t="str">
        <f ca="1">IFERROR(__xludf.DUMMYFUNCTION("""COMPUTED_VALUE"""),"Student")</f>
        <v>Student</v>
      </c>
      <c r="E2203" s="8" t="str">
        <f ca="1">IFERROR(__xludf.DUMMYFUNCTION("""COMPUTED_VALUE"""),"Fled/Apprehended")</f>
        <v>Fled/Apprehended</v>
      </c>
      <c r="F2203" s="8" t="str">
        <f ca="1">IFERROR(__xludf.DUMMYFUNCTION("""COMPUTED_VALUE"""),"No")</f>
        <v>No</v>
      </c>
      <c r="G2203" s="8" t="str">
        <f ca="1">IFERROR(__xludf.DUMMYFUNCTION("""COMPUTED_VALUE"""),"Wounded")</f>
        <v>Wounded</v>
      </c>
    </row>
    <row r="2204" spans="1:7" ht="12.75">
      <c r="A2204" s="8" t="str">
        <f ca="1">IFERROR(__xludf.DUMMYFUNCTION("""COMPUTED_VALUE"""),"19810904NMHOS")</f>
        <v>19810904NMHOS</v>
      </c>
      <c r="B2204" s="8">
        <f ca="1">IFERROR(__xludf.DUMMYFUNCTION("""COMPUTED_VALUE"""),16)</f>
        <v>16</v>
      </c>
      <c r="C2204" s="8" t="str">
        <f ca="1">IFERROR(__xludf.DUMMYFUNCTION("""COMPUTED_VALUE"""),"Male")</f>
        <v>Male</v>
      </c>
      <c r="D2204" s="8" t="str">
        <f ca="1">IFERROR(__xludf.DUMMYFUNCTION("""COMPUTED_VALUE"""),"Student")</f>
        <v>Student</v>
      </c>
      <c r="E2204" s="8" t="str">
        <f ca="1">IFERROR(__xludf.DUMMYFUNCTION("""COMPUTED_VALUE"""),"Fled/Apprehended")</f>
        <v>Fled/Apprehended</v>
      </c>
      <c r="F2204" s="8" t="str">
        <f ca="1">IFERROR(__xludf.DUMMYFUNCTION("""COMPUTED_VALUE"""),"No")</f>
        <v>No</v>
      </c>
      <c r="G2204" s="8" t="str">
        <f ca="1">IFERROR(__xludf.DUMMYFUNCTION("""COMPUTED_VALUE"""),"None")</f>
        <v>None</v>
      </c>
    </row>
    <row r="2205" spans="1:7" ht="12.75">
      <c r="A2205" s="8" t="str">
        <f ca="1">IFERROR(__xludf.DUMMYFUNCTION("""COMPUTED_VALUE"""),"19810901PAWIP")</f>
        <v>19810901PAWIP</v>
      </c>
      <c r="B2205" s="8"/>
      <c r="C2205" s="8" t="str">
        <f ca="1">IFERROR(__xludf.DUMMYFUNCTION("""COMPUTED_VALUE"""),"Male")</f>
        <v>Male</v>
      </c>
      <c r="D2205" s="8" t="str">
        <f ca="1">IFERROR(__xludf.DUMMYFUNCTION("""COMPUTED_VALUE"""),"Unknown")</f>
        <v>Unknown</v>
      </c>
      <c r="E2205" s="8" t="str">
        <f ca="1">IFERROR(__xludf.DUMMYFUNCTION("""COMPUTED_VALUE"""),"Fled/Escaped")</f>
        <v>Fled/Escaped</v>
      </c>
      <c r="F2205" s="8" t="str">
        <f ca="1">IFERROR(__xludf.DUMMYFUNCTION("""COMPUTED_VALUE"""),"No")</f>
        <v>No</v>
      </c>
      <c r="G2205" s="8" t="str">
        <f ca="1">IFERROR(__xludf.DUMMYFUNCTION("""COMPUTED_VALUE"""),"None")</f>
        <v>None</v>
      </c>
    </row>
    <row r="2206" spans="1:7" ht="12.75">
      <c r="A2206" s="8" t="str">
        <f ca="1">IFERROR(__xludf.DUMMYFUNCTION("""COMPUTED_VALUE"""),"19810515LANEN")</f>
        <v>19810515LANEN</v>
      </c>
      <c r="B2206" s="8">
        <f ca="1">IFERROR(__xludf.DUMMYFUNCTION("""COMPUTED_VALUE"""),42)</f>
        <v>42</v>
      </c>
      <c r="C2206" s="8" t="str">
        <f ca="1">IFERROR(__xludf.DUMMYFUNCTION("""COMPUTED_VALUE"""),"Male")</f>
        <v>Male</v>
      </c>
      <c r="D2206" s="8" t="str">
        <f ca="1">IFERROR(__xludf.DUMMYFUNCTION("""COMPUTED_VALUE"""),"Other Staff")</f>
        <v>Other Staff</v>
      </c>
      <c r="E2206" s="8" t="str">
        <f ca="1">IFERROR(__xludf.DUMMYFUNCTION("""COMPUTED_VALUE"""),"Surrendered")</f>
        <v>Surrendered</v>
      </c>
      <c r="F2206" s="8" t="str">
        <f ca="1">IFERROR(__xludf.DUMMYFUNCTION("""COMPUTED_VALUE"""),"No")</f>
        <v>No</v>
      </c>
      <c r="G2206" s="8" t="str">
        <f ca="1">IFERROR(__xludf.DUMMYFUNCTION("""COMPUTED_VALUE"""),"None")</f>
        <v>None</v>
      </c>
    </row>
    <row r="2207" spans="1:7" ht="12.75">
      <c r="A2207" s="8" t="str">
        <f ca="1">IFERROR(__xludf.DUMMYFUNCTION("""COMPUTED_VALUE"""),"19810407MSPOP")</f>
        <v>19810407MSPOP</v>
      </c>
      <c r="B2207" s="8"/>
      <c r="C2207" s="8"/>
      <c r="D2207" s="8" t="str">
        <f ca="1">IFERROR(__xludf.DUMMYFUNCTION("""COMPUTED_VALUE"""),"Unknown")</f>
        <v>Unknown</v>
      </c>
      <c r="E2207" s="8" t="str">
        <f ca="1">IFERROR(__xludf.DUMMYFUNCTION("""COMPUTED_VALUE"""),"Fled/Escaped")</f>
        <v>Fled/Escaped</v>
      </c>
      <c r="F2207" s="8" t="str">
        <f ca="1">IFERROR(__xludf.DUMMYFUNCTION("""COMPUTED_VALUE"""),"No")</f>
        <v>No</v>
      </c>
      <c r="G2207" s="8" t="str">
        <f ca="1">IFERROR(__xludf.DUMMYFUNCTION("""COMPUTED_VALUE"""),"None")</f>
        <v>None</v>
      </c>
    </row>
    <row r="2208" spans="1:7" ht="12.75">
      <c r="A2208" s="8" t="str">
        <f ca="1">IFERROR(__xludf.DUMMYFUNCTION("""COMPUTED_VALUE"""),"19810402OHALC")</f>
        <v>19810402OHALC</v>
      </c>
      <c r="B2208" s="8">
        <f ca="1">IFERROR(__xludf.DUMMYFUNCTION("""COMPUTED_VALUE"""),14)</f>
        <v>14</v>
      </c>
      <c r="C2208" s="8" t="str">
        <f ca="1">IFERROR(__xludf.DUMMYFUNCTION("""COMPUTED_VALUE"""),"Male")</f>
        <v>Male</v>
      </c>
      <c r="D2208" s="8" t="str">
        <f ca="1">IFERROR(__xludf.DUMMYFUNCTION("""COMPUTED_VALUE"""),"Student")</f>
        <v>Student</v>
      </c>
      <c r="E2208" s="8" t="str">
        <f ca="1">IFERROR(__xludf.DUMMYFUNCTION("""COMPUTED_VALUE"""),"Fled/Apprehended")</f>
        <v>Fled/Apprehended</v>
      </c>
      <c r="F2208" s="8" t="str">
        <f ca="1">IFERROR(__xludf.DUMMYFUNCTION("""COMPUTED_VALUE"""),"No")</f>
        <v>No</v>
      </c>
      <c r="G2208" s="8" t="str">
        <f ca="1">IFERROR(__xludf.DUMMYFUNCTION("""COMPUTED_VALUE"""),"None")</f>
        <v>None</v>
      </c>
    </row>
    <row r="2209" spans="1:7" ht="12.75">
      <c r="A2209" s="8" t="str">
        <f ca="1">IFERROR(__xludf.DUMMYFUNCTION("""COMPUTED_VALUE"""),"19810328FLDIF")</f>
        <v>19810328FLDIF</v>
      </c>
      <c r="B2209" s="8">
        <f ca="1">IFERROR(__xludf.DUMMYFUNCTION("""COMPUTED_VALUE"""),18)</f>
        <v>18</v>
      </c>
      <c r="C2209" s="8" t="str">
        <f ca="1">IFERROR(__xludf.DUMMYFUNCTION("""COMPUTED_VALUE"""),"Male")</f>
        <v>Male</v>
      </c>
      <c r="D2209" s="8" t="str">
        <f ca="1">IFERROR(__xludf.DUMMYFUNCTION("""COMPUTED_VALUE"""),"Student")</f>
        <v>Student</v>
      </c>
      <c r="E2209" s="8" t="str">
        <f ca="1">IFERROR(__xludf.DUMMYFUNCTION("""COMPUTED_VALUE"""),"Fled/Apprehended")</f>
        <v>Fled/Apprehended</v>
      </c>
      <c r="F2209" s="8" t="str">
        <f ca="1">IFERROR(__xludf.DUMMYFUNCTION("""COMPUTED_VALUE"""),"No")</f>
        <v>No</v>
      </c>
      <c r="G2209" s="8" t="str">
        <f ca="1">IFERROR(__xludf.DUMMYFUNCTION("""COMPUTED_VALUE"""),"None")</f>
        <v>None</v>
      </c>
    </row>
    <row r="2210" spans="1:7" ht="12.75">
      <c r="A2210" s="8" t="str">
        <f ca="1">IFERROR(__xludf.DUMMYFUNCTION("""COMPUTED_VALUE"""),"19810303INMAI")</f>
        <v>19810303INMAI</v>
      </c>
      <c r="B2210" s="8">
        <f ca="1">IFERROR(__xludf.DUMMYFUNCTION("""COMPUTED_VALUE"""),15)</f>
        <v>15</v>
      </c>
      <c r="C2210" s="8" t="str">
        <f ca="1">IFERROR(__xludf.DUMMYFUNCTION("""COMPUTED_VALUE"""),"Male")</f>
        <v>Male</v>
      </c>
      <c r="D2210" s="8" t="str">
        <f ca="1">IFERROR(__xludf.DUMMYFUNCTION("""COMPUTED_VALUE"""),"Student")</f>
        <v>Student</v>
      </c>
      <c r="E2210" s="8" t="str">
        <f ca="1">IFERROR(__xludf.DUMMYFUNCTION("""COMPUTED_VALUE"""),"Fled/Apprehended")</f>
        <v>Fled/Apprehended</v>
      </c>
      <c r="F2210" s="8" t="str">
        <f ca="1">IFERROR(__xludf.DUMMYFUNCTION("""COMPUTED_VALUE"""),"No")</f>
        <v>No</v>
      </c>
      <c r="G2210" s="8" t="str">
        <f ca="1">IFERROR(__xludf.DUMMYFUNCTION("""COMPUTED_VALUE"""),"None")</f>
        <v>None</v>
      </c>
    </row>
    <row r="2211" spans="1:7" ht="12.75">
      <c r="A2211" s="8" t="str">
        <f ca="1">IFERROR(__xludf.DUMMYFUNCTION("""COMPUTED_VALUE"""),"19810210CAMAL")</f>
        <v>19810210CAMAL</v>
      </c>
      <c r="B2211" s="8">
        <f ca="1">IFERROR(__xludf.DUMMYFUNCTION("""COMPUTED_VALUE"""),19)</f>
        <v>19</v>
      </c>
      <c r="C2211" s="8" t="str">
        <f ca="1">IFERROR(__xludf.DUMMYFUNCTION("""COMPUTED_VALUE"""),"Male")</f>
        <v>Male</v>
      </c>
      <c r="D2211" s="8" t="str">
        <f ca="1">IFERROR(__xludf.DUMMYFUNCTION("""COMPUTED_VALUE"""),"Unknown")</f>
        <v>Unknown</v>
      </c>
      <c r="E2211" s="8" t="str">
        <f ca="1">IFERROR(__xludf.DUMMYFUNCTION("""COMPUTED_VALUE"""),"Fled/Apprehended")</f>
        <v>Fled/Apprehended</v>
      </c>
      <c r="F2211" s="8" t="str">
        <f ca="1">IFERROR(__xludf.DUMMYFUNCTION("""COMPUTED_VALUE"""),"No")</f>
        <v>No</v>
      </c>
      <c r="G2211" s="8" t="str">
        <f ca="1">IFERROR(__xludf.DUMMYFUNCTION("""COMPUTED_VALUE"""),"None")</f>
        <v>None</v>
      </c>
    </row>
    <row r="2212" spans="1:7" ht="12.75">
      <c r="A2212" s="8" t="str">
        <f ca="1">IFERROR(__xludf.DUMMYFUNCTION("""COMPUTED_VALUE"""),"19810210ARLIL")</f>
        <v>19810210ARLIL</v>
      </c>
      <c r="B2212" s="8">
        <f ca="1">IFERROR(__xludf.DUMMYFUNCTION("""COMPUTED_VALUE"""),16)</f>
        <v>16</v>
      </c>
      <c r="C2212" s="8" t="str">
        <f ca="1">IFERROR(__xludf.DUMMYFUNCTION("""COMPUTED_VALUE"""),"Male")</f>
        <v>Male</v>
      </c>
      <c r="D2212" s="8" t="str">
        <f ca="1">IFERROR(__xludf.DUMMYFUNCTION("""COMPUTED_VALUE"""),"Student")</f>
        <v>Student</v>
      </c>
      <c r="E2212" s="8" t="str">
        <f ca="1">IFERROR(__xludf.DUMMYFUNCTION("""COMPUTED_VALUE"""),"Fled/Apprehended")</f>
        <v>Fled/Apprehended</v>
      </c>
      <c r="F2212" s="8" t="str">
        <f ca="1">IFERROR(__xludf.DUMMYFUNCTION("""COMPUTED_VALUE"""),"No")</f>
        <v>No</v>
      </c>
      <c r="G2212" s="8" t="str">
        <f ca="1">IFERROR(__xludf.DUMMYFUNCTION("""COMPUTED_VALUE"""),"None")</f>
        <v>None</v>
      </c>
    </row>
    <row r="2213" spans="1:7" ht="12.75">
      <c r="A2213" s="8" t="str">
        <f ca="1">IFERROR(__xludf.DUMMYFUNCTION("""COMPUTED_VALUE"""),"19810122MDFRB")</f>
        <v>19810122MDFRB</v>
      </c>
      <c r="B2213" s="8">
        <f ca="1">IFERROR(__xludf.DUMMYFUNCTION("""COMPUTED_VALUE"""),17)</f>
        <v>17</v>
      </c>
      <c r="C2213" s="8" t="str">
        <f ca="1">IFERROR(__xludf.DUMMYFUNCTION("""COMPUTED_VALUE"""),"Male")</f>
        <v>Male</v>
      </c>
      <c r="D2213" s="8" t="str">
        <f ca="1">IFERROR(__xludf.DUMMYFUNCTION("""COMPUTED_VALUE"""),"Student")</f>
        <v>Student</v>
      </c>
      <c r="E2213" s="8" t="str">
        <f ca="1">IFERROR(__xludf.DUMMYFUNCTION("""COMPUTED_VALUE"""),"Fled/Apprehended")</f>
        <v>Fled/Apprehended</v>
      </c>
      <c r="F2213" s="8" t="str">
        <f ca="1">IFERROR(__xludf.DUMMYFUNCTION("""COMPUTED_VALUE"""),"No")</f>
        <v>No</v>
      </c>
      <c r="G2213" s="8" t="str">
        <f ca="1">IFERROR(__xludf.DUMMYFUNCTION("""COMPUTED_VALUE"""),"None")</f>
        <v>None</v>
      </c>
    </row>
    <row r="2214" spans="1:7" ht="12.75">
      <c r="A2214" s="8" t="str">
        <f ca="1">IFERROR(__xludf.DUMMYFUNCTION("""COMPUTED_VALUE"""),"19810121OHWIB")</f>
        <v>19810121OHWIB</v>
      </c>
      <c r="B2214" s="8">
        <f ca="1">IFERROR(__xludf.DUMMYFUNCTION("""COMPUTED_VALUE"""),14)</f>
        <v>14</v>
      </c>
      <c r="C2214" s="8" t="str">
        <f ca="1">IFERROR(__xludf.DUMMYFUNCTION("""COMPUTED_VALUE"""),"Male")</f>
        <v>Male</v>
      </c>
      <c r="D2214" s="8" t="str">
        <f ca="1">IFERROR(__xludf.DUMMYFUNCTION("""COMPUTED_VALUE"""),"Student")</f>
        <v>Student</v>
      </c>
      <c r="E2214" s="8" t="str">
        <f ca="1">IFERROR(__xludf.DUMMYFUNCTION("""COMPUTED_VALUE"""),"Fled/Apprehended")</f>
        <v>Fled/Apprehended</v>
      </c>
      <c r="F2214" s="8" t="str">
        <f ca="1">IFERROR(__xludf.DUMMYFUNCTION("""COMPUTED_VALUE"""),"No")</f>
        <v>No</v>
      </c>
      <c r="G2214" s="8" t="str">
        <f ca="1">IFERROR(__xludf.DUMMYFUNCTION("""COMPUTED_VALUE"""),"None")</f>
        <v>None</v>
      </c>
    </row>
    <row r="2215" spans="1:7" ht="12.75">
      <c r="A2215" s="8" t="str">
        <f ca="1">IFERROR(__xludf.DUMMYFUNCTION("""COMPUTED_VALUE"""),"19801212OHLOL")</f>
        <v>19801212OHLOL</v>
      </c>
      <c r="B2215" s="8">
        <f ca="1">IFERROR(__xludf.DUMMYFUNCTION("""COMPUTED_VALUE"""),14)</f>
        <v>14</v>
      </c>
      <c r="C2215" s="8" t="str">
        <f ca="1">IFERROR(__xludf.DUMMYFUNCTION("""COMPUTED_VALUE"""),"Male")</f>
        <v>Male</v>
      </c>
      <c r="D2215" s="8" t="str">
        <f ca="1">IFERROR(__xludf.DUMMYFUNCTION("""COMPUTED_VALUE"""),"Student")</f>
        <v>Student</v>
      </c>
      <c r="E2215" s="8" t="str">
        <f ca="1">IFERROR(__xludf.DUMMYFUNCTION("""COMPUTED_VALUE"""),"Surrendered")</f>
        <v>Surrendered</v>
      </c>
      <c r="F2215" s="8" t="str">
        <f ca="1">IFERROR(__xludf.DUMMYFUNCTION("""COMPUTED_VALUE"""),"No")</f>
        <v>No</v>
      </c>
      <c r="G2215" s="8" t="str">
        <f ca="1">IFERROR(__xludf.DUMMYFUNCTION("""COMPUTED_VALUE"""),"None")</f>
        <v>None</v>
      </c>
    </row>
    <row r="2216" spans="1:7" ht="12.75">
      <c r="A2216" s="8" t="str">
        <f ca="1">IFERROR(__xludf.DUMMYFUNCTION("""COMPUTED_VALUE"""),"19801212ALPAB")</f>
        <v>19801212ALPAB</v>
      </c>
      <c r="B2216" s="8">
        <f ca="1">IFERROR(__xludf.DUMMYFUNCTION("""COMPUTED_VALUE"""),15)</f>
        <v>15</v>
      </c>
      <c r="C2216" s="8" t="str">
        <f ca="1">IFERROR(__xludf.DUMMYFUNCTION("""COMPUTED_VALUE"""),"Male")</f>
        <v>Male</v>
      </c>
      <c r="D2216" s="8" t="str">
        <f ca="1">IFERROR(__xludf.DUMMYFUNCTION("""COMPUTED_VALUE"""),"No Relation")</f>
        <v>No Relation</v>
      </c>
      <c r="E2216" s="8" t="str">
        <f ca="1">IFERROR(__xludf.DUMMYFUNCTION("""COMPUTED_VALUE"""),"Fled/Apprehended")</f>
        <v>Fled/Apprehended</v>
      </c>
      <c r="F2216" s="8" t="str">
        <f ca="1">IFERROR(__xludf.DUMMYFUNCTION("""COMPUTED_VALUE"""),"No")</f>
        <v>No</v>
      </c>
      <c r="G2216" s="8" t="str">
        <f ca="1">IFERROR(__xludf.DUMMYFUNCTION("""COMPUTED_VALUE"""),"None")</f>
        <v>None</v>
      </c>
    </row>
    <row r="2217" spans="1:7" ht="12.75">
      <c r="A2217" s="8" t="str">
        <f ca="1">IFERROR(__xludf.DUMMYFUNCTION("""COMPUTED_VALUE"""),"19801117TXEAF")</f>
        <v>19801117TXEAF</v>
      </c>
      <c r="B2217" s="8">
        <f ca="1">IFERROR(__xludf.DUMMYFUNCTION("""COMPUTED_VALUE"""),16)</f>
        <v>16</v>
      </c>
      <c r="C2217" s="8" t="str">
        <f ca="1">IFERROR(__xludf.DUMMYFUNCTION("""COMPUTED_VALUE"""),"Male")</f>
        <v>Male</v>
      </c>
      <c r="D2217" s="8" t="str">
        <f ca="1">IFERROR(__xludf.DUMMYFUNCTION("""COMPUTED_VALUE"""),"Student")</f>
        <v>Student</v>
      </c>
      <c r="E2217" s="8" t="str">
        <f ca="1">IFERROR(__xludf.DUMMYFUNCTION("""COMPUTED_VALUE"""),"Subdued by Students/Staff/Other")</f>
        <v>Subdued by Students/Staff/Other</v>
      </c>
      <c r="F2217" s="8" t="str">
        <f ca="1">IFERROR(__xludf.DUMMYFUNCTION("""COMPUTED_VALUE"""),"No")</f>
        <v>No</v>
      </c>
      <c r="G2217" s="8" t="str">
        <f ca="1">IFERROR(__xludf.DUMMYFUNCTION("""COMPUTED_VALUE"""),"None")</f>
        <v>None</v>
      </c>
    </row>
    <row r="2218" spans="1:7" ht="12.75">
      <c r="A2218" s="8" t="str">
        <f ca="1">IFERROR(__xludf.DUMMYFUNCTION("""COMPUTED_VALUE"""),"19801031ALHUH")</f>
        <v>19801031ALHUH</v>
      </c>
      <c r="B2218" s="8">
        <f ca="1">IFERROR(__xludf.DUMMYFUNCTION("""COMPUTED_VALUE"""),17)</f>
        <v>17</v>
      </c>
      <c r="C2218" s="8" t="str">
        <f ca="1">IFERROR(__xludf.DUMMYFUNCTION("""COMPUTED_VALUE"""),"Male")</f>
        <v>Male</v>
      </c>
      <c r="D2218" s="8" t="str">
        <f ca="1">IFERROR(__xludf.DUMMYFUNCTION("""COMPUTED_VALUE"""),"Student")</f>
        <v>Student</v>
      </c>
      <c r="E2218" s="8" t="str">
        <f ca="1">IFERROR(__xludf.DUMMYFUNCTION("""COMPUTED_VALUE"""),"Suicide")</f>
        <v>Suicide</v>
      </c>
      <c r="F2218" s="8" t="str">
        <f ca="1">IFERROR(__xludf.DUMMYFUNCTION("""COMPUTED_VALUE"""),"Yes")</f>
        <v>Yes</v>
      </c>
      <c r="G2218" s="8" t="str">
        <f ca="1">IFERROR(__xludf.DUMMYFUNCTION("""COMPUTED_VALUE"""),"Suicide")</f>
        <v>Suicide</v>
      </c>
    </row>
    <row r="2219" spans="1:7" ht="12.75">
      <c r="A2219" s="8" t="str">
        <f ca="1">IFERROR(__xludf.DUMMYFUNCTION("""COMPUTED_VALUE"""),"19801013ALCET")</f>
        <v>19801013ALCET</v>
      </c>
      <c r="B2219" s="8">
        <f ca="1">IFERROR(__xludf.DUMMYFUNCTION("""COMPUTED_VALUE"""),17)</f>
        <v>17</v>
      </c>
      <c r="C2219" s="8" t="str">
        <f ca="1">IFERROR(__xludf.DUMMYFUNCTION("""COMPUTED_VALUE"""),"Male")</f>
        <v>Male</v>
      </c>
      <c r="D2219" s="8" t="str">
        <f ca="1">IFERROR(__xludf.DUMMYFUNCTION("""COMPUTED_VALUE"""),"Student")</f>
        <v>Student</v>
      </c>
      <c r="E2219" s="8" t="str">
        <f ca="1">IFERROR(__xludf.DUMMYFUNCTION("""COMPUTED_VALUE"""),"Fled/Apprehended")</f>
        <v>Fled/Apprehended</v>
      </c>
      <c r="F2219" s="8" t="str">
        <f ca="1">IFERROR(__xludf.DUMMYFUNCTION("""COMPUTED_VALUE"""),"No")</f>
        <v>No</v>
      </c>
      <c r="G2219" s="8" t="str">
        <f ca="1">IFERROR(__xludf.DUMMYFUNCTION("""COMPUTED_VALUE"""),"None")</f>
        <v>None</v>
      </c>
    </row>
    <row r="2220" spans="1:7" ht="12.75">
      <c r="A2220" s="8" t="str">
        <f ca="1">IFERROR(__xludf.DUMMYFUNCTION("""COMPUTED_VALUE"""),"19800926CTBRB")</f>
        <v>19800926CTBRB</v>
      </c>
      <c r="B2220" s="8">
        <f ca="1">IFERROR(__xludf.DUMMYFUNCTION("""COMPUTED_VALUE"""),19)</f>
        <v>19</v>
      </c>
      <c r="C2220" s="8" t="str">
        <f ca="1">IFERROR(__xludf.DUMMYFUNCTION("""COMPUTED_VALUE"""),"Male")</f>
        <v>Male</v>
      </c>
      <c r="D2220" s="8" t="str">
        <f ca="1">IFERROR(__xludf.DUMMYFUNCTION("""COMPUTED_VALUE"""),"Former Student")</f>
        <v>Former Student</v>
      </c>
      <c r="E2220" s="8" t="str">
        <f ca="1">IFERROR(__xludf.DUMMYFUNCTION("""COMPUTED_VALUE"""),"Fled/Escaped")</f>
        <v>Fled/Escaped</v>
      </c>
      <c r="F2220" s="8" t="str">
        <f ca="1">IFERROR(__xludf.DUMMYFUNCTION("""COMPUTED_VALUE"""),"No")</f>
        <v>No</v>
      </c>
      <c r="G2220" s="8" t="str">
        <f ca="1">IFERROR(__xludf.DUMMYFUNCTION("""COMPUTED_VALUE"""),"None")</f>
        <v>None</v>
      </c>
    </row>
    <row r="2221" spans="1:7" ht="12.75">
      <c r="A2221" s="8" t="str">
        <f ca="1">IFERROR(__xludf.DUMMYFUNCTION("""COMPUTED_VALUE"""),"19800911ALJOM")</f>
        <v>19800911ALJOM</v>
      </c>
      <c r="B2221" s="8">
        <f ca="1">IFERROR(__xludf.DUMMYFUNCTION("""COMPUTED_VALUE"""),29)</f>
        <v>29</v>
      </c>
      <c r="C2221" s="8" t="str">
        <f ca="1">IFERROR(__xludf.DUMMYFUNCTION("""COMPUTED_VALUE"""),"Female")</f>
        <v>Female</v>
      </c>
      <c r="D2221" s="8" t="str">
        <f ca="1">IFERROR(__xludf.DUMMYFUNCTION("""COMPUTED_VALUE"""),"Teacher")</f>
        <v>Teacher</v>
      </c>
      <c r="E2221" s="8" t="str">
        <f ca="1">IFERROR(__xludf.DUMMYFUNCTION("""COMPUTED_VALUE"""),"Surrendered")</f>
        <v>Surrendered</v>
      </c>
      <c r="F2221" s="8" t="str">
        <f ca="1">IFERROR(__xludf.DUMMYFUNCTION("""COMPUTED_VALUE"""),"No")</f>
        <v>No</v>
      </c>
      <c r="G2221" s="8" t="str">
        <f ca="1">IFERROR(__xludf.DUMMYFUNCTION("""COMPUTED_VALUE"""),"None")</f>
        <v>None</v>
      </c>
    </row>
    <row r="2222" spans="1:7" ht="12.75">
      <c r="A2222" s="8" t="str">
        <f ca="1">IFERROR(__xludf.DUMMYFUNCTION("""COMPUTED_VALUE"""),"19800910DCSPW")</f>
        <v>19800910DCSPW</v>
      </c>
      <c r="B2222" s="8">
        <f ca="1">IFERROR(__xludf.DUMMYFUNCTION("""COMPUTED_VALUE"""),18)</f>
        <v>18</v>
      </c>
      <c r="C2222" s="8" t="str">
        <f ca="1">IFERROR(__xludf.DUMMYFUNCTION("""COMPUTED_VALUE"""),"Male")</f>
        <v>Male</v>
      </c>
      <c r="D2222" s="8" t="str">
        <f ca="1">IFERROR(__xludf.DUMMYFUNCTION("""COMPUTED_VALUE"""),"Student")</f>
        <v>Student</v>
      </c>
      <c r="E2222" s="8" t="str">
        <f ca="1">IFERROR(__xludf.DUMMYFUNCTION("""COMPUTED_VALUE"""),"Surrendered")</f>
        <v>Surrendered</v>
      </c>
      <c r="F2222" s="8" t="str">
        <f ca="1">IFERROR(__xludf.DUMMYFUNCTION("""COMPUTED_VALUE"""),"No")</f>
        <v>No</v>
      </c>
      <c r="G2222" s="8" t="str">
        <f ca="1">IFERROR(__xludf.DUMMYFUNCTION("""COMPUTED_VALUE"""),"None")</f>
        <v>None</v>
      </c>
    </row>
    <row r="2223" spans="1:7" ht="12.75">
      <c r="A2223" s="8" t="str">
        <f ca="1">IFERROR(__xludf.DUMMYFUNCTION("""COMPUTED_VALUE"""),"19800908FLFOJ")</f>
        <v>19800908FLFOJ</v>
      </c>
      <c r="B2223" s="8" t="str">
        <f ca="1">IFERROR(__xludf.DUMMYFUNCTION("""COMPUTED_VALUE"""),"Teen")</f>
        <v>Teen</v>
      </c>
      <c r="C2223" s="8" t="str">
        <f ca="1">IFERROR(__xludf.DUMMYFUNCTION("""COMPUTED_VALUE"""),"Male")</f>
        <v>Male</v>
      </c>
      <c r="D2223" s="8" t="str">
        <f ca="1">IFERROR(__xludf.DUMMYFUNCTION("""COMPUTED_VALUE"""),"Student")</f>
        <v>Student</v>
      </c>
      <c r="E2223" s="8" t="str">
        <f ca="1">IFERROR(__xludf.DUMMYFUNCTION("""COMPUTED_VALUE"""),"Fled/Apprehended")</f>
        <v>Fled/Apprehended</v>
      </c>
      <c r="F2223" s="8" t="str">
        <f ca="1">IFERROR(__xludf.DUMMYFUNCTION("""COMPUTED_VALUE"""),"No")</f>
        <v>No</v>
      </c>
      <c r="G2223" s="8" t="str">
        <f ca="1">IFERROR(__xludf.DUMMYFUNCTION("""COMPUTED_VALUE"""),"None")</f>
        <v>None</v>
      </c>
    </row>
    <row r="2224" spans="1:7" ht="12.75">
      <c r="A2224" s="8" t="str">
        <f ca="1">IFERROR(__xludf.DUMMYFUNCTION("""COMPUTED_VALUE"""),"19800902CAWHL")</f>
        <v>19800902CAWHL</v>
      </c>
      <c r="B2224" s="8">
        <f ca="1">IFERROR(__xludf.DUMMYFUNCTION("""COMPUTED_VALUE"""),18)</f>
        <v>18</v>
      </c>
      <c r="C2224" s="8" t="str">
        <f ca="1">IFERROR(__xludf.DUMMYFUNCTION("""COMPUTED_VALUE"""),"Male")</f>
        <v>Male</v>
      </c>
      <c r="D2224" s="8" t="str">
        <f ca="1">IFERROR(__xludf.DUMMYFUNCTION("""COMPUTED_VALUE"""),"No Relation")</f>
        <v>No Relation</v>
      </c>
      <c r="E2224" s="8" t="str">
        <f ca="1">IFERROR(__xludf.DUMMYFUNCTION("""COMPUTED_VALUE"""),"Fled/Apprehended")</f>
        <v>Fled/Apprehended</v>
      </c>
      <c r="F2224" s="8" t="str">
        <f ca="1">IFERROR(__xludf.DUMMYFUNCTION("""COMPUTED_VALUE"""),"No")</f>
        <v>No</v>
      </c>
      <c r="G2224" s="8" t="str">
        <f ca="1">IFERROR(__xludf.DUMMYFUNCTION("""COMPUTED_VALUE"""),"None")</f>
        <v>None</v>
      </c>
    </row>
    <row r="2225" spans="1:7" ht="12.75">
      <c r="A2225" s="8" t="str">
        <f ca="1">IFERROR(__xludf.DUMMYFUNCTION("""COMPUTED_VALUE"""),"19800530NYCLB")</f>
        <v>19800530NYCLB</v>
      </c>
      <c r="B2225" s="8">
        <f ca="1">IFERROR(__xludf.DUMMYFUNCTION("""COMPUTED_VALUE"""),15)</f>
        <v>15</v>
      </c>
      <c r="C2225" s="8" t="str">
        <f ca="1">IFERROR(__xludf.DUMMYFUNCTION("""COMPUTED_VALUE"""),"Male")</f>
        <v>Male</v>
      </c>
      <c r="D2225" s="8" t="str">
        <f ca="1">IFERROR(__xludf.DUMMYFUNCTION("""COMPUTED_VALUE"""),"Student")</f>
        <v>Student</v>
      </c>
      <c r="E2225" s="8" t="str">
        <f ca="1">IFERROR(__xludf.DUMMYFUNCTION("""COMPUTED_VALUE"""),"Fled/Apprehended")</f>
        <v>Fled/Apprehended</v>
      </c>
      <c r="F2225" s="8" t="str">
        <f ca="1">IFERROR(__xludf.DUMMYFUNCTION("""COMPUTED_VALUE"""),"No")</f>
        <v>No</v>
      </c>
      <c r="G2225" s="8" t="str">
        <f ca="1">IFERROR(__xludf.DUMMYFUNCTION("""COMPUTED_VALUE"""),"Wounded")</f>
        <v>Wounded</v>
      </c>
    </row>
    <row r="2226" spans="1:7" ht="12.75">
      <c r="A2226" s="8" t="str">
        <f ca="1">IFERROR(__xludf.DUMMYFUNCTION("""COMPUTED_VALUE"""),"19800417VACAC")</f>
        <v>19800417VACAC</v>
      </c>
      <c r="B2226" s="8">
        <f ca="1">IFERROR(__xludf.DUMMYFUNCTION("""COMPUTED_VALUE"""),53)</f>
        <v>53</v>
      </c>
      <c r="C2226" s="8" t="str">
        <f ca="1">IFERROR(__xludf.DUMMYFUNCTION("""COMPUTED_VALUE"""),"Male")</f>
        <v>Male</v>
      </c>
      <c r="D2226" s="8" t="str">
        <f ca="1">IFERROR(__xludf.DUMMYFUNCTION("""COMPUTED_VALUE"""),"Intimate Relationship")</f>
        <v>Intimate Relationship</v>
      </c>
      <c r="E2226" s="8" t="str">
        <f ca="1">IFERROR(__xludf.DUMMYFUNCTION("""COMPUTED_VALUE"""),"Surrendered")</f>
        <v>Surrendered</v>
      </c>
      <c r="F2226" s="8" t="str">
        <f ca="1">IFERROR(__xludf.DUMMYFUNCTION("""COMPUTED_VALUE"""),"No")</f>
        <v>No</v>
      </c>
      <c r="G2226" s="8" t="str">
        <f ca="1">IFERROR(__xludf.DUMMYFUNCTION("""COMPUTED_VALUE"""),"None")</f>
        <v>None</v>
      </c>
    </row>
    <row r="2227" spans="1:7" ht="12.75">
      <c r="A2227" s="8" t="str">
        <f ca="1">IFERROR(__xludf.DUMMYFUNCTION("""COMPUTED_VALUE"""),"19800331MDFRB")</f>
        <v>19800331MDFRB</v>
      </c>
      <c r="B2227" s="8">
        <f ca="1">IFERROR(__xludf.DUMMYFUNCTION("""COMPUTED_VALUE"""),16)</f>
        <v>16</v>
      </c>
      <c r="C2227" s="8" t="str">
        <f ca="1">IFERROR(__xludf.DUMMYFUNCTION("""COMPUTED_VALUE"""),"Male")</f>
        <v>Male</v>
      </c>
      <c r="D2227" s="8" t="str">
        <f ca="1">IFERROR(__xludf.DUMMYFUNCTION("""COMPUTED_VALUE"""),"Former Student")</f>
        <v>Former Student</v>
      </c>
      <c r="E2227" s="8" t="str">
        <f ca="1">IFERROR(__xludf.DUMMYFUNCTION("""COMPUTED_VALUE"""),"Fled/Apprehended")</f>
        <v>Fled/Apprehended</v>
      </c>
      <c r="F2227" s="8" t="str">
        <f ca="1">IFERROR(__xludf.DUMMYFUNCTION("""COMPUTED_VALUE"""),"No")</f>
        <v>No</v>
      </c>
      <c r="G2227" s="8" t="str">
        <f ca="1">IFERROR(__xludf.DUMMYFUNCTION("""COMPUTED_VALUE"""),"None")</f>
        <v>None</v>
      </c>
    </row>
    <row r="2228" spans="1:7" ht="12.75">
      <c r="A2228" s="8" t="str">
        <f ca="1">IFERROR(__xludf.DUMMYFUNCTION("""COMPUTED_VALUE"""),"19800320TXJLD")</f>
        <v>19800320TXJLD</v>
      </c>
      <c r="B2228" s="8">
        <f ca="1">IFERROR(__xludf.DUMMYFUNCTION("""COMPUTED_VALUE"""),30)</f>
        <v>30</v>
      </c>
      <c r="C2228" s="8" t="str">
        <f ca="1">IFERROR(__xludf.DUMMYFUNCTION("""COMPUTED_VALUE"""),"Male")</f>
        <v>Male</v>
      </c>
      <c r="D2228" s="8" t="str">
        <f ca="1">IFERROR(__xludf.DUMMYFUNCTION("""COMPUTED_VALUE"""),"Unknown")</f>
        <v>Unknown</v>
      </c>
      <c r="E2228" s="8" t="str">
        <f ca="1">IFERROR(__xludf.DUMMYFUNCTION("""COMPUTED_VALUE"""),"Fled/Apprehended")</f>
        <v>Fled/Apprehended</v>
      </c>
      <c r="F2228" s="8" t="str">
        <f ca="1">IFERROR(__xludf.DUMMYFUNCTION("""COMPUTED_VALUE"""),"No")</f>
        <v>No</v>
      </c>
      <c r="G2228" s="8" t="str">
        <f ca="1">IFERROR(__xludf.DUMMYFUNCTION("""COMPUTED_VALUE"""),"None")</f>
        <v>None</v>
      </c>
    </row>
    <row r="2229" spans="1:7" ht="12.75">
      <c r="A2229" s="8" t="str">
        <f ca="1">IFERROR(__xludf.DUMMYFUNCTION("""COMPUTED_VALUE"""),"19800215MSHUM")</f>
        <v>19800215MSHUM</v>
      </c>
      <c r="B2229" s="8">
        <f ca="1">IFERROR(__xludf.DUMMYFUNCTION("""COMPUTED_VALUE"""),32)</f>
        <v>32</v>
      </c>
      <c r="C2229" s="8" t="str">
        <f ca="1">IFERROR(__xludf.DUMMYFUNCTION("""COMPUTED_VALUE"""),"Male")</f>
        <v>Male</v>
      </c>
      <c r="D2229" s="8" t="str">
        <f ca="1">IFERROR(__xludf.DUMMYFUNCTION("""COMPUTED_VALUE"""),"Intimate Relationship")</f>
        <v>Intimate Relationship</v>
      </c>
      <c r="E2229" s="8" t="str">
        <f ca="1">IFERROR(__xludf.DUMMYFUNCTION("""COMPUTED_VALUE"""),"Fled/Apprehended")</f>
        <v>Fled/Apprehended</v>
      </c>
      <c r="F2229" s="8" t="str">
        <f ca="1">IFERROR(__xludf.DUMMYFUNCTION("""COMPUTED_VALUE"""),"No")</f>
        <v>No</v>
      </c>
      <c r="G2229" s="8" t="str">
        <f ca="1">IFERROR(__xludf.DUMMYFUNCTION("""COMPUTED_VALUE"""),"None")</f>
        <v>None</v>
      </c>
    </row>
    <row r="2230" spans="1:7" ht="12.75">
      <c r="A2230" s="8" t="str">
        <f ca="1">IFERROR(__xludf.DUMMYFUNCTION("""COMPUTED_VALUE"""),"19800211INARI")</f>
        <v>19800211INARI</v>
      </c>
      <c r="B2230" s="8">
        <f ca="1">IFERROR(__xludf.DUMMYFUNCTION("""COMPUTED_VALUE"""),17)</f>
        <v>17</v>
      </c>
      <c r="C2230" s="8" t="str">
        <f ca="1">IFERROR(__xludf.DUMMYFUNCTION("""COMPUTED_VALUE"""),"Male")</f>
        <v>Male</v>
      </c>
      <c r="D2230" s="8" t="str">
        <f ca="1">IFERROR(__xludf.DUMMYFUNCTION("""COMPUTED_VALUE"""),"Student")</f>
        <v>Student</v>
      </c>
      <c r="E2230" s="8" t="str">
        <f ca="1">IFERROR(__xludf.DUMMYFUNCTION("""COMPUTED_VALUE"""),"Fled/Apprehended")</f>
        <v>Fled/Apprehended</v>
      </c>
      <c r="F2230" s="8" t="str">
        <f ca="1">IFERROR(__xludf.DUMMYFUNCTION("""COMPUTED_VALUE"""),"No")</f>
        <v>No</v>
      </c>
      <c r="G2230" s="8" t="str">
        <f ca="1">IFERROR(__xludf.DUMMYFUNCTION("""COMPUTED_VALUE"""),"None")</f>
        <v>None</v>
      </c>
    </row>
    <row r="2231" spans="1:7" ht="12.75">
      <c r="A2231" s="8" t="str">
        <f ca="1">IFERROR(__xludf.DUMMYFUNCTION("""COMPUTED_VALUE"""),"19800211INARI")</f>
        <v>19800211INARI</v>
      </c>
      <c r="B2231" s="8">
        <f ca="1">IFERROR(__xludf.DUMMYFUNCTION("""COMPUTED_VALUE"""),19)</f>
        <v>19</v>
      </c>
      <c r="C2231" s="8" t="str">
        <f ca="1">IFERROR(__xludf.DUMMYFUNCTION("""COMPUTED_VALUE"""),"Male")</f>
        <v>Male</v>
      </c>
      <c r="D2231" s="8" t="str">
        <f ca="1">IFERROR(__xludf.DUMMYFUNCTION("""COMPUTED_VALUE"""),"Student")</f>
        <v>Student</v>
      </c>
      <c r="E2231" s="8" t="str">
        <f ca="1">IFERROR(__xludf.DUMMYFUNCTION("""COMPUTED_VALUE"""),"Fled/Apprehended")</f>
        <v>Fled/Apprehended</v>
      </c>
      <c r="F2231" s="8" t="str">
        <f ca="1">IFERROR(__xludf.DUMMYFUNCTION("""COMPUTED_VALUE"""),"No")</f>
        <v>No</v>
      </c>
      <c r="G2231" s="8" t="str">
        <f ca="1">IFERROR(__xludf.DUMMYFUNCTION("""COMPUTED_VALUE"""),"None")</f>
        <v>None</v>
      </c>
    </row>
    <row r="2232" spans="1:7" ht="12.75">
      <c r="A2232" s="8" t="str">
        <f ca="1">IFERROR(__xludf.DUMMYFUNCTION("""COMPUTED_VALUE"""),"19800207TXVAL")</f>
        <v>19800207TXVAL</v>
      </c>
      <c r="B2232" s="8">
        <f ca="1">IFERROR(__xludf.DUMMYFUNCTION("""COMPUTED_VALUE"""),9)</f>
        <v>9</v>
      </c>
      <c r="C2232" s="8" t="str">
        <f ca="1">IFERROR(__xludf.DUMMYFUNCTION("""COMPUTED_VALUE"""),"Male")</f>
        <v>Male</v>
      </c>
      <c r="D2232" s="8" t="str">
        <f ca="1">IFERROR(__xludf.DUMMYFUNCTION("""COMPUTED_VALUE"""),"Student")</f>
        <v>Student</v>
      </c>
      <c r="E2232" s="8" t="str">
        <f ca="1">IFERROR(__xludf.DUMMYFUNCTION("""COMPUTED_VALUE"""),"Surrendered")</f>
        <v>Surrendered</v>
      </c>
      <c r="F2232" s="8" t="str">
        <f ca="1">IFERROR(__xludf.DUMMYFUNCTION("""COMPUTED_VALUE"""),"No")</f>
        <v>No</v>
      </c>
      <c r="G2232" s="8" t="str">
        <f ca="1">IFERROR(__xludf.DUMMYFUNCTION("""COMPUTED_VALUE"""),"None")</f>
        <v>None</v>
      </c>
    </row>
    <row r="2233" spans="1:7" ht="12.75">
      <c r="A2233" s="8" t="str">
        <f ca="1">IFERROR(__xludf.DUMMYFUNCTION("""COMPUTED_VALUE"""),"19800201DCLAW")</f>
        <v>19800201DCLAW</v>
      </c>
      <c r="B2233" s="8">
        <f ca="1">IFERROR(__xludf.DUMMYFUNCTION("""COMPUTED_VALUE"""),9)</f>
        <v>9</v>
      </c>
      <c r="C2233" s="8" t="str">
        <f ca="1">IFERROR(__xludf.DUMMYFUNCTION("""COMPUTED_VALUE"""),"Male")</f>
        <v>Male</v>
      </c>
      <c r="D2233" s="8" t="str">
        <f ca="1">IFERROR(__xludf.DUMMYFUNCTION("""COMPUTED_VALUE"""),"Student")</f>
        <v>Student</v>
      </c>
      <c r="E2233" s="8" t="str">
        <f ca="1">IFERROR(__xludf.DUMMYFUNCTION("""COMPUTED_VALUE"""),"Surrendered")</f>
        <v>Surrendered</v>
      </c>
      <c r="F2233" s="8" t="str">
        <f ca="1">IFERROR(__xludf.DUMMYFUNCTION("""COMPUTED_VALUE"""),"No")</f>
        <v>No</v>
      </c>
      <c r="G2233" s="8" t="str">
        <f ca="1">IFERROR(__xludf.DUMMYFUNCTION("""COMPUTED_VALUE"""),"None")</f>
        <v>None</v>
      </c>
    </row>
    <row r="2234" spans="1:7" ht="12.75">
      <c r="A2234" s="8" t="str">
        <f ca="1">IFERROR(__xludf.DUMMYFUNCTION("""COMPUTED_VALUE"""),"19800129VALAW")</f>
        <v>19800129VALAW</v>
      </c>
      <c r="B2234" s="8">
        <f ca="1">IFERROR(__xludf.DUMMYFUNCTION("""COMPUTED_VALUE"""),17)</f>
        <v>17</v>
      </c>
      <c r="C2234" s="8" t="str">
        <f ca="1">IFERROR(__xludf.DUMMYFUNCTION("""COMPUTED_VALUE"""),"Male")</f>
        <v>Male</v>
      </c>
      <c r="D2234" s="8" t="str">
        <f ca="1">IFERROR(__xludf.DUMMYFUNCTION("""COMPUTED_VALUE"""),"Student")</f>
        <v>Student</v>
      </c>
      <c r="E2234" s="8" t="str">
        <f ca="1">IFERROR(__xludf.DUMMYFUNCTION("""COMPUTED_VALUE"""),"Attempted Suicide")</f>
        <v>Attempted Suicide</v>
      </c>
      <c r="F2234" s="8" t="str">
        <f ca="1">IFERROR(__xludf.DUMMYFUNCTION("""COMPUTED_VALUE"""),"No")</f>
        <v>No</v>
      </c>
      <c r="G2234" s="8" t="str">
        <f ca="1">IFERROR(__xludf.DUMMYFUNCTION("""COMPUTED_VALUE"""),"Wounded")</f>
        <v>Wounded</v>
      </c>
    </row>
    <row r="2235" spans="1:7" ht="12.75">
      <c r="A2235" s="8" t="str">
        <f ca="1">IFERROR(__xludf.DUMMYFUNCTION("""COMPUTED_VALUE"""),"19800107ARSTS")</f>
        <v>19800107ARSTS</v>
      </c>
      <c r="B2235" s="8">
        <f ca="1">IFERROR(__xludf.DUMMYFUNCTION("""COMPUTED_VALUE"""),16)</f>
        <v>16</v>
      </c>
      <c r="C2235" s="8" t="str">
        <f ca="1">IFERROR(__xludf.DUMMYFUNCTION("""COMPUTED_VALUE"""),"Male")</f>
        <v>Male</v>
      </c>
      <c r="D2235" s="8" t="str">
        <f ca="1">IFERROR(__xludf.DUMMYFUNCTION("""COMPUTED_VALUE"""),"Student")</f>
        <v>Student</v>
      </c>
      <c r="E2235" s="8" t="str">
        <f ca="1">IFERROR(__xludf.DUMMYFUNCTION("""COMPUTED_VALUE"""),"Surrendered")</f>
        <v>Surrendered</v>
      </c>
      <c r="F2235" s="8" t="str">
        <f ca="1">IFERROR(__xludf.DUMMYFUNCTION("""COMPUTED_VALUE"""),"No")</f>
        <v>No</v>
      </c>
      <c r="G2235" s="8" t="str">
        <f ca="1">IFERROR(__xludf.DUMMYFUNCTION("""COMPUTED_VALUE"""),"None")</f>
        <v>None</v>
      </c>
    </row>
    <row r="2236" spans="1:7" ht="12.75">
      <c r="A2236" s="8" t="str">
        <f ca="1">IFERROR(__xludf.DUMMYFUNCTION("""COMPUTED_VALUE"""),"19791221MOBLS")</f>
        <v>19791221MOBLS</v>
      </c>
      <c r="B2236" s="8">
        <f ca="1">IFERROR(__xludf.DUMMYFUNCTION("""COMPUTED_VALUE"""),14)</f>
        <v>14</v>
      </c>
      <c r="C2236" s="8" t="str">
        <f ca="1">IFERROR(__xludf.DUMMYFUNCTION("""COMPUTED_VALUE"""),"Male")</f>
        <v>Male</v>
      </c>
      <c r="D2236" s="8" t="str">
        <f ca="1">IFERROR(__xludf.DUMMYFUNCTION("""COMPUTED_VALUE"""),"Student")</f>
        <v>Student</v>
      </c>
      <c r="E2236" s="8" t="str">
        <f ca="1">IFERROR(__xludf.DUMMYFUNCTION("""COMPUTED_VALUE"""),"Fled/Apprehended")</f>
        <v>Fled/Apprehended</v>
      </c>
      <c r="F2236" s="8" t="str">
        <f ca="1">IFERROR(__xludf.DUMMYFUNCTION("""COMPUTED_VALUE"""),"No")</f>
        <v>No</v>
      </c>
      <c r="G2236" s="8" t="str">
        <f ca="1">IFERROR(__xludf.DUMMYFUNCTION("""COMPUTED_VALUE"""),"None")</f>
        <v>None</v>
      </c>
    </row>
    <row r="2237" spans="1:7" ht="12.75">
      <c r="A2237" s="8" t="str">
        <f ca="1">IFERROR(__xludf.DUMMYFUNCTION("""COMPUTED_VALUE"""),"19791203MDEAB")</f>
        <v>19791203MDEAB</v>
      </c>
      <c r="B2237" s="8" t="str">
        <f ca="1">IFERROR(__xludf.DUMMYFUNCTION("""COMPUTED_VALUE"""),"Teen")</f>
        <v>Teen</v>
      </c>
      <c r="C2237" s="8" t="str">
        <f ca="1">IFERROR(__xludf.DUMMYFUNCTION("""COMPUTED_VALUE"""),"Male")</f>
        <v>Male</v>
      </c>
      <c r="D2237" s="8" t="str">
        <f ca="1">IFERROR(__xludf.DUMMYFUNCTION("""COMPUTED_VALUE"""),"Student")</f>
        <v>Student</v>
      </c>
      <c r="E2237" s="8" t="str">
        <f ca="1">IFERROR(__xludf.DUMMYFUNCTION("""COMPUTED_VALUE"""),"Fled/Escaped")</f>
        <v>Fled/Escaped</v>
      </c>
      <c r="F2237" s="8" t="str">
        <f ca="1">IFERROR(__xludf.DUMMYFUNCTION("""COMPUTED_VALUE"""),"No")</f>
        <v>No</v>
      </c>
      <c r="G2237" s="8" t="str">
        <f ca="1">IFERROR(__xludf.DUMMYFUNCTION("""COMPUTED_VALUE"""),"None")</f>
        <v>None</v>
      </c>
    </row>
    <row r="2238" spans="1:7" ht="12.75">
      <c r="A2238" s="8" t="str">
        <f ca="1">IFERROR(__xludf.DUMMYFUNCTION("""COMPUTED_VALUE"""),"19791203MDEAB")</f>
        <v>19791203MDEAB</v>
      </c>
      <c r="B2238" s="8" t="str">
        <f ca="1">IFERROR(__xludf.DUMMYFUNCTION("""COMPUTED_VALUE"""),"Teen")</f>
        <v>Teen</v>
      </c>
      <c r="C2238" s="8" t="str">
        <f ca="1">IFERROR(__xludf.DUMMYFUNCTION("""COMPUTED_VALUE"""),"Male")</f>
        <v>Male</v>
      </c>
      <c r="D2238" s="8" t="str">
        <f ca="1">IFERROR(__xludf.DUMMYFUNCTION("""COMPUTED_VALUE"""),"Student")</f>
        <v>Student</v>
      </c>
      <c r="E2238" s="8" t="str">
        <f ca="1">IFERROR(__xludf.DUMMYFUNCTION("""COMPUTED_VALUE"""),"Fled/Escaped")</f>
        <v>Fled/Escaped</v>
      </c>
      <c r="F2238" s="8" t="str">
        <f ca="1">IFERROR(__xludf.DUMMYFUNCTION("""COMPUTED_VALUE"""),"No")</f>
        <v>No</v>
      </c>
      <c r="G2238" s="8" t="str">
        <f ca="1">IFERROR(__xludf.DUMMYFUNCTION("""COMPUTED_VALUE"""),"None")</f>
        <v>None</v>
      </c>
    </row>
    <row r="2239" spans="1:7" ht="12.75">
      <c r="A2239" s="8" t="str">
        <f ca="1">IFERROR(__xludf.DUMMYFUNCTION("""COMPUTED_VALUE"""),"19791203MDEAB")</f>
        <v>19791203MDEAB</v>
      </c>
      <c r="B2239" s="8" t="str">
        <f ca="1">IFERROR(__xludf.DUMMYFUNCTION("""COMPUTED_VALUE"""),"Teen")</f>
        <v>Teen</v>
      </c>
      <c r="C2239" s="8" t="str">
        <f ca="1">IFERROR(__xludf.DUMMYFUNCTION("""COMPUTED_VALUE"""),"Male")</f>
        <v>Male</v>
      </c>
      <c r="D2239" s="8" t="str">
        <f ca="1">IFERROR(__xludf.DUMMYFUNCTION("""COMPUTED_VALUE"""),"Student")</f>
        <v>Student</v>
      </c>
      <c r="E2239" s="8" t="str">
        <f ca="1">IFERROR(__xludf.DUMMYFUNCTION("""COMPUTED_VALUE"""),"Fled/Escaped")</f>
        <v>Fled/Escaped</v>
      </c>
      <c r="F2239" s="8" t="str">
        <f ca="1">IFERROR(__xludf.DUMMYFUNCTION("""COMPUTED_VALUE"""),"No")</f>
        <v>No</v>
      </c>
      <c r="G2239" s="8" t="str">
        <f ca="1">IFERROR(__xludf.DUMMYFUNCTION("""COMPUTED_VALUE"""),"None")</f>
        <v>None</v>
      </c>
    </row>
    <row r="2240" spans="1:7" ht="12.75">
      <c r="A2240" s="8" t="str">
        <f ca="1">IFERROR(__xludf.DUMMYFUNCTION("""COMPUTED_VALUE"""),"19791203MDEAB")</f>
        <v>19791203MDEAB</v>
      </c>
      <c r="B2240" s="8" t="str">
        <f ca="1">IFERROR(__xludf.DUMMYFUNCTION("""COMPUTED_VALUE"""),"Teen")</f>
        <v>Teen</v>
      </c>
      <c r="C2240" s="8" t="str">
        <f ca="1">IFERROR(__xludf.DUMMYFUNCTION("""COMPUTED_VALUE"""),"Male")</f>
        <v>Male</v>
      </c>
      <c r="D2240" s="8" t="str">
        <f ca="1">IFERROR(__xludf.DUMMYFUNCTION("""COMPUTED_VALUE"""),"Student")</f>
        <v>Student</v>
      </c>
      <c r="E2240" s="8" t="str">
        <f ca="1">IFERROR(__xludf.DUMMYFUNCTION("""COMPUTED_VALUE"""),"Fled/Escaped")</f>
        <v>Fled/Escaped</v>
      </c>
      <c r="F2240" s="8" t="str">
        <f ca="1">IFERROR(__xludf.DUMMYFUNCTION("""COMPUTED_VALUE"""),"No")</f>
        <v>No</v>
      </c>
      <c r="G2240" s="8" t="str">
        <f ca="1">IFERROR(__xludf.DUMMYFUNCTION("""COMPUTED_VALUE"""),"None")</f>
        <v>None</v>
      </c>
    </row>
    <row r="2241" spans="1:7" ht="12.75">
      <c r="A2241" s="8" t="str">
        <f ca="1">IFERROR(__xludf.DUMMYFUNCTION("""COMPUTED_VALUE"""),"19791130TXUNL")</f>
        <v>19791130TXUNL</v>
      </c>
      <c r="B2241" s="8">
        <f ca="1">IFERROR(__xludf.DUMMYFUNCTION("""COMPUTED_VALUE"""),14)</f>
        <v>14</v>
      </c>
      <c r="C2241" s="8" t="str">
        <f ca="1">IFERROR(__xludf.DUMMYFUNCTION("""COMPUTED_VALUE"""),"Male")</f>
        <v>Male</v>
      </c>
      <c r="D2241" s="8" t="str">
        <f ca="1">IFERROR(__xludf.DUMMYFUNCTION("""COMPUTED_VALUE"""),"Student")</f>
        <v>Student</v>
      </c>
      <c r="E2241" s="8" t="str">
        <f ca="1">IFERROR(__xludf.DUMMYFUNCTION("""COMPUTED_VALUE"""),"Surrendered")</f>
        <v>Surrendered</v>
      </c>
      <c r="F2241" s="8" t="str">
        <f ca="1">IFERROR(__xludf.DUMMYFUNCTION("""COMPUTED_VALUE"""),"No")</f>
        <v>No</v>
      </c>
      <c r="G2241" s="8" t="str">
        <f ca="1">IFERROR(__xludf.DUMMYFUNCTION("""COMPUTED_VALUE"""),"None")</f>
        <v>None</v>
      </c>
    </row>
    <row r="2242" spans="1:7" ht="12.75">
      <c r="A2242" s="8" t="str">
        <f ca="1">IFERROR(__xludf.DUMMYFUNCTION("""COMPUTED_VALUE"""),"19791105INWAI")</f>
        <v>19791105INWAI</v>
      </c>
      <c r="B2242" s="8">
        <f ca="1">IFERROR(__xludf.DUMMYFUNCTION("""COMPUTED_VALUE"""),18)</f>
        <v>18</v>
      </c>
      <c r="C2242" s="8" t="str">
        <f ca="1">IFERROR(__xludf.DUMMYFUNCTION("""COMPUTED_VALUE"""),"Male")</f>
        <v>Male</v>
      </c>
      <c r="D2242" s="8" t="str">
        <f ca="1">IFERROR(__xludf.DUMMYFUNCTION("""COMPUTED_VALUE"""),"Student")</f>
        <v>Student</v>
      </c>
      <c r="E2242" s="8" t="str">
        <f ca="1">IFERROR(__xludf.DUMMYFUNCTION("""COMPUTED_VALUE"""),"Fled/Apprehended")</f>
        <v>Fled/Apprehended</v>
      </c>
      <c r="F2242" s="8" t="str">
        <f ca="1">IFERROR(__xludf.DUMMYFUNCTION("""COMPUTED_VALUE"""),"No")</f>
        <v>No</v>
      </c>
      <c r="G2242" s="8" t="str">
        <f ca="1">IFERROR(__xludf.DUMMYFUNCTION("""COMPUTED_VALUE"""),"None")</f>
        <v>None</v>
      </c>
    </row>
    <row r="2243" spans="1:7" ht="12.75">
      <c r="A2243" s="8" t="str">
        <f ca="1">IFERROR(__xludf.DUMMYFUNCTION("""COMPUTED_VALUE"""),"19791023MOOFS")</f>
        <v>19791023MOOFS</v>
      </c>
      <c r="B2243" s="8">
        <f ca="1">IFERROR(__xludf.DUMMYFUNCTION("""COMPUTED_VALUE"""),16)</f>
        <v>16</v>
      </c>
      <c r="C2243" s="8" t="str">
        <f ca="1">IFERROR(__xludf.DUMMYFUNCTION("""COMPUTED_VALUE"""),"Male")</f>
        <v>Male</v>
      </c>
      <c r="D2243" s="8" t="str">
        <f ca="1">IFERROR(__xludf.DUMMYFUNCTION("""COMPUTED_VALUE"""),"Student")</f>
        <v>Student</v>
      </c>
      <c r="E2243" s="8" t="str">
        <f ca="1">IFERROR(__xludf.DUMMYFUNCTION("""COMPUTED_VALUE"""),"Fled/Apprehended")</f>
        <v>Fled/Apprehended</v>
      </c>
      <c r="F2243" s="8" t="str">
        <f ca="1">IFERROR(__xludf.DUMMYFUNCTION("""COMPUTED_VALUE"""),"No")</f>
        <v>No</v>
      </c>
      <c r="G2243" s="8" t="str">
        <f ca="1">IFERROR(__xludf.DUMMYFUNCTION("""COMPUTED_VALUE"""),"None")</f>
        <v>None</v>
      </c>
    </row>
    <row r="2244" spans="1:7" ht="12.75">
      <c r="A2244" s="8" t="str">
        <f ca="1">IFERROR(__xludf.DUMMYFUNCTION("""COMPUTED_VALUE"""),"19790928MACHC")</f>
        <v>19790928MACHC</v>
      </c>
      <c r="B2244" s="8" t="str">
        <f ca="1">IFERROR(__xludf.DUMMYFUNCTION("""COMPUTED_VALUE"""),"Teen")</f>
        <v>Teen</v>
      </c>
      <c r="C2244" s="8" t="str">
        <f ca="1">IFERROR(__xludf.DUMMYFUNCTION("""COMPUTED_VALUE"""),"Male")</f>
        <v>Male</v>
      </c>
      <c r="D2244" s="8" t="str">
        <f ca="1">IFERROR(__xludf.DUMMYFUNCTION("""COMPUTED_VALUE"""),"Unknown")</f>
        <v>Unknown</v>
      </c>
      <c r="E2244" s="8" t="str">
        <f ca="1">IFERROR(__xludf.DUMMYFUNCTION("""COMPUTED_VALUE"""),"Fled/Escaped")</f>
        <v>Fled/Escaped</v>
      </c>
      <c r="F2244" s="8" t="str">
        <f ca="1">IFERROR(__xludf.DUMMYFUNCTION("""COMPUTED_VALUE"""),"No")</f>
        <v>No</v>
      </c>
      <c r="G2244" s="8" t="str">
        <f ca="1">IFERROR(__xludf.DUMMYFUNCTION("""COMPUTED_VALUE"""),"None")</f>
        <v>None</v>
      </c>
    </row>
    <row r="2245" spans="1:7" ht="12.75">
      <c r="A2245" s="8" t="str">
        <f ca="1">IFERROR(__xludf.DUMMYFUNCTION("""COMPUTED_VALUE"""),"19790928MACHC")</f>
        <v>19790928MACHC</v>
      </c>
      <c r="B2245" s="8" t="str">
        <f ca="1">IFERROR(__xludf.DUMMYFUNCTION("""COMPUTED_VALUE"""),"Teen")</f>
        <v>Teen</v>
      </c>
      <c r="C2245" s="8" t="str">
        <f ca="1">IFERROR(__xludf.DUMMYFUNCTION("""COMPUTED_VALUE"""),"Male")</f>
        <v>Male</v>
      </c>
      <c r="D2245" s="8" t="str">
        <f ca="1">IFERROR(__xludf.DUMMYFUNCTION("""COMPUTED_VALUE"""),"Unknown")</f>
        <v>Unknown</v>
      </c>
      <c r="E2245" s="8" t="str">
        <f ca="1">IFERROR(__xludf.DUMMYFUNCTION("""COMPUTED_VALUE"""),"Fled/Escaped")</f>
        <v>Fled/Escaped</v>
      </c>
      <c r="F2245" s="8" t="str">
        <f ca="1">IFERROR(__xludf.DUMMYFUNCTION("""COMPUTED_VALUE"""),"No")</f>
        <v>No</v>
      </c>
      <c r="G2245" s="8" t="str">
        <f ca="1">IFERROR(__xludf.DUMMYFUNCTION("""COMPUTED_VALUE"""),"None")</f>
        <v>None</v>
      </c>
    </row>
    <row r="2246" spans="1:7" ht="12.75">
      <c r="A2246" s="8" t="str">
        <f ca="1">IFERROR(__xludf.DUMMYFUNCTION("""COMPUTED_VALUE"""),"19790926LACAN")</f>
        <v>19790926LACAN</v>
      </c>
      <c r="B2246" s="8">
        <f ca="1">IFERROR(__xludf.DUMMYFUNCTION("""COMPUTED_VALUE"""),13)</f>
        <v>13</v>
      </c>
      <c r="C2246" s="8" t="str">
        <f ca="1">IFERROR(__xludf.DUMMYFUNCTION("""COMPUTED_VALUE"""),"Male")</f>
        <v>Male</v>
      </c>
      <c r="D2246" s="8" t="str">
        <f ca="1">IFERROR(__xludf.DUMMYFUNCTION("""COMPUTED_VALUE"""),"Student")</f>
        <v>Student</v>
      </c>
      <c r="E2246" s="8" t="str">
        <f ca="1">IFERROR(__xludf.DUMMYFUNCTION("""COMPUTED_VALUE"""),"Surrendered")</f>
        <v>Surrendered</v>
      </c>
      <c r="F2246" s="8" t="str">
        <f ca="1">IFERROR(__xludf.DUMMYFUNCTION("""COMPUTED_VALUE"""),"No")</f>
        <v>No</v>
      </c>
      <c r="G2246" s="8" t="str">
        <f ca="1">IFERROR(__xludf.DUMMYFUNCTION("""COMPUTED_VALUE"""),"None")</f>
        <v>None</v>
      </c>
    </row>
    <row r="2247" spans="1:7" ht="12.75">
      <c r="A2247" s="8" t="str">
        <f ca="1">IFERROR(__xludf.DUMMYFUNCTION("""COMPUTED_VALUE"""),"19790926LACAN")</f>
        <v>19790926LACAN</v>
      </c>
      <c r="B2247" s="8">
        <f ca="1">IFERROR(__xludf.DUMMYFUNCTION("""COMPUTED_VALUE"""),15)</f>
        <v>15</v>
      </c>
      <c r="C2247" s="8" t="str">
        <f ca="1">IFERROR(__xludf.DUMMYFUNCTION("""COMPUTED_VALUE"""),"Male")</f>
        <v>Male</v>
      </c>
      <c r="D2247" s="8" t="str">
        <f ca="1">IFERROR(__xludf.DUMMYFUNCTION("""COMPUTED_VALUE"""),"Student")</f>
        <v>Student</v>
      </c>
      <c r="E2247" s="8" t="str">
        <f ca="1">IFERROR(__xludf.DUMMYFUNCTION("""COMPUTED_VALUE"""),"Surrendered")</f>
        <v>Surrendered</v>
      </c>
      <c r="F2247" s="8" t="str">
        <f ca="1">IFERROR(__xludf.DUMMYFUNCTION("""COMPUTED_VALUE"""),"No")</f>
        <v>No</v>
      </c>
      <c r="G2247" s="8" t="str">
        <f ca="1">IFERROR(__xludf.DUMMYFUNCTION("""COMPUTED_VALUE"""),"None")</f>
        <v>None</v>
      </c>
    </row>
    <row r="2248" spans="1:7" ht="12.75">
      <c r="A2248" s="8" t="str">
        <f ca="1">IFERROR(__xludf.DUMMYFUNCTION("""COMPUTED_VALUE"""),"19790614OHNEN")</f>
        <v>19790614OHNEN</v>
      </c>
      <c r="B2248" s="8">
        <f ca="1">IFERROR(__xludf.DUMMYFUNCTION("""COMPUTED_VALUE"""),13)</f>
        <v>13</v>
      </c>
      <c r="C2248" s="8" t="str">
        <f ca="1">IFERROR(__xludf.DUMMYFUNCTION("""COMPUTED_VALUE"""),"Male")</f>
        <v>Male</v>
      </c>
      <c r="D2248" s="8" t="str">
        <f ca="1">IFERROR(__xludf.DUMMYFUNCTION("""COMPUTED_VALUE"""),"Unknown")</f>
        <v>Unknown</v>
      </c>
      <c r="E2248" s="8" t="str">
        <f ca="1">IFERROR(__xludf.DUMMYFUNCTION("""COMPUTED_VALUE"""),"Fled/Apprehended")</f>
        <v>Fled/Apprehended</v>
      </c>
      <c r="F2248" s="8" t="str">
        <f ca="1">IFERROR(__xludf.DUMMYFUNCTION("""COMPUTED_VALUE"""),"No")</f>
        <v>No</v>
      </c>
      <c r="G2248" s="8" t="str">
        <f ca="1">IFERROR(__xludf.DUMMYFUNCTION("""COMPUTED_VALUE"""),"None")</f>
        <v>None</v>
      </c>
    </row>
    <row r="2249" spans="1:7" ht="12.75">
      <c r="A2249" s="8" t="str">
        <f ca="1">IFERROR(__xludf.DUMMYFUNCTION("""COMPUTED_VALUE"""),"19790426TXAZA")</f>
        <v>19790426TXAZA</v>
      </c>
      <c r="B2249" s="8">
        <f ca="1">IFERROR(__xludf.DUMMYFUNCTION("""COMPUTED_VALUE"""),14)</f>
        <v>14</v>
      </c>
      <c r="C2249" s="8" t="str">
        <f ca="1">IFERROR(__xludf.DUMMYFUNCTION("""COMPUTED_VALUE"""),"Male")</f>
        <v>Male</v>
      </c>
      <c r="D2249" s="8" t="str">
        <f ca="1">IFERROR(__xludf.DUMMYFUNCTION("""COMPUTED_VALUE"""),"Student")</f>
        <v>Student</v>
      </c>
      <c r="E2249" s="8" t="str">
        <f ca="1">IFERROR(__xludf.DUMMYFUNCTION("""COMPUTED_VALUE"""),"Fled/Apprehended")</f>
        <v>Fled/Apprehended</v>
      </c>
      <c r="F2249" s="8" t="str">
        <f ca="1">IFERROR(__xludf.DUMMYFUNCTION("""COMPUTED_VALUE"""),"No")</f>
        <v>No</v>
      </c>
      <c r="G2249" s="8" t="str">
        <f ca="1">IFERROR(__xludf.DUMMYFUNCTION("""COMPUTED_VALUE"""),"None")</f>
        <v>None</v>
      </c>
    </row>
    <row r="2250" spans="1:7" ht="12.75">
      <c r="A2250" s="8" t="str">
        <f ca="1">IFERROR(__xludf.DUMMYFUNCTION("""COMPUTED_VALUE"""),"19790425PAMAH")</f>
        <v>19790425PAMAH</v>
      </c>
      <c r="B2250" s="8"/>
      <c r="C2250" s="8"/>
      <c r="D2250" s="8" t="str">
        <f ca="1">IFERROR(__xludf.DUMMYFUNCTION("""COMPUTED_VALUE"""),"Unknown")</f>
        <v>Unknown</v>
      </c>
      <c r="E2250" s="8" t="str">
        <f ca="1">IFERROR(__xludf.DUMMYFUNCTION("""COMPUTED_VALUE"""),"Unknown")</f>
        <v>Unknown</v>
      </c>
      <c r="F2250" s="8" t="str">
        <f ca="1">IFERROR(__xludf.DUMMYFUNCTION("""COMPUTED_VALUE"""),"No")</f>
        <v>No</v>
      </c>
      <c r="G2250" s="8" t="str">
        <f ca="1">IFERROR(__xludf.DUMMYFUNCTION("""COMPUTED_VALUE"""),"None")</f>
        <v>None</v>
      </c>
    </row>
    <row r="2251" spans="1:7" ht="12.75">
      <c r="A2251" s="8" t="str">
        <f ca="1">IFERROR(__xludf.DUMMYFUNCTION("""COMPUTED_VALUE"""),"19790416WIWIM")</f>
        <v>19790416WIWIM</v>
      </c>
      <c r="B2251" s="8">
        <f ca="1">IFERROR(__xludf.DUMMYFUNCTION("""COMPUTED_VALUE"""),28)</f>
        <v>28</v>
      </c>
      <c r="C2251" s="8" t="str">
        <f ca="1">IFERROR(__xludf.DUMMYFUNCTION("""COMPUTED_VALUE"""),"Male")</f>
        <v>Male</v>
      </c>
      <c r="D2251" s="8" t="str">
        <f ca="1">IFERROR(__xludf.DUMMYFUNCTION("""COMPUTED_VALUE"""),"Other Staff")</f>
        <v>Other Staff</v>
      </c>
      <c r="E2251" s="8" t="str">
        <f ca="1">IFERROR(__xludf.DUMMYFUNCTION("""COMPUTED_VALUE"""),"Surrendered")</f>
        <v>Surrendered</v>
      </c>
      <c r="F2251" s="8" t="str">
        <f ca="1">IFERROR(__xludf.DUMMYFUNCTION("""COMPUTED_VALUE"""),"No")</f>
        <v>No</v>
      </c>
      <c r="G2251" s="8" t="str">
        <f ca="1">IFERROR(__xludf.DUMMYFUNCTION("""COMPUTED_VALUE"""),"None")</f>
        <v>None</v>
      </c>
    </row>
    <row r="2252" spans="1:7" ht="12.75">
      <c r="A2252" s="8" t="str">
        <f ca="1">IFERROR(__xludf.DUMMYFUNCTION("""COMPUTED_VALUE"""),"19790328CALOL")</f>
        <v>19790328CALOL</v>
      </c>
      <c r="B2252" s="8">
        <f ca="1">IFERROR(__xludf.DUMMYFUNCTION("""COMPUTED_VALUE"""),19)</f>
        <v>19</v>
      </c>
      <c r="C2252" s="8" t="str">
        <f ca="1">IFERROR(__xludf.DUMMYFUNCTION("""COMPUTED_VALUE"""),"Male")</f>
        <v>Male</v>
      </c>
      <c r="D2252" s="8" t="str">
        <f ca="1">IFERROR(__xludf.DUMMYFUNCTION("""COMPUTED_VALUE"""),"Unknown")</f>
        <v>Unknown</v>
      </c>
      <c r="E2252" s="8" t="str">
        <f ca="1">IFERROR(__xludf.DUMMYFUNCTION("""COMPUTED_VALUE"""),"Fled/Apprehended")</f>
        <v>Fled/Apprehended</v>
      </c>
      <c r="F2252" s="8" t="str">
        <f ca="1">IFERROR(__xludf.DUMMYFUNCTION("""COMPUTED_VALUE"""),"No")</f>
        <v>No</v>
      </c>
      <c r="G2252" s="8" t="str">
        <f ca="1">IFERROR(__xludf.DUMMYFUNCTION("""COMPUTED_VALUE"""),"None")</f>
        <v>None</v>
      </c>
    </row>
    <row r="2253" spans="1:7" ht="12.75">
      <c r="A2253" s="8" t="str">
        <f ca="1">IFERROR(__xludf.DUMMYFUNCTION("""COMPUTED_VALUE"""),"19790314FLMCM")</f>
        <v>19790314FLMCM</v>
      </c>
      <c r="B2253" s="8" t="str">
        <f ca="1">IFERROR(__xludf.DUMMYFUNCTION("""COMPUTED_VALUE"""),"Teen")</f>
        <v>Teen</v>
      </c>
      <c r="C2253" s="8" t="str">
        <f ca="1">IFERROR(__xludf.DUMMYFUNCTION("""COMPUTED_VALUE"""),"Male")</f>
        <v>Male</v>
      </c>
      <c r="D2253" s="8" t="str">
        <f ca="1">IFERROR(__xludf.DUMMYFUNCTION("""COMPUTED_VALUE"""),"Unknown")</f>
        <v>Unknown</v>
      </c>
      <c r="E2253" s="8" t="str">
        <f ca="1">IFERROR(__xludf.DUMMYFUNCTION("""COMPUTED_VALUE"""),"Fled/Apprehended")</f>
        <v>Fled/Apprehended</v>
      </c>
      <c r="F2253" s="8" t="str">
        <f ca="1">IFERROR(__xludf.DUMMYFUNCTION("""COMPUTED_VALUE"""),"No")</f>
        <v>No</v>
      </c>
      <c r="G2253" s="8" t="str">
        <f ca="1">IFERROR(__xludf.DUMMYFUNCTION("""COMPUTED_VALUE"""),"None")</f>
        <v>None</v>
      </c>
    </row>
    <row r="2254" spans="1:7" ht="12.75">
      <c r="A2254" s="8" t="str">
        <f ca="1">IFERROR(__xludf.DUMMYFUNCTION("""COMPUTED_VALUE"""),"19790226CABAB")</f>
        <v>19790226CABAB</v>
      </c>
      <c r="B2254" s="8">
        <f ca="1">IFERROR(__xludf.DUMMYFUNCTION("""COMPUTED_VALUE"""),18)</f>
        <v>18</v>
      </c>
      <c r="C2254" s="8" t="str">
        <f ca="1">IFERROR(__xludf.DUMMYFUNCTION("""COMPUTED_VALUE"""),"Male")</f>
        <v>Male</v>
      </c>
      <c r="D2254" s="8" t="str">
        <f ca="1">IFERROR(__xludf.DUMMYFUNCTION("""COMPUTED_VALUE"""),"Student")</f>
        <v>Student</v>
      </c>
      <c r="E2254" s="8" t="str">
        <f ca="1">IFERROR(__xludf.DUMMYFUNCTION("""COMPUTED_VALUE"""),"Fled/Apprehended")</f>
        <v>Fled/Apprehended</v>
      </c>
      <c r="F2254" s="8" t="str">
        <f ca="1">IFERROR(__xludf.DUMMYFUNCTION("""COMPUTED_VALUE"""),"No")</f>
        <v>No</v>
      </c>
      <c r="G2254" s="8" t="str">
        <f ca="1">IFERROR(__xludf.DUMMYFUNCTION("""COMPUTED_VALUE"""),"None")</f>
        <v>None</v>
      </c>
    </row>
    <row r="2255" spans="1:7" ht="12.75">
      <c r="A2255" s="8" t="str">
        <f ca="1">IFERROR(__xludf.DUMMYFUNCTION("""COMPUTED_VALUE"""),"19790129CAGRS")</f>
        <v>19790129CAGRS</v>
      </c>
      <c r="B2255" s="8">
        <f ca="1">IFERROR(__xludf.DUMMYFUNCTION("""COMPUTED_VALUE"""),16)</f>
        <v>16</v>
      </c>
      <c r="C2255" s="8" t="str">
        <f ca="1">IFERROR(__xludf.DUMMYFUNCTION("""COMPUTED_VALUE"""),"Female")</f>
        <v>Female</v>
      </c>
      <c r="D2255" s="8" t="str">
        <f ca="1">IFERROR(__xludf.DUMMYFUNCTION("""COMPUTED_VALUE"""),"No Relation")</f>
        <v>No Relation</v>
      </c>
      <c r="E2255" s="8" t="str">
        <f ca="1">IFERROR(__xludf.DUMMYFUNCTION("""COMPUTED_VALUE"""),"Apprehended/Killed by LE")</f>
        <v>Apprehended/Killed by LE</v>
      </c>
      <c r="F2255" s="8" t="str">
        <f ca="1">IFERROR(__xludf.DUMMYFUNCTION("""COMPUTED_VALUE"""),"No")</f>
        <v>No</v>
      </c>
      <c r="G2255" s="8" t="str">
        <f ca="1">IFERROR(__xludf.DUMMYFUNCTION("""COMPUTED_VALUE"""),"None")</f>
        <v>None</v>
      </c>
    </row>
    <row r="2256" spans="1:7" ht="12.75">
      <c r="A2256" s="8" t="str">
        <f ca="1">IFERROR(__xludf.DUMMYFUNCTION("""COMPUTED_VALUE"""),"19781214CTWIN")</f>
        <v>19781214CTWIN</v>
      </c>
      <c r="B2256" s="8">
        <f ca="1">IFERROR(__xludf.DUMMYFUNCTION("""COMPUTED_VALUE"""),17)</f>
        <v>17</v>
      </c>
      <c r="C2256" s="8" t="str">
        <f ca="1">IFERROR(__xludf.DUMMYFUNCTION("""COMPUTED_VALUE"""),"Male")</f>
        <v>Male</v>
      </c>
      <c r="D2256" s="8" t="str">
        <f ca="1">IFERROR(__xludf.DUMMYFUNCTION("""COMPUTED_VALUE"""),"No Relation")</f>
        <v>No Relation</v>
      </c>
      <c r="E2256" s="8" t="str">
        <f ca="1">IFERROR(__xludf.DUMMYFUNCTION("""COMPUTED_VALUE"""),"Apprehended/Killed by LE")</f>
        <v>Apprehended/Killed by LE</v>
      </c>
      <c r="F2256" s="8" t="str">
        <f ca="1">IFERROR(__xludf.DUMMYFUNCTION("""COMPUTED_VALUE"""),"No")</f>
        <v>No</v>
      </c>
      <c r="G2256" s="8" t="str">
        <f ca="1">IFERROR(__xludf.DUMMYFUNCTION("""COMPUTED_VALUE"""),"None")</f>
        <v>None</v>
      </c>
    </row>
    <row r="2257" spans="1:7" ht="12.75">
      <c r="A2257" s="8" t="str">
        <f ca="1">IFERROR(__xludf.DUMMYFUNCTION("""COMPUTED_VALUE"""),"19781129NYPAN")</f>
        <v>19781129NYPAN</v>
      </c>
      <c r="B2257" s="8">
        <f ca="1">IFERROR(__xludf.DUMMYFUNCTION("""COMPUTED_VALUE"""),15)</f>
        <v>15</v>
      </c>
      <c r="C2257" s="8" t="str">
        <f ca="1">IFERROR(__xludf.DUMMYFUNCTION("""COMPUTED_VALUE"""),"Male")</f>
        <v>Male</v>
      </c>
      <c r="D2257" s="8" t="str">
        <f ca="1">IFERROR(__xludf.DUMMYFUNCTION("""COMPUTED_VALUE"""),"Student")</f>
        <v>Student</v>
      </c>
      <c r="E2257" s="8" t="str">
        <f ca="1">IFERROR(__xludf.DUMMYFUNCTION("""COMPUTED_VALUE"""),"Fled/Apprehended")</f>
        <v>Fled/Apprehended</v>
      </c>
      <c r="F2257" s="8" t="str">
        <f ca="1">IFERROR(__xludf.DUMMYFUNCTION("""COMPUTED_VALUE"""),"No")</f>
        <v>No</v>
      </c>
      <c r="G2257" s="8" t="str">
        <f ca="1">IFERROR(__xludf.DUMMYFUNCTION("""COMPUTED_VALUE"""),"None")</f>
        <v>None</v>
      </c>
    </row>
    <row r="2258" spans="1:7" ht="12.75">
      <c r="A2258" s="8" t="str">
        <f ca="1">IFERROR(__xludf.DUMMYFUNCTION("""COMPUTED_VALUE"""),"19781017MOUNU")</f>
        <v>19781017MOUNU</v>
      </c>
      <c r="B2258" s="8" t="str">
        <f ca="1">IFERROR(__xludf.DUMMYFUNCTION("""COMPUTED_VALUE"""),"Teen")</f>
        <v>Teen</v>
      </c>
      <c r="C2258" s="8" t="str">
        <f ca="1">IFERROR(__xludf.DUMMYFUNCTION("""COMPUTED_VALUE"""),"Male")</f>
        <v>Male</v>
      </c>
      <c r="D2258" s="8" t="str">
        <f ca="1">IFERROR(__xludf.DUMMYFUNCTION("""COMPUTED_VALUE"""),"Former Student")</f>
        <v>Former Student</v>
      </c>
      <c r="E2258" s="8" t="str">
        <f ca="1">IFERROR(__xludf.DUMMYFUNCTION("""COMPUTED_VALUE"""),"Fled/Escaped")</f>
        <v>Fled/Escaped</v>
      </c>
      <c r="F2258" s="8" t="str">
        <f ca="1">IFERROR(__xludf.DUMMYFUNCTION("""COMPUTED_VALUE"""),"No")</f>
        <v>No</v>
      </c>
      <c r="G2258" s="8" t="str">
        <f ca="1">IFERROR(__xludf.DUMMYFUNCTION("""COMPUTED_VALUE"""),"None")</f>
        <v>None</v>
      </c>
    </row>
    <row r="2259" spans="1:7" ht="12.75">
      <c r="A2259" s="8" t="str">
        <f ca="1">IFERROR(__xludf.DUMMYFUNCTION("""COMPUTED_VALUE"""),"19781017ALLAL")</f>
        <v>19781017ALLAL</v>
      </c>
      <c r="B2259" s="8">
        <f ca="1">IFERROR(__xludf.DUMMYFUNCTION("""COMPUTED_VALUE"""),13)</f>
        <v>13</v>
      </c>
      <c r="C2259" s="8" t="str">
        <f ca="1">IFERROR(__xludf.DUMMYFUNCTION("""COMPUTED_VALUE"""),"Male")</f>
        <v>Male</v>
      </c>
      <c r="D2259" s="8" t="str">
        <f ca="1">IFERROR(__xludf.DUMMYFUNCTION("""COMPUTED_VALUE"""),"Student")</f>
        <v>Student</v>
      </c>
      <c r="E2259" s="8" t="str">
        <f ca="1">IFERROR(__xludf.DUMMYFUNCTION("""COMPUTED_VALUE"""),"Fled/Apprehended")</f>
        <v>Fled/Apprehended</v>
      </c>
      <c r="F2259" s="8" t="str">
        <f ca="1">IFERROR(__xludf.DUMMYFUNCTION("""COMPUTED_VALUE"""),"No")</f>
        <v>No</v>
      </c>
      <c r="G2259" s="8" t="str">
        <f ca="1">IFERROR(__xludf.DUMMYFUNCTION("""COMPUTED_VALUE"""),"None")</f>
        <v>None</v>
      </c>
    </row>
    <row r="2260" spans="1:7" ht="12.75">
      <c r="A2260" s="8" t="str">
        <f ca="1">IFERROR(__xludf.DUMMYFUNCTION("""COMPUTED_VALUE"""),"19780610MAWEW")</f>
        <v>19780610MAWEW</v>
      </c>
      <c r="B2260" s="8">
        <f ca="1">IFERROR(__xludf.DUMMYFUNCTION("""COMPUTED_VALUE"""),17)</f>
        <v>17</v>
      </c>
      <c r="C2260" s="8" t="str">
        <f ca="1">IFERROR(__xludf.DUMMYFUNCTION("""COMPUTED_VALUE"""),"Male")</f>
        <v>Male</v>
      </c>
      <c r="D2260" s="8" t="str">
        <f ca="1">IFERROR(__xludf.DUMMYFUNCTION("""COMPUTED_VALUE"""),"Student")</f>
        <v>Student</v>
      </c>
      <c r="E2260" s="8" t="str">
        <f ca="1">IFERROR(__xludf.DUMMYFUNCTION("""COMPUTED_VALUE"""),"Attempted Suicide")</f>
        <v>Attempted Suicide</v>
      </c>
      <c r="F2260" s="8" t="str">
        <f ca="1">IFERROR(__xludf.DUMMYFUNCTION("""COMPUTED_VALUE"""),"No")</f>
        <v>No</v>
      </c>
      <c r="G2260" s="8" t="str">
        <f ca="1">IFERROR(__xludf.DUMMYFUNCTION("""COMPUTED_VALUE"""),"Wounded")</f>
        <v>Wounded</v>
      </c>
    </row>
    <row r="2261" spans="1:7" ht="12.75">
      <c r="A2261" s="8" t="str">
        <f ca="1">IFERROR(__xludf.DUMMYFUNCTION("""COMPUTED_VALUE"""),"19780607DEDOD")</f>
        <v>19780607DEDOD</v>
      </c>
      <c r="B2261" s="8">
        <f ca="1">IFERROR(__xludf.DUMMYFUNCTION("""COMPUTED_VALUE"""),17)</f>
        <v>17</v>
      </c>
      <c r="C2261" s="8" t="str">
        <f ca="1">IFERROR(__xludf.DUMMYFUNCTION("""COMPUTED_VALUE"""),"Male")</f>
        <v>Male</v>
      </c>
      <c r="D2261" s="8" t="str">
        <f ca="1">IFERROR(__xludf.DUMMYFUNCTION("""COMPUTED_VALUE"""),"Student")</f>
        <v>Student</v>
      </c>
      <c r="E2261" s="8" t="str">
        <f ca="1">IFERROR(__xludf.DUMMYFUNCTION("""COMPUTED_VALUE"""),"Unknown")</f>
        <v>Unknown</v>
      </c>
      <c r="F2261" s="8" t="str">
        <f ca="1">IFERROR(__xludf.DUMMYFUNCTION("""COMPUTED_VALUE"""),"No")</f>
        <v>No</v>
      </c>
      <c r="G2261" s="8" t="str">
        <f ca="1">IFERROR(__xludf.DUMMYFUNCTION("""COMPUTED_VALUE"""),"None")</f>
        <v>None</v>
      </c>
    </row>
    <row r="2262" spans="1:7" ht="12.75">
      <c r="A2262" s="8" t="str">
        <f ca="1">IFERROR(__xludf.DUMMYFUNCTION("""COMPUTED_VALUE"""),"19780519PADOP")</f>
        <v>19780519PADOP</v>
      </c>
      <c r="B2262" s="8"/>
      <c r="C2262" s="8"/>
      <c r="D2262" s="8" t="str">
        <f ca="1">IFERROR(__xludf.DUMMYFUNCTION("""COMPUTED_VALUE"""),"Unknown")</f>
        <v>Unknown</v>
      </c>
      <c r="E2262" s="8" t="str">
        <f ca="1">IFERROR(__xludf.DUMMYFUNCTION("""COMPUTED_VALUE"""),"Fled/Escaped")</f>
        <v>Fled/Escaped</v>
      </c>
      <c r="F2262" s="8" t="str">
        <f ca="1">IFERROR(__xludf.DUMMYFUNCTION("""COMPUTED_VALUE"""),"No")</f>
        <v>No</v>
      </c>
      <c r="G2262" s="8" t="str">
        <f ca="1">IFERROR(__xludf.DUMMYFUNCTION("""COMPUTED_VALUE"""),"None")</f>
        <v>None</v>
      </c>
    </row>
    <row r="2263" spans="1:7" ht="12.75">
      <c r="A2263" s="8" t="str">
        <f ca="1">IFERROR(__xludf.DUMMYFUNCTION("""COMPUTED_VALUE"""),"19780518TXMUA")</f>
        <v>19780518TXMUA</v>
      </c>
      <c r="B2263" s="8">
        <f ca="1">IFERROR(__xludf.DUMMYFUNCTION("""COMPUTED_VALUE"""),13)</f>
        <v>13</v>
      </c>
      <c r="C2263" s="8" t="str">
        <f ca="1">IFERROR(__xludf.DUMMYFUNCTION("""COMPUTED_VALUE"""),"Male")</f>
        <v>Male</v>
      </c>
      <c r="D2263" s="8" t="str">
        <f ca="1">IFERROR(__xludf.DUMMYFUNCTION("""COMPUTED_VALUE"""),"Student")</f>
        <v>Student</v>
      </c>
      <c r="E2263" s="8" t="str">
        <f ca="1">IFERROR(__xludf.DUMMYFUNCTION("""COMPUTED_VALUE"""),"Fled/Apprehended")</f>
        <v>Fled/Apprehended</v>
      </c>
      <c r="F2263" s="8" t="str">
        <f ca="1">IFERROR(__xludf.DUMMYFUNCTION("""COMPUTED_VALUE"""),"No")</f>
        <v>No</v>
      </c>
      <c r="G2263" s="8" t="str">
        <f ca="1">IFERROR(__xludf.DUMMYFUNCTION("""COMPUTED_VALUE"""),"None")</f>
        <v>None</v>
      </c>
    </row>
    <row r="2264" spans="1:7" ht="12.75">
      <c r="A2264" s="8" t="str">
        <f ca="1">IFERROR(__xludf.DUMMYFUNCTION("""COMPUTED_VALUE"""),"19780428ILRIN")</f>
        <v>19780428ILRIN</v>
      </c>
      <c r="B2264" s="8" t="str">
        <f ca="1">IFERROR(__xludf.DUMMYFUNCTION("""COMPUTED_VALUE"""),"Teen")</f>
        <v>Teen</v>
      </c>
      <c r="C2264" s="8" t="str">
        <f ca="1">IFERROR(__xludf.DUMMYFUNCTION("""COMPUTED_VALUE"""),"Male")</f>
        <v>Male</v>
      </c>
      <c r="D2264" s="8" t="str">
        <f ca="1">IFERROR(__xludf.DUMMYFUNCTION("""COMPUTED_VALUE"""),"Student")</f>
        <v>Student</v>
      </c>
      <c r="E2264" s="8" t="str">
        <f ca="1">IFERROR(__xludf.DUMMYFUNCTION("""COMPUTED_VALUE"""),"Unknown")</f>
        <v>Unknown</v>
      </c>
      <c r="F2264" s="8" t="str">
        <f ca="1">IFERROR(__xludf.DUMMYFUNCTION("""COMPUTED_VALUE"""),"No")</f>
        <v>No</v>
      </c>
      <c r="G2264" s="8" t="str">
        <f ca="1">IFERROR(__xludf.DUMMYFUNCTION("""COMPUTED_VALUE"""),"None")</f>
        <v>None</v>
      </c>
    </row>
    <row r="2265" spans="1:7" ht="12.75">
      <c r="A2265" s="8" t="str">
        <f ca="1">IFERROR(__xludf.DUMMYFUNCTION("""COMPUTED_VALUE"""),"19780426TXPAD")</f>
        <v>19780426TXPAD</v>
      </c>
      <c r="B2265" s="8">
        <f ca="1">IFERROR(__xludf.DUMMYFUNCTION("""COMPUTED_VALUE"""),56)</f>
        <v>56</v>
      </c>
      <c r="C2265" s="8" t="str">
        <f ca="1">IFERROR(__xludf.DUMMYFUNCTION("""COMPUTED_VALUE"""),"Female")</f>
        <v>Female</v>
      </c>
      <c r="D2265" s="8" t="str">
        <f ca="1">IFERROR(__xludf.DUMMYFUNCTION("""COMPUTED_VALUE"""),"Relative")</f>
        <v>Relative</v>
      </c>
      <c r="E2265" s="8" t="str">
        <f ca="1">IFERROR(__xludf.DUMMYFUNCTION("""COMPUTED_VALUE"""),"Surrendered")</f>
        <v>Surrendered</v>
      </c>
      <c r="F2265" s="8" t="str">
        <f ca="1">IFERROR(__xludf.DUMMYFUNCTION("""COMPUTED_VALUE"""),"No")</f>
        <v>No</v>
      </c>
      <c r="G2265" s="8" t="str">
        <f ca="1">IFERROR(__xludf.DUMMYFUNCTION("""COMPUTED_VALUE"""),"None")</f>
        <v>None</v>
      </c>
    </row>
    <row r="2266" spans="1:7" ht="12.75">
      <c r="A2266" s="8" t="str">
        <f ca="1">IFERROR(__xludf.DUMMYFUNCTION("""COMPUTED_VALUE"""),"19780414MIFOD")</f>
        <v>19780414MIFOD</v>
      </c>
      <c r="B2266" s="8">
        <f ca="1">IFERROR(__xludf.DUMMYFUNCTION("""COMPUTED_VALUE"""),16)</f>
        <v>16</v>
      </c>
      <c r="C2266" s="8" t="str">
        <f ca="1">IFERROR(__xludf.DUMMYFUNCTION("""COMPUTED_VALUE"""),"Male")</f>
        <v>Male</v>
      </c>
      <c r="D2266" s="8" t="str">
        <f ca="1">IFERROR(__xludf.DUMMYFUNCTION("""COMPUTED_VALUE"""),"Student")</f>
        <v>Student</v>
      </c>
      <c r="E2266" s="8" t="str">
        <f ca="1">IFERROR(__xludf.DUMMYFUNCTION("""COMPUTED_VALUE"""),"Unknown")</f>
        <v>Unknown</v>
      </c>
      <c r="F2266" s="8" t="str">
        <f ca="1">IFERROR(__xludf.DUMMYFUNCTION("""COMPUTED_VALUE"""),"No")</f>
        <v>No</v>
      </c>
      <c r="G2266" s="8" t="str">
        <f ca="1">IFERROR(__xludf.DUMMYFUNCTION("""COMPUTED_VALUE"""),"None")</f>
        <v>None</v>
      </c>
    </row>
    <row r="2267" spans="1:7" ht="12.75">
      <c r="A2267" s="8" t="str">
        <f ca="1">IFERROR(__xludf.DUMMYFUNCTION("""COMPUTED_VALUE"""),"19780329TNGAN")</f>
        <v>19780329TNGAN</v>
      </c>
      <c r="B2267" s="8" t="str">
        <f ca="1">IFERROR(__xludf.DUMMYFUNCTION("""COMPUTED_VALUE"""),"Adult")</f>
        <v>Adult</v>
      </c>
      <c r="C2267" s="8" t="str">
        <f ca="1">IFERROR(__xludf.DUMMYFUNCTION("""COMPUTED_VALUE"""),"Male")</f>
        <v>Male</v>
      </c>
      <c r="D2267" s="8" t="str">
        <f ca="1">IFERROR(__xludf.DUMMYFUNCTION("""COMPUTED_VALUE"""),"Other Staff")</f>
        <v>Other Staff</v>
      </c>
      <c r="E2267" s="8" t="str">
        <f ca="1">IFERROR(__xludf.DUMMYFUNCTION("""COMPUTED_VALUE"""),"Surrendered")</f>
        <v>Surrendered</v>
      </c>
      <c r="F2267" s="8" t="str">
        <f ca="1">IFERROR(__xludf.DUMMYFUNCTION("""COMPUTED_VALUE"""),"No")</f>
        <v>No</v>
      </c>
      <c r="G2267" s="8" t="str">
        <f ca="1">IFERROR(__xludf.DUMMYFUNCTION("""COMPUTED_VALUE"""),"None")</f>
        <v>None</v>
      </c>
    </row>
    <row r="2268" spans="1:7" ht="12.75">
      <c r="A2268" s="8" t="str">
        <f ca="1">IFERROR(__xludf.DUMMYFUNCTION("""COMPUTED_VALUE"""),"19780309CAMOS")</f>
        <v>19780309CAMOS</v>
      </c>
      <c r="B2268" s="8">
        <f ca="1">IFERROR(__xludf.DUMMYFUNCTION("""COMPUTED_VALUE"""),14)</f>
        <v>14</v>
      </c>
      <c r="C2268" s="8" t="str">
        <f ca="1">IFERROR(__xludf.DUMMYFUNCTION("""COMPUTED_VALUE"""),"Male")</f>
        <v>Male</v>
      </c>
      <c r="D2268" s="8" t="str">
        <f ca="1">IFERROR(__xludf.DUMMYFUNCTION("""COMPUTED_VALUE"""),"No Relation")</f>
        <v>No Relation</v>
      </c>
      <c r="E2268" s="8" t="str">
        <f ca="1">IFERROR(__xludf.DUMMYFUNCTION("""COMPUTED_VALUE"""),"Surrendered")</f>
        <v>Surrendered</v>
      </c>
      <c r="F2268" s="8" t="str">
        <f ca="1">IFERROR(__xludf.DUMMYFUNCTION("""COMPUTED_VALUE"""),"No")</f>
        <v>No</v>
      </c>
      <c r="G2268" s="8" t="str">
        <f ca="1">IFERROR(__xludf.DUMMYFUNCTION("""COMPUTED_VALUE"""),"None")</f>
        <v>None</v>
      </c>
    </row>
    <row r="2269" spans="1:7" ht="12.75">
      <c r="A2269" s="8" t="str">
        <f ca="1">IFERROR(__xludf.DUMMYFUNCTION("""COMPUTED_VALUE"""),"19780222MIEVL")</f>
        <v>19780222MIEVL</v>
      </c>
      <c r="B2269" s="8">
        <f ca="1">IFERROR(__xludf.DUMMYFUNCTION("""COMPUTED_VALUE"""),15)</f>
        <v>15</v>
      </c>
      <c r="C2269" s="8" t="str">
        <f ca="1">IFERROR(__xludf.DUMMYFUNCTION("""COMPUTED_VALUE"""),"Male")</f>
        <v>Male</v>
      </c>
      <c r="D2269" s="8" t="str">
        <f ca="1">IFERROR(__xludf.DUMMYFUNCTION("""COMPUTED_VALUE"""),"Student")</f>
        <v>Student</v>
      </c>
      <c r="E2269" s="8" t="str">
        <f ca="1">IFERROR(__xludf.DUMMYFUNCTION("""COMPUTED_VALUE"""),"Surrendered")</f>
        <v>Surrendered</v>
      </c>
      <c r="F2269" s="8" t="str">
        <f ca="1">IFERROR(__xludf.DUMMYFUNCTION("""COMPUTED_VALUE"""),"No")</f>
        <v>No</v>
      </c>
      <c r="G2269" s="8" t="str">
        <f ca="1">IFERROR(__xludf.DUMMYFUNCTION("""COMPUTED_VALUE"""),"None")</f>
        <v>None</v>
      </c>
    </row>
    <row r="2270" spans="1:7" ht="12.75">
      <c r="A2270" s="8" t="str">
        <f ca="1">IFERROR(__xludf.DUMMYFUNCTION("""COMPUTED_VALUE"""),"19780209WVHAS")</f>
        <v>19780209WVHAS</v>
      </c>
      <c r="B2270" s="8">
        <f ca="1">IFERROR(__xludf.DUMMYFUNCTION("""COMPUTED_VALUE"""),15)</f>
        <v>15</v>
      </c>
      <c r="C2270" s="8" t="str">
        <f ca="1">IFERROR(__xludf.DUMMYFUNCTION("""COMPUTED_VALUE"""),"Male")</f>
        <v>Male</v>
      </c>
      <c r="D2270" s="8" t="str">
        <f ca="1">IFERROR(__xludf.DUMMYFUNCTION("""COMPUTED_VALUE"""),"Student")</f>
        <v>Student</v>
      </c>
      <c r="E2270" s="8" t="str">
        <f ca="1">IFERROR(__xludf.DUMMYFUNCTION("""COMPUTED_VALUE"""),"Fled/Apprehended")</f>
        <v>Fled/Apprehended</v>
      </c>
      <c r="F2270" s="8" t="str">
        <f ca="1">IFERROR(__xludf.DUMMYFUNCTION("""COMPUTED_VALUE"""),"No")</f>
        <v>No</v>
      </c>
      <c r="G2270" s="8" t="str">
        <f ca="1">IFERROR(__xludf.DUMMYFUNCTION("""COMPUTED_VALUE"""),"None")</f>
        <v>None</v>
      </c>
    </row>
    <row r="2271" spans="1:7" ht="12.75">
      <c r="A2271" s="8" t="str">
        <f ca="1">IFERROR(__xludf.DUMMYFUNCTION("""COMPUTED_VALUE"""),"19780111KYCHH")</f>
        <v>19780111KYCHH</v>
      </c>
      <c r="B2271" s="8">
        <f ca="1">IFERROR(__xludf.DUMMYFUNCTION("""COMPUTED_VALUE"""),16)</f>
        <v>16</v>
      </c>
      <c r="C2271" s="8" t="str">
        <f ca="1">IFERROR(__xludf.DUMMYFUNCTION("""COMPUTED_VALUE"""),"Male")</f>
        <v>Male</v>
      </c>
      <c r="D2271" s="8" t="str">
        <f ca="1">IFERROR(__xludf.DUMMYFUNCTION("""COMPUTED_VALUE"""),"Student")</f>
        <v>Student</v>
      </c>
      <c r="E2271" s="8" t="str">
        <f ca="1">IFERROR(__xludf.DUMMYFUNCTION("""COMPUTED_VALUE"""),"Subdued by Students/Staff/Other")</f>
        <v>Subdued by Students/Staff/Other</v>
      </c>
      <c r="F2271" s="8" t="str">
        <f ca="1">IFERROR(__xludf.DUMMYFUNCTION("""COMPUTED_VALUE"""),"No")</f>
        <v>No</v>
      </c>
      <c r="G2271" s="8" t="str">
        <f ca="1">IFERROR(__xludf.DUMMYFUNCTION("""COMPUTED_VALUE"""),"None")</f>
        <v>None</v>
      </c>
    </row>
    <row r="2272" spans="1:7" ht="12.75">
      <c r="A2272" s="8" t="str">
        <f ca="1">IFERROR(__xludf.DUMMYFUNCTION("""COMPUTED_VALUE"""),"19771215MABLC")</f>
        <v>19771215MABLC</v>
      </c>
      <c r="B2272" s="8"/>
      <c r="C2272" s="8" t="str">
        <f ca="1">IFERROR(__xludf.DUMMYFUNCTION("""COMPUTED_VALUE"""),"Male")</f>
        <v>Male</v>
      </c>
      <c r="D2272" s="8" t="str">
        <f ca="1">IFERROR(__xludf.DUMMYFUNCTION("""COMPUTED_VALUE"""),"Unknown")</f>
        <v>Unknown</v>
      </c>
      <c r="E2272" s="8" t="str">
        <f ca="1">IFERROR(__xludf.DUMMYFUNCTION("""COMPUTED_VALUE"""),"Fled/Escaped")</f>
        <v>Fled/Escaped</v>
      </c>
      <c r="F2272" s="8" t="str">
        <f ca="1">IFERROR(__xludf.DUMMYFUNCTION("""COMPUTED_VALUE"""),"No")</f>
        <v>No</v>
      </c>
      <c r="G2272" s="8" t="str">
        <f ca="1">IFERROR(__xludf.DUMMYFUNCTION("""COMPUTED_VALUE"""),"None")</f>
        <v>None</v>
      </c>
    </row>
    <row r="2273" spans="1:7" ht="12.75">
      <c r="A2273" s="8" t="str">
        <f ca="1">IFERROR(__xludf.DUMMYFUNCTION("""COMPUTED_VALUE"""),"19771212FLWEW")</f>
        <v>19771212FLWEW</v>
      </c>
      <c r="B2273" s="8">
        <f ca="1">IFERROR(__xludf.DUMMYFUNCTION("""COMPUTED_VALUE"""),41)</f>
        <v>41</v>
      </c>
      <c r="C2273" s="8" t="str">
        <f ca="1">IFERROR(__xludf.DUMMYFUNCTION("""COMPUTED_VALUE"""),"Male")</f>
        <v>Male</v>
      </c>
      <c r="D2273" s="8" t="str">
        <f ca="1">IFERROR(__xludf.DUMMYFUNCTION("""COMPUTED_VALUE"""),"Other Staff")</f>
        <v>Other Staff</v>
      </c>
      <c r="E2273" s="8" t="str">
        <f ca="1">IFERROR(__xludf.DUMMYFUNCTION("""COMPUTED_VALUE"""),"Surrendered")</f>
        <v>Surrendered</v>
      </c>
      <c r="F2273" s="8" t="str">
        <f ca="1">IFERROR(__xludf.DUMMYFUNCTION("""COMPUTED_VALUE"""),"No")</f>
        <v>No</v>
      </c>
      <c r="G2273" s="8" t="str">
        <f ca="1">IFERROR(__xludf.DUMMYFUNCTION("""COMPUTED_VALUE"""),"None")</f>
        <v>None</v>
      </c>
    </row>
    <row r="2274" spans="1:7" ht="12.75">
      <c r="A2274" s="8" t="str">
        <f ca="1">IFERROR(__xludf.DUMMYFUNCTION("""COMPUTED_VALUE"""),"19771209CAPES")</f>
        <v>19771209CAPES</v>
      </c>
      <c r="B2274" s="8">
        <f ca="1">IFERROR(__xludf.DUMMYFUNCTION("""COMPUTED_VALUE"""),40)</f>
        <v>40</v>
      </c>
      <c r="C2274" s="8" t="str">
        <f ca="1">IFERROR(__xludf.DUMMYFUNCTION("""COMPUTED_VALUE"""),"Male")</f>
        <v>Male</v>
      </c>
      <c r="D2274" s="8" t="str">
        <f ca="1">IFERROR(__xludf.DUMMYFUNCTION("""COMPUTED_VALUE"""),"Intimate Relationship")</f>
        <v>Intimate Relationship</v>
      </c>
      <c r="E2274" s="8" t="str">
        <f ca="1">IFERROR(__xludf.DUMMYFUNCTION("""COMPUTED_VALUE"""),"Subdued by Students/Staff/Other")</f>
        <v>Subdued by Students/Staff/Other</v>
      </c>
      <c r="F2274" s="8" t="str">
        <f ca="1">IFERROR(__xludf.DUMMYFUNCTION("""COMPUTED_VALUE"""),"No")</f>
        <v>No</v>
      </c>
      <c r="G2274" s="8" t="str">
        <f ca="1">IFERROR(__xludf.DUMMYFUNCTION("""COMPUTED_VALUE"""),"None")</f>
        <v>None</v>
      </c>
    </row>
    <row r="2275" spans="1:7" ht="12.75">
      <c r="A2275" s="8" t="str">
        <f ca="1">IFERROR(__xludf.DUMMYFUNCTION("""COMPUTED_VALUE"""),"19771129MOVAS")</f>
        <v>19771129MOVAS</v>
      </c>
      <c r="B2275" s="8">
        <f ca="1">IFERROR(__xludf.DUMMYFUNCTION("""COMPUTED_VALUE"""),18)</f>
        <v>18</v>
      </c>
      <c r="C2275" s="8" t="str">
        <f ca="1">IFERROR(__xludf.DUMMYFUNCTION("""COMPUTED_VALUE"""),"Male")</f>
        <v>Male</v>
      </c>
      <c r="D2275" s="8" t="str">
        <f ca="1">IFERROR(__xludf.DUMMYFUNCTION("""COMPUTED_VALUE"""),"Student")</f>
        <v>Student</v>
      </c>
      <c r="E2275" s="8" t="str">
        <f ca="1">IFERROR(__xludf.DUMMYFUNCTION("""COMPUTED_VALUE"""),"Unknown")</f>
        <v>Unknown</v>
      </c>
      <c r="F2275" s="8" t="str">
        <f ca="1">IFERROR(__xludf.DUMMYFUNCTION("""COMPUTED_VALUE"""),"No")</f>
        <v>No</v>
      </c>
      <c r="G2275" s="8" t="str">
        <f ca="1">IFERROR(__xludf.DUMMYFUNCTION("""COMPUTED_VALUE"""),"None")</f>
        <v>None</v>
      </c>
    </row>
    <row r="2276" spans="1:7" ht="12.75">
      <c r="A2276" s="8" t="str">
        <f ca="1">IFERROR(__xludf.DUMMYFUNCTION("""COMPUTED_VALUE"""),"19771129MOHAS")</f>
        <v>19771129MOHAS</v>
      </c>
      <c r="B2276" s="8">
        <f ca="1">IFERROR(__xludf.DUMMYFUNCTION("""COMPUTED_VALUE"""),19)</f>
        <v>19</v>
      </c>
      <c r="C2276" s="8" t="str">
        <f ca="1">IFERROR(__xludf.DUMMYFUNCTION("""COMPUTED_VALUE"""),"Male")</f>
        <v>Male</v>
      </c>
      <c r="D2276" s="8" t="str">
        <f ca="1">IFERROR(__xludf.DUMMYFUNCTION("""COMPUTED_VALUE"""),"Former Student")</f>
        <v>Former Student</v>
      </c>
      <c r="E2276" s="8" t="str">
        <f ca="1">IFERROR(__xludf.DUMMYFUNCTION("""COMPUTED_VALUE"""),"Apprehended/Killed by LE")</f>
        <v>Apprehended/Killed by LE</v>
      </c>
      <c r="F2276" s="8" t="str">
        <f ca="1">IFERROR(__xludf.DUMMYFUNCTION("""COMPUTED_VALUE"""),"No")</f>
        <v>No</v>
      </c>
      <c r="G2276" s="8" t="str">
        <f ca="1">IFERROR(__xludf.DUMMYFUNCTION("""COMPUTED_VALUE"""),"None")</f>
        <v>None</v>
      </c>
    </row>
    <row r="2277" spans="1:7" ht="12.75">
      <c r="A2277" s="8" t="str">
        <f ca="1">IFERROR(__xludf.DUMMYFUNCTION("""COMPUTED_VALUE"""),"19770711COSOC")</f>
        <v>19770711COSOC</v>
      </c>
      <c r="B2277" s="8">
        <f ca="1">IFERROR(__xludf.DUMMYFUNCTION("""COMPUTED_VALUE"""),15)</f>
        <v>15</v>
      </c>
      <c r="C2277" s="8"/>
      <c r="D2277" s="8" t="str">
        <f ca="1">IFERROR(__xludf.DUMMYFUNCTION("""COMPUTED_VALUE"""),"Student")</f>
        <v>Student</v>
      </c>
      <c r="E2277" s="8" t="str">
        <f ca="1">IFERROR(__xludf.DUMMYFUNCTION("""COMPUTED_VALUE"""),"Fled/Escaped")</f>
        <v>Fled/Escaped</v>
      </c>
      <c r="F2277" s="8" t="str">
        <f ca="1">IFERROR(__xludf.DUMMYFUNCTION("""COMPUTED_VALUE"""),"No")</f>
        <v>No</v>
      </c>
      <c r="G2277" s="8" t="str">
        <f ca="1">IFERROR(__xludf.DUMMYFUNCTION("""COMPUTED_VALUE"""),"None")</f>
        <v>None</v>
      </c>
    </row>
    <row r="2278" spans="1:7" ht="12.75">
      <c r="A2278" s="8" t="str">
        <f ca="1">IFERROR(__xludf.DUMMYFUNCTION("""COMPUTED_VALUE"""),"19770622ILHOC")</f>
        <v>19770622ILHOC</v>
      </c>
      <c r="B2278" s="8" t="str">
        <f ca="1">IFERROR(__xludf.DUMMYFUNCTION("""COMPUTED_VALUE"""),"Teen")</f>
        <v>Teen</v>
      </c>
      <c r="C2278" s="8"/>
      <c r="D2278" s="8" t="str">
        <f ca="1">IFERROR(__xludf.DUMMYFUNCTION("""COMPUTED_VALUE"""),"Unknown")</f>
        <v>Unknown</v>
      </c>
      <c r="E2278" s="8" t="str">
        <f ca="1">IFERROR(__xludf.DUMMYFUNCTION("""COMPUTED_VALUE"""),"Fled/Escaped")</f>
        <v>Fled/Escaped</v>
      </c>
      <c r="F2278" s="8" t="str">
        <f ca="1">IFERROR(__xludf.DUMMYFUNCTION("""COMPUTED_VALUE"""),"No")</f>
        <v>No</v>
      </c>
      <c r="G2278" s="8" t="str">
        <f ca="1">IFERROR(__xludf.DUMMYFUNCTION("""COMPUTED_VALUE"""),"None")</f>
        <v>None</v>
      </c>
    </row>
    <row r="2279" spans="1:7" ht="12.75">
      <c r="A2279" s="8" t="str">
        <f ca="1">IFERROR(__xludf.DUMMYFUNCTION("""COMPUTED_VALUE"""),"19770517FLSTC")</f>
        <v>19770517FLSTC</v>
      </c>
      <c r="B2279" s="8">
        <f ca="1">IFERROR(__xludf.DUMMYFUNCTION("""COMPUTED_VALUE"""),22)</f>
        <v>22</v>
      </c>
      <c r="C2279" s="8" t="str">
        <f ca="1">IFERROR(__xludf.DUMMYFUNCTION("""COMPUTED_VALUE"""),"Male")</f>
        <v>Male</v>
      </c>
      <c r="D2279" s="8" t="str">
        <f ca="1">IFERROR(__xludf.DUMMYFUNCTION("""COMPUTED_VALUE"""),"No Relation")</f>
        <v>No Relation</v>
      </c>
      <c r="E2279" s="8" t="str">
        <f ca="1">IFERROR(__xludf.DUMMYFUNCTION("""COMPUTED_VALUE"""),"Fled/Apprehended")</f>
        <v>Fled/Apprehended</v>
      </c>
      <c r="F2279" s="8" t="str">
        <f ca="1">IFERROR(__xludf.DUMMYFUNCTION("""COMPUTED_VALUE"""),"No")</f>
        <v>No</v>
      </c>
      <c r="G2279" s="8" t="str">
        <f ca="1">IFERROR(__xludf.DUMMYFUNCTION("""COMPUTED_VALUE"""),"None")</f>
        <v>None</v>
      </c>
    </row>
    <row r="2280" spans="1:7" ht="12.75">
      <c r="A2280" s="8" t="str">
        <f ca="1">IFERROR(__xludf.DUMMYFUNCTION("""COMPUTED_VALUE"""),"19770418TNPIN")</f>
        <v>19770418TNPIN</v>
      </c>
      <c r="B2280" s="8">
        <f ca="1">IFERROR(__xludf.DUMMYFUNCTION("""COMPUTED_VALUE"""),46)</f>
        <v>46</v>
      </c>
      <c r="C2280" s="8" t="str">
        <f ca="1">IFERROR(__xludf.DUMMYFUNCTION("""COMPUTED_VALUE"""),"Male")</f>
        <v>Male</v>
      </c>
      <c r="D2280" s="8" t="str">
        <f ca="1">IFERROR(__xludf.DUMMYFUNCTION("""COMPUTED_VALUE"""),"Unknown")</f>
        <v>Unknown</v>
      </c>
      <c r="E2280" s="8" t="str">
        <f ca="1">IFERROR(__xludf.DUMMYFUNCTION("""COMPUTED_VALUE"""),"Fled/Apprehended")</f>
        <v>Fled/Apprehended</v>
      </c>
      <c r="F2280" s="8" t="str">
        <f ca="1">IFERROR(__xludf.DUMMYFUNCTION("""COMPUTED_VALUE"""),"No")</f>
        <v>No</v>
      </c>
      <c r="G2280" s="8" t="str">
        <f ca="1">IFERROR(__xludf.DUMMYFUNCTION("""COMPUTED_VALUE"""),"None")</f>
        <v>None</v>
      </c>
    </row>
    <row r="2281" spans="1:7" ht="12.75">
      <c r="A2281" s="8" t="str">
        <f ca="1">IFERROR(__xludf.DUMMYFUNCTION("""COMPUTED_VALUE"""),"19770407TXWHW")</f>
        <v>19770407TXWHW</v>
      </c>
      <c r="B2281" s="8">
        <f ca="1">IFERROR(__xludf.DUMMYFUNCTION("""COMPUTED_VALUE"""),17)</f>
        <v>17</v>
      </c>
      <c r="C2281" s="8" t="str">
        <f ca="1">IFERROR(__xludf.DUMMYFUNCTION("""COMPUTED_VALUE"""),"Male")</f>
        <v>Male</v>
      </c>
      <c r="D2281" s="8" t="str">
        <f ca="1">IFERROR(__xludf.DUMMYFUNCTION("""COMPUTED_VALUE"""),"Student")</f>
        <v>Student</v>
      </c>
      <c r="E2281" s="8" t="str">
        <f ca="1">IFERROR(__xludf.DUMMYFUNCTION("""COMPUTED_VALUE"""),"Unknown")</f>
        <v>Unknown</v>
      </c>
      <c r="F2281" s="8" t="str">
        <f ca="1">IFERROR(__xludf.DUMMYFUNCTION("""COMPUTED_VALUE"""),"No")</f>
        <v>No</v>
      </c>
      <c r="G2281" s="8" t="str">
        <f ca="1">IFERROR(__xludf.DUMMYFUNCTION("""COMPUTED_VALUE"""),"None")</f>
        <v>None</v>
      </c>
    </row>
    <row r="2282" spans="1:7" ht="12.75">
      <c r="A2282" s="8" t="str">
        <f ca="1">IFERROR(__xludf.DUMMYFUNCTION("""COMPUTED_VALUE"""),"19770321NYPAH")</f>
        <v>19770321NYPAH</v>
      </c>
      <c r="B2282" s="8">
        <f ca="1">IFERROR(__xludf.DUMMYFUNCTION("""COMPUTED_VALUE"""),18)</f>
        <v>18</v>
      </c>
      <c r="C2282" s="8" t="str">
        <f ca="1">IFERROR(__xludf.DUMMYFUNCTION("""COMPUTED_VALUE"""),"Male")</f>
        <v>Male</v>
      </c>
      <c r="D2282" s="8" t="str">
        <f ca="1">IFERROR(__xludf.DUMMYFUNCTION("""COMPUTED_VALUE"""),"Other Staff")</f>
        <v>Other Staff</v>
      </c>
      <c r="E2282" s="8" t="str">
        <f ca="1">IFERROR(__xludf.DUMMYFUNCTION("""COMPUTED_VALUE"""),"Apprehended/Killed by LE")</f>
        <v>Apprehended/Killed by LE</v>
      </c>
      <c r="F2282" s="8" t="str">
        <f ca="1">IFERROR(__xludf.DUMMYFUNCTION("""COMPUTED_VALUE"""),"No")</f>
        <v>No</v>
      </c>
      <c r="G2282" s="8" t="str">
        <f ca="1">IFERROR(__xludf.DUMMYFUNCTION("""COMPUTED_VALUE"""),"None")</f>
        <v>None</v>
      </c>
    </row>
    <row r="2283" spans="1:7" ht="12.75">
      <c r="A2283" s="8" t="str">
        <f ca="1">IFERROR(__xludf.DUMMYFUNCTION("""COMPUTED_VALUE"""),"19770308ILCOE")</f>
        <v>19770308ILCOE</v>
      </c>
      <c r="B2283" s="8">
        <f ca="1">IFERROR(__xludf.DUMMYFUNCTION("""COMPUTED_VALUE"""),16)</f>
        <v>16</v>
      </c>
      <c r="C2283" s="8" t="str">
        <f ca="1">IFERROR(__xludf.DUMMYFUNCTION("""COMPUTED_VALUE"""),"Male")</f>
        <v>Male</v>
      </c>
      <c r="D2283" s="8" t="str">
        <f ca="1">IFERROR(__xludf.DUMMYFUNCTION("""COMPUTED_VALUE"""),"Student")</f>
        <v>Student</v>
      </c>
      <c r="E2283" s="8" t="str">
        <f ca="1">IFERROR(__xludf.DUMMYFUNCTION("""COMPUTED_VALUE"""),"Fled/Apprehended")</f>
        <v>Fled/Apprehended</v>
      </c>
      <c r="F2283" s="8" t="str">
        <f ca="1">IFERROR(__xludf.DUMMYFUNCTION("""COMPUTED_VALUE"""),"No")</f>
        <v>No</v>
      </c>
      <c r="G2283" s="8" t="str">
        <f ca="1">IFERROR(__xludf.DUMMYFUNCTION("""COMPUTED_VALUE"""),"None")</f>
        <v>None</v>
      </c>
    </row>
    <row r="2284" spans="1:7" ht="12.75">
      <c r="A2284" s="8" t="str">
        <f ca="1">IFERROR(__xludf.DUMMYFUNCTION("""COMPUTED_VALUE"""),"19770228TXHOA")</f>
        <v>19770228TXHOA</v>
      </c>
      <c r="B2284" s="8">
        <f ca="1">IFERROR(__xludf.DUMMYFUNCTION("""COMPUTED_VALUE"""),15)</f>
        <v>15</v>
      </c>
      <c r="C2284" s="8" t="str">
        <f ca="1">IFERROR(__xludf.DUMMYFUNCTION("""COMPUTED_VALUE"""),"Male")</f>
        <v>Male</v>
      </c>
      <c r="D2284" s="8" t="str">
        <f ca="1">IFERROR(__xludf.DUMMYFUNCTION("""COMPUTED_VALUE"""),"Student")</f>
        <v>Student</v>
      </c>
      <c r="E2284" s="8" t="str">
        <f ca="1">IFERROR(__xludf.DUMMYFUNCTION("""COMPUTED_VALUE"""),"Unknown")</f>
        <v>Unknown</v>
      </c>
      <c r="F2284" s="8" t="str">
        <f ca="1">IFERROR(__xludf.DUMMYFUNCTION("""COMPUTED_VALUE"""),"No")</f>
        <v>No</v>
      </c>
      <c r="G2284" s="8" t="str">
        <f ca="1">IFERROR(__xludf.DUMMYFUNCTION("""COMPUTED_VALUE"""),"None")</f>
        <v>None</v>
      </c>
    </row>
    <row r="2285" spans="1:7" ht="12.75">
      <c r="A2285" s="8" t="str">
        <f ca="1">IFERROR(__xludf.DUMMYFUNCTION("""COMPUTED_VALUE"""),"19770228MOROS")</f>
        <v>19770228MOROS</v>
      </c>
      <c r="B2285" s="8">
        <f ca="1">IFERROR(__xludf.DUMMYFUNCTION("""COMPUTED_VALUE"""),19)</f>
        <v>19</v>
      </c>
      <c r="C2285" s="8" t="str">
        <f ca="1">IFERROR(__xludf.DUMMYFUNCTION("""COMPUTED_VALUE"""),"Male")</f>
        <v>Male</v>
      </c>
      <c r="D2285" s="8" t="str">
        <f ca="1">IFERROR(__xludf.DUMMYFUNCTION("""COMPUTED_VALUE"""),"Student")</f>
        <v>Student</v>
      </c>
      <c r="E2285" s="8" t="str">
        <f ca="1">IFERROR(__xludf.DUMMYFUNCTION("""COMPUTED_VALUE"""),"Unknown")</f>
        <v>Unknown</v>
      </c>
      <c r="F2285" s="8" t="str">
        <f ca="1">IFERROR(__xludf.DUMMYFUNCTION("""COMPUTED_VALUE"""),"No")</f>
        <v>No</v>
      </c>
      <c r="G2285" s="8" t="str">
        <f ca="1">IFERROR(__xludf.DUMMYFUNCTION("""COMPUTED_VALUE"""),"None")</f>
        <v>None</v>
      </c>
    </row>
    <row r="2286" spans="1:7" ht="12.75">
      <c r="A2286" s="8" t="str">
        <f ca="1">IFERROR(__xludf.DUMMYFUNCTION("""COMPUTED_VALUE"""),"19770209ILFEC")</f>
        <v>19770209ILFEC</v>
      </c>
      <c r="B2286" s="8">
        <f ca="1">IFERROR(__xludf.DUMMYFUNCTION("""COMPUTED_VALUE"""),14)</f>
        <v>14</v>
      </c>
      <c r="C2286" s="8" t="str">
        <f ca="1">IFERROR(__xludf.DUMMYFUNCTION("""COMPUTED_VALUE"""),"Male")</f>
        <v>Male</v>
      </c>
      <c r="D2286" s="8" t="str">
        <f ca="1">IFERROR(__xludf.DUMMYFUNCTION("""COMPUTED_VALUE"""),"Student")</f>
        <v>Student</v>
      </c>
      <c r="E2286" s="8" t="str">
        <f ca="1">IFERROR(__xludf.DUMMYFUNCTION("""COMPUTED_VALUE"""),"Fled/Apprehended")</f>
        <v>Fled/Apprehended</v>
      </c>
      <c r="F2286" s="8" t="str">
        <f ca="1">IFERROR(__xludf.DUMMYFUNCTION("""COMPUTED_VALUE"""),"No")</f>
        <v>No</v>
      </c>
      <c r="G2286" s="8" t="str">
        <f ca="1">IFERROR(__xludf.DUMMYFUNCTION("""COMPUTED_VALUE"""),"None")</f>
        <v>None</v>
      </c>
    </row>
    <row r="2287" spans="1:7" ht="12.75">
      <c r="A2287" s="8" t="str">
        <f ca="1">IFERROR(__xludf.DUMMYFUNCTION("""COMPUTED_VALUE"""),"19770113ILOLB")</f>
        <v>19770113ILOLB</v>
      </c>
      <c r="B2287" s="8">
        <f ca="1">IFERROR(__xludf.DUMMYFUNCTION("""COMPUTED_VALUE"""),15)</f>
        <v>15</v>
      </c>
      <c r="C2287" s="8" t="str">
        <f ca="1">IFERROR(__xludf.DUMMYFUNCTION("""COMPUTED_VALUE"""),"Male")</f>
        <v>Male</v>
      </c>
      <c r="D2287" s="8" t="str">
        <f ca="1">IFERROR(__xludf.DUMMYFUNCTION("""COMPUTED_VALUE"""),"Student")</f>
        <v>Student</v>
      </c>
      <c r="E2287" s="8" t="str">
        <f ca="1">IFERROR(__xludf.DUMMYFUNCTION("""COMPUTED_VALUE"""),"Subdued by Students/Staff/Other")</f>
        <v>Subdued by Students/Staff/Other</v>
      </c>
      <c r="F2287" s="8" t="str">
        <f ca="1">IFERROR(__xludf.DUMMYFUNCTION("""COMPUTED_VALUE"""),"No")</f>
        <v>No</v>
      </c>
      <c r="G2287" s="8" t="str">
        <f ca="1">IFERROR(__xludf.DUMMYFUNCTION("""COMPUTED_VALUE"""),"None")</f>
        <v>None</v>
      </c>
    </row>
    <row r="2288" spans="1:7" ht="12.75">
      <c r="A2288" s="8" t="str">
        <f ca="1">IFERROR(__xludf.DUMMYFUNCTION("""COMPUTED_VALUE"""),"19761210MOFRS")</f>
        <v>19761210MOFRS</v>
      </c>
      <c r="B2288" s="8">
        <f ca="1">IFERROR(__xludf.DUMMYFUNCTION("""COMPUTED_VALUE"""),11)</f>
        <v>11</v>
      </c>
      <c r="C2288" s="8" t="str">
        <f ca="1">IFERROR(__xludf.DUMMYFUNCTION("""COMPUTED_VALUE"""),"Male")</f>
        <v>Male</v>
      </c>
      <c r="D2288" s="8" t="str">
        <f ca="1">IFERROR(__xludf.DUMMYFUNCTION("""COMPUTED_VALUE"""),"Student")</f>
        <v>Student</v>
      </c>
      <c r="E2288" s="8" t="str">
        <f ca="1">IFERROR(__xludf.DUMMYFUNCTION("""COMPUTED_VALUE"""),"Surrendered")</f>
        <v>Surrendered</v>
      </c>
      <c r="F2288" s="8" t="str">
        <f ca="1">IFERROR(__xludf.DUMMYFUNCTION("""COMPUTED_VALUE"""),"No")</f>
        <v>No</v>
      </c>
      <c r="G2288" s="8" t="str">
        <f ca="1">IFERROR(__xludf.DUMMYFUNCTION("""COMPUTED_VALUE"""),"None")</f>
        <v>None</v>
      </c>
    </row>
    <row r="2289" spans="1:7" ht="12.75">
      <c r="A2289" s="8" t="str">
        <f ca="1">IFERROR(__xludf.DUMMYFUNCTION("""COMPUTED_VALUE"""),"19761110MIBUD")</f>
        <v>19761110MIBUD</v>
      </c>
      <c r="B2289" s="8">
        <f ca="1">IFERROR(__xludf.DUMMYFUNCTION("""COMPUTED_VALUE"""),46)</f>
        <v>46</v>
      </c>
      <c r="C2289" s="8" t="str">
        <f ca="1">IFERROR(__xludf.DUMMYFUNCTION("""COMPUTED_VALUE"""),"Male")</f>
        <v>Male</v>
      </c>
      <c r="D2289" s="8" t="str">
        <f ca="1">IFERROR(__xludf.DUMMYFUNCTION("""COMPUTED_VALUE"""),"Intimate Relationship")</f>
        <v>Intimate Relationship</v>
      </c>
      <c r="E2289" s="8" t="str">
        <f ca="1">IFERROR(__xludf.DUMMYFUNCTION("""COMPUTED_VALUE"""),"Fled/Apprehended")</f>
        <v>Fled/Apprehended</v>
      </c>
      <c r="F2289" s="8" t="str">
        <f ca="1">IFERROR(__xludf.DUMMYFUNCTION("""COMPUTED_VALUE"""),"No")</f>
        <v>No</v>
      </c>
      <c r="G2289" s="8" t="str">
        <f ca="1">IFERROR(__xludf.DUMMYFUNCTION("""COMPUTED_VALUE"""),"None")</f>
        <v>None</v>
      </c>
    </row>
    <row r="2290" spans="1:7" ht="12.75">
      <c r="A2290" s="8" t="str">
        <f ca="1">IFERROR(__xludf.DUMMYFUNCTION("""COMPUTED_VALUE"""),"19760920NCGUG")</f>
        <v>19760920NCGUG</v>
      </c>
      <c r="B2290" s="8">
        <f ca="1">IFERROR(__xludf.DUMMYFUNCTION("""COMPUTED_VALUE"""),38)</f>
        <v>38</v>
      </c>
      <c r="C2290" s="8" t="str">
        <f ca="1">IFERROR(__xludf.DUMMYFUNCTION("""COMPUTED_VALUE"""),"Male")</f>
        <v>Male</v>
      </c>
      <c r="D2290" s="8" t="str">
        <f ca="1">IFERROR(__xludf.DUMMYFUNCTION("""COMPUTED_VALUE"""),"No Relation")</f>
        <v>No Relation</v>
      </c>
      <c r="E2290" s="8" t="str">
        <f ca="1">IFERROR(__xludf.DUMMYFUNCTION("""COMPUTED_VALUE"""),"Suicide")</f>
        <v>Suicide</v>
      </c>
      <c r="F2290" s="8" t="str">
        <f ca="1">IFERROR(__xludf.DUMMYFUNCTION("""COMPUTED_VALUE"""),"Yes")</f>
        <v>Yes</v>
      </c>
      <c r="G2290" s="8" t="str">
        <f ca="1">IFERROR(__xludf.DUMMYFUNCTION("""COMPUTED_VALUE"""),"Suicide")</f>
        <v>Suicide</v>
      </c>
    </row>
    <row r="2291" spans="1:7" ht="12.75">
      <c r="A2291" s="8" t="str">
        <f ca="1">IFERROR(__xludf.DUMMYFUNCTION("""COMPUTED_VALUE"""),"19760602MDMTC")</f>
        <v>19760602MDMTC</v>
      </c>
      <c r="B2291" s="8"/>
      <c r="C2291" s="8"/>
      <c r="D2291" s="8" t="str">
        <f ca="1">IFERROR(__xludf.DUMMYFUNCTION("""COMPUTED_VALUE"""),"Unknown")</f>
        <v>Unknown</v>
      </c>
      <c r="E2291" s="8" t="str">
        <f ca="1">IFERROR(__xludf.DUMMYFUNCTION("""COMPUTED_VALUE"""),"Fled/Escaped")</f>
        <v>Fled/Escaped</v>
      </c>
      <c r="F2291" s="8" t="str">
        <f ca="1">IFERROR(__xludf.DUMMYFUNCTION("""COMPUTED_VALUE"""),"No")</f>
        <v>No</v>
      </c>
      <c r="G2291" s="8" t="str">
        <f ca="1">IFERROR(__xludf.DUMMYFUNCTION("""COMPUTED_VALUE"""),"None")</f>
        <v>None</v>
      </c>
    </row>
    <row r="2292" spans="1:7" ht="12.75">
      <c r="A2292" s="8" t="str">
        <f ca="1">IFERROR(__xludf.DUMMYFUNCTION("""COMPUTED_VALUE"""),"19760514FLPAW")</f>
        <v>19760514FLPAW</v>
      </c>
      <c r="B2292" s="8">
        <f ca="1">IFERROR(__xludf.DUMMYFUNCTION("""COMPUTED_VALUE"""),17)</f>
        <v>17</v>
      </c>
      <c r="C2292" s="8" t="str">
        <f ca="1">IFERROR(__xludf.DUMMYFUNCTION("""COMPUTED_VALUE"""),"Male")</f>
        <v>Male</v>
      </c>
      <c r="D2292" s="8" t="str">
        <f ca="1">IFERROR(__xludf.DUMMYFUNCTION("""COMPUTED_VALUE"""),"Former Student")</f>
        <v>Former Student</v>
      </c>
      <c r="E2292" s="8" t="str">
        <f ca="1">IFERROR(__xludf.DUMMYFUNCTION("""COMPUTED_VALUE"""),"Apprehended/Killed by LE")</f>
        <v>Apprehended/Killed by LE</v>
      </c>
      <c r="F2292" s="8" t="str">
        <f ca="1">IFERROR(__xludf.DUMMYFUNCTION("""COMPUTED_VALUE"""),"No")</f>
        <v>No</v>
      </c>
      <c r="G2292" s="8" t="str">
        <f ca="1">IFERROR(__xludf.DUMMYFUNCTION("""COMPUTED_VALUE"""),"None")</f>
        <v>None</v>
      </c>
    </row>
    <row r="2293" spans="1:7" ht="12.75">
      <c r="A2293" s="8" t="str">
        <f ca="1">IFERROR(__xludf.DUMMYFUNCTION("""COMPUTED_VALUE"""),"19760513MOMAS")</f>
        <v>19760513MOMAS</v>
      </c>
      <c r="B2293" s="8">
        <f ca="1">IFERROR(__xludf.DUMMYFUNCTION("""COMPUTED_VALUE"""),15)</f>
        <v>15</v>
      </c>
      <c r="C2293" s="8" t="str">
        <f ca="1">IFERROR(__xludf.DUMMYFUNCTION("""COMPUTED_VALUE"""),"Male")</f>
        <v>Male</v>
      </c>
      <c r="D2293" s="8" t="str">
        <f ca="1">IFERROR(__xludf.DUMMYFUNCTION("""COMPUTED_VALUE"""),"Student")</f>
        <v>Student</v>
      </c>
      <c r="E2293" s="8" t="str">
        <f ca="1">IFERROR(__xludf.DUMMYFUNCTION("""COMPUTED_VALUE"""),"Subdued by Students/Staff/Other")</f>
        <v>Subdued by Students/Staff/Other</v>
      </c>
      <c r="F2293" s="8" t="str">
        <f ca="1">IFERROR(__xludf.DUMMYFUNCTION("""COMPUTED_VALUE"""),"No")</f>
        <v>No</v>
      </c>
      <c r="G2293" s="8" t="str">
        <f ca="1">IFERROR(__xludf.DUMMYFUNCTION("""COMPUTED_VALUE"""),"None")</f>
        <v>None</v>
      </c>
    </row>
    <row r="2294" spans="1:7" ht="12.75">
      <c r="A2294" s="8" t="str">
        <f ca="1">IFERROR(__xludf.DUMMYFUNCTION("""COMPUTED_VALUE"""),"19760412TXODF")</f>
        <v>19760412TXODF</v>
      </c>
      <c r="B2294" s="8">
        <f ca="1">IFERROR(__xludf.DUMMYFUNCTION("""COMPUTED_VALUE"""),15)</f>
        <v>15</v>
      </c>
      <c r="C2294" s="8" t="str">
        <f ca="1">IFERROR(__xludf.DUMMYFUNCTION("""COMPUTED_VALUE"""),"Male")</f>
        <v>Male</v>
      </c>
      <c r="D2294" s="8" t="str">
        <f ca="1">IFERROR(__xludf.DUMMYFUNCTION("""COMPUTED_VALUE"""),"Student")</f>
        <v>Student</v>
      </c>
      <c r="E2294" s="8" t="str">
        <f ca="1">IFERROR(__xludf.DUMMYFUNCTION("""COMPUTED_VALUE"""),"Fled/Apprehended")</f>
        <v>Fled/Apprehended</v>
      </c>
      <c r="F2294" s="8" t="str">
        <f ca="1">IFERROR(__xludf.DUMMYFUNCTION("""COMPUTED_VALUE"""),"No")</f>
        <v>No</v>
      </c>
      <c r="G2294" s="8" t="str">
        <f ca="1">IFERROR(__xludf.DUMMYFUNCTION("""COMPUTED_VALUE"""),"None")</f>
        <v>None</v>
      </c>
    </row>
    <row r="2295" spans="1:7" ht="12.75">
      <c r="A2295" s="8" t="str">
        <f ca="1">IFERROR(__xludf.DUMMYFUNCTION("""COMPUTED_VALUE"""),"19760212MIMUD")</f>
        <v>19760212MIMUD</v>
      </c>
      <c r="B2295" s="8" t="str">
        <f ca="1">IFERROR(__xludf.DUMMYFUNCTION("""COMPUTED_VALUE"""),"Teen")</f>
        <v>Teen</v>
      </c>
      <c r="C2295" s="8" t="str">
        <f ca="1">IFERROR(__xludf.DUMMYFUNCTION("""COMPUTED_VALUE"""),"Male")</f>
        <v>Male</v>
      </c>
      <c r="D2295" s="8" t="str">
        <f ca="1">IFERROR(__xludf.DUMMYFUNCTION("""COMPUTED_VALUE"""),"Other Student")</f>
        <v>Other Student</v>
      </c>
      <c r="E2295" s="8" t="str">
        <f ca="1">IFERROR(__xludf.DUMMYFUNCTION("""COMPUTED_VALUE"""),"Fled/Escaped")</f>
        <v>Fled/Escaped</v>
      </c>
      <c r="F2295" s="8" t="str">
        <f ca="1">IFERROR(__xludf.DUMMYFUNCTION("""COMPUTED_VALUE"""),"No")</f>
        <v>No</v>
      </c>
      <c r="G2295" s="8" t="str">
        <f ca="1">IFERROR(__xludf.DUMMYFUNCTION("""COMPUTED_VALUE"""),"None")</f>
        <v>None</v>
      </c>
    </row>
    <row r="2296" spans="1:7" ht="12.75">
      <c r="A2296" s="8" t="str">
        <f ca="1">IFERROR(__xludf.DUMMYFUNCTION("""COMPUTED_VALUE"""),"19760212MIMUD")</f>
        <v>19760212MIMUD</v>
      </c>
      <c r="B2296" s="8" t="str">
        <f ca="1">IFERROR(__xludf.DUMMYFUNCTION("""COMPUTED_VALUE"""),"Teen")</f>
        <v>Teen</v>
      </c>
      <c r="C2296" s="8" t="str">
        <f ca="1">IFERROR(__xludf.DUMMYFUNCTION("""COMPUTED_VALUE"""),"Male")</f>
        <v>Male</v>
      </c>
      <c r="D2296" s="8" t="str">
        <f ca="1">IFERROR(__xludf.DUMMYFUNCTION("""COMPUTED_VALUE"""),"Other Student")</f>
        <v>Other Student</v>
      </c>
      <c r="E2296" s="8" t="str">
        <f ca="1">IFERROR(__xludf.DUMMYFUNCTION("""COMPUTED_VALUE"""),"Fled/Escaped")</f>
        <v>Fled/Escaped</v>
      </c>
      <c r="F2296" s="8" t="str">
        <f ca="1">IFERROR(__xludf.DUMMYFUNCTION("""COMPUTED_VALUE"""),"No")</f>
        <v>No</v>
      </c>
      <c r="G2296" s="8" t="str">
        <f ca="1">IFERROR(__xludf.DUMMYFUNCTION("""COMPUTED_VALUE"""),"None")</f>
        <v>None</v>
      </c>
    </row>
    <row r="2297" spans="1:7" ht="12.75">
      <c r="A2297" s="8" t="str">
        <f ca="1">IFERROR(__xludf.DUMMYFUNCTION("""COMPUTED_VALUE"""),"19760212MIMUD")</f>
        <v>19760212MIMUD</v>
      </c>
      <c r="B2297" s="8" t="str">
        <f ca="1">IFERROR(__xludf.DUMMYFUNCTION("""COMPUTED_VALUE"""),"Teen")</f>
        <v>Teen</v>
      </c>
      <c r="C2297" s="8" t="str">
        <f ca="1">IFERROR(__xludf.DUMMYFUNCTION("""COMPUTED_VALUE"""),"Male")</f>
        <v>Male</v>
      </c>
      <c r="D2297" s="8" t="str">
        <f ca="1">IFERROR(__xludf.DUMMYFUNCTION("""COMPUTED_VALUE"""),"Other Student")</f>
        <v>Other Student</v>
      </c>
      <c r="E2297" s="8" t="str">
        <f ca="1">IFERROR(__xludf.DUMMYFUNCTION("""COMPUTED_VALUE"""),"Fled/Escaped")</f>
        <v>Fled/Escaped</v>
      </c>
      <c r="F2297" s="8" t="str">
        <f ca="1">IFERROR(__xludf.DUMMYFUNCTION("""COMPUTED_VALUE"""),"No")</f>
        <v>No</v>
      </c>
      <c r="G2297" s="8" t="str">
        <f ca="1">IFERROR(__xludf.DUMMYFUNCTION("""COMPUTED_VALUE"""),"None")</f>
        <v>None</v>
      </c>
    </row>
    <row r="2298" spans="1:7" ht="12.75">
      <c r="A2298" s="8" t="str">
        <f ca="1">IFERROR(__xludf.DUMMYFUNCTION("""COMPUTED_VALUE"""),"19760212MIMUD")</f>
        <v>19760212MIMUD</v>
      </c>
      <c r="B2298" s="8" t="str">
        <f ca="1">IFERROR(__xludf.DUMMYFUNCTION("""COMPUTED_VALUE"""),"Teen")</f>
        <v>Teen</v>
      </c>
      <c r="C2298" s="8" t="str">
        <f ca="1">IFERROR(__xludf.DUMMYFUNCTION("""COMPUTED_VALUE"""),"Male")</f>
        <v>Male</v>
      </c>
      <c r="D2298" s="8" t="str">
        <f ca="1">IFERROR(__xludf.DUMMYFUNCTION("""COMPUTED_VALUE"""),"Other Student")</f>
        <v>Other Student</v>
      </c>
      <c r="E2298" s="8" t="str">
        <f ca="1">IFERROR(__xludf.DUMMYFUNCTION("""COMPUTED_VALUE"""),"Fled/Escaped")</f>
        <v>Fled/Escaped</v>
      </c>
      <c r="F2298" s="8" t="str">
        <f ca="1">IFERROR(__xludf.DUMMYFUNCTION("""COMPUTED_VALUE"""),"No")</f>
        <v>No</v>
      </c>
      <c r="G2298" s="8" t="str">
        <f ca="1">IFERROR(__xludf.DUMMYFUNCTION("""COMPUTED_VALUE"""),"None")</f>
        <v>None</v>
      </c>
    </row>
    <row r="2299" spans="1:7" ht="12.75">
      <c r="A2299" s="8" t="str">
        <f ca="1">IFERROR(__xludf.DUMMYFUNCTION("""COMPUTED_VALUE"""),"19760212MIMUD")</f>
        <v>19760212MIMUD</v>
      </c>
      <c r="B2299" s="8" t="str">
        <f ca="1">IFERROR(__xludf.DUMMYFUNCTION("""COMPUTED_VALUE"""),"Teen")</f>
        <v>Teen</v>
      </c>
      <c r="C2299" s="8" t="str">
        <f ca="1">IFERROR(__xludf.DUMMYFUNCTION("""COMPUTED_VALUE"""),"Male")</f>
        <v>Male</v>
      </c>
      <c r="D2299" s="8" t="str">
        <f ca="1">IFERROR(__xludf.DUMMYFUNCTION("""COMPUTED_VALUE"""),"Other Student")</f>
        <v>Other Student</v>
      </c>
      <c r="E2299" s="8" t="str">
        <f ca="1">IFERROR(__xludf.DUMMYFUNCTION("""COMPUTED_VALUE"""),"Fled/Escaped")</f>
        <v>Fled/Escaped</v>
      </c>
      <c r="F2299" s="8" t="str">
        <f ca="1">IFERROR(__xludf.DUMMYFUNCTION("""COMPUTED_VALUE"""),"No")</f>
        <v>No</v>
      </c>
      <c r="G2299" s="8" t="str">
        <f ca="1">IFERROR(__xludf.DUMMYFUNCTION("""COMPUTED_VALUE"""),"None")</f>
        <v>None</v>
      </c>
    </row>
    <row r="2300" spans="1:7" ht="12.75">
      <c r="A2300" s="8" t="str">
        <f ca="1">IFERROR(__xludf.DUMMYFUNCTION("""COMPUTED_VALUE"""),"19760212MIMUD")</f>
        <v>19760212MIMUD</v>
      </c>
      <c r="B2300" s="8" t="str">
        <f ca="1">IFERROR(__xludf.DUMMYFUNCTION("""COMPUTED_VALUE"""),"Teen")</f>
        <v>Teen</v>
      </c>
      <c r="C2300" s="8" t="str">
        <f ca="1">IFERROR(__xludf.DUMMYFUNCTION("""COMPUTED_VALUE"""),"Male")</f>
        <v>Male</v>
      </c>
      <c r="D2300" s="8" t="str">
        <f ca="1">IFERROR(__xludf.DUMMYFUNCTION("""COMPUTED_VALUE"""),"Other Student")</f>
        <v>Other Student</v>
      </c>
      <c r="E2300" s="8" t="str">
        <f ca="1">IFERROR(__xludf.DUMMYFUNCTION("""COMPUTED_VALUE"""),"Fled/Escaped")</f>
        <v>Fled/Escaped</v>
      </c>
      <c r="F2300" s="8" t="str">
        <f ca="1">IFERROR(__xludf.DUMMYFUNCTION("""COMPUTED_VALUE"""),"No")</f>
        <v>No</v>
      </c>
      <c r="G2300" s="8" t="str">
        <f ca="1">IFERROR(__xludf.DUMMYFUNCTION("""COMPUTED_VALUE"""),"None")</f>
        <v>None</v>
      </c>
    </row>
    <row r="2301" spans="1:7" ht="12.75">
      <c r="A2301" s="8" t="str">
        <f ca="1">IFERROR(__xludf.DUMMYFUNCTION("""COMPUTED_VALUE"""),"19760206FLESP")</f>
        <v>19760206FLESP</v>
      </c>
      <c r="B2301" s="8"/>
      <c r="C2301" s="8"/>
      <c r="D2301" s="8" t="str">
        <f ca="1">IFERROR(__xludf.DUMMYFUNCTION("""COMPUTED_VALUE"""),"Unknown")</f>
        <v>Unknown</v>
      </c>
      <c r="E2301" s="8" t="str">
        <f ca="1">IFERROR(__xludf.DUMMYFUNCTION("""COMPUTED_VALUE"""),"Fled/Escaped")</f>
        <v>Fled/Escaped</v>
      </c>
      <c r="F2301" s="8" t="str">
        <f ca="1">IFERROR(__xludf.DUMMYFUNCTION("""COMPUTED_VALUE"""),"No")</f>
        <v>No</v>
      </c>
      <c r="G2301" s="8" t="str">
        <f ca="1">IFERROR(__xludf.DUMMYFUNCTION("""COMPUTED_VALUE"""),"None")</f>
        <v>None</v>
      </c>
    </row>
    <row r="2302" spans="1:7" ht="12.75">
      <c r="A2302" s="8" t="str">
        <f ca="1">IFERROR(__xludf.DUMMYFUNCTION("""COMPUTED_VALUE"""),"19760123OHCOC")</f>
        <v>19760123OHCOC</v>
      </c>
      <c r="B2302" s="8">
        <f ca="1">IFERROR(__xludf.DUMMYFUNCTION("""COMPUTED_VALUE"""),17)</f>
        <v>17</v>
      </c>
      <c r="C2302" s="8" t="str">
        <f ca="1">IFERROR(__xludf.DUMMYFUNCTION("""COMPUTED_VALUE"""),"Male")</f>
        <v>Male</v>
      </c>
      <c r="D2302" s="8" t="str">
        <f ca="1">IFERROR(__xludf.DUMMYFUNCTION("""COMPUTED_VALUE"""),"Student")</f>
        <v>Student</v>
      </c>
      <c r="E2302" s="8" t="str">
        <f ca="1">IFERROR(__xludf.DUMMYFUNCTION("""COMPUTED_VALUE"""),"Fled/Apprehended")</f>
        <v>Fled/Apprehended</v>
      </c>
      <c r="F2302" s="8" t="str">
        <f ca="1">IFERROR(__xludf.DUMMYFUNCTION("""COMPUTED_VALUE"""),"No")</f>
        <v>No</v>
      </c>
      <c r="G2302" s="8" t="str">
        <f ca="1">IFERROR(__xludf.DUMMYFUNCTION("""COMPUTED_VALUE"""),"None")</f>
        <v>None</v>
      </c>
    </row>
    <row r="2303" spans="1:7" ht="12.75">
      <c r="A2303" s="8" t="str">
        <f ca="1">IFERROR(__xludf.DUMMYFUNCTION("""COMPUTED_VALUE"""),"19760101AZCAP")</f>
        <v>19760101AZCAP</v>
      </c>
      <c r="B2303" s="8"/>
      <c r="C2303" s="8"/>
      <c r="D2303" s="8" t="str">
        <f ca="1">IFERROR(__xludf.DUMMYFUNCTION("""COMPUTED_VALUE"""),"Unknown")</f>
        <v>Unknown</v>
      </c>
      <c r="E2303" s="8" t="str">
        <f ca="1">IFERROR(__xludf.DUMMYFUNCTION("""COMPUTED_VALUE"""),"Fled/Escaped")</f>
        <v>Fled/Escaped</v>
      </c>
      <c r="F2303" s="8" t="str">
        <f ca="1">IFERROR(__xludf.DUMMYFUNCTION("""COMPUTED_VALUE"""),"No")</f>
        <v>No</v>
      </c>
      <c r="G2303" s="8" t="str">
        <f ca="1">IFERROR(__xludf.DUMMYFUNCTION("""COMPUTED_VALUE"""),"None")</f>
        <v>None</v>
      </c>
    </row>
    <row r="2304" spans="1:7" ht="12.75">
      <c r="A2304" s="8" t="str">
        <f ca="1">IFERROR(__xludf.DUMMYFUNCTION("""COMPUTED_VALUE"""),"19751218CAORS")</f>
        <v>19751218CAORS</v>
      </c>
      <c r="B2304" s="8">
        <f ca="1">IFERROR(__xludf.DUMMYFUNCTION("""COMPUTED_VALUE"""),16)</f>
        <v>16</v>
      </c>
      <c r="C2304" s="8" t="str">
        <f ca="1">IFERROR(__xludf.DUMMYFUNCTION("""COMPUTED_VALUE"""),"Male")</f>
        <v>Male</v>
      </c>
      <c r="D2304" s="8" t="str">
        <f ca="1">IFERROR(__xludf.DUMMYFUNCTION("""COMPUTED_VALUE"""),"Student")</f>
        <v>Student</v>
      </c>
      <c r="E2304" s="8" t="str">
        <f ca="1">IFERROR(__xludf.DUMMYFUNCTION("""COMPUTED_VALUE"""),"Fled/Escaped")</f>
        <v>Fled/Escaped</v>
      </c>
      <c r="F2304" s="8" t="str">
        <f ca="1">IFERROR(__xludf.DUMMYFUNCTION("""COMPUTED_VALUE"""),"No")</f>
        <v>No</v>
      </c>
      <c r="G2304" s="8" t="str">
        <f ca="1">IFERROR(__xludf.DUMMYFUNCTION("""COMPUTED_VALUE"""),"None")</f>
        <v>None</v>
      </c>
    </row>
    <row r="2305" spans="1:7" ht="12.75">
      <c r="A2305" s="8" t="str">
        <f ca="1">IFERROR(__xludf.DUMMYFUNCTION("""COMPUTED_VALUE"""),"19751024GAMUA")</f>
        <v>19751024GAMUA</v>
      </c>
      <c r="B2305" s="8">
        <f ca="1">IFERROR(__xludf.DUMMYFUNCTION("""COMPUTED_VALUE"""),15)</f>
        <v>15</v>
      </c>
      <c r="C2305" s="8" t="str">
        <f ca="1">IFERROR(__xludf.DUMMYFUNCTION("""COMPUTED_VALUE"""),"Male")</f>
        <v>Male</v>
      </c>
      <c r="D2305" s="8" t="str">
        <f ca="1">IFERROR(__xludf.DUMMYFUNCTION("""COMPUTED_VALUE"""),"Student")</f>
        <v>Student</v>
      </c>
      <c r="E2305" s="8" t="str">
        <f ca="1">IFERROR(__xludf.DUMMYFUNCTION("""COMPUTED_VALUE"""),"Fled/Apprehended")</f>
        <v>Fled/Apprehended</v>
      </c>
      <c r="F2305" s="8" t="str">
        <f ca="1">IFERROR(__xludf.DUMMYFUNCTION("""COMPUTED_VALUE"""),"No")</f>
        <v>No</v>
      </c>
      <c r="G2305" s="8" t="str">
        <f ca="1">IFERROR(__xludf.DUMMYFUNCTION("""COMPUTED_VALUE"""),"None")</f>
        <v>None</v>
      </c>
    </row>
    <row r="2306" spans="1:7" ht="12.75">
      <c r="A2306" s="8" t="str">
        <f ca="1">IFERROR(__xludf.DUMMYFUNCTION("""COMPUTED_VALUE"""),"19751001NMHEA")</f>
        <v>19751001NMHEA</v>
      </c>
      <c r="B2306" s="8">
        <f ca="1">IFERROR(__xludf.DUMMYFUNCTION("""COMPUTED_VALUE"""),35)</f>
        <v>35</v>
      </c>
      <c r="C2306" s="8" t="str">
        <f ca="1">IFERROR(__xludf.DUMMYFUNCTION("""COMPUTED_VALUE"""),"Male")</f>
        <v>Male</v>
      </c>
      <c r="D2306" s="8" t="str">
        <f ca="1">IFERROR(__xludf.DUMMYFUNCTION("""COMPUTED_VALUE"""),"Unknown")</f>
        <v>Unknown</v>
      </c>
      <c r="E2306" s="8" t="str">
        <f ca="1">IFERROR(__xludf.DUMMYFUNCTION("""COMPUTED_VALUE"""),"Surrendered")</f>
        <v>Surrendered</v>
      </c>
      <c r="F2306" s="8" t="str">
        <f ca="1">IFERROR(__xludf.DUMMYFUNCTION("""COMPUTED_VALUE"""),"No")</f>
        <v>No</v>
      </c>
      <c r="G2306" s="8" t="str">
        <f ca="1">IFERROR(__xludf.DUMMYFUNCTION("""COMPUTED_VALUE"""),"None")</f>
        <v>None</v>
      </c>
    </row>
    <row r="2307" spans="1:7" ht="12.75">
      <c r="A2307" s="8" t="str">
        <f ca="1">IFERROR(__xludf.DUMMYFUNCTION("""COMPUTED_VALUE"""),"19750911OKGRO")</f>
        <v>19750911OKGRO</v>
      </c>
      <c r="B2307" s="8">
        <f ca="1">IFERROR(__xludf.DUMMYFUNCTION("""COMPUTED_VALUE"""),15)</f>
        <v>15</v>
      </c>
      <c r="C2307" s="8" t="str">
        <f ca="1">IFERROR(__xludf.DUMMYFUNCTION("""COMPUTED_VALUE"""),"Male")</f>
        <v>Male</v>
      </c>
      <c r="D2307" s="8" t="str">
        <f ca="1">IFERROR(__xludf.DUMMYFUNCTION("""COMPUTED_VALUE"""),"Student")</f>
        <v>Student</v>
      </c>
      <c r="E2307" s="8" t="str">
        <f ca="1">IFERROR(__xludf.DUMMYFUNCTION("""COMPUTED_VALUE"""),"Unknown")</f>
        <v>Unknown</v>
      </c>
      <c r="F2307" s="8" t="str">
        <f ca="1">IFERROR(__xludf.DUMMYFUNCTION("""COMPUTED_VALUE"""),"No")</f>
        <v>No</v>
      </c>
      <c r="G2307" s="8" t="str">
        <f ca="1">IFERROR(__xludf.DUMMYFUNCTION("""COMPUTED_VALUE"""),"None")</f>
        <v>None</v>
      </c>
    </row>
    <row r="2308" spans="1:7" ht="12.75">
      <c r="A2308" s="8" t="str">
        <f ca="1">IFERROR(__xludf.DUMMYFUNCTION("""COMPUTED_VALUE"""),"19750711MOCES")</f>
        <v>19750711MOCES</v>
      </c>
      <c r="B2308" s="8">
        <f ca="1">IFERROR(__xludf.DUMMYFUNCTION("""COMPUTED_VALUE"""),18)</f>
        <v>18</v>
      </c>
      <c r="C2308" s="8" t="str">
        <f ca="1">IFERROR(__xludf.DUMMYFUNCTION("""COMPUTED_VALUE"""),"Male")</f>
        <v>Male</v>
      </c>
      <c r="D2308" s="8" t="str">
        <f ca="1">IFERROR(__xludf.DUMMYFUNCTION("""COMPUTED_VALUE"""),"Student")</f>
        <v>Student</v>
      </c>
      <c r="E2308" s="8" t="str">
        <f ca="1">IFERROR(__xludf.DUMMYFUNCTION("""COMPUTED_VALUE"""),"Fled/Apprehended")</f>
        <v>Fled/Apprehended</v>
      </c>
      <c r="F2308" s="8" t="str">
        <f ca="1">IFERROR(__xludf.DUMMYFUNCTION("""COMPUTED_VALUE"""),"No")</f>
        <v>No</v>
      </c>
      <c r="G2308" s="8" t="str">
        <f ca="1">IFERROR(__xludf.DUMMYFUNCTION("""COMPUTED_VALUE"""),"None")</f>
        <v>None</v>
      </c>
    </row>
    <row r="2309" spans="1:7" ht="12.75">
      <c r="A2309" s="8" t="str">
        <f ca="1">IFERROR(__xludf.DUMMYFUNCTION("""COMPUTED_VALUE"""),"19750709ILDEC")</f>
        <v>19750709ILDEC</v>
      </c>
      <c r="B2309" s="8" t="str">
        <f ca="1">IFERROR(__xludf.DUMMYFUNCTION("""COMPUTED_VALUE"""),"Adult")</f>
        <v>Adult</v>
      </c>
      <c r="C2309" s="8" t="str">
        <f ca="1">IFERROR(__xludf.DUMMYFUNCTION("""COMPUTED_VALUE"""),"Male")</f>
        <v>Male</v>
      </c>
      <c r="D2309" s="8" t="str">
        <f ca="1">IFERROR(__xludf.DUMMYFUNCTION("""COMPUTED_VALUE"""),"Intimate Relationship")</f>
        <v>Intimate Relationship</v>
      </c>
      <c r="E2309" s="8" t="str">
        <f ca="1">IFERROR(__xludf.DUMMYFUNCTION("""COMPUTED_VALUE"""),"Fled/Apprehended")</f>
        <v>Fled/Apprehended</v>
      </c>
      <c r="F2309" s="8" t="str">
        <f ca="1">IFERROR(__xludf.DUMMYFUNCTION("""COMPUTED_VALUE"""),"No")</f>
        <v>No</v>
      </c>
      <c r="G2309" s="8" t="str">
        <f ca="1">IFERROR(__xludf.DUMMYFUNCTION("""COMPUTED_VALUE"""),"None")</f>
        <v>None</v>
      </c>
    </row>
    <row r="2310" spans="1:7" ht="12.75">
      <c r="A2310" s="8" t="str">
        <f ca="1">IFERROR(__xludf.DUMMYFUNCTION("""COMPUTED_VALUE"""),"19750527MIPID")</f>
        <v>19750527MIPID</v>
      </c>
      <c r="B2310" s="8">
        <f ca="1">IFERROR(__xludf.DUMMYFUNCTION("""COMPUTED_VALUE"""),9)</f>
        <v>9</v>
      </c>
      <c r="C2310" s="8" t="str">
        <f ca="1">IFERROR(__xludf.DUMMYFUNCTION("""COMPUTED_VALUE"""),"Male")</f>
        <v>Male</v>
      </c>
      <c r="D2310" s="8" t="str">
        <f ca="1">IFERROR(__xludf.DUMMYFUNCTION("""COMPUTED_VALUE"""),"Student")</f>
        <v>Student</v>
      </c>
      <c r="E2310" s="8" t="str">
        <f ca="1">IFERROR(__xludf.DUMMYFUNCTION("""COMPUTED_VALUE"""),"Fled/Apprehended")</f>
        <v>Fled/Apprehended</v>
      </c>
      <c r="F2310" s="8" t="str">
        <f ca="1">IFERROR(__xludf.DUMMYFUNCTION("""COMPUTED_VALUE"""),"No")</f>
        <v>No</v>
      </c>
      <c r="G2310" s="8" t="str">
        <f ca="1">IFERROR(__xludf.DUMMYFUNCTION("""COMPUTED_VALUE"""),"None")</f>
        <v>None</v>
      </c>
    </row>
    <row r="2311" spans="1:7" ht="12.75">
      <c r="A2311" s="8" t="str">
        <f ca="1">IFERROR(__xludf.DUMMYFUNCTION("""COMPUTED_VALUE"""),"19750515MOROS")</f>
        <v>19750515MOROS</v>
      </c>
      <c r="B2311" s="8">
        <f ca="1">IFERROR(__xludf.DUMMYFUNCTION("""COMPUTED_VALUE"""),13)</f>
        <v>13</v>
      </c>
      <c r="C2311" s="8" t="str">
        <f ca="1">IFERROR(__xludf.DUMMYFUNCTION("""COMPUTED_VALUE"""),"Male")</f>
        <v>Male</v>
      </c>
      <c r="D2311" s="8" t="str">
        <f ca="1">IFERROR(__xludf.DUMMYFUNCTION("""COMPUTED_VALUE"""),"Student")</f>
        <v>Student</v>
      </c>
      <c r="E2311" s="8" t="str">
        <f ca="1">IFERROR(__xludf.DUMMYFUNCTION("""COMPUTED_VALUE"""),"Fled/Apprehended")</f>
        <v>Fled/Apprehended</v>
      </c>
      <c r="F2311" s="8" t="str">
        <f ca="1">IFERROR(__xludf.DUMMYFUNCTION("""COMPUTED_VALUE"""),"No")</f>
        <v>No</v>
      </c>
      <c r="G2311" s="8" t="str">
        <f ca="1">IFERROR(__xludf.DUMMYFUNCTION("""COMPUTED_VALUE"""),"None")</f>
        <v>None</v>
      </c>
    </row>
    <row r="2312" spans="1:7" ht="12.75">
      <c r="A2312" s="8" t="str">
        <f ca="1">IFERROR(__xludf.DUMMYFUNCTION("""COMPUTED_VALUE"""),"19750321VAFAR")</f>
        <v>19750321VAFAR</v>
      </c>
      <c r="B2312" s="8">
        <f ca="1">IFERROR(__xludf.DUMMYFUNCTION("""COMPUTED_VALUE"""),18)</f>
        <v>18</v>
      </c>
      <c r="C2312" s="8" t="str">
        <f ca="1">IFERROR(__xludf.DUMMYFUNCTION("""COMPUTED_VALUE"""),"Male")</f>
        <v>Male</v>
      </c>
      <c r="D2312" s="8" t="str">
        <f ca="1">IFERROR(__xludf.DUMMYFUNCTION("""COMPUTED_VALUE"""),"No Relation")</f>
        <v>No Relation</v>
      </c>
      <c r="E2312" s="8" t="str">
        <f ca="1">IFERROR(__xludf.DUMMYFUNCTION("""COMPUTED_VALUE"""),"Other")</f>
        <v>Other</v>
      </c>
      <c r="F2312" s="8" t="str">
        <f ca="1">IFERROR(__xludf.DUMMYFUNCTION("""COMPUTED_VALUE"""),"No")</f>
        <v>No</v>
      </c>
      <c r="G2312" s="8" t="str">
        <f ca="1">IFERROR(__xludf.DUMMYFUNCTION("""COMPUTED_VALUE"""),"None")</f>
        <v>None</v>
      </c>
    </row>
    <row r="2313" spans="1:7" ht="12.75">
      <c r="A2313" s="8" t="str">
        <f ca="1">IFERROR(__xludf.DUMMYFUNCTION("""COMPUTED_VALUE"""),"19750321OHPAD")</f>
        <v>19750321OHPAD</v>
      </c>
      <c r="B2313" s="8">
        <f ca="1">IFERROR(__xludf.DUMMYFUNCTION("""COMPUTED_VALUE"""),15)</f>
        <v>15</v>
      </c>
      <c r="C2313" s="8" t="str">
        <f ca="1">IFERROR(__xludf.DUMMYFUNCTION("""COMPUTED_VALUE"""),"Male")</f>
        <v>Male</v>
      </c>
      <c r="D2313" s="8" t="str">
        <f ca="1">IFERROR(__xludf.DUMMYFUNCTION("""COMPUTED_VALUE"""),"No Relation")</f>
        <v>No Relation</v>
      </c>
      <c r="E2313" s="8" t="str">
        <f ca="1">IFERROR(__xludf.DUMMYFUNCTION("""COMPUTED_VALUE"""),"Fled/Escaped")</f>
        <v>Fled/Escaped</v>
      </c>
      <c r="F2313" s="8" t="str">
        <f ca="1">IFERROR(__xludf.DUMMYFUNCTION("""COMPUTED_VALUE"""),"No")</f>
        <v>No</v>
      </c>
      <c r="G2313" s="8" t="str">
        <f ca="1">IFERROR(__xludf.DUMMYFUNCTION("""COMPUTED_VALUE"""),"None")</f>
        <v>None</v>
      </c>
    </row>
    <row r="2314" spans="1:7" ht="12.75">
      <c r="A2314" s="8" t="str">
        <f ca="1">IFERROR(__xludf.DUMMYFUNCTION("""COMPUTED_VALUE"""),"19750318MOSUS")</f>
        <v>19750318MOSUS</v>
      </c>
      <c r="B2314" s="8">
        <f ca="1">IFERROR(__xludf.DUMMYFUNCTION("""COMPUTED_VALUE"""),19)</f>
        <v>19</v>
      </c>
      <c r="C2314" s="8" t="str">
        <f ca="1">IFERROR(__xludf.DUMMYFUNCTION("""COMPUTED_VALUE"""),"Male")</f>
        <v>Male</v>
      </c>
      <c r="D2314" s="8" t="str">
        <f ca="1">IFERROR(__xludf.DUMMYFUNCTION("""COMPUTED_VALUE"""),"Unknown")</f>
        <v>Unknown</v>
      </c>
      <c r="E2314" s="8" t="str">
        <f ca="1">IFERROR(__xludf.DUMMYFUNCTION("""COMPUTED_VALUE"""),"Fled/Apprehended")</f>
        <v>Fled/Apprehended</v>
      </c>
      <c r="F2314" s="8" t="str">
        <f ca="1">IFERROR(__xludf.DUMMYFUNCTION("""COMPUTED_VALUE"""),"No")</f>
        <v>No</v>
      </c>
      <c r="G2314" s="8" t="str">
        <f ca="1">IFERROR(__xludf.DUMMYFUNCTION("""COMPUTED_VALUE"""),"None")</f>
        <v>None</v>
      </c>
    </row>
    <row r="2315" spans="1:7" ht="12.75">
      <c r="A2315" s="8" t="str">
        <f ca="1">IFERROR(__xludf.DUMMYFUNCTION("""COMPUTED_VALUE"""),"19750312TXJOH")</f>
        <v>19750312TXJOH</v>
      </c>
      <c r="B2315" s="8" t="str">
        <f ca="1">IFERROR(__xludf.DUMMYFUNCTION("""COMPUTED_VALUE"""),"Teen")</f>
        <v>Teen</v>
      </c>
      <c r="C2315" s="8"/>
      <c r="D2315" s="8" t="str">
        <f ca="1">IFERROR(__xludf.DUMMYFUNCTION("""COMPUTED_VALUE"""),"Student")</f>
        <v>Student</v>
      </c>
      <c r="E2315" s="8" t="str">
        <f ca="1">IFERROR(__xludf.DUMMYFUNCTION("""COMPUTED_VALUE"""),"Fled/Escaped")</f>
        <v>Fled/Escaped</v>
      </c>
      <c r="F2315" s="8" t="str">
        <f ca="1">IFERROR(__xludf.DUMMYFUNCTION("""COMPUTED_VALUE"""),"No")</f>
        <v>No</v>
      </c>
      <c r="G2315" s="8" t="str">
        <f ca="1">IFERROR(__xludf.DUMMYFUNCTION("""COMPUTED_VALUE"""),"None")</f>
        <v>None</v>
      </c>
    </row>
    <row r="2316" spans="1:7" ht="12.75">
      <c r="A2316" s="8" t="str">
        <f ca="1">IFERROR(__xludf.DUMMYFUNCTION("""COMPUTED_VALUE"""),"19750224NJSTP")</f>
        <v>19750224NJSTP</v>
      </c>
      <c r="B2316" s="8">
        <f ca="1">IFERROR(__xludf.DUMMYFUNCTION("""COMPUTED_VALUE"""),24)</f>
        <v>24</v>
      </c>
      <c r="C2316" s="8" t="str">
        <f ca="1">IFERROR(__xludf.DUMMYFUNCTION("""COMPUTED_VALUE"""),"Male")</f>
        <v>Male</v>
      </c>
      <c r="D2316" s="8" t="str">
        <f ca="1">IFERROR(__xludf.DUMMYFUNCTION("""COMPUTED_VALUE"""),"Former Student")</f>
        <v>Former Student</v>
      </c>
      <c r="E2316" s="8" t="str">
        <f ca="1">IFERROR(__xludf.DUMMYFUNCTION("""COMPUTED_VALUE"""),"Fled/Apprehended")</f>
        <v>Fled/Apprehended</v>
      </c>
      <c r="F2316" s="8" t="str">
        <f ca="1">IFERROR(__xludf.DUMMYFUNCTION("""COMPUTED_VALUE"""),"No")</f>
        <v>No</v>
      </c>
      <c r="G2316" s="8" t="str">
        <f ca="1">IFERROR(__xludf.DUMMYFUNCTION("""COMPUTED_VALUE"""),"None")</f>
        <v>None</v>
      </c>
    </row>
    <row r="2317" spans="1:7" ht="12.75">
      <c r="A2317" s="8" t="str">
        <f ca="1">IFERROR(__xludf.DUMMYFUNCTION("""COMPUTED_VALUE"""),"19750207NYBOM")</f>
        <v>19750207NYBOM</v>
      </c>
      <c r="B2317" s="8">
        <f ca="1">IFERROR(__xludf.DUMMYFUNCTION("""COMPUTED_VALUE"""),16)</f>
        <v>16</v>
      </c>
      <c r="C2317" s="8" t="str">
        <f ca="1">IFERROR(__xludf.DUMMYFUNCTION("""COMPUTED_VALUE"""),"Male")</f>
        <v>Male</v>
      </c>
      <c r="D2317" s="8" t="str">
        <f ca="1">IFERROR(__xludf.DUMMYFUNCTION("""COMPUTED_VALUE"""),"Student")</f>
        <v>Student</v>
      </c>
      <c r="E2317" s="8" t="str">
        <f ca="1">IFERROR(__xludf.DUMMYFUNCTION("""COMPUTED_VALUE"""),"Attempted Suicide")</f>
        <v>Attempted Suicide</v>
      </c>
      <c r="F2317" s="8" t="str">
        <f ca="1">IFERROR(__xludf.DUMMYFUNCTION("""COMPUTED_VALUE"""),"No")</f>
        <v>No</v>
      </c>
      <c r="G2317" s="8" t="str">
        <f ca="1">IFERROR(__xludf.DUMMYFUNCTION("""COMPUTED_VALUE"""),"Wounded")</f>
        <v>Wounded</v>
      </c>
    </row>
    <row r="2318" spans="1:7" ht="12.75">
      <c r="A2318" s="8" t="str">
        <f ca="1">IFERROR(__xludf.DUMMYFUNCTION("""COMPUTED_VALUE"""),"19741230NYOLO")</f>
        <v>19741230NYOLO</v>
      </c>
      <c r="B2318" s="8">
        <f ca="1">IFERROR(__xludf.DUMMYFUNCTION("""COMPUTED_VALUE"""),17)</f>
        <v>17</v>
      </c>
      <c r="C2318" s="8" t="str">
        <f ca="1">IFERROR(__xludf.DUMMYFUNCTION("""COMPUTED_VALUE"""),"Male")</f>
        <v>Male</v>
      </c>
      <c r="D2318" s="8" t="str">
        <f ca="1">IFERROR(__xludf.DUMMYFUNCTION("""COMPUTED_VALUE"""),"Student")</f>
        <v>Student</v>
      </c>
      <c r="E2318" s="8" t="str">
        <f ca="1">IFERROR(__xludf.DUMMYFUNCTION("""COMPUTED_VALUE"""),"Apprehended/Killed by LE")</f>
        <v>Apprehended/Killed by LE</v>
      </c>
      <c r="F2318" s="8" t="str">
        <f ca="1">IFERROR(__xludf.DUMMYFUNCTION("""COMPUTED_VALUE"""),"No")</f>
        <v>No</v>
      </c>
      <c r="G2318" s="8" t="str">
        <f ca="1">IFERROR(__xludf.DUMMYFUNCTION("""COMPUTED_VALUE"""),"None")</f>
        <v>None</v>
      </c>
    </row>
    <row r="2319" spans="1:7" ht="12.75">
      <c r="A2319" s="8" t="str">
        <f ca="1">IFERROR(__xludf.DUMMYFUNCTION("""COMPUTED_VALUE"""),"19741218CAMAL")</f>
        <v>19741218CAMAL</v>
      </c>
      <c r="B2319" s="8">
        <f ca="1">IFERROR(__xludf.DUMMYFUNCTION("""COMPUTED_VALUE"""),17)</f>
        <v>17</v>
      </c>
      <c r="C2319" s="8" t="str">
        <f ca="1">IFERROR(__xludf.DUMMYFUNCTION("""COMPUTED_VALUE"""),"Male")</f>
        <v>Male</v>
      </c>
      <c r="D2319" s="8" t="str">
        <f ca="1">IFERROR(__xludf.DUMMYFUNCTION("""COMPUTED_VALUE"""),"No Relation")</f>
        <v>No Relation</v>
      </c>
      <c r="E2319" s="8" t="str">
        <f ca="1">IFERROR(__xludf.DUMMYFUNCTION("""COMPUTED_VALUE"""),"Fled/Escaped")</f>
        <v>Fled/Escaped</v>
      </c>
      <c r="F2319" s="8" t="str">
        <f ca="1">IFERROR(__xludf.DUMMYFUNCTION("""COMPUTED_VALUE"""),"No")</f>
        <v>No</v>
      </c>
      <c r="G2319" s="8" t="str">
        <f ca="1">IFERROR(__xludf.DUMMYFUNCTION("""COMPUTED_VALUE"""),"None")</f>
        <v>None</v>
      </c>
    </row>
    <row r="2320" spans="1:7" ht="12.75">
      <c r="A2320" s="8" t="str">
        <f ca="1">IFERROR(__xludf.DUMMYFUNCTION("""COMPUTED_VALUE"""),"19741125SCCAC")</f>
        <v>19741125SCCAC</v>
      </c>
      <c r="B2320" s="8" t="str">
        <f ca="1">IFERROR(__xludf.DUMMYFUNCTION("""COMPUTED_VALUE"""),"Teen")</f>
        <v>Teen</v>
      </c>
      <c r="C2320" s="8" t="str">
        <f ca="1">IFERROR(__xludf.DUMMYFUNCTION("""COMPUTED_VALUE"""),"Male")</f>
        <v>Male</v>
      </c>
      <c r="D2320" s="8" t="str">
        <f ca="1">IFERROR(__xludf.DUMMYFUNCTION("""COMPUTED_VALUE"""),"Student")</f>
        <v>Student</v>
      </c>
      <c r="E2320" s="8" t="str">
        <f ca="1">IFERROR(__xludf.DUMMYFUNCTION("""COMPUTED_VALUE"""),"Fled/Escaped")</f>
        <v>Fled/Escaped</v>
      </c>
      <c r="F2320" s="8" t="str">
        <f ca="1">IFERROR(__xludf.DUMMYFUNCTION("""COMPUTED_VALUE"""),"No")</f>
        <v>No</v>
      </c>
      <c r="G2320" s="8" t="str">
        <f ca="1">IFERROR(__xludf.DUMMYFUNCTION("""COMPUTED_VALUE"""),"None")</f>
        <v>None</v>
      </c>
    </row>
    <row r="2321" spans="1:7" ht="12.75">
      <c r="A2321" s="8" t="str">
        <f ca="1">IFERROR(__xludf.DUMMYFUNCTION("""COMPUTED_VALUE"""),"19741125SCCAC")</f>
        <v>19741125SCCAC</v>
      </c>
      <c r="B2321" s="8" t="str">
        <f ca="1">IFERROR(__xludf.DUMMYFUNCTION("""COMPUTED_VALUE"""),"Teen")</f>
        <v>Teen</v>
      </c>
      <c r="C2321" s="8" t="str">
        <f ca="1">IFERROR(__xludf.DUMMYFUNCTION("""COMPUTED_VALUE"""),"Male")</f>
        <v>Male</v>
      </c>
      <c r="D2321" s="8" t="str">
        <f ca="1">IFERROR(__xludf.DUMMYFUNCTION("""COMPUTED_VALUE"""),"Student")</f>
        <v>Student</v>
      </c>
      <c r="E2321" s="8" t="str">
        <f ca="1">IFERROR(__xludf.DUMMYFUNCTION("""COMPUTED_VALUE"""),"Fled/Escaped")</f>
        <v>Fled/Escaped</v>
      </c>
      <c r="F2321" s="8" t="str">
        <f ca="1">IFERROR(__xludf.DUMMYFUNCTION("""COMPUTED_VALUE"""),"No")</f>
        <v>No</v>
      </c>
      <c r="G2321" s="8" t="str">
        <f ca="1">IFERROR(__xludf.DUMMYFUNCTION("""COMPUTED_VALUE"""),"None")</f>
        <v>None</v>
      </c>
    </row>
    <row r="2322" spans="1:7" ht="12.75">
      <c r="A2322" s="8" t="str">
        <f ca="1">IFERROR(__xludf.DUMMYFUNCTION("""COMPUTED_VALUE"""),"19741121ARBOL")</f>
        <v>19741121ARBOL</v>
      </c>
      <c r="B2322" s="8">
        <f ca="1">IFERROR(__xludf.DUMMYFUNCTION("""COMPUTED_VALUE"""),15)</f>
        <v>15</v>
      </c>
      <c r="C2322" s="8" t="str">
        <f ca="1">IFERROR(__xludf.DUMMYFUNCTION("""COMPUTED_VALUE"""),"Male")</f>
        <v>Male</v>
      </c>
      <c r="D2322" s="8" t="str">
        <f ca="1">IFERROR(__xludf.DUMMYFUNCTION("""COMPUTED_VALUE"""),"Student")</f>
        <v>Student</v>
      </c>
      <c r="E2322" s="8" t="str">
        <f ca="1">IFERROR(__xludf.DUMMYFUNCTION("""COMPUTED_VALUE"""),"Surrendered")</f>
        <v>Surrendered</v>
      </c>
      <c r="F2322" s="8" t="str">
        <f ca="1">IFERROR(__xludf.DUMMYFUNCTION("""COMPUTED_VALUE"""),"No")</f>
        <v>No</v>
      </c>
      <c r="G2322" s="8" t="str">
        <f ca="1">IFERROR(__xludf.DUMMYFUNCTION("""COMPUTED_VALUE"""),"None")</f>
        <v>None</v>
      </c>
    </row>
    <row r="2323" spans="1:7" ht="12.75">
      <c r="A2323" s="8" t="str">
        <f ca="1">IFERROR(__xludf.DUMMYFUNCTION("""COMPUTED_VALUE"""),"19741118SCCAC")</f>
        <v>19741118SCCAC</v>
      </c>
      <c r="B2323" s="8"/>
      <c r="C2323" s="8" t="str">
        <f ca="1">IFERROR(__xludf.DUMMYFUNCTION("""COMPUTED_VALUE"""),"Male")</f>
        <v>Male</v>
      </c>
      <c r="D2323" s="8" t="str">
        <f ca="1">IFERROR(__xludf.DUMMYFUNCTION("""COMPUTED_VALUE"""),"No Relation")</f>
        <v>No Relation</v>
      </c>
      <c r="E2323" s="8" t="str">
        <f ca="1">IFERROR(__xludf.DUMMYFUNCTION("""COMPUTED_VALUE"""),"Fled/Escaped")</f>
        <v>Fled/Escaped</v>
      </c>
      <c r="F2323" s="8" t="str">
        <f ca="1">IFERROR(__xludf.DUMMYFUNCTION("""COMPUTED_VALUE"""),"No")</f>
        <v>No</v>
      </c>
      <c r="G2323" s="8" t="str">
        <f ca="1">IFERROR(__xludf.DUMMYFUNCTION("""COMPUTED_VALUE"""),"None")</f>
        <v>None</v>
      </c>
    </row>
    <row r="2324" spans="1:7" ht="12.75">
      <c r="A2324" s="8" t="str">
        <f ca="1">IFERROR(__xludf.DUMMYFUNCTION("""COMPUTED_VALUE"""),"19741021MDDOB")</f>
        <v>19741021MDDOB</v>
      </c>
      <c r="B2324" s="8">
        <f ca="1">IFERROR(__xludf.DUMMYFUNCTION("""COMPUTED_VALUE"""),15)</f>
        <v>15</v>
      </c>
      <c r="C2324" s="8" t="str">
        <f ca="1">IFERROR(__xludf.DUMMYFUNCTION("""COMPUTED_VALUE"""),"Male")</f>
        <v>Male</v>
      </c>
      <c r="D2324" s="8" t="str">
        <f ca="1">IFERROR(__xludf.DUMMYFUNCTION("""COMPUTED_VALUE"""),"No Relation")</f>
        <v>No Relation</v>
      </c>
      <c r="E2324" s="8" t="str">
        <f ca="1">IFERROR(__xludf.DUMMYFUNCTION("""COMPUTED_VALUE"""),"Fled/Apprehended")</f>
        <v>Fled/Apprehended</v>
      </c>
      <c r="F2324" s="8" t="str">
        <f ca="1">IFERROR(__xludf.DUMMYFUNCTION("""COMPUTED_VALUE"""),"No")</f>
        <v>No</v>
      </c>
      <c r="G2324" s="8" t="str">
        <f ca="1">IFERROR(__xludf.DUMMYFUNCTION("""COMPUTED_VALUE"""),"None")</f>
        <v>None</v>
      </c>
    </row>
    <row r="2325" spans="1:7" ht="12.75">
      <c r="A2325" s="8" t="str">
        <f ca="1">IFERROR(__xludf.DUMMYFUNCTION("""COMPUTED_VALUE"""),"19741007LADEH")</f>
        <v>19741007LADEH</v>
      </c>
      <c r="B2325" s="8">
        <f ca="1">IFERROR(__xludf.DUMMYFUNCTION("""COMPUTED_VALUE"""),17)</f>
        <v>17</v>
      </c>
      <c r="C2325" s="8" t="str">
        <f ca="1">IFERROR(__xludf.DUMMYFUNCTION("""COMPUTED_VALUE"""),"Male")</f>
        <v>Male</v>
      </c>
      <c r="D2325" s="8" t="str">
        <f ca="1">IFERROR(__xludf.DUMMYFUNCTION("""COMPUTED_VALUE"""),"Student")</f>
        <v>Student</v>
      </c>
      <c r="E2325" s="8" t="str">
        <f ca="1">IFERROR(__xludf.DUMMYFUNCTION("""COMPUTED_VALUE"""),"Apprehended/Killed by LE")</f>
        <v>Apprehended/Killed by LE</v>
      </c>
      <c r="F2325" s="8" t="str">
        <f ca="1">IFERROR(__xludf.DUMMYFUNCTION("""COMPUTED_VALUE"""),"No")</f>
        <v>No</v>
      </c>
      <c r="G2325" s="8" t="str">
        <f ca="1">IFERROR(__xludf.DUMMYFUNCTION("""COMPUTED_VALUE"""),"None")</f>
        <v>None</v>
      </c>
    </row>
    <row r="2326" spans="1:7" ht="12.75">
      <c r="A2326" s="8" t="str">
        <f ca="1">IFERROR(__xludf.DUMMYFUNCTION("""COMPUTED_VALUE"""),"19740925CASAL")</f>
        <v>19740925CASAL</v>
      </c>
      <c r="B2326" s="8">
        <f ca="1">IFERROR(__xludf.DUMMYFUNCTION("""COMPUTED_VALUE"""),17)</f>
        <v>17</v>
      </c>
      <c r="C2326" s="8" t="str">
        <f ca="1">IFERROR(__xludf.DUMMYFUNCTION("""COMPUTED_VALUE"""),"Male")</f>
        <v>Male</v>
      </c>
      <c r="D2326" s="8" t="str">
        <f ca="1">IFERROR(__xludf.DUMMYFUNCTION("""COMPUTED_VALUE"""),"Student")</f>
        <v>Student</v>
      </c>
      <c r="E2326" s="8" t="str">
        <f ca="1">IFERROR(__xludf.DUMMYFUNCTION("""COMPUTED_VALUE"""),"Fled/Apprehended")</f>
        <v>Fled/Apprehended</v>
      </c>
      <c r="F2326" s="8" t="str">
        <f ca="1">IFERROR(__xludf.DUMMYFUNCTION("""COMPUTED_VALUE"""),"No")</f>
        <v>No</v>
      </c>
      <c r="G2326" s="8" t="str">
        <f ca="1">IFERROR(__xludf.DUMMYFUNCTION("""COMPUTED_VALUE"""),"None")</f>
        <v>None</v>
      </c>
    </row>
    <row r="2327" spans="1:7" ht="12.75">
      <c r="A2327" s="8" t="str">
        <f ca="1">IFERROR(__xludf.DUMMYFUNCTION("""COMPUTED_VALUE"""),"19740923CAJED")</f>
        <v>19740923CAJED</v>
      </c>
      <c r="B2327" s="8" t="str">
        <f ca="1">IFERROR(__xludf.DUMMYFUNCTION("""COMPUTED_VALUE"""),"Teen")</f>
        <v>Teen</v>
      </c>
      <c r="C2327" s="8" t="str">
        <f ca="1">IFERROR(__xludf.DUMMYFUNCTION("""COMPUTED_VALUE"""),"Male")</f>
        <v>Male</v>
      </c>
      <c r="D2327" s="8" t="str">
        <f ca="1">IFERROR(__xludf.DUMMYFUNCTION("""COMPUTED_VALUE"""),"Student")</f>
        <v>Student</v>
      </c>
      <c r="E2327" s="8" t="str">
        <f ca="1">IFERROR(__xludf.DUMMYFUNCTION("""COMPUTED_VALUE"""),"Fled/Apprehended")</f>
        <v>Fled/Apprehended</v>
      </c>
      <c r="F2327" s="8" t="str">
        <f ca="1">IFERROR(__xludf.DUMMYFUNCTION("""COMPUTED_VALUE"""),"No")</f>
        <v>No</v>
      </c>
      <c r="G2327" s="8" t="str">
        <f ca="1">IFERROR(__xludf.DUMMYFUNCTION("""COMPUTED_VALUE"""),"None")</f>
        <v>None</v>
      </c>
    </row>
    <row r="2328" spans="1:7" ht="12.75">
      <c r="A2328" s="8" t="str">
        <f ca="1">IFERROR(__xludf.DUMMYFUNCTION("""COMPUTED_VALUE"""),"19740923CAJED")</f>
        <v>19740923CAJED</v>
      </c>
      <c r="B2328" s="8" t="str">
        <f ca="1">IFERROR(__xludf.DUMMYFUNCTION("""COMPUTED_VALUE"""),"Teen")</f>
        <v>Teen</v>
      </c>
      <c r="C2328" s="8" t="str">
        <f ca="1">IFERROR(__xludf.DUMMYFUNCTION("""COMPUTED_VALUE"""),"Male")</f>
        <v>Male</v>
      </c>
      <c r="D2328" s="8" t="str">
        <f ca="1">IFERROR(__xludf.DUMMYFUNCTION("""COMPUTED_VALUE"""),"Student")</f>
        <v>Student</v>
      </c>
      <c r="E2328" s="8" t="str">
        <f ca="1">IFERROR(__xludf.DUMMYFUNCTION("""COMPUTED_VALUE"""),"Fled/Apprehended")</f>
        <v>Fled/Apprehended</v>
      </c>
      <c r="F2328" s="8" t="str">
        <f ca="1">IFERROR(__xludf.DUMMYFUNCTION("""COMPUTED_VALUE"""),"No")</f>
        <v>No</v>
      </c>
      <c r="G2328" s="8" t="str">
        <f ca="1">IFERROR(__xludf.DUMMYFUNCTION("""COMPUTED_VALUE"""),"None")</f>
        <v>None</v>
      </c>
    </row>
    <row r="2329" spans="1:7" ht="12.75">
      <c r="A2329" s="8" t="str">
        <f ca="1">IFERROR(__xludf.DUMMYFUNCTION("""COMPUTED_VALUE"""),"19740923CAJED")</f>
        <v>19740923CAJED</v>
      </c>
      <c r="B2329" s="8" t="str">
        <f ca="1">IFERROR(__xludf.DUMMYFUNCTION("""COMPUTED_VALUE"""),"Teen")</f>
        <v>Teen</v>
      </c>
      <c r="C2329" s="8" t="str">
        <f ca="1">IFERROR(__xludf.DUMMYFUNCTION("""COMPUTED_VALUE"""),"Male")</f>
        <v>Male</v>
      </c>
      <c r="D2329" s="8" t="str">
        <f ca="1">IFERROR(__xludf.DUMMYFUNCTION("""COMPUTED_VALUE"""),"Student")</f>
        <v>Student</v>
      </c>
      <c r="E2329" s="8" t="str">
        <f ca="1">IFERROR(__xludf.DUMMYFUNCTION("""COMPUTED_VALUE"""),"Fled/Apprehended")</f>
        <v>Fled/Apprehended</v>
      </c>
      <c r="F2329" s="8" t="str">
        <f ca="1">IFERROR(__xludf.DUMMYFUNCTION("""COMPUTED_VALUE"""),"No")</f>
        <v>No</v>
      </c>
      <c r="G2329" s="8" t="str">
        <f ca="1">IFERROR(__xludf.DUMMYFUNCTION("""COMPUTED_VALUE"""),"None")</f>
        <v>None</v>
      </c>
    </row>
    <row r="2330" spans="1:7" ht="12.75">
      <c r="A2330" s="8" t="str">
        <f ca="1">IFERROR(__xludf.DUMMYFUNCTION("""COMPUTED_VALUE"""),"19740519FLHIO")</f>
        <v>19740519FLHIO</v>
      </c>
      <c r="B2330" s="8">
        <f ca="1">IFERROR(__xludf.DUMMYFUNCTION("""COMPUTED_VALUE"""),35)</f>
        <v>35</v>
      </c>
      <c r="C2330" s="8" t="str">
        <f ca="1">IFERROR(__xludf.DUMMYFUNCTION("""COMPUTED_VALUE"""),"Male")</f>
        <v>Male</v>
      </c>
      <c r="D2330" s="8" t="str">
        <f ca="1">IFERROR(__xludf.DUMMYFUNCTION("""COMPUTED_VALUE"""),"Intimate Relationship")</f>
        <v>Intimate Relationship</v>
      </c>
      <c r="E2330" s="8" t="str">
        <f ca="1">IFERROR(__xludf.DUMMYFUNCTION("""COMPUTED_VALUE"""),"Fled/Apprehended")</f>
        <v>Fled/Apprehended</v>
      </c>
      <c r="F2330" s="8" t="str">
        <f ca="1">IFERROR(__xludf.DUMMYFUNCTION("""COMPUTED_VALUE"""),"No")</f>
        <v>No</v>
      </c>
      <c r="G2330" s="8" t="str">
        <f ca="1">IFERROR(__xludf.DUMMYFUNCTION("""COMPUTED_VALUE"""),"None")</f>
        <v>None</v>
      </c>
    </row>
    <row r="2331" spans="1:7" ht="12.75">
      <c r="A2331" s="8" t="str">
        <f ca="1">IFERROR(__xludf.DUMMYFUNCTION("""COMPUTED_VALUE"""),"19740510TNCHR")</f>
        <v>19740510TNCHR</v>
      </c>
      <c r="B2331" s="8">
        <f ca="1">IFERROR(__xludf.DUMMYFUNCTION("""COMPUTED_VALUE"""),20)</f>
        <v>20</v>
      </c>
      <c r="C2331" s="8" t="str">
        <f ca="1">IFERROR(__xludf.DUMMYFUNCTION("""COMPUTED_VALUE"""),"Male")</f>
        <v>Male</v>
      </c>
      <c r="D2331" s="8" t="str">
        <f ca="1">IFERROR(__xludf.DUMMYFUNCTION("""COMPUTED_VALUE"""),"Student")</f>
        <v>Student</v>
      </c>
      <c r="E2331" s="8" t="str">
        <f ca="1">IFERROR(__xludf.DUMMYFUNCTION("""COMPUTED_VALUE"""),"Surrendered")</f>
        <v>Surrendered</v>
      </c>
      <c r="F2331" s="8" t="str">
        <f ca="1">IFERROR(__xludf.DUMMYFUNCTION("""COMPUTED_VALUE"""),"No")</f>
        <v>No</v>
      </c>
      <c r="G2331" s="8" t="str">
        <f ca="1">IFERROR(__xludf.DUMMYFUNCTION("""COMPUTED_VALUE"""),"None")</f>
        <v>None</v>
      </c>
    </row>
    <row r="2332" spans="1:7" ht="12.75">
      <c r="A2332" s="8" t="str">
        <f ca="1">IFERROR(__xludf.DUMMYFUNCTION("""COMPUTED_VALUE"""),"19740402CTSTB")</f>
        <v>19740402CTSTB</v>
      </c>
      <c r="B2332" s="8"/>
      <c r="C2332" s="8"/>
      <c r="D2332" s="8" t="str">
        <f ca="1">IFERROR(__xludf.DUMMYFUNCTION("""COMPUTED_VALUE"""),"Unknown")</f>
        <v>Unknown</v>
      </c>
      <c r="E2332" s="8" t="str">
        <f ca="1">IFERROR(__xludf.DUMMYFUNCTION("""COMPUTED_VALUE"""),"Fled/Escaped")</f>
        <v>Fled/Escaped</v>
      </c>
      <c r="F2332" s="8" t="str">
        <f ca="1">IFERROR(__xludf.DUMMYFUNCTION("""COMPUTED_VALUE"""),"No")</f>
        <v>No</v>
      </c>
      <c r="G2332" s="8" t="str">
        <f ca="1">IFERROR(__xludf.DUMMYFUNCTION("""COMPUTED_VALUE"""),"None")</f>
        <v>None</v>
      </c>
    </row>
    <row r="2333" spans="1:7" ht="12.75">
      <c r="A2333" s="8" t="str">
        <f ca="1">IFERROR(__xludf.DUMMYFUNCTION("""COMPUTED_VALUE"""),"19740322INBRB")</f>
        <v>19740322INBRB</v>
      </c>
      <c r="B2333" s="8">
        <f ca="1">IFERROR(__xludf.DUMMYFUNCTION("""COMPUTED_VALUE"""),17)</f>
        <v>17</v>
      </c>
      <c r="C2333" s="8" t="str">
        <f ca="1">IFERROR(__xludf.DUMMYFUNCTION("""COMPUTED_VALUE"""),"Male")</f>
        <v>Male</v>
      </c>
      <c r="D2333" s="8" t="str">
        <f ca="1">IFERROR(__xludf.DUMMYFUNCTION("""COMPUTED_VALUE"""),"Student")</f>
        <v>Student</v>
      </c>
      <c r="E2333" s="8" t="str">
        <f ca="1">IFERROR(__xludf.DUMMYFUNCTION("""COMPUTED_VALUE"""),"Surrendered")</f>
        <v>Surrendered</v>
      </c>
      <c r="F2333" s="8" t="str">
        <f ca="1">IFERROR(__xludf.DUMMYFUNCTION("""COMPUTED_VALUE"""),"No")</f>
        <v>No</v>
      </c>
      <c r="G2333" s="8" t="str">
        <f ca="1">IFERROR(__xludf.DUMMYFUNCTION("""COMPUTED_VALUE"""),"None")</f>
        <v>None</v>
      </c>
    </row>
    <row r="2334" spans="1:7" ht="12.75">
      <c r="A2334" s="8" t="str">
        <f ca="1">IFERROR(__xludf.DUMMYFUNCTION("""COMPUTED_VALUE"""),"19740207CAJAO")</f>
        <v>19740207CAJAO</v>
      </c>
      <c r="B2334" s="8">
        <f ca="1">IFERROR(__xludf.DUMMYFUNCTION("""COMPUTED_VALUE"""),24)</f>
        <v>24</v>
      </c>
      <c r="C2334" s="8" t="str">
        <f ca="1">IFERROR(__xludf.DUMMYFUNCTION("""COMPUTED_VALUE"""),"Male")</f>
        <v>Male</v>
      </c>
      <c r="D2334" s="8" t="str">
        <f ca="1">IFERROR(__xludf.DUMMYFUNCTION("""COMPUTED_VALUE"""),"No Relation")</f>
        <v>No Relation</v>
      </c>
      <c r="E2334" s="8" t="str">
        <f ca="1">IFERROR(__xludf.DUMMYFUNCTION("""COMPUTED_VALUE"""),"Fled/Apprehended")</f>
        <v>Fled/Apprehended</v>
      </c>
      <c r="F2334" s="8" t="str">
        <f ca="1">IFERROR(__xludf.DUMMYFUNCTION("""COMPUTED_VALUE"""),"No")</f>
        <v>No</v>
      </c>
      <c r="G2334" s="8" t="str">
        <f ca="1">IFERROR(__xludf.DUMMYFUNCTION("""COMPUTED_VALUE"""),"None")</f>
        <v>None</v>
      </c>
    </row>
    <row r="2335" spans="1:7" ht="12.75">
      <c r="A2335" s="8" t="str">
        <f ca="1">IFERROR(__xludf.DUMMYFUNCTION("""COMPUTED_VALUE"""),"19740122CALOL")</f>
        <v>19740122CALOL</v>
      </c>
      <c r="B2335" s="8">
        <f ca="1">IFERROR(__xludf.DUMMYFUNCTION("""COMPUTED_VALUE"""),15)</f>
        <v>15</v>
      </c>
      <c r="C2335" s="8" t="str">
        <f ca="1">IFERROR(__xludf.DUMMYFUNCTION("""COMPUTED_VALUE"""),"Male")</f>
        <v>Male</v>
      </c>
      <c r="D2335" s="8" t="str">
        <f ca="1">IFERROR(__xludf.DUMMYFUNCTION("""COMPUTED_VALUE"""),"No Relation")</f>
        <v>No Relation</v>
      </c>
      <c r="E2335" s="8" t="str">
        <f ca="1">IFERROR(__xludf.DUMMYFUNCTION("""COMPUTED_VALUE"""),"Fled/Apprehended")</f>
        <v>Fled/Apprehended</v>
      </c>
      <c r="F2335" s="8" t="str">
        <f ca="1">IFERROR(__xludf.DUMMYFUNCTION("""COMPUTED_VALUE"""),"No")</f>
        <v>No</v>
      </c>
      <c r="G2335" s="8" t="str">
        <f ca="1">IFERROR(__xludf.DUMMYFUNCTION("""COMPUTED_VALUE"""),"None")</f>
        <v>None</v>
      </c>
    </row>
    <row r="2336" spans="1:7" ht="12.75">
      <c r="A2336" s="8" t="str">
        <f ca="1">IFERROR(__xludf.DUMMYFUNCTION("""COMPUTED_VALUE"""),"19740117ILBAC")</f>
        <v>19740117ILBAC</v>
      </c>
      <c r="B2336" s="8">
        <f ca="1">IFERROR(__xludf.DUMMYFUNCTION("""COMPUTED_VALUE"""),14)</f>
        <v>14</v>
      </c>
      <c r="C2336" s="8" t="str">
        <f ca="1">IFERROR(__xludf.DUMMYFUNCTION("""COMPUTED_VALUE"""),"Male")</f>
        <v>Male</v>
      </c>
      <c r="D2336" s="8" t="str">
        <f ca="1">IFERROR(__xludf.DUMMYFUNCTION("""COMPUTED_VALUE"""),"Former Student")</f>
        <v>Former Student</v>
      </c>
      <c r="E2336" s="8" t="str">
        <f ca="1">IFERROR(__xludf.DUMMYFUNCTION("""COMPUTED_VALUE"""),"Subdued by Students/Staff/Other")</f>
        <v>Subdued by Students/Staff/Other</v>
      </c>
      <c r="F2336" s="8" t="str">
        <f ca="1">IFERROR(__xludf.DUMMYFUNCTION("""COMPUTED_VALUE"""),"No")</f>
        <v>No</v>
      </c>
      <c r="G2336" s="8" t="str">
        <f ca="1">IFERROR(__xludf.DUMMYFUNCTION("""COMPUTED_VALUE"""),"None")</f>
        <v>None</v>
      </c>
    </row>
    <row r="2337" spans="1:7" ht="12.75">
      <c r="A2337" s="8" t="str">
        <f ca="1">IFERROR(__xludf.DUMMYFUNCTION("""COMPUTED_VALUE"""),"19731213OHHUC")</f>
        <v>19731213OHHUC</v>
      </c>
      <c r="B2337" s="8">
        <f ca="1">IFERROR(__xludf.DUMMYFUNCTION("""COMPUTED_VALUE"""),16)</f>
        <v>16</v>
      </c>
      <c r="C2337" s="8" t="str">
        <f ca="1">IFERROR(__xludf.DUMMYFUNCTION("""COMPUTED_VALUE"""),"Male")</f>
        <v>Male</v>
      </c>
      <c r="D2337" s="8" t="str">
        <f ca="1">IFERROR(__xludf.DUMMYFUNCTION("""COMPUTED_VALUE"""),"Student")</f>
        <v>Student</v>
      </c>
      <c r="E2337" s="8" t="str">
        <f ca="1">IFERROR(__xludf.DUMMYFUNCTION("""COMPUTED_VALUE"""),"Fled/Apprehended")</f>
        <v>Fled/Apprehended</v>
      </c>
      <c r="F2337" s="8" t="str">
        <f ca="1">IFERROR(__xludf.DUMMYFUNCTION("""COMPUTED_VALUE"""),"No")</f>
        <v>No</v>
      </c>
      <c r="G2337" s="8" t="str">
        <f ca="1">IFERROR(__xludf.DUMMYFUNCTION("""COMPUTED_VALUE"""),"None")</f>
        <v>None</v>
      </c>
    </row>
    <row r="2338" spans="1:7" ht="12.75">
      <c r="A2338" s="8" t="str">
        <f ca="1">IFERROR(__xludf.DUMMYFUNCTION("""COMPUTED_VALUE"""),"19731206CAFRL")</f>
        <v>19731206CAFRL</v>
      </c>
      <c r="B2338" s="8"/>
      <c r="C2338" s="8"/>
      <c r="D2338" s="8" t="str">
        <f ca="1">IFERROR(__xludf.DUMMYFUNCTION("""COMPUTED_VALUE"""),"Student")</f>
        <v>Student</v>
      </c>
      <c r="E2338" s="8" t="str">
        <f ca="1">IFERROR(__xludf.DUMMYFUNCTION("""COMPUTED_VALUE"""),"Fled/Apprehended")</f>
        <v>Fled/Apprehended</v>
      </c>
      <c r="F2338" s="8" t="str">
        <f ca="1">IFERROR(__xludf.DUMMYFUNCTION("""COMPUTED_VALUE"""),"No")</f>
        <v>No</v>
      </c>
      <c r="G2338" s="8" t="str">
        <f ca="1">IFERROR(__xludf.DUMMYFUNCTION("""COMPUTED_VALUE"""),"None")</f>
        <v>None</v>
      </c>
    </row>
    <row r="2339" spans="1:7" ht="12.75">
      <c r="A2339" s="8" t="str">
        <f ca="1">IFERROR(__xludf.DUMMYFUNCTION("""COMPUTED_VALUE"""),"19731109CALOL")</f>
        <v>19731109CALOL</v>
      </c>
      <c r="B2339" s="8" t="str">
        <f ca="1">IFERROR(__xludf.DUMMYFUNCTION("""COMPUTED_VALUE"""),"Teen")</f>
        <v>Teen</v>
      </c>
      <c r="C2339" s="8" t="str">
        <f ca="1">IFERROR(__xludf.DUMMYFUNCTION("""COMPUTED_VALUE"""),"Male")</f>
        <v>Male</v>
      </c>
      <c r="D2339" s="8" t="str">
        <f ca="1">IFERROR(__xludf.DUMMYFUNCTION("""COMPUTED_VALUE"""),"Unknown")</f>
        <v>Unknown</v>
      </c>
      <c r="E2339" s="8" t="str">
        <f ca="1">IFERROR(__xludf.DUMMYFUNCTION("""COMPUTED_VALUE"""),"Fled/Apprehended")</f>
        <v>Fled/Apprehended</v>
      </c>
      <c r="F2339" s="8" t="str">
        <f ca="1">IFERROR(__xludf.DUMMYFUNCTION("""COMPUTED_VALUE"""),"No")</f>
        <v>No</v>
      </c>
      <c r="G2339" s="8" t="str">
        <f ca="1">IFERROR(__xludf.DUMMYFUNCTION("""COMPUTED_VALUE"""),"None")</f>
        <v>None</v>
      </c>
    </row>
    <row r="2340" spans="1:7" ht="12.75">
      <c r="A2340" s="8" t="str">
        <f ca="1">IFERROR(__xludf.DUMMYFUNCTION("""COMPUTED_VALUE"""),"19731108ILWOC")</f>
        <v>19731108ILWOC</v>
      </c>
      <c r="B2340" s="8">
        <f ca="1">IFERROR(__xludf.DUMMYFUNCTION("""COMPUTED_VALUE"""),16)</f>
        <v>16</v>
      </c>
      <c r="C2340" s="8" t="str">
        <f ca="1">IFERROR(__xludf.DUMMYFUNCTION("""COMPUTED_VALUE"""),"Male")</f>
        <v>Male</v>
      </c>
      <c r="D2340" s="8" t="str">
        <f ca="1">IFERROR(__xludf.DUMMYFUNCTION("""COMPUTED_VALUE"""),"Student")</f>
        <v>Student</v>
      </c>
      <c r="E2340" s="8" t="str">
        <f ca="1">IFERROR(__xludf.DUMMYFUNCTION("""COMPUTED_VALUE"""),"Fled/Apprehended")</f>
        <v>Fled/Apprehended</v>
      </c>
      <c r="F2340" s="8" t="str">
        <f ca="1">IFERROR(__xludf.DUMMYFUNCTION("""COMPUTED_VALUE"""),"No")</f>
        <v>No</v>
      </c>
      <c r="G2340" s="8" t="str">
        <f ca="1">IFERROR(__xludf.DUMMYFUNCTION("""COMPUTED_VALUE"""),"None")</f>
        <v>None</v>
      </c>
    </row>
    <row r="2341" spans="1:7" ht="12.75">
      <c r="A2341" s="8" t="str">
        <f ca="1">IFERROR(__xludf.DUMMYFUNCTION("""COMPUTED_VALUE"""),"19731031MONOS")</f>
        <v>19731031MONOS</v>
      </c>
      <c r="B2341" s="8">
        <f ca="1">IFERROR(__xludf.DUMMYFUNCTION("""COMPUTED_VALUE"""),18)</f>
        <v>18</v>
      </c>
      <c r="C2341" s="8" t="str">
        <f ca="1">IFERROR(__xludf.DUMMYFUNCTION("""COMPUTED_VALUE"""),"Male")</f>
        <v>Male</v>
      </c>
      <c r="D2341" s="8" t="str">
        <f ca="1">IFERROR(__xludf.DUMMYFUNCTION("""COMPUTED_VALUE"""),"No Relation")</f>
        <v>No Relation</v>
      </c>
      <c r="E2341" s="8" t="str">
        <f ca="1">IFERROR(__xludf.DUMMYFUNCTION("""COMPUTED_VALUE"""),"Fled/Apprehended")</f>
        <v>Fled/Apprehended</v>
      </c>
      <c r="F2341" s="8" t="str">
        <f ca="1">IFERROR(__xludf.DUMMYFUNCTION("""COMPUTED_VALUE"""),"No")</f>
        <v>No</v>
      </c>
      <c r="G2341" s="8" t="str">
        <f ca="1">IFERROR(__xludf.DUMMYFUNCTION("""COMPUTED_VALUE"""),"None")</f>
        <v>None</v>
      </c>
    </row>
    <row r="2342" spans="1:7" ht="12.75">
      <c r="A2342" s="8" t="str">
        <f ca="1">IFERROR(__xludf.DUMMYFUNCTION("""COMPUTED_VALUE"""),"19731024MNCEM")</f>
        <v>19731024MNCEM</v>
      </c>
      <c r="B2342" s="8">
        <f ca="1">IFERROR(__xludf.DUMMYFUNCTION("""COMPUTED_VALUE"""),17)</f>
        <v>17</v>
      </c>
      <c r="C2342" s="8" t="str">
        <f ca="1">IFERROR(__xludf.DUMMYFUNCTION("""COMPUTED_VALUE"""),"Male")</f>
        <v>Male</v>
      </c>
      <c r="D2342" s="8" t="str">
        <f ca="1">IFERROR(__xludf.DUMMYFUNCTION("""COMPUTED_VALUE"""),"Student")</f>
        <v>Student</v>
      </c>
      <c r="E2342" s="8" t="str">
        <f ca="1">IFERROR(__xludf.DUMMYFUNCTION("""COMPUTED_VALUE"""),"Fled/Apprehended")</f>
        <v>Fled/Apprehended</v>
      </c>
      <c r="F2342" s="8" t="str">
        <f ca="1">IFERROR(__xludf.DUMMYFUNCTION("""COMPUTED_VALUE"""),"No")</f>
        <v>No</v>
      </c>
      <c r="G2342" s="8" t="str">
        <f ca="1">IFERROR(__xludf.DUMMYFUNCTION("""COMPUTED_VALUE"""),"None")</f>
        <v>None</v>
      </c>
    </row>
    <row r="2343" spans="1:7" ht="12.75">
      <c r="A2343" s="8" t="str">
        <f ca="1">IFERROR(__xludf.DUMMYFUNCTION("""COMPUTED_VALUE"""),"19731023OHBAB")</f>
        <v>19731023OHBAB</v>
      </c>
      <c r="B2343" s="8">
        <f ca="1">IFERROR(__xludf.DUMMYFUNCTION("""COMPUTED_VALUE"""),17)</f>
        <v>17</v>
      </c>
      <c r="C2343" s="8" t="str">
        <f ca="1">IFERROR(__xludf.DUMMYFUNCTION("""COMPUTED_VALUE"""),"Male")</f>
        <v>Male</v>
      </c>
      <c r="D2343" s="8" t="str">
        <f ca="1">IFERROR(__xludf.DUMMYFUNCTION("""COMPUTED_VALUE"""),"Student")</f>
        <v>Student</v>
      </c>
      <c r="E2343" s="8" t="str">
        <f ca="1">IFERROR(__xludf.DUMMYFUNCTION("""COMPUTED_VALUE"""),"Fled/Apprehended")</f>
        <v>Fled/Apprehended</v>
      </c>
      <c r="F2343" s="8" t="str">
        <f ca="1">IFERROR(__xludf.DUMMYFUNCTION("""COMPUTED_VALUE"""),"No")</f>
        <v>No</v>
      </c>
      <c r="G2343" s="8" t="str">
        <f ca="1">IFERROR(__xludf.DUMMYFUNCTION("""COMPUTED_VALUE"""),"None")</f>
        <v>None</v>
      </c>
    </row>
    <row r="2344" spans="1:7" ht="12.75">
      <c r="A2344" s="8" t="str">
        <f ca="1">IFERROR(__xludf.DUMMYFUNCTION("""COMPUTED_VALUE"""),"19731023MOSUS")</f>
        <v>19731023MOSUS</v>
      </c>
      <c r="B2344" s="8">
        <f ca="1">IFERROR(__xludf.DUMMYFUNCTION("""COMPUTED_VALUE"""),14)</f>
        <v>14</v>
      </c>
      <c r="C2344" s="8" t="str">
        <f ca="1">IFERROR(__xludf.DUMMYFUNCTION("""COMPUTED_VALUE"""),"Male")</f>
        <v>Male</v>
      </c>
      <c r="D2344" s="8" t="str">
        <f ca="1">IFERROR(__xludf.DUMMYFUNCTION("""COMPUTED_VALUE"""),"Unknown")</f>
        <v>Unknown</v>
      </c>
      <c r="E2344" s="8" t="str">
        <f ca="1">IFERROR(__xludf.DUMMYFUNCTION("""COMPUTED_VALUE"""),"Fled/Apprehended")</f>
        <v>Fled/Apprehended</v>
      </c>
      <c r="F2344" s="8" t="str">
        <f ca="1">IFERROR(__xludf.DUMMYFUNCTION("""COMPUTED_VALUE"""),"No")</f>
        <v>No</v>
      </c>
      <c r="G2344" s="8" t="str">
        <f ca="1">IFERROR(__xludf.DUMMYFUNCTION("""COMPUTED_VALUE"""),"None")</f>
        <v>None</v>
      </c>
    </row>
    <row r="2345" spans="1:7" ht="12.75">
      <c r="A2345" s="8" t="str">
        <f ca="1">IFERROR(__xludf.DUMMYFUNCTION("""COMPUTED_VALUE"""),"19731023MOSUS")</f>
        <v>19731023MOSUS</v>
      </c>
      <c r="B2345" s="8" t="str">
        <f ca="1">IFERROR(__xludf.DUMMYFUNCTION("""COMPUTED_VALUE"""),"Teen")</f>
        <v>Teen</v>
      </c>
      <c r="C2345" s="8" t="str">
        <f ca="1">IFERROR(__xludf.DUMMYFUNCTION("""COMPUTED_VALUE"""),"Male")</f>
        <v>Male</v>
      </c>
      <c r="D2345" s="8" t="str">
        <f ca="1">IFERROR(__xludf.DUMMYFUNCTION("""COMPUTED_VALUE"""),"Unknown")</f>
        <v>Unknown</v>
      </c>
      <c r="E2345" s="8" t="str">
        <f ca="1">IFERROR(__xludf.DUMMYFUNCTION("""COMPUTED_VALUE"""),"Fled/Apprehended")</f>
        <v>Fled/Apprehended</v>
      </c>
      <c r="F2345" s="8" t="str">
        <f ca="1">IFERROR(__xludf.DUMMYFUNCTION("""COMPUTED_VALUE"""),"No")</f>
        <v>No</v>
      </c>
      <c r="G2345" s="8" t="str">
        <f ca="1">IFERROR(__xludf.DUMMYFUNCTION("""COMPUTED_VALUE"""),"None")</f>
        <v>None</v>
      </c>
    </row>
    <row r="2346" spans="1:7" ht="12.75">
      <c r="A2346" s="8" t="str">
        <f ca="1">IFERROR(__xludf.DUMMYFUNCTION("""COMPUTED_VALUE"""),"19731019MOBES")</f>
        <v>19731019MOBES</v>
      </c>
      <c r="B2346" s="8">
        <f ca="1">IFERROR(__xludf.DUMMYFUNCTION("""COMPUTED_VALUE"""),14)</f>
        <v>14</v>
      </c>
      <c r="C2346" s="8" t="str">
        <f ca="1">IFERROR(__xludf.DUMMYFUNCTION("""COMPUTED_VALUE"""),"Male")</f>
        <v>Male</v>
      </c>
      <c r="D2346" s="8" t="str">
        <f ca="1">IFERROR(__xludf.DUMMYFUNCTION("""COMPUTED_VALUE"""),"Student")</f>
        <v>Student</v>
      </c>
      <c r="E2346" s="8" t="str">
        <f ca="1">IFERROR(__xludf.DUMMYFUNCTION("""COMPUTED_VALUE"""),"Fled/Apprehended")</f>
        <v>Fled/Apprehended</v>
      </c>
      <c r="F2346" s="8" t="str">
        <f ca="1">IFERROR(__xludf.DUMMYFUNCTION("""COMPUTED_VALUE"""),"No")</f>
        <v>No</v>
      </c>
      <c r="G2346" s="8" t="str">
        <f ca="1">IFERROR(__xludf.DUMMYFUNCTION("""COMPUTED_VALUE"""),"None")</f>
        <v>None</v>
      </c>
    </row>
    <row r="2347" spans="1:7" ht="12.75">
      <c r="A2347" s="8" t="str">
        <f ca="1">IFERROR(__xludf.DUMMYFUNCTION("""COMPUTED_VALUE"""),"19731002ILELA")</f>
        <v>19731002ILELA</v>
      </c>
      <c r="B2347" s="8">
        <f ca="1">IFERROR(__xludf.DUMMYFUNCTION("""COMPUTED_VALUE"""),17)</f>
        <v>17</v>
      </c>
      <c r="C2347" s="8" t="str">
        <f ca="1">IFERROR(__xludf.DUMMYFUNCTION("""COMPUTED_VALUE"""),"Male")</f>
        <v>Male</v>
      </c>
      <c r="D2347" s="8" t="str">
        <f ca="1">IFERROR(__xludf.DUMMYFUNCTION("""COMPUTED_VALUE"""),"Student")</f>
        <v>Student</v>
      </c>
      <c r="E2347" s="8" t="str">
        <f ca="1">IFERROR(__xludf.DUMMYFUNCTION("""COMPUTED_VALUE"""),"Suicide")</f>
        <v>Suicide</v>
      </c>
      <c r="F2347" s="8" t="str">
        <f ca="1">IFERROR(__xludf.DUMMYFUNCTION("""COMPUTED_VALUE"""),"Yes")</f>
        <v>Yes</v>
      </c>
      <c r="G2347" s="8" t="str">
        <f ca="1">IFERROR(__xludf.DUMMYFUNCTION("""COMPUTED_VALUE"""),"Suicide")</f>
        <v>Suicide</v>
      </c>
    </row>
    <row r="2348" spans="1:7" ht="12.75">
      <c r="A2348" s="8" t="str">
        <f ca="1">IFERROR(__xludf.DUMMYFUNCTION("""COMPUTED_VALUE"""),"19730928CAWIL")</f>
        <v>19730928CAWIL</v>
      </c>
      <c r="B2348" s="8">
        <f ca="1">IFERROR(__xludf.DUMMYFUNCTION("""COMPUTED_VALUE"""),16)</f>
        <v>16</v>
      </c>
      <c r="C2348" s="8" t="str">
        <f ca="1">IFERROR(__xludf.DUMMYFUNCTION("""COMPUTED_VALUE"""),"Male")</f>
        <v>Male</v>
      </c>
      <c r="D2348" s="8" t="str">
        <f ca="1">IFERROR(__xludf.DUMMYFUNCTION("""COMPUTED_VALUE"""),"Student")</f>
        <v>Student</v>
      </c>
      <c r="E2348" s="8" t="str">
        <f ca="1">IFERROR(__xludf.DUMMYFUNCTION("""COMPUTED_VALUE"""),"Apprehended/Killed by SRO")</f>
        <v>Apprehended/Killed by SRO</v>
      </c>
      <c r="F2348" s="8" t="str">
        <f ca="1">IFERROR(__xludf.DUMMYFUNCTION("""COMPUTED_VALUE"""),"No")</f>
        <v>No</v>
      </c>
      <c r="G2348" s="8" t="str">
        <f ca="1">IFERROR(__xludf.DUMMYFUNCTION("""COMPUTED_VALUE"""),"Wounded")</f>
        <v>Wounded</v>
      </c>
    </row>
    <row r="2349" spans="1:7" ht="12.75">
      <c r="A2349" s="8" t="str">
        <f ca="1">IFERROR(__xludf.DUMMYFUNCTION("""COMPUTED_VALUE"""),"19730501OHRAY")</f>
        <v>19730501OHRAY</v>
      </c>
      <c r="B2349" s="8">
        <f ca="1">IFERROR(__xludf.DUMMYFUNCTION("""COMPUTED_VALUE"""),15)</f>
        <v>15</v>
      </c>
      <c r="C2349" s="8" t="str">
        <f ca="1">IFERROR(__xludf.DUMMYFUNCTION("""COMPUTED_VALUE"""),"Male")</f>
        <v>Male</v>
      </c>
      <c r="D2349" s="8" t="str">
        <f ca="1">IFERROR(__xludf.DUMMYFUNCTION("""COMPUTED_VALUE"""),"Student")</f>
        <v>Student</v>
      </c>
      <c r="E2349" s="8" t="str">
        <f ca="1">IFERROR(__xludf.DUMMYFUNCTION("""COMPUTED_VALUE"""),"Fled/Apprehended")</f>
        <v>Fled/Apprehended</v>
      </c>
      <c r="F2349" s="8" t="str">
        <f ca="1">IFERROR(__xludf.DUMMYFUNCTION("""COMPUTED_VALUE"""),"No")</f>
        <v>No</v>
      </c>
      <c r="G2349" s="8" t="str">
        <f ca="1">IFERROR(__xludf.DUMMYFUNCTION("""COMPUTED_VALUE"""),"None")</f>
        <v>None</v>
      </c>
    </row>
    <row r="2350" spans="1:7" ht="12.75">
      <c r="A2350" s="8" t="str">
        <f ca="1">IFERROR(__xludf.DUMMYFUNCTION("""COMPUTED_VALUE"""),"19730405CALOL")</f>
        <v>19730405CALOL</v>
      </c>
      <c r="B2350" s="8"/>
      <c r="C2350" s="8" t="str">
        <f ca="1">IFERROR(__xludf.DUMMYFUNCTION("""COMPUTED_VALUE"""),"Male")</f>
        <v>Male</v>
      </c>
      <c r="D2350" s="8" t="str">
        <f ca="1">IFERROR(__xludf.DUMMYFUNCTION("""COMPUTED_VALUE"""),"Student")</f>
        <v>Student</v>
      </c>
      <c r="E2350" s="8" t="str">
        <f ca="1">IFERROR(__xludf.DUMMYFUNCTION("""COMPUTED_VALUE"""),"Fled/Escaped")</f>
        <v>Fled/Escaped</v>
      </c>
      <c r="F2350" s="8" t="str">
        <f ca="1">IFERROR(__xludf.DUMMYFUNCTION("""COMPUTED_VALUE"""),"No")</f>
        <v>No</v>
      </c>
      <c r="G2350" s="8" t="str">
        <f ca="1">IFERROR(__xludf.DUMMYFUNCTION("""COMPUTED_VALUE"""),"None")</f>
        <v>None</v>
      </c>
    </row>
    <row r="2351" spans="1:7" ht="12.75">
      <c r="A2351" s="8" t="str">
        <f ca="1">IFERROR(__xludf.DUMMYFUNCTION("""COMPUTED_VALUE"""),"19730226VAARR")</f>
        <v>19730226VAARR</v>
      </c>
      <c r="B2351" s="8">
        <f ca="1">IFERROR(__xludf.DUMMYFUNCTION("""COMPUTED_VALUE"""),18)</f>
        <v>18</v>
      </c>
      <c r="C2351" s="8" t="str">
        <f ca="1">IFERROR(__xludf.DUMMYFUNCTION("""COMPUTED_VALUE"""),"Male")</f>
        <v>Male</v>
      </c>
      <c r="D2351" s="8" t="str">
        <f ca="1">IFERROR(__xludf.DUMMYFUNCTION("""COMPUTED_VALUE"""),"Student")</f>
        <v>Student</v>
      </c>
      <c r="E2351" s="8" t="str">
        <f ca="1">IFERROR(__xludf.DUMMYFUNCTION("""COMPUTED_VALUE"""),"Fled/Apprehended")</f>
        <v>Fled/Apprehended</v>
      </c>
      <c r="F2351" s="8" t="str">
        <f ca="1">IFERROR(__xludf.DUMMYFUNCTION("""COMPUTED_VALUE"""),"No")</f>
        <v>No</v>
      </c>
      <c r="G2351" s="8" t="str">
        <f ca="1">IFERROR(__xludf.DUMMYFUNCTION("""COMPUTED_VALUE"""),"None")</f>
        <v>None</v>
      </c>
    </row>
    <row r="2352" spans="1:7" ht="12.75">
      <c r="A2352" s="8" t="str">
        <f ca="1">IFERROR(__xludf.DUMMYFUNCTION("""COMPUTED_VALUE"""),"19730212ALBOM")</f>
        <v>19730212ALBOM</v>
      </c>
      <c r="B2352" s="8">
        <f ca="1">IFERROR(__xludf.DUMMYFUNCTION("""COMPUTED_VALUE"""),19)</f>
        <v>19</v>
      </c>
      <c r="C2352" s="8" t="str">
        <f ca="1">IFERROR(__xludf.DUMMYFUNCTION("""COMPUTED_VALUE"""),"Male")</f>
        <v>Male</v>
      </c>
      <c r="D2352" s="8" t="str">
        <f ca="1">IFERROR(__xludf.DUMMYFUNCTION("""COMPUTED_VALUE"""),"No Relation")</f>
        <v>No Relation</v>
      </c>
      <c r="E2352" s="8" t="str">
        <f ca="1">IFERROR(__xludf.DUMMYFUNCTION("""COMPUTED_VALUE"""),"Fled/Apprehended")</f>
        <v>Fled/Apprehended</v>
      </c>
      <c r="F2352" s="8" t="str">
        <f ca="1">IFERROR(__xludf.DUMMYFUNCTION("""COMPUTED_VALUE"""),"No")</f>
        <v>No</v>
      </c>
      <c r="G2352" s="8" t="str">
        <f ca="1">IFERROR(__xludf.DUMMYFUNCTION("""COMPUTED_VALUE"""),"None")</f>
        <v>None</v>
      </c>
    </row>
    <row r="2353" spans="1:7" ht="12.75">
      <c r="A2353" s="8" t="str">
        <f ca="1">IFERROR(__xludf.DUMMYFUNCTION("""COMPUTED_VALUE"""),"19730131NCCUB")</f>
        <v>19730131NCCUB</v>
      </c>
      <c r="B2353" s="8">
        <f ca="1">IFERROR(__xludf.DUMMYFUNCTION("""COMPUTED_VALUE"""),17)</f>
        <v>17</v>
      </c>
      <c r="C2353" s="8" t="str">
        <f ca="1">IFERROR(__xludf.DUMMYFUNCTION("""COMPUTED_VALUE"""),"Male")</f>
        <v>Male</v>
      </c>
      <c r="D2353" s="8" t="str">
        <f ca="1">IFERROR(__xludf.DUMMYFUNCTION("""COMPUTED_VALUE"""),"Student")</f>
        <v>Student</v>
      </c>
      <c r="E2353" s="8" t="str">
        <f ca="1">IFERROR(__xludf.DUMMYFUNCTION("""COMPUTED_VALUE"""),"Fled/Apprehended")</f>
        <v>Fled/Apprehended</v>
      </c>
      <c r="F2353" s="8" t="str">
        <f ca="1">IFERROR(__xludf.DUMMYFUNCTION("""COMPUTED_VALUE"""),"No")</f>
        <v>No</v>
      </c>
      <c r="G2353" s="8" t="str">
        <f ca="1">IFERROR(__xludf.DUMMYFUNCTION("""COMPUTED_VALUE"""),"None")</f>
        <v>None</v>
      </c>
    </row>
    <row r="2354" spans="1:7" ht="12.75">
      <c r="A2354" s="8" t="str">
        <f ca="1">IFERROR(__xludf.DUMMYFUNCTION("""COMPUTED_VALUE"""),"19730118CAJOL")</f>
        <v>19730118CAJOL</v>
      </c>
      <c r="B2354" s="8">
        <f ca="1">IFERROR(__xludf.DUMMYFUNCTION("""COMPUTED_VALUE"""),19)</f>
        <v>19</v>
      </c>
      <c r="C2354" s="8" t="str">
        <f ca="1">IFERROR(__xludf.DUMMYFUNCTION("""COMPUTED_VALUE"""),"Male")</f>
        <v>Male</v>
      </c>
      <c r="D2354" s="8" t="str">
        <f ca="1">IFERROR(__xludf.DUMMYFUNCTION("""COMPUTED_VALUE"""),"Unknown")</f>
        <v>Unknown</v>
      </c>
      <c r="E2354" s="8" t="str">
        <f ca="1">IFERROR(__xludf.DUMMYFUNCTION("""COMPUTED_VALUE"""),"Fled/Apprehended")</f>
        <v>Fled/Apprehended</v>
      </c>
      <c r="F2354" s="8" t="str">
        <f ca="1">IFERROR(__xludf.DUMMYFUNCTION("""COMPUTED_VALUE"""),"No")</f>
        <v>No</v>
      </c>
      <c r="G2354" s="8" t="str">
        <f ca="1">IFERROR(__xludf.DUMMYFUNCTION("""COMPUTED_VALUE"""),"None")</f>
        <v>None</v>
      </c>
    </row>
    <row r="2355" spans="1:7" ht="12.75">
      <c r="A2355" s="8" t="str">
        <f ca="1">IFERROR(__xludf.DUMMYFUNCTION("""COMPUTED_VALUE"""),"19730118CAJOL")</f>
        <v>19730118CAJOL</v>
      </c>
      <c r="B2355" s="8">
        <f ca="1">IFERROR(__xludf.DUMMYFUNCTION("""COMPUTED_VALUE"""),18)</f>
        <v>18</v>
      </c>
      <c r="C2355" s="8" t="str">
        <f ca="1">IFERROR(__xludf.DUMMYFUNCTION("""COMPUTED_VALUE"""),"Male")</f>
        <v>Male</v>
      </c>
      <c r="D2355" s="8" t="str">
        <f ca="1">IFERROR(__xludf.DUMMYFUNCTION("""COMPUTED_VALUE"""),"Unknown")</f>
        <v>Unknown</v>
      </c>
      <c r="E2355" s="8" t="str">
        <f ca="1">IFERROR(__xludf.DUMMYFUNCTION("""COMPUTED_VALUE"""),"Fled/Apprehended")</f>
        <v>Fled/Apprehended</v>
      </c>
      <c r="F2355" s="8" t="str">
        <f ca="1">IFERROR(__xludf.DUMMYFUNCTION("""COMPUTED_VALUE"""),"No")</f>
        <v>No</v>
      </c>
      <c r="G2355" s="8" t="str">
        <f ca="1">IFERROR(__xludf.DUMMYFUNCTION("""COMPUTED_VALUE"""),"None")</f>
        <v>None</v>
      </c>
    </row>
    <row r="2356" spans="1:7" ht="12.75">
      <c r="A2356" s="8" t="str">
        <f ca="1">IFERROR(__xludf.DUMMYFUNCTION("""COMPUTED_VALUE"""),"19730105NCSOS")</f>
        <v>19730105NCSOS</v>
      </c>
      <c r="B2356" s="8" t="str">
        <f ca="1">IFERROR(__xludf.DUMMYFUNCTION("""COMPUTED_VALUE"""),"Teen")</f>
        <v>Teen</v>
      </c>
      <c r="C2356" s="8" t="str">
        <f ca="1">IFERROR(__xludf.DUMMYFUNCTION("""COMPUTED_VALUE"""),"Male")</f>
        <v>Male</v>
      </c>
      <c r="D2356" s="8" t="str">
        <f ca="1">IFERROR(__xludf.DUMMYFUNCTION("""COMPUTED_VALUE"""),"Student")</f>
        <v>Student</v>
      </c>
      <c r="E2356" s="8" t="str">
        <f ca="1">IFERROR(__xludf.DUMMYFUNCTION("""COMPUTED_VALUE"""),"Fled/Apprehended")</f>
        <v>Fled/Apprehended</v>
      </c>
      <c r="F2356" s="8" t="str">
        <f ca="1">IFERROR(__xludf.DUMMYFUNCTION("""COMPUTED_VALUE"""),"No")</f>
        <v>No</v>
      </c>
      <c r="G2356" s="8" t="str">
        <f ca="1">IFERROR(__xludf.DUMMYFUNCTION("""COMPUTED_VALUE"""),"None")</f>
        <v>None</v>
      </c>
    </row>
    <row r="2357" spans="1:7" ht="12.75">
      <c r="A2357" s="8" t="str">
        <f ca="1">IFERROR(__xludf.DUMMYFUNCTION("""COMPUTED_VALUE"""),"19721129FLMIM")</f>
        <v>19721129FLMIM</v>
      </c>
      <c r="B2357" s="8" t="str">
        <f ca="1">IFERROR(__xludf.DUMMYFUNCTION("""COMPUTED_VALUE"""),"Teen")</f>
        <v>Teen</v>
      </c>
      <c r="C2357" s="8" t="str">
        <f ca="1">IFERROR(__xludf.DUMMYFUNCTION("""COMPUTED_VALUE"""),"Male")</f>
        <v>Male</v>
      </c>
      <c r="D2357" s="8" t="str">
        <f ca="1">IFERROR(__xludf.DUMMYFUNCTION("""COMPUTED_VALUE"""),"Unknown")</f>
        <v>Unknown</v>
      </c>
      <c r="E2357" s="8" t="str">
        <f ca="1">IFERROR(__xludf.DUMMYFUNCTION("""COMPUTED_VALUE"""),"Fled/Escaped")</f>
        <v>Fled/Escaped</v>
      </c>
      <c r="F2357" s="8" t="str">
        <f ca="1">IFERROR(__xludf.DUMMYFUNCTION("""COMPUTED_VALUE"""),"No")</f>
        <v>No</v>
      </c>
      <c r="G2357" s="8" t="str">
        <f ca="1">IFERROR(__xludf.DUMMYFUNCTION("""COMPUTED_VALUE"""),"None")</f>
        <v>None</v>
      </c>
    </row>
    <row r="2358" spans="1:7" ht="12.75">
      <c r="A2358" s="8" t="str">
        <f ca="1">IFERROR(__xludf.DUMMYFUNCTION("""COMPUTED_VALUE"""),"19721127MIPOP")</f>
        <v>19721127MIPOP</v>
      </c>
      <c r="B2358" s="8">
        <f ca="1">IFERROR(__xludf.DUMMYFUNCTION("""COMPUTED_VALUE"""),16)</f>
        <v>16</v>
      </c>
      <c r="C2358" s="8" t="str">
        <f ca="1">IFERROR(__xludf.DUMMYFUNCTION("""COMPUTED_VALUE"""),"Male")</f>
        <v>Male</v>
      </c>
      <c r="D2358" s="8" t="str">
        <f ca="1">IFERROR(__xludf.DUMMYFUNCTION("""COMPUTED_VALUE"""),"Student")</f>
        <v>Student</v>
      </c>
      <c r="E2358" s="8" t="str">
        <f ca="1">IFERROR(__xludf.DUMMYFUNCTION("""COMPUTED_VALUE"""),"Fled/Apprehended")</f>
        <v>Fled/Apprehended</v>
      </c>
      <c r="F2358" s="8" t="str">
        <f ca="1">IFERROR(__xludf.DUMMYFUNCTION("""COMPUTED_VALUE"""),"No")</f>
        <v>No</v>
      </c>
      <c r="G2358" s="8" t="str">
        <f ca="1">IFERROR(__xludf.DUMMYFUNCTION("""COMPUTED_VALUE"""),"None")</f>
        <v>None</v>
      </c>
    </row>
    <row r="2359" spans="1:7" ht="12.75">
      <c r="A2359" s="8" t="str">
        <f ca="1">IFERROR(__xludf.DUMMYFUNCTION("""COMPUTED_VALUE"""),"19721111CAJEL")</f>
        <v>19721111CAJEL</v>
      </c>
      <c r="B2359" s="8" t="str">
        <f ca="1">IFERROR(__xludf.DUMMYFUNCTION("""COMPUTED_VALUE"""),"Teen")</f>
        <v>Teen</v>
      </c>
      <c r="C2359" s="8" t="str">
        <f ca="1">IFERROR(__xludf.DUMMYFUNCTION("""COMPUTED_VALUE"""),"Male")</f>
        <v>Male</v>
      </c>
      <c r="D2359" s="8" t="str">
        <f ca="1">IFERROR(__xludf.DUMMYFUNCTION("""COMPUTED_VALUE"""),"Other Student")</f>
        <v>Other Student</v>
      </c>
      <c r="E2359" s="8" t="str">
        <f ca="1">IFERROR(__xludf.DUMMYFUNCTION("""COMPUTED_VALUE"""),"Fled/Apprehended")</f>
        <v>Fled/Apprehended</v>
      </c>
      <c r="F2359" s="8" t="str">
        <f ca="1">IFERROR(__xludf.DUMMYFUNCTION("""COMPUTED_VALUE"""),"No")</f>
        <v>No</v>
      </c>
      <c r="G2359" s="8" t="str">
        <f ca="1">IFERROR(__xludf.DUMMYFUNCTION("""COMPUTED_VALUE"""),"None")</f>
        <v>None</v>
      </c>
    </row>
    <row r="2360" spans="1:7" ht="12.75">
      <c r="A2360" s="8" t="str">
        <f ca="1">IFERROR(__xludf.DUMMYFUNCTION("""COMPUTED_VALUE"""),"19721111CAJEL")</f>
        <v>19721111CAJEL</v>
      </c>
      <c r="B2360" s="8" t="str">
        <f ca="1">IFERROR(__xludf.DUMMYFUNCTION("""COMPUTED_VALUE"""),"Teen")</f>
        <v>Teen</v>
      </c>
      <c r="C2360" s="8" t="str">
        <f ca="1">IFERROR(__xludf.DUMMYFUNCTION("""COMPUTED_VALUE"""),"Male")</f>
        <v>Male</v>
      </c>
      <c r="D2360" s="8" t="str">
        <f ca="1">IFERROR(__xludf.DUMMYFUNCTION("""COMPUTED_VALUE"""),"Other Student")</f>
        <v>Other Student</v>
      </c>
      <c r="E2360" s="8" t="str">
        <f ca="1">IFERROR(__xludf.DUMMYFUNCTION("""COMPUTED_VALUE"""),"Fled/Apprehended")</f>
        <v>Fled/Apprehended</v>
      </c>
      <c r="F2360" s="8" t="str">
        <f ca="1">IFERROR(__xludf.DUMMYFUNCTION("""COMPUTED_VALUE"""),"No")</f>
        <v>No</v>
      </c>
      <c r="G2360" s="8" t="str">
        <f ca="1">IFERROR(__xludf.DUMMYFUNCTION("""COMPUTED_VALUE"""),"None")</f>
        <v>None</v>
      </c>
    </row>
    <row r="2361" spans="1:7" ht="12.75">
      <c r="A2361" s="8" t="str">
        <f ca="1">IFERROR(__xludf.DUMMYFUNCTION("""COMPUTED_VALUE"""),"19720921OHTHA")</f>
        <v>19720921OHTHA</v>
      </c>
      <c r="B2361" s="8">
        <f ca="1">IFERROR(__xludf.DUMMYFUNCTION("""COMPUTED_VALUE"""),18)</f>
        <v>18</v>
      </c>
      <c r="C2361" s="8" t="str">
        <f ca="1">IFERROR(__xludf.DUMMYFUNCTION("""COMPUTED_VALUE"""),"Male")</f>
        <v>Male</v>
      </c>
      <c r="D2361" s="8" t="str">
        <f ca="1">IFERROR(__xludf.DUMMYFUNCTION("""COMPUTED_VALUE"""),"Former Student")</f>
        <v>Former Student</v>
      </c>
      <c r="E2361" s="8" t="str">
        <f ca="1">IFERROR(__xludf.DUMMYFUNCTION("""COMPUTED_VALUE"""),"Fled/Apprehended")</f>
        <v>Fled/Apprehended</v>
      </c>
      <c r="F2361" s="8" t="str">
        <f ca="1">IFERROR(__xludf.DUMMYFUNCTION("""COMPUTED_VALUE"""),"No")</f>
        <v>No</v>
      </c>
      <c r="G2361" s="8" t="str">
        <f ca="1">IFERROR(__xludf.DUMMYFUNCTION("""COMPUTED_VALUE"""),"None")</f>
        <v>None</v>
      </c>
    </row>
    <row r="2362" spans="1:7" ht="12.75">
      <c r="A2362" s="8" t="str">
        <f ca="1">IFERROR(__xludf.DUMMYFUNCTION("""COMPUTED_VALUE"""),"19720919TXCUH")</f>
        <v>19720919TXCUH</v>
      </c>
      <c r="B2362" s="8">
        <f ca="1">IFERROR(__xludf.DUMMYFUNCTION("""COMPUTED_VALUE"""),33)</f>
        <v>33</v>
      </c>
      <c r="C2362" s="8" t="str">
        <f ca="1">IFERROR(__xludf.DUMMYFUNCTION("""COMPUTED_VALUE"""),"Male")</f>
        <v>Male</v>
      </c>
      <c r="D2362" s="8" t="str">
        <f ca="1">IFERROR(__xludf.DUMMYFUNCTION("""COMPUTED_VALUE"""),"Teacher")</f>
        <v>Teacher</v>
      </c>
      <c r="E2362" s="8" t="str">
        <f ca="1">IFERROR(__xludf.DUMMYFUNCTION("""COMPUTED_VALUE"""),"Fled/Apprehended")</f>
        <v>Fled/Apprehended</v>
      </c>
      <c r="F2362" s="8" t="str">
        <f ca="1">IFERROR(__xludf.DUMMYFUNCTION("""COMPUTED_VALUE"""),"No")</f>
        <v>No</v>
      </c>
      <c r="G2362" s="8" t="str">
        <f ca="1">IFERROR(__xludf.DUMMYFUNCTION("""COMPUTED_VALUE"""),"None")</f>
        <v>None</v>
      </c>
    </row>
    <row r="2363" spans="1:7" ht="12.75">
      <c r="A2363" s="8" t="str">
        <f ca="1">IFERROR(__xludf.DUMMYFUNCTION("""COMPUTED_VALUE"""),"19720915MISAS")</f>
        <v>19720915MISAS</v>
      </c>
      <c r="B2363" s="8">
        <f ca="1">IFERROR(__xludf.DUMMYFUNCTION("""COMPUTED_VALUE"""),17)</f>
        <v>17</v>
      </c>
      <c r="C2363" s="8" t="str">
        <f ca="1">IFERROR(__xludf.DUMMYFUNCTION("""COMPUTED_VALUE"""),"Male")</f>
        <v>Male</v>
      </c>
      <c r="D2363" s="8" t="str">
        <f ca="1">IFERROR(__xludf.DUMMYFUNCTION("""COMPUTED_VALUE"""),"Student")</f>
        <v>Student</v>
      </c>
      <c r="E2363" s="8" t="str">
        <f ca="1">IFERROR(__xludf.DUMMYFUNCTION("""COMPUTED_VALUE"""),"Fled/Apprehended")</f>
        <v>Fled/Apprehended</v>
      </c>
      <c r="F2363" s="8" t="str">
        <f ca="1">IFERROR(__xludf.DUMMYFUNCTION("""COMPUTED_VALUE"""),"No")</f>
        <v>No</v>
      </c>
      <c r="G2363" s="8" t="str">
        <f ca="1">IFERROR(__xludf.DUMMYFUNCTION("""COMPUTED_VALUE"""),"None")</f>
        <v>None</v>
      </c>
    </row>
    <row r="2364" spans="1:7" ht="12.75">
      <c r="A2364" s="8" t="str">
        <f ca="1">IFERROR(__xludf.DUMMYFUNCTION("""COMPUTED_VALUE"""),"19720914TXFRH")</f>
        <v>19720914TXFRH</v>
      </c>
      <c r="B2364" s="8">
        <f ca="1">IFERROR(__xludf.DUMMYFUNCTION("""COMPUTED_VALUE"""),16)</f>
        <v>16</v>
      </c>
      <c r="C2364" s="8" t="str">
        <f ca="1">IFERROR(__xludf.DUMMYFUNCTION("""COMPUTED_VALUE"""),"Male")</f>
        <v>Male</v>
      </c>
      <c r="D2364" s="8" t="str">
        <f ca="1">IFERROR(__xludf.DUMMYFUNCTION("""COMPUTED_VALUE"""),"Student")</f>
        <v>Student</v>
      </c>
      <c r="E2364" s="8" t="str">
        <f ca="1">IFERROR(__xludf.DUMMYFUNCTION("""COMPUTED_VALUE"""),"Fled/Apprehended")</f>
        <v>Fled/Apprehended</v>
      </c>
      <c r="F2364" s="8" t="str">
        <f ca="1">IFERROR(__xludf.DUMMYFUNCTION("""COMPUTED_VALUE"""),"No")</f>
        <v>No</v>
      </c>
      <c r="G2364" s="8" t="str">
        <f ca="1">IFERROR(__xludf.DUMMYFUNCTION("""COMPUTED_VALUE"""),"None")</f>
        <v>None</v>
      </c>
    </row>
    <row r="2365" spans="1:7" ht="12.75">
      <c r="A2365" s="8" t="str">
        <f ca="1">IFERROR(__xludf.DUMMYFUNCTION("""COMPUTED_VALUE"""),"19720505INDEI")</f>
        <v>19720505INDEI</v>
      </c>
      <c r="B2365" s="8">
        <f ca="1">IFERROR(__xludf.DUMMYFUNCTION("""COMPUTED_VALUE"""),16)</f>
        <v>16</v>
      </c>
      <c r="C2365" s="8" t="str">
        <f ca="1">IFERROR(__xludf.DUMMYFUNCTION("""COMPUTED_VALUE"""),"Female")</f>
        <v>Female</v>
      </c>
      <c r="D2365" s="8" t="str">
        <f ca="1">IFERROR(__xludf.DUMMYFUNCTION("""COMPUTED_VALUE"""),"Student")</f>
        <v>Student</v>
      </c>
      <c r="E2365" s="8" t="str">
        <f ca="1">IFERROR(__xludf.DUMMYFUNCTION("""COMPUTED_VALUE"""),"Surrendered")</f>
        <v>Surrendered</v>
      </c>
      <c r="F2365" s="8" t="str">
        <f ca="1">IFERROR(__xludf.DUMMYFUNCTION("""COMPUTED_VALUE"""),"No")</f>
        <v>No</v>
      </c>
      <c r="G2365" s="8" t="str">
        <f ca="1">IFERROR(__xludf.DUMMYFUNCTION("""COMPUTED_VALUE"""),"None")</f>
        <v>None</v>
      </c>
    </row>
    <row r="2366" spans="1:7" ht="12.75">
      <c r="A2366" s="8" t="str">
        <f ca="1">IFERROR(__xludf.DUMMYFUNCTION("""COMPUTED_VALUE"""),"19720504NVLIR")</f>
        <v>19720504NVLIR</v>
      </c>
      <c r="B2366" s="8">
        <f ca="1">IFERROR(__xludf.DUMMYFUNCTION("""COMPUTED_VALUE"""),53)</f>
        <v>53</v>
      </c>
      <c r="C2366" s="8" t="str">
        <f ca="1">IFERROR(__xludf.DUMMYFUNCTION("""COMPUTED_VALUE"""),"Male")</f>
        <v>Male</v>
      </c>
      <c r="D2366" s="8" t="str">
        <f ca="1">IFERROR(__xludf.DUMMYFUNCTION("""COMPUTED_VALUE"""),"Teacher")</f>
        <v>Teacher</v>
      </c>
      <c r="E2366" s="8" t="str">
        <f ca="1">IFERROR(__xludf.DUMMYFUNCTION("""COMPUTED_VALUE"""),"Fled/Escaped")</f>
        <v>Fled/Escaped</v>
      </c>
      <c r="F2366" s="8" t="str">
        <f ca="1">IFERROR(__xludf.DUMMYFUNCTION("""COMPUTED_VALUE"""),"No")</f>
        <v>No</v>
      </c>
      <c r="G2366" s="8" t="str">
        <f ca="1">IFERROR(__xludf.DUMMYFUNCTION("""COMPUTED_VALUE"""),"None")</f>
        <v>None</v>
      </c>
    </row>
    <row r="2367" spans="1:7" ht="12.75">
      <c r="A2367" s="8" t="str">
        <f ca="1">IFERROR(__xludf.DUMMYFUNCTION("""COMPUTED_VALUE"""),"19720412LAEAG")</f>
        <v>19720412LAEAG</v>
      </c>
      <c r="B2367" s="8">
        <f ca="1">IFERROR(__xludf.DUMMYFUNCTION("""COMPUTED_VALUE"""),28)</f>
        <v>28</v>
      </c>
      <c r="C2367" s="8" t="str">
        <f ca="1">IFERROR(__xludf.DUMMYFUNCTION("""COMPUTED_VALUE"""),"Male")</f>
        <v>Male</v>
      </c>
      <c r="D2367" s="8" t="str">
        <f ca="1">IFERROR(__xludf.DUMMYFUNCTION("""COMPUTED_VALUE"""),"Teacher")</f>
        <v>Teacher</v>
      </c>
      <c r="E2367" s="8" t="str">
        <f ca="1">IFERROR(__xludf.DUMMYFUNCTION("""COMPUTED_VALUE"""),"Suicide")</f>
        <v>Suicide</v>
      </c>
      <c r="F2367" s="8" t="str">
        <f ca="1">IFERROR(__xludf.DUMMYFUNCTION("""COMPUTED_VALUE"""),"Yes")</f>
        <v>Yes</v>
      </c>
      <c r="G2367" s="8" t="str">
        <f ca="1">IFERROR(__xludf.DUMMYFUNCTION("""COMPUTED_VALUE"""),"Suicide")</f>
        <v>Suicide</v>
      </c>
    </row>
    <row r="2368" spans="1:7" ht="12.75">
      <c r="A2368" s="8" t="str">
        <f ca="1">IFERROR(__xludf.DUMMYFUNCTION("""COMPUTED_VALUE"""),"19720313TXUNH")</f>
        <v>19720313TXUNH</v>
      </c>
      <c r="B2368" s="8">
        <f ca="1">IFERROR(__xludf.DUMMYFUNCTION("""COMPUTED_VALUE"""),15)</f>
        <v>15</v>
      </c>
      <c r="C2368" s="8" t="str">
        <f ca="1">IFERROR(__xludf.DUMMYFUNCTION("""COMPUTED_VALUE"""),"Male")</f>
        <v>Male</v>
      </c>
      <c r="D2368" s="8" t="str">
        <f ca="1">IFERROR(__xludf.DUMMYFUNCTION("""COMPUTED_VALUE"""),"Student")</f>
        <v>Student</v>
      </c>
      <c r="E2368" s="8" t="str">
        <f ca="1">IFERROR(__xludf.DUMMYFUNCTION("""COMPUTED_VALUE"""),"Surrendered")</f>
        <v>Surrendered</v>
      </c>
      <c r="F2368" s="8" t="str">
        <f ca="1">IFERROR(__xludf.DUMMYFUNCTION("""COMPUTED_VALUE"""),"No")</f>
        <v>No</v>
      </c>
      <c r="G2368" s="8" t="str">
        <f ca="1">IFERROR(__xludf.DUMMYFUNCTION("""COMPUTED_VALUE"""),"None")</f>
        <v>None</v>
      </c>
    </row>
    <row r="2369" spans="1:7" ht="12.75">
      <c r="A2369" s="8" t="str">
        <f ca="1">IFERROR(__xludf.DUMMYFUNCTION("""COMPUTED_VALUE"""),"19720228CAMAL")</f>
        <v>19720228CAMAL</v>
      </c>
      <c r="B2369" s="8">
        <f ca="1">IFERROR(__xludf.DUMMYFUNCTION("""COMPUTED_VALUE"""),14)</f>
        <v>14</v>
      </c>
      <c r="C2369" s="8" t="str">
        <f ca="1">IFERROR(__xludf.DUMMYFUNCTION("""COMPUTED_VALUE"""),"Male")</f>
        <v>Male</v>
      </c>
      <c r="D2369" s="8" t="str">
        <f ca="1">IFERROR(__xludf.DUMMYFUNCTION("""COMPUTED_VALUE"""),"Student")</f>
        <v>Student</v>
      </c>
      <c r="E2369" s="8" t="str">
        <f ca="1">IFERROR(__xludf.DUMMYFUNCTION("""COMPUTED_VALUE"""),"Unknown")</f>
        <v>Unknown</v>
      </c>
      <c r="F2369" s="8" t="str">
        <f ca="1">IFERROR(__xludf.DUMMYFUNCTION("""COMPUTED_VALUE"""),"No")</f>
        <v>No</v>
      </c>
      <c r="G2369" s="8" t="str">
        <f ca="1">IFERROR(__xludf.DUMMYFUNCTION("""COMPUTED_VALUE"""),"None")</f>
        <v>None</v>
      </c>
    </row>
    <row r="2370" spans="1:7" ht="12.75">
      <c r="A2370" s="8" t="str">
        <f ca="1">IFERROR(__xludf.DUMMYFUNCTION("""COMPUTED_VALUE"""),"19720215ILKEC")</f>
        <v>19720215ILKEC</v>
      </c>
      <c r="B2370" s="8">
        <f ca="1">IFERROR(__xludf.DUMMYFUNCTION("""COMPUTED_VALUE"""),21)</f>
        <v>21</v>
      </c>
      <c r="C2370" s="8" t="str">
        <f ca="1">IFERROR(__xludf.DUMMYFUNCTION("""COMPUTED_VALUE"""),"Male")</f>
        <v>Male</v>
      </c>
      <c r="D2370" s="8" t="str">
        <f ca="1">IFERROR(__xludf.DUMMYFUNCTION("""COMPUTED_VALUE"""),"Nonstudent")</f>
        <v>Nonstudent</v>
      </c>
      <c r="E2370" s="8" t="str">
        <f ca="1">IFERROR(__xludf.DUMMYFUNCTION("""COMPUTED_VALUE"""),"Apprehended/Killed by LE")</f>
        <v>Apprehended/Killed by LE</v>
      </c>
      <c r="F2370" s="8" t="str">
        <f ca="1">IFERROR(__xludf.DUMMYFUNCTION("""COMPUTED_VALUE"""),"Yes")</f>
        <v>Yes</v>
      </c>
      <c r="G2370" s="8" t="str">
        <f ca="1">IFERROR(__xludf.DUMMYFUNCTION("""COMPUTED_VALUE"""),"Fatal")</f>
        <v>Fatal</v>
      </c>
    </row>
    <row r="2371" spans="1:7" ht="12.75">
      <c r="A2371" s="8" t="str">
        <f ca="1">IFERROR(__xludf.DUMMYFUNCTION("""COMPUTED_VALUE"""),"19720214ILCAC")</f>
        <v>19720214ILCAC</v>
      </c>
      <c r="B2371" s="8"/>
      <c r="C2371" s="8" t="str">
        <f ca="1">IFERROR(__xludf.DUMMYFUNCTION("""COMPUTED_VALUE"""),"Male")</f>
        <v>Male</v>
      </c>
      <c r="D2371" s="8" t="str">
        <f ca="1">IFERROR(__xludf.DUMMYFUNCTION("""COMPUTED_VALUE"""),"Student")</f>
        <v>Student</v>
      </c>
      <c r="E2371" s="8" t="str">
        <f ca="1">IFERROR(__xludf.DUMMYFUNCTION("""COMPUTED_VALUE"""),"Fled/Escaped")</f>
        <v>Fled/Escaped</v>
      </c>
      <c r="F2371" s="8" t="str">
        <f ca="1">IFERROR(__xludf.DUMMYFUNCTION("""COMPUTED_VALUE"""),"No")</f>
        <v>No</v>
      </c>
      <c r="G2371" s="8" t="str">
        <f ca="1">IFERROR(__xludf.DUMMYFUNCTION("""COMPUTED_VALUE"""),"None")</f>
        <v>None</v>
      </c>
    </row>
    <row r="2372" spans="1:7" ht="12.75">
      <c r="A2372" s="8" t="str">
        <f ca="1">IFERROR(__xludf.DUMMYFUNCTION("""COMPUTED_VALUE"""),"19720126MDHAB")</f>
        <v>19720126MDHAB</v>
      </c>
      <c r="B2372" s="8">
        <f ca="1">IFERROR(__xludf.DUMMYFUNCTION("""COMPUTED_VALUE"""),17)</f>
        <v>17</v>
      </c>
      <c r="C2372" s="8" t="str">
        <f ca="1">IFERROR(__xludf.DUMMYFUNCTION("""COMPUTED_VALUE"""),"Male")</f>
        <v>Male</v>
      </c>
      <c r="D2372" s="8" t="str">
        <f ca="1">IFERROR(__xludf.DUMMYFUNCTION("""COMPUTED_VALUE"""),"Student")</f>
        <v>Student</v>
      </c>
      <c r="E2372" s="8" t="str">
        <f ca="1">IFERROR(__xludf.DUMMYFUNCTION("""COMPUTED_VALUE"""),"Fled/Apprehended")</f>
        <v>Fled/Apprehended</v>
      </c>
      <c r="F2372" s="8" t="str">
        <f ca="1">IFERROR(__xludf.DUMMYFUNCTION("""COMPUTED_VALUE"""),"No")</f>
        <v>No</v>
      </c>
      <c r="G2372" s="8" t="str">
        <f ca="1">IFERROR(__xludf.DUMMYFUNCTION("""COMPUTED_VALUE"""),"None")</f>
        <v>None</v>
      </c>
    </row>
    <row r="2373" spans="1:7" ht="12.75">
      <c r="A2373" s="8" t="str">
        <f ca="1">IFERROR(__xludf.DUMMYFUNCTION("""COMPUTED_VALUE"""),"19720126MDGWB")</f>
        <v>19720126MDGWB</v>
      </c>
      <c r="B2373" s="8" t="str">
        <f ca="1">IFERROR(__xludf.DUMMYFUNCTION("""COMPUTED_VALUE"""),"Teen")</f>
        <v>Teen</v>
      </c>
      <c r="C2373" s="8" t="str">
        <f ca="1">IFERROR(__xludf.DUMMYFUNCTION("""COMPUTED_VALUE"""),"Male")</f>
        <v>Male</v>
      </c>
      <c r="D2373" s="8" t="str">
        <f ca="1">IFERROR(__xludf.DUMMYFUNCTION("""COMPUTED_VALUE"""),"Student")</f>
        <v>Student</v>
      </c>
      <c r="E2373" s="8" t="str">
        <f ca="1">IFERROR(__xludf.DUMMYFUNCTION("""COMPUTED_VALUE"""),"Unknown")</f>
        <v>Unknown</v>
      </c>
      <c r="F2373" s="8" t="str">
        <f ca="1">IFERROR(__xludf.DUMMYFUNCTION("""COMPUTED_VALUE"""),"No")</f>
        <v>No</v>
      </c>
      <c r="G2373" s="8" t="str">
        <f ca="1">IFERROR(__xludf.DUMMYFUNCTION("""COMPUTED_VALUE"""),"None")</f>
        <v>None</v>
      </c>
    </row>
    <row r="2374" spans="1:7" ht="12.75">
      <c r="A2374" s="8" t="str">
        <f ca="1">IFERROR(__xludf.DUMMYFUNCTION("""COMPUTED_VALUE"""),"19720124OHSTS")</f>
        <v>19720124OHSTS</v>
      </c>
      <c r="B2374" s="8">
        <f ca="1">IFERROR(__xludf.DUMMYFUNCTION("""COMPUTED_VALUE"""),16)</f>
        <v>16</v>
      </c>
      <c r="C2374" s="8" t="str">
        <f ca="1">IFERROR(__xludf.DUMMYFUNCTION("""COMPUTED_VALUE"""),"Male")</f>
        <v>Male</v>
      </c>
      <c r="D2374" s="8" t="str">
        <f ca="1">IFERROR(__xludf.DUMMYFUNCTION("""COMPUTED_VALUE"""),"Student")</f>
        <v>Student</v>
      </c>
      <c r="E2374" s="8" t="str">
        <f ca="1">IFERROR(__xludf.DUMMYFUNCTION("""COMPUTED_VALUE"""),"Surrendered")</f>
        <v>Surrendered</v>
      </c>
      <c r="F2374" s="8" t="str">
        <f ca="1">IFERROR(__xludf.DUMMYFUNCTION("""COMPUTED_VALUE"""),"No")</f>
        <v>No</v>
      </c>
      <c r="G2374" s="8" t="str">
        <f ca="1">IFERROR(__xludf.DUMMYFUNCTION("""COMPUTED_VALUE"""),"None")</f>
        <v>None</v>
      </c>
    </row>
    <row r="2375" spans="1:7" ht="12.75">
      <c r="A2375" s="8" t="str">
        <f ca="1">IFERROR(__xludf.DUMMYFUNCTION("""COMPUTED_VALUE"""),"19720105DCPAW")</f>
        <v>19720105DCPAW</v>
      </c>
      <c r="B2375" s="8">
        <f ca="1">IFERROR(__xludf.DUMMYFUNCTION("""COMPUTED_VALUE"""),61)</f>
        <v>61</v>
      </c>
      <c r="C2375" s="8" t="str">
        <f ca="1">IFERROR(__xludf.DUMMYFUNCTION("""COMPUTED_VALUE"""),"Male")</f>
        <v>Male</v>
      </c>
      <c r="D2375" s="8" t="str">
        <f ca="1">IFERROR(__xludf.DUMMYFUNCTION("""COMPUTED_VALUE"""),"Teacher")</f>
        <v>Teacher</v>
      </c>
      <c r="E2375" s="8" t="str">
        <f ca="1">IFERROR(__xludf.DUMMYFUNCTION("""COMPUTED_VALUE"""),"Subdued by Students/Staff/Other")</f>
        <v>Subdued by Students/Staff/Other</v>
      </c>
      <c r="F2375" s="8" t="str">
        <f ca="1">IFERROR(__xludf.DUMMYFUNCTION("""COMPUTED_VALUE"""),"No")</f>
        <v>No</v>
      </c>
      <c r="G2375" s="8" t="str">
        <f ca="1">IFERROR(__xludf.DUMMYFUNCTION("""COMPUTED_VALUE"""),"None")</f>
        <v>None</v>
      </c>
    </row>
    <row r="2376" spans="1:7" ht="12.75">
      <c r="A2376" s="8" t="str">
        <f ca="1">IFERROR(__xludf.DUMMYFUNCTION("""COMPUTED_VALUE"""),"19711213MDCAB")</f>
        <v>19711213MDCAB</v>
      </c>
      <c r="B2376" s="8">
        <f ca="1">IFERROR(__xludf.DUMMYFUNCTION("""COMPUTED_VALUE"""),17)</f>
        <v>17</v>
      </c>
      <c r="C2376" s="8" t="str">
        <f ca="1">IFERROR(__xludf.DUMMYFUNCTION("""COMPUTED_VALUE"""),"Male")</f>
        <v>Male</v>
      </c>
      <c r="D2376" s="8" t="str">
        <f ca="1">IFERROR(__xludf.DUMMYFUNCTION("""COMPUTED_VALUE"""),"Student")</f>
        <v>Student</v>
      </c>
      <c r="E2376" s="8" t="str">
        <f ca="1">IFERROR(__xludf.DUMMYFUNCTION("""COMPUTED_VALUE"""),"Fled/Apprehended")</f>
        <v>Fled/Apprehended</v>
      </c>
      <c r="F2376" s="8" t="str">
        <f ca="1">IFERROR(__xludf.DUMMYFUNCTION("""COMPUTED_VALUE"""),"No")</f>
        <v>No</v>
      </c>
      <c r="G2376" s="8" t="str">
        <f ca="1">IFERROR(__xludf.DUMMYFUNCTION("""COMPUTED_VALUE"""),"None")</f>
        <v>None</v>
      </c>
    </row>
    <row r="2377" spans="1:7" ht="12.75">
      <c r="A2377" s="8" t="str">
        <f ca="1">IFERROR(__xludf.DUMMYFUNCTION("""COMPUTED_VALUE"""),"19711206CALOL")</f>
        <v>19711206CALOL</v>
      </c>
      <c r="B2377" s="8">
        <f ca="1">IFERROR(__xludf.DUMMYFUNCTION("""COMPUTED_VALUE"""),14)</f>
        <v>14</v>
      </c>
      <c r="C2377" s="8" t="str">
        <f ca="1">IFERROR(__xludf.DUMMYFUNCTION("""COMPUTED_VALUE"""),"Male")</f>
        <v>Male</v>
      </c>
      <c r="D2377" s="8" t="str">
        <f ca="1">IFERROR(__xludf.DUMMYFUNCTION("""COMPUTED_VALUE"""),"Student")</f>
        <v>Student</v>
      </c>
      <c r="E2377" s="8" t="str">
        <f ca="1">IFERROR(__xludf.DUMMYFUNCTION("""COMPUTED_VALUE"""),"Fled/Apprehended")</f>
        <v>Fled/Apprehended</v>
      </c>
      <c r="F2377" s="8" t="str">
        <f ca="1">IFERROR(__xludf.DUMMYFUNCTION("""COMPUTED_VALUE"""),"No")</f>
        <v>No</v>
      </c>
      <c r="G2377" s="8" t="str">
        <f ca="1">IFERROR(__xludf.DUMMYFUNCTION("""COMPUTED_VALUE"""),"None")</f>
        <v>None</v>
      </c>
    </row>
    <row r="2378" spans="1:7" ht="12.75">
      <c r="A2378" s="8" t="str">
        <f ca="1">IFERROR(__xludf.DUMMYFUNCTION("""COMPUTED_VALUE"""),"19711206CALOL")</f>
        <v>19711206CALOL</v>
      </c>
      <c r="B2378" s="8">
        <f ca="1">IFERROR(__xludf.DUMMYFUNCTION("""COMPUTED_VALUE"""),14)</f>
        <v>14</v>
      </c>
      <c r="C2378" s="8" t="str">
        <f ca="1">IFERROR(__xludf.DUMMYFUNCTION("""COMPUTED_VALUE"""),"Male")</f>
        <v>Male</v>
      </c>
      <c r="D2378" s="8" t="str">
        <f ca="1">IFERROR(__xludf.DUMMYFUNCTION("""COMPUTED_VALUE"""),"Student")</f>
        <v>Student</v>
      </c>
      <c r="E2378" s="8" t="str">
        <f ca="1">IFERROR(__xludf.DUMMYFUNCTION("""COMPUTED_VALUE"""),"Fled/Apprehended")</f>
        <v>Fled/Apprehended</v>
      </c>
      <c r="F2378" s="8" t="str">
        <f ca="1">IFERROR(__xludf.DUMMYFUNCTION("""COMPUTED_VALUE"""),"No")</f>
        <v>No</v>
      </c>
      <c r="G2378" s="8" t="str">
        <f ca="1">IFERROR(__xludf.DUMMYFUNCTION("""COMPUTED_VALUE"""),"None")</f>
        <v>None</v>
      </c>
    </row>
    <row r="2379" spans="1:7" ht="12.75">
      <c r="A2379" s="8" t="str">
        <f ca="1">IFERROR(__xludf.DUMMYFUNCTION("""COMPUTED_VALUE"""),"19711124MDEDB")</f>
        <v>19711124MDEDB</v>
      </c>
      <c r="B2379" s="8">
        <f ca="1">IFERROR(__xludf.DUMMYFUNCTION("""COMPUTED_VALUE"""),17)</f>
        <v>17</v>
      </c>
      <c r="C2379" s="8" t="str">
        <f ca="1">IFERROR(__xludf.DUMMYFUNCTION("""COMPUTED_VALUE"""),"Male")</f>
        <v>Male</v>
      </c>
      <c r="D2379" s="8" t="str">
        <f ca="1">IFERROR(__xludf.DUMMYFUNCTION("""COMPUTED_VALUE"""),"Student")</f>
        <v>Student</v>
      </c>
      <c r="E2379" s="8" t="str">
        <f ca="1">IFERROR(__xludf.DUMMYFUNCTION("""COMPUTED_VALUE"""),"Fled/Apprehended")</f>
        <v>Fled/Apprehended</v>
      </c>
      <c r="F2379" s="8" t="str">
        <f ca="1">IFERROR(__xludf.DUMMYFUNCTION("""COMPUTED_VALUE"""),"No")</f>
        <v>No</v>
      </c>
      <c r="G2379" s="8" t="str">
        <f ca="1">IFERROR(__xludf.DUMMYFUNCTION("""COMPUTED_VALUE"""),"None")</f>
        <v>None</v>
      </c>
    </row>
    <row r="2380" spans="1:7" ht="12.75">
      <c r="A2380" s="8" t="str">
        <f ca="1">IFERROR(__xludf.DUMMYFUNCTION("""COMPUTED_VALUE"""),"19711108OKGRT")</f>
        <v>19711108OKGRT</v>
      </c>
      <c r="B2380" s="8">
        <f ca="1">IFERROR(__xludf.DUMMYFUNCTION("""COMPUTED_VALUE"""),63)</f>
        <v>63</v>
      </c>
      <c r="C2380" s="8" t="str">
        <f ca="1">IFERROR(__xludf.DUMMYFUNCTION("""COMPUTED_VALUE"""),"Male")</f>
        <v>Male</v>
      </c>
      <c r="D2380" s="8" t="str">
        <f ca="1">IFERROR(__xludf.DUMMYFUNCTION("""COMPUTED_VALUE"""),"Other Staff")</f>
        <v>Other Staff</v>
      </c>
      <c r="E2380" s="8" t="str">
        <f ca="1">IFERROR(__xludf.DUMMYFUNCTION("""COMPUTED_VALUE"""),"Unknown")</f>
        <v>Unknown</v>
      </c>
      <c r="F2380" s="8" t="str">
        <f ca="1">IFERROR(__xludf.DUMMYFUNCTION("""COMPUTED_VALUE"""),"No")</f>
        <v>No</v>
      </c>
      <c r="G2380" s="8" t="str">
        <f ca="1">IFERROR(__xludf.DUMMYFUNCTION("""COMPUTED_VALUE"""),"None")</f>
        <v>None</v>
      </c>
    </row>
    <row r="2381" spans="1:7" ht="12.75">
      <c r="A2381" s="8" t="str">
        <f ca="1">IFERROR(__xludf.DUMMYFUNCTION("""COMPUTED_VALUE"""),"19711103NMCAC")</f>
        <v>19711103NMCAC</v>
      </c>
      <c r="B2381" s="8">
        <f ca="1">IFERROR(__xludf.DUMMYFUNCTION("""COMPUTED_VALUE"""),22)</f>
        <v>22</v>
      </c>
      <c r="C2381" s="8" t="str">
        <f ca="1">IFERROR(__xludf.DUMMYFUNCTION("""COMPUTED_VALUE"""),"Male")</f>
        <v>Male</v>
      </c>
      <c r="D2381" s="8" t="str">
        <f ca="1">IFERROR(__xludf.DUMMYFUNCTION("""COMPUTED_VALUE"""),"Former Student")</f>
        <v>Former Student</v>
      </c>
      <c r="E2381" s="8" t="str">
        <f ca="1">IFERROR(__xludf.DUMMYFUNCTION("""COMPUTED_VALUE"""),"Suicide")</f>
        <v>Suicide</v>
      </c>
      <c r="F2381" s="8" t="str">
        <f ca="1">IFERROR(__xludf.DUMMYFUNCTION("""COMPUTED_VALUE"""),"Yes")</f>
        <v>Yes</v>
      </c>
      <c r="G2381" s="8" t="str">
        <f ca="1">IFERROR(__xludf.DUMMYFUNCTION("""COMPUTED_VALUE"""),"Suicide")</f>
        <v>Suicide</v>
      </c>
    </row>
    <row r="2382" spans="1:7" ht="12.75">
      <c r="A2382" s="8" t="str">
        <f ca="1">IFERROR(__xludf.DUMMYFUNCTION("""COMPUTED_VALUE"""),"19711029MDFRB")</f>
        <v>19711029MDFRB</v>
      </c>
      <c r="B2382" s="8" t="str">
        <f ca="1">IFERROR(__xludf.DUMMYFUNCTION("""COMPUTED_VALUE"""),"Teen")</f>
        <v>Teen</v>
      </c>
      <c r="C2382" s="8" t="str">
        <f ca="1">IFERROR(__xludf.DUMMYFUNCTION("""COMPUTED_VALUE"""),"Male")</f>
        <v>Male</v>
      </c>
      <c r="D2382" s="8" t="str">
        <f ca="1">IFERROR(__xludf.DUMMYFUNCTION("""COMPUTED_VALUE"""),"Student")</f>
        <v>Student</v>
      </c>
      <c r="E2382" s="8" t="str">
        <f ca="1">IFERROR(__xludf.DUMMYFUNCTION("""COMPUTED_VALUE"""),"Fled/Escaped")</f>
        <v>Fled/Escaped</v>
      </c>
      <c r="F2382" s="8" t="str">
        <f ca="1">IFERROR(__xludf.DUMMYFUNCTION("""COMPUTED_VALUE"""),"No")</f>
        <v>No</v>
      </c>
      <c r="G2382" s="8" t="str">
        <f ca="1">IFERROR(__xludf.DUMMYFUNCTION("""COMPUTED_VALUE"""),"None")</f>
        <v>None</v>
      </c>
    </row>
    <row r="2383" spans="1:7" ht="12.75">
      <c r="A2383" s="8" t="str">
        <f ca="1">IFERROR(__xludf.DUMMYFUNCTION("""COMPUTED_VALUE"""),"19711029MDFRB")</f>
        <v>19711029MDFRB</v>
      </c>
      <c r="B2383" s="8" t="str">
        <f ca="1">IFERROR(__xludf.DUMMYFUNCTION("""COMPUTED_VALUE"""),"Teen")</f>
        <v>Teen</v>
      </c>
      <c r="C2383" s="8" t="str">
        <f ca="1">IFERROR(__xludf.DUMMYFUNCTION("""COMPUTED_VALUE"""),"Male")</f>
        <v>Male</v>
      </c>
      <c r="D2383" s="8" t="str">
        <f ca="1">IFERROR(__xludf.DUMMYFUNCTION("""COMPUTED_VALUE"""),"Student")</f>
        <v>Student</v>
      </c>
      <c r="E2383" s="8" t="str">
        <f ca="1">IFERROR(__xludf.DUMMYFUNCTION("""COMPUTED_VALUE"""),"Fled/Escaped")</f>
        <v>Fled/Escaped</v>
      </c>
      <c r="F2383" s="8" t="str">
        <f ca="1">IFERROR(__xludf.DUMMYFUNCTION("""COMPUTED_VALUE"""),"No")</f>
        <v>No</v>
      </c>
      <c r="G2383" s="8" t="str">
        <f ca="1">IFERROR(__xludf.DUMMYFUNCTION("""COMPUTED_VALUE"""),"None")</f>
        <v>None</v>
      </c>
    </row>
    <row r="2384" spans="1:7" ht="12.75">
      <c r="A2384" s="8" t="str">
        <f ca="1">IFERROR(__xludf.DUMMYFUNCTION("""COMPUTED_VALUE"""),"19711029MDFOB")</f>
        <v>19711029MDFOB</v>
      </c>
      <c r="B2384" s="8">
        <f ca="1">IFERROR(__xludf.DUMMYFUNCTION("""COMPUTED_VALUE"""),17)</f>
        <v>17</v>
      </c>
      <c r="C2384" s="8" t="str">
        <f ca="1">IFERROR(__xludf.DUMMYFUNCTION("""COMPUTED_VALUE"""),"Male")</f>
        <v>Male</v>
      </c>
      <c r="D2384" s="8" t="str">
        <f ca="1">IFERROR(__xludf.DUMMYFUNCTION("""COMPUTED_VALUE"""),"Former Student")</f>
        <v>Former Student</v>
      </c>
      <c r="E2384" s="8" t="str">
        <f ca="1">IFERROR(__xludf.DUMMYFUNCTION("""COMPUTED_VALUE"""),"Fled/Escaped")</f>
        <v>Fled/Escaped</v>
      </c>
      <c r="F2384" s="8" t="str">
        <f ca="1">IFERROR(__xludf.DUMMYFUNCTION("""COMPUTED_VALUE"""),"No")</f>
        <v>No</v>
      </c>
      <c r="G2384" s="8" t="str">
        <f ca="1">IFERROR(__xludf.DUMMYFUNCTION("""COMPUTED_VALUE"""),"None")</f>
        <v>None</v>
      </c>
    </row>
    <row r="2385" spans="1:7" ht="12.75">
      <c r="A2385" s="8" t="str">
        <f ca="1">IFERROR(__xludf.DUMMYFUNCTION("""COMPUTED_VALUE"""),"19711028MDCIB")</f>
        <v>19711028MDCIB</v>
      </c>
      <c r="B2385" s="8"/>
      <c r="C2385" s="8" t="str">
        <f ca="1">IFERROR(__xludf.DUMMYFUNCTION("""COMPUTED_VALUE"""),"Male")</f>
        <v>Male</v>
      </c>
      <c r="D2385" s="8" t="str">
        <f ca="1">IFERROR(__xludf.DUMMYFUNCTION("""COMPUTED_VALUE"""),"Student")</f>
        <v>Student</v>
      </c>
      <c r="E2385" s="8" t="str">
        <f ca="1">IFERROR(__xludf.DUMMYFUNCTION("""COMPUTED_VALUE"""),"Fled/Escaped")</f>
        <v>Fled/Escaped</v>
      </c>
      <c r="F2385" s="8" t="str">
        <f ca="1">IFERROR(__xludf.DUMMYFUNCTION("""COMPUTED_VALUE"""),"No")</f>
        <v>No</v>
      </c>
      <c r="G2385" s="8" t="str">
        <f ca="1">IFERROR(__xludf.DUMMYFUNCTION("""COMPUTED_VALUE"""),"None")</f>
        <v>None</v>
      </c>
    </row>
    <row r="2386" spans="1:7" ht="12.75">
      <c r="A2386" s="8" t="str">
        <f ca="1">IFERROR(__xludf.DUMMYFUNCTION("""COMPUTED_VALUE"""),"19710929VAPEP")</f>
        <v>19710929VAPEP</v>
      </c>
      <c r="B2386" s="8">
        <f ca="1">IFERROR(__xludf.DUMMYFUNCTION("""COMPUTED_VALUE"""),14)</f>
        <v>14</v>
      </c>
      <c r="C2386" s="8" t="str">
        <f ca="1">IFERROR(__xludf.DUMMYFUNCTION("""COMPUTED_VALUE"""),"Male")</f>
        <v>Male</v>
      </c>
      <c r="D2386" s="8" t="str">
        <f ca="1">IFERROR(__xludf.DUMMYFUNCTION("""COMPUTED_VALUE"""),"Student")</f>
        <v>Student</v>
      </c>
      <c r="E2386" s="8" t="str">
        <f ca="1">IFERROR(__xludf.DUMMYFUNCTION("""COMPUTED_VALUE"""),"Subdued by Students/Staff/Other")</f>
        <v>Subdued by Students/Staff/Other</v>
      </c>
      <c r="F2386" s="8" t="str">
        <f ca="1">IFERROR(__xludf.DUMMYFUNCTION("""COMPUTED_VALUE"""),"No")</f>
        <v>No</v>
      </c>
      <c r="G2386" s="8" t="str">
        <f ca="1">IFERROR(__xludf.DUMMYFUNCTION("""COMPUTED_VALUE"""),"None")</f>
        <v>None</v>
      </c>
    </row>
    <row r="2387" spans="1:7" ht="12.75">
      <c r="A2387" s="8" t="str">
        <f ca="1">IFERROR(__xludf.DUMMYFUNCTION("""COMPUTED_VALUE"""),"19710928MNCEM")</f>
        <v>19710928MNCEM</v>
      </c>
      <c r="B2387" s="8">
        <f ca="1">IFERROR(__xludf.DUMMYFUNCTION("""COMPUTED_VALUE"""),18)</f>
        <v>18</v>
      </c>
      <c r="C2387" s="8" t="str">
        <f ca="1">IFERROR(__xludf.DUMMYFUNCTION("""COMPUTED_VALUE"""),"Male")</f>
        <v>Male</v>
      </c>
      <c r="D2387" s="8" t="str">
        <f ca="1">IFERROR(__xludf.DUMMYFUNCTION("""COMPUTED_VALUE"""),"No Relation")</f>
        <v>No Relation</v>
      </c>
      <c r="E2387" s="8" t="str">
        <f ca="1">IFERROR(__xludf.DUMMYFUNCTION("""COMPUTED_VALUE"""),"Fled/Apprehended")</f>
        <v>Fled/Apprehended</v>
      </c>
      <c r="F2387" s="8" t="str">
        <f ca="1">IFERROR(__xludf.DUMMYFUNCTION("""COMPUTED_VALUE"""),"No")</f>
        <v>No</v>
      </c>
      <c r="G2387" s="8" t="str">
        <f ca="1">IFERROR(__xludf.DUMMYFUNCTION("""COMPUTED_VALUE"""),"None")</f>
        <v>None</v>
      </c>
    </row>
    <row r="2388" spans="1:7" ht="12.75">
      <c r="A2388" s="8" t="str">
        <f ca="1">IFERROR(__xludf.DUMMYFUNCTION("""COMPUTED_VALUE"""),"19710924NYMCB")</f>
        <v>19710924NYMCB</v>
      </c>
      <c r="B2388" s="8" t="str">
        <f ca="1">IFERROR(__xludf.DUMMYFUNCTION("""COMPUTED_VALUE"""),"Teen")</f>
        <v>Teen</v>
      </c>
      <c r="C2388" s="8"/>
      <c r="D2388" s="8" t="str">
        <f ca="1">IFERROR(__xludf.DUMMYFUNCTION("""COMPUTED_VALUE"""),"Student")</f>
        <v>Student</v>
      </c>
      <c r="E2388" s="8" t="str">
        <f ca="1">IFERROR(__xludf.DUMMYFUNCTION("""COMPUTED_VALUE"""),"Unknown")</f>
        <v>Unknown</v>
      </c>
      <c r="F2388" s="8" t="str">
        <f ca="1">IFERROR(__xludf.DUMMYFUNCTION("""COMPUTED_VALUE"""),"No")</f>
        <v>No</v>
      </c>
      <c r="G2388" s="8" t="str">
        <f ca="1">IFERROR(__xludf.DUMMYFUNCTION("""COMPUTED_VALUE"""),"None")</f>
        <v>None</v>
      </c>
    </row>
    <row r="2389" spans="1:7" ht="12.75">
      <c r="A2389" s="8" t="str">
        <f ca="1">IFERROR(__xludf.DUMMYFUNCTION("""COMPUTED_VALUE"""),"19710909TXDUL")</f>
        <v>19710909TXDUL</v>
      </c>
      <c r="B2389" s="8">
        <f ca="1">IFERROR(__xludf.DUMMYFUNCTION("""COMPUTED_VALUE"""),15)</f>
        <v>15</v>
      </c>
      <c r="C2389" s="8" t="str">
        <f ca="1">IFERROR(__xludf.DUMMYFUNCTION("""COMPUTED_VALUE"""),"Male")</f>
        <v>Male</v>
      </c>
      <c r="D2389" s="8" t="str">
        <f ca="1">IFERROR(__xludf.DUMMYFUNCTION("""COMPUTED_VALUE"""),"Student")</f>
        <v>Student</v>
      </c>
      <c r="E2389" s="8" t="str">
        <f ca="1">IFERROR(__xludf.DUMMYFUNCTION("""COMPUTED_VALUE"""),"Fled/Apprehended")</f>
        <v>Fled/Apprehended</v>
      </c>
      <c r="F2389" s="8" t="str">
        <f ca="1">IFERROR(__xludf.DUMMYFUNCTION("""COMPUTED_VALUE"""),"No")</f>
        <v>No</v>
      </c>
      <c r="G2389" s="8" t="str">
        <f ca="1">IFERROR(__xludf.DUMMYFUNCTION("""COMPUTED_VALUE"""),"None")</f>
        <v>None</v>
      </c>
    </row>
    <row r="2390" spans="1:7" ht="12.75">
      <c r="A2390" s="8" t="str">
        <f ca="1">IFERROR(__xludf.DUMMYFUNCTION("""COMPUTED_VALUE"""),"19710820PAMOM")</f>
        <v>19710820PAMOM</v>
      </c>
      <c r="B2390" s="8">
        <f ca="1">IFERROR(__xludf.DUMMYFUNCTION("""COMPUTED_VALUE"""),72)</f>
        <v>72</v>
      </c>
      <c r="C2390" s="8" t="str">
        <f ca="1">IFERROR(__xludf.DUMMYFUNCTION("""COMPUTED_VALUE"""),"Male")</f>
        <v>Male</v>
      </c>
      <c r="D2390" s="8" t="str">
        <f ca="1">IFERROR(__xludf.DUMMYFUNCTION("""COMPUTED_VALUE"""),"Security Guard")</f>
        <v>Security Guard</v>
      </c>
      <c r="E2390" s="8" t="str">
        <f ca="1">IFERROR(__xludf.DUMMYFUNCTION("""COMPUTED_VALUE"""),"Surrendered")</f>
        <v>Surrendered</v>
      </c>
      <c r="F2390" s="8" t="str">
        <f ca="1">IFERROR(__xludf.DUMMYFUNCTION("""COMPUTED_VALUE"""),"No")</f>
        <v>No</v>
      </c>
      <c r="G2390" s="8" t="str">
        <f ca="1">IFERROR(__xludf.DUMMYFUNCTION("""COMPUTED_VALUE"""),"None")</f>
        <v>None</v>
      </c>
    </row>
    <row r="2391" spans="1:7" ht="12.75">
      <c r="A2391" s="8" t="str">
        <f ca="1">IFERROR(__xludf.DUMMYFUNCTION("""COMPUTED_VALUE"""),"19710602NYEAE")</f>
        <v>19710602NYEAE</v>
      </c>
      <c r="B2391" s="8">
        <f ca="1">IFERROR(__xludf.DUMMYFUNCTION("""COMPUTED_VALUE"""),13)</f>
        <v>13</v>
      </c>
      <c r="C2391" s="8" t="str">
        <f ca="1">IFERROR(__xludf.DUMMYFUNCTION("""COMPUTED_VALUE"""),"Male")</f>
        <v>Male</v>
      </c>
      <c r="D2391" s="8" t="str">
        <f ca="1">IFERROR(__xludf.DUMMYFUNCTION("""COMPUTED_VALUE"""),"Student")</f>
        <v>Student</v>
      </c>
      <c r="E2391" s="8" t="str">
        <f ca="1">IFERROR(__xludf.DUMMYFUNCTION("""COMPUTED_VALUE"""),"Suicide")</f>
        <v>Suicide</v>
      </c>
      <c r="F2391" s="8" t="str">
        <f ca="1">IFERROR(__xludf.DUMMYFUNCTION("""COMPUTED_VALUE"""),"Yes")</f>
        <v>Yes</v>
      </c>
      <c r="G2391" s="8" t="str">
        <f ca="1">IFERROR(__xludf.DUMMYFUNCTION("""COMPUTED_VALUE"""),"Suicide")</f>
        <v>Suicide</v>
      </c>
    </row>
    <row r="2392" spans="1:7" ht="12.75">
      <c r="A2392" s="8" t="str">
        <f ca="1">IFERROR(__xludf.DUMMYFUNCTION("""COMPUTED_VALUE"""),"19710527MIBES")</f>
        <v>19710527MIBES</v>
      </c>
      <c r="B2392" s="8">
        <f ca="1">IFERROR(__xludf.DUMMYFUNCTION("""COMPUTED_VALUE"""),17)</f>
        <v>17</v>
      </c>
      <c r="C2392" s="8" t="str">
        <f ca="1">IFERROR(__xludf.DUMMYFUNCTION("""COMPUTED_VALUE"""),"Male")</f>
        <v>Male</v>
      </c>
      <c r="D2392" s="8" t="str">
        <f ca="1">IFERROR(__xludf.DUMMYFUNCTION("""COMPUTED_VALUE"""),"Student")</f>
        <v>Student</v>
      </c>
      <c r="E2392" s="8" t="str">
        <f ca="1">IFERROR(__xludf.DUMMYFUNCTION("""COMPUTED_VALUE"""),"Unknown")</f>
        <v>Unknown</v>
      </c>
      <c r="F2392" s="8" t="str">
        <f ca="1">IFERROR(__xludf.DUMMYFUNCTION("""COMPUTED_VALUE"""),"No")</f>
        <v>No</v>
      </c>
      <c r="G2392" s="8" t="str">
        <f ca="1">IFERROR(__xludf.DUMMYFUNCTION("""COMPUTED_VALUE"""),"None")</f>
        <v>None</v>
      </c>
    </row>
    <row r="2393" spans="1:7" ht="12.75">
      <c r="A2393" s="8" t="str">
        <f ca="1">IFERROR(__xludf.DUMMYFUNCTION("""COMPUTED_VALUE"""),"19710405PAWIH")</f>
        <v>19710405PAWIH</v>
      </c>
      <c r="B2393" s="8">
        <f ca="1">IFERROR(__xludf.DUMMYFUNCTION("""COMPUTED_VALUE"""),17)</f>
        <v>17</v>
      </c>
      <c r="C2393" s="8" t="str">
        <f ca="1">IFERROR(__xludf.DUMMYFUNCTION("""COMPUTED_VALUE"""),"Male")</f>
        <v>Male</v>
      </c>
      <c r="D2393" s="8" t="str">
        <f ca="1">IFERROR(__xludf.DUMMYFUNCTION("""COMPUTED_VALUE"""),"Student")</f>
        <v>Student</v>
      </c>
      <c r="E2393" s="8" t="str">
        <f ca="1">IFERROR(__xludf.DUMMYFUNCTION("""COMPUTED_VALUE"""),"Unknown")</f>
        <v>Unknown</v>
      </c>
      <c r="F2393" s="8" t="str">
        <f ca="1">IFERROR(__xludf.DUMMYFUNCTION("""COMPUTED_VALUE"""),"No")</f>
        <v>No</v>
      </c>
      <c r="G2393" s="8" t="str">
        <f ca="1">IFERROR(__xludf.DUMMYFUNCTION("""COMPUTED_VALUE"""),"None")</f>
        <v>None</v>
      </c>
    </row>
    <row r="2394" spans="1:7" ht="12.75">
      <c r="A2394" s="8" t="str">
        <f ca="1">IFERROR(__xludf.DUMMYFUNCTION("""COMPUTED_VALUE"""),"19710309AZROT")</f>
        <v>19710309AZROT</v>
      </c>
      <c r="B2394" s="8">
        <f ca="1">IFERROR(__xludf.DUMMYFUNCTION("""COMPUTED_VALUE"""),13)</f>
        <v>13</v>
      </c>
      <c r="C2394" s="8" t="str">
        <f ca="1">IFERROR(__xludf.DUMMYFUNCTION("""COMPUTED_VALUE"""),"Male")</f>
        <v>Male</v>
      </c>
      <c r="D2394" s="8" t="str">
        <f ca="1">IFERROR(__xludf.DUMMYFUNCTION("""COMPUTED_VALUE"""),"Student")</f>
        <v>Student</v>
      </c>
      <c r="E2394" s="8" t="str">
        <f ca="1">IFERROR(__xludf.DUMMYFUNCTION("""COMPUTED_VALUE"""),"Unknown")</f>
        <v>Unknown</v>
      </c>
      <c r="F2394" s="8" t="str">
        <f ca="1">IFERROR(__xludf.DUMMYFUNCTION("""COMPUTED_VALUE"""),"No")</f>
        <v>No</v>
      </c>
      <c r="G2394" s="8" t="str">
        <f ca="1">IFERROR(__xludf.DUMMYFUNCTION("""COMPUTED_VALUE"""),"None")</f>
        <v>None</v>
      </c>
    </row>
    <row r="2395" spans="1:7" ht="12.75">
      <c r="A2395" s="8" t="str">
        <f ca="1">IFERROR(__xludf.DUMMYFUNCTION("""COMPUTED_VALUE"""),"19710225OHFRC")</f>
        <v>19710225OHFRC</v>
      </c>
      <c r="B2395" s="8" t="str">
        <f ca="1">IFERROR(__xludf.DUMMYFUNCTION("""COMPUTED_VALUE"""),"Teen")</f>
        <v>Teen</v>
      </c>
      <c r="C2395" s="8" t="str">
        <f ca="1">IFERROR(__xludf.DUMMYFUNCTION("""COMPUTED_VALUE"""),"Male")</f>
        <v>Male</v>
      </c>
      <c r="D2395" s="8" t="str">
        <f ca="1">IFERROR(__xludf.DUMMYFUNCTION("""COMPUTED_VALUE"""),"Student")</f>
        <v>Student</v>
      </c>
      <c r="E2395" s="8" t="str">
        <f ca="1">IFERROR(__xludf.DUMMYFUNCTION("""COMPUTED_VALUE"""),"Fled/Apprehended")</f>
        <v>Fled/Apprehended</v>
      </c>
      <c r="F2395" s="8" t="str">
        <f ca="1">IFERROR(__xludf.DUMMYFUNCTION("""COMPUTED_VALUE"""),"No")</f>
        <v>No</v>
      </c>
      <c r="G2395" s="8" t="str">
        <f ca="1">IFERROR(__xludf.DUMMYFUNCTION("""COMPUTED_VALUE"""),"None")</f>
        <v>None</v>
      </c>
    </row>
    <row r="2396" spans="1:7" ht="12.75">
      <c r="A2396" s="8" t="str">
        <f ca="1">IFERROR(__xludf.DUMMYFUNCTION("""COMPUTED_VALUE"""),"19710210TXOAD")</f>
        <v>19710210TXOAD</v>
      </c>
      <c r="B2396" s="8">
        <f ca="1">IFERROR(__xludf.DUMMYFUNCTION("""COMPUTED_VALUE"""),17)</f>
        <v>17</v>
      </c>
      <c r="C2396" s="8" t="str">
        <f ca="1">IFERROR(__xludf.DUMMYFUNCTION("""COMPUTED_VALUE"""),"Male")</f>
        <v>Male</v>
      </c>
      <c r="D2396" s="8" t="str">
        <f ca="1">IFERROR(__xludf.DUMMYFUNCTION("""COMPUTED_VALUE"""),"Student")</f>
        <v>Student</v>
      </c>
      <c r="E2396" s="8" t="str">
        <f ca="1">IFERROR(__xludf.DUMMYFUNCTION("""COMPUTED_VALUE"""),"Unknown")</f>
        <v>Unknown</v>
      </c>
      <c r="F2396" s="8" t="str">
        <f ca="1">IFERROR(__xludf.DUMMYFUNCTION("""COMPUTED_VALUE"""),"No")</f>
        <v>No</v>
      </c>
      <c r="G2396" s="8" t="str">
        <f ca="1">IFERROR(__xludf.DUMMYFUNCTION("""COMPUTED_VALUE"""),"None")</f>
        <v>None</v>
      </c>
    </row>
    <row r="2397" spans="1:7" ht="12.75">
      <c r="A2397" s="8" t="str">
        <f ca="1">IFERROR(__xludf.DUMMYFUNCTION("""COMPUTED_VALUE"""),"19710205PAJOW")</f>
        <v>19710205PAJOW</v>
      </c>
      <c r="B2397" s="8">
        <f ca="1">IFERROR(__xludf.DUMMYFUNCTION("""COMPUTED_VALUE"""),14)</f>
        <v>14</v>
      </c>
      <c r="C2397" s="8" t="str">
        <f ca="1">IFERROR(__xludf.DUMMYFUNCTION("""COMPUTED_VALUE"""),"Male")</f>
        <v>Male</v>
      </c>
      <c r="D2397" s="8" t="str">
        <f ca="1">IFERROR(__xludf.DUMMYFUNCTION("""COMPUTED_VALUE"""),"Student")</f>
        <v>Student</v>
      </c>
      <c r="E2397" s="8" t="str">
        <f ca="1">IFERROR(__xludf.DUMMYFUNCTION("""COMPUTED_VALUE"""),"Unknown")</f>
        <v>Unknown</v>
      </c>
      <c r="F2397" s="8" t="str">
        <f ca="1">IFERROR(__xludf.DUMMYFUNCTION("""COMPUTED_VALUE"""),"No")</f>
        <v>No</v>
      </c>
      <c r="G2397" s="8" t="str">
        <f ca="1">IFERROR(__xludf.DUMMYFUNCTION("""COMPUTED_VALUE"""),"None")</f>
        <v>None</v>
      </c>
    </row>
    <row r="2398" spans="1:7" ht="12.75">
      <c r="A2398" s="8" t="str">
        <f ca="1">IFERROR(__xludf.DUMMYFUNCTION("""COMPUTED_VALUE"""),"19710202PAMOP")</f>
        <v>19710202PAMOP</v>
      </c>
      <c r="B2398" s="8">
        <f ca="1">IFERROR(__xludf.DUMMYFUNCTION("""COMPUTED_VALUE"""),14)</f>
        <v>14</v>
      </c>
      <c r="C2398" s="8" t="str">
        <f ca="1">IFERROR(__xludf.DUMMYFUNCTION("""COMPUTED_VALUE"""),"Male")</f>
        <v>Male</v>
      </c>
      <c r="D2398" s="8" t="str">
        <f ca="1">IFERROR(__xludf.DUMMYFUNCTION("""COMPUTED_VALUE"""),"Student")</f>
        <v>Student</v>
      </c>
      <c r="E2398" s="8" t="str">
        <f ca="1">IFERROR(__xludf.DUMMYFUNCTION("""COMPUTED_VALUE"""),"Fled/Apprehended")</f>
        <v>Fled/Apprehended</v>
      </c>
      <c r="F2398" s="8" t="str">
        <f ca="1">IFERROR(__xludf.DUMMYFUNCTION("""COMPUTED_VALUE"""),"No")</f>
        <v>No</v>
      </c>
      <c r="G2398" s="8" t="str">
        <f ca="1">IFERROR(__xludf.DUMMYFUNCTION("""COMPUTED_VALUE"""),"None")</f>
        <v>None</v>
      </c>
    </row>
    <row r="2399" spans="1:7" ht="12.75">
      <c r="A2399" s="8" t="str">
        <f ca="1">IFERROR(__xludf.DUMMYFUNCTION("""COMPUTED_VALUE"""),"19701212WIXAA")</f>
        <v>19701212WIXAA</v>
      </c>
      <c r="B2399" s="8" t="str">
        <f ca="1">IFERROR(__xludf.DUMMYFUNCTION("""COMPUTED_VALUE"""),"Adult")</f>
        <v>Adult</v>
      </c>
      <c r="C2399" s="8"/>
      <c r="D2399" s="8" t="str">
        <f ca="1">IFERROR(__xludf.DUMMYFUNCTION("""COMPUTED_VALUE"""),"Police Officer/SRO")</f>
        <v>Police Officer/SRO</v>
      </c>
      <c r="E2399" s="8" t="str">
        <f ca="1">IFERROR(__xludf.DUMMYFUNCTION("""COMPUTED_VALUE"""),"Law Enforcement")</f>
        <v>Law Enforcement</v>
      </c>
      <c r="F2399" s="8" t="str">
        <f ca="1">IFERROR(__xludf.DUMMYFUNCTION("""COMPUTED_VALUE"""),"No")</f>
        <v>No</v>
      </c>
      <c r="G2399" s="8" t="str">
        <f ca="1">IFERROR(__xludf.DUMMYFUNCTION("""COMPUTED_VALUE"""),"None")</f>
        <v>None</v>
      </c>
    </row>
    <row r="2400" spans="1:7" ht="12.75">
      <c r="A2400" s="8" t="str">
        <f ca="1">IFERROR(__xludf.DUMMYFUNCTION("""COMPUTED_VALUE"""),"19701120ILHAC")</f>
        <v>19701120ILHAC</v>
      </c>
      <c r="B2400" s="8">
        <f ca="1">IFERROR(__xludf.DUMMYFUNCTION("""COMPUTED_VALUE"""),15)</f>
        <v>15</v>
      </c>
      <c r="C2400" s="8" t="str">
        <f ca="1">IFERROR(__xludf.DUMMYFUNCTION("""COMPUTED_VALUE"""),"Male")</f>
        <v>Male</v>
      </c>
      <c r="D2400" s="8" t="str">
        <f ca="1">IFERROR(__xludf.DUMMYFUNCTION("""COMPUTED_VALUE"""),"Student")</f>
        <v>Student</v>
      </c>
      <c r="E2400" s="8" t="str">
        <f ca="1">IFERROR(__xludf.DUMMYFUNCTION("""COMPUTED_VALUE"""),"Fled/Apprehended")</f>
        <v>Fled/Apprehended</v>
      </c>
      <c r="F2400" s="8" t="str">
        <f ca="1">IFERROR(__xludf.DUMMYFUNCTION("""COMPUTED_VALUE"""),"No")</f>
        <v>No</v>
      </c>
      <c r="G2400" s="8" t="str">
        <f ca="1">IFERROR(__xludf.DUMMYFUNCTION("""COMPUTED_VALUE"""),"None")</f>
        <v>None</v>
      </c>
    </row>
    <row r="2401" spans="1:7" ht="12.75">
      <c r="A2401" s="8" t="str">
        <f ca="1">IFERROR(__xludf.DUMMYFUNCTION("""COMPUTED_VALUE"""),"19701027OHAPM")</f>
        <v>19701027OHAPM</v>
      </c>
      <c r="B2401" s="8">
        <f ca="1">IFERROR(__xludf.DUMMYFUNCTION("""COMPUTED_VALUE"""),13)</f>
        <v>13</v>
      </c>
      <c r="C2401" s="8" t="str">
        <f ca="1">IFERROR(__xludf.DUMMYFUNCTION("""COMPUTED_VALUE"""),"Male")</f>
        <v>Male</v>
      </c>
      <c r="D2401" s="8" t="str">
        <f ca="1">IFERROR(__xludf.DUMMYFUNCTION("""COMPUTED_VALUE"""),"Student")</f>
        <v>Student</v>
      </c>
      <c r="E2401" s="8" t="str">
        <f ca="1">IFERROR(__xludf.DUMMYFUNCTION("""COMPUTED_VALUE"""),"Fled/Apprehended")</f>
        <v>Fled/Apprehended</v>
      </c>
      <c r="F2401" s="8" t="str">
        <f ca="1">IFERROR(__xludf.DUMMYFUNCTION("""COMPUTED_VALUE"""),"No")</f>
        <v>No</v>
      </c>
      <c r="G2401" s="8" t="str">
        <f ca="1">IFERROR(__xludf.DUMMYFUNCTION("""COMPUTED_VALUE"""),"None")</f>
        <v>None</v>
      </c>
    </row>
    <row r="2402" spans="1:7" ht="12.75">
      <c r="A2402" s="8" t="str">
        <f ca="1">IFERROR(__xludf.DUMMYFUNCTION("""COMPUTED_VALUE"""),"19701020TNWAN")</f>
        <v>19701020TNWAN</v>
      </c>
      <c r="B2402" s="8">
        <f ca="1">IFERROR(__xludf.DUMMYFUNCTION("""COMPUTED_VALUE"""),13)</f>
        <v>13</v>
      </c>
      <c r="C2402" s="8" t="str">
        <f ca="1">IFERROR(__xludf.DUMMYFUNCTION("""COMPUTED_VALUE"""),"Male")</f>
        <v>Male</v>
      </c>
      <c r="D2402" s="8" t="str">
        <f ca="1">IFERROR(__xludf.DUMMYFUNCTION("""COMPUTED_VALUE"""),"Student")</f>
        <v>Student</v>
      </c>
      <c r="E2402" s="8" t="str">
        <f ca="1">IFERROR(__xludf.DUMMYFUNCTION("""COMPUTED_VALUE"""),"Unknown")</f>
        <v>Unknown</v>
      </c>
      <c r="F2402" s="8" t="str">
        <f ca="1">IFERROR(__xludf.DUMMYFUNCTION("""COMPUTED_VALUE"""),"No")</f>
        <v>No</v>
      </c>
      <c r="G2402" s="8" t="str">
        <f ca="1">IFERROR(__xludf.DUMMYFUNCTION("""COMPUTED_VALUE"""),"None")</f>
        <v>None</v>
      </c>
    </row>
    <row r="2403" spans="1:7" ht="12.75">
      <c r="A2403" s="8" t="str">
        <f ca="1">IFERROR(__xludf.DUMMYFUNCTION("""COMPUTED_VALUE"""),"19701019TNBOM")</f>
        <v>19701019TNBOM</v>
      </c>
      <c r="B2403" s="8">
        <f ca="1">IFERROR(__xludf.DUMMYFUNCTION("""COMPUTED_VALUE"""),17)</f>
        <v>17</v>
      </c>
      <c r="C2403" s="8" t="str">
        <f ca="1">IFERROR(__xludf.DUMMYFUNCTION("""COMPUTED_VALUE"""),"Male")</f>
        <v>Male</v>
      </c>
      <c r="D2403" s="8" t="str">
        <f ca="1">IFERROR(__xludf.DUMMYFUNCTION("""COMPUTED_VALUE"""),"Student")</f>
        <v>Student</v>
      </c>
      <c r="E2403" s="8" t="str">
        <f ca="1">IFERROR(__xludf.DUMMYFUNCTION("""COMPUTED_VALUE"""),"Fled/Apprehended")</f>
        <v>Fled/Apprehended</v>
      </c>
      <c r="F2403" s="8" t="str">
        <f ca="1">IFERROR(__xludf.DUMMYFUNCTION("""COMPUTED_VALUE"""),"No")</f>
        <v>No</v>
      </c>
      <c r="G2403" s="8" t="str">
        <f ca="1">IFERROR(__xludf.DUMMYFUNCTION("""COMPUTED_VALUE"""),"None")</f>
        <v>None</v>
      </c>
    </row>
    <row r="2404" spans="1:7" ht="12.75">
      <c r="A2404" s="8" t="str">
        <f ca="1">IFERROR(__xludf.DUMMYFUNCTION("""COMPUTED_VALUE"""),"19701005MIPOD")</f>
        <v>19701005MIPOD</v>
      </c>
      <c r="B2404" s="8" t="str">
        <f ca="1">IFERROR(__xludf.DUMMYFUNCTION("""COMPUTED_VALUE"""),"Teen")</f>
        <v>Teen</v>
      </c>
      <c r="C2404" s="8" t="str">
        <f ca="1">IFERROR(__xludf.DUMMYFUNCTION("""COMPUTED_VALUE"""),"Male")</f>
        <v>Male</v>
      </c>
      <c r="D2404" s="8" t="str">
        <f ca="1">IFERROR(__xludf.DUMMYFUNCTION("""COMPUTED_VALUE"""),"Student")</f>
        <v>Student</v>
      </c>
      <c r="E2404" s="8" t="str">
        <f ca="1">IFERROR(__xludf.DUMMYFUNCTION("""COMPUTED_VALUE"""),"Fled/Escaped")</f>
        <v>Fled/Escaped</v>
      </c>
      <c r="F2404" s="8" t="str">
        <f ca="1">IFERROR(__xludf.DUMMYFUNCTION("""COMPUTED_VALUE"""),"No")</f>
        <v>No</v>
      </c>
      <c r="G2404" s="8" t="str">
        <f ca="1">IFERROR(__xludf.DUMMYFUNCTION("""COMPUTED_VALUE"""),"None")</f>
        <v>None</v>
      </c>
    </row>
    <row r="2405" spans="1:7" ht="12.75">
      <c r="A2405" s="8" t="str">
        <f ca="1">IFERROR(__xludf.DUMMYFUNCTION("""COMPUTED_VALUE"""),"19700928IACED")</f>
        <v>19700928IACED</v>
      </c>
      <c r="B2405" s="8">
        <f ca="1">IFERROR(__xludf.DUMMYFUNCTION("""COMPUTED_VALUE"""),17)</f>
        <v>17</v>
      </c>
      <c r="C2405" s="8" t="str">
        <f ca="1">IFERROR(__xludf.DUMMYFUNCTION("""COMPUTED_VALUE"""),"Male")</f>
        <v>Male</v>
      </c>
      <c r="D2405" s="8" t="str">
        <f ca="1">IFERROR(__xludf.DUMMYFUNCTION("""COMPUTED_VALUE"""),"Student")</f>
        <v>Student</v>
      </c>
      <c r="E2405" s="8" t="str">
        <f ca="1">IFERROR(__xludf.DUMMYFUNCTION("""COMPUTED_VALUE"""),"Fled/Apprehended")</f>
        <v>Fled/Apprehended</v>
      </c>
      <c r="F2405" s="8" t="str">
        <f ca="1">IFERROR(__xludf.DUMMYFUNCTION("""COMPUTED_VALUE"""),"No")</f>
        <v>No</v>
      </c>
      <c r="G2405" s="8" t="str">
        <f ca="1">IFERROR(__xludf.DUMMYFUNCTION("""COMPUTED_VALUE"""),"None")</f>
        <v>None</v>
      </c>
    </row>
    <row r="2406" spans="1:7" ht="12.75">
      <c r="A2406" s="8" t="str">
        <f ca="1">IFERROR(__xludf.DUMMYFUNCTION("""COMPUTED_VALUE"""),"19700924IDMEM")</f>
        <v>19700924IDMEM</v>
      </c>
      <c r="B2406" s="8"/>
      <c r="C2406" s="8"/>
      <c r="D2406" s="8" t="str">
        <f ca="1">IFERROR(__xludf.DUMMYFUNCTION("""COMPUTED_VALUE"""),"Unknown")</f>
        <v>Unknown</v>
      </c>
      <c r="E2406" s="8" t="str">
        <f ca="1">IFERROR(__xludf.DUMMYFUNCTION("""COMPUTED_VALUE"""),"Unknown")</f>
        <v>Unknown</v>
      </c>
      <c r="F2406" s="8" t="str">
        <f ca="1">IFERROR(__xludf.DUMMYFUNCTION("""COMPUTED_VALUE"""),"No")</f>
        <v>No</v>
      </c>
      <c r="G2406" s="8" t="str">
        <f ca="1">IFERROR(__xludf.DUMMYFUNCTION("""COMPUTED_VALUE"""),"None")</f>
        <v>None</v>
      </c>
    </row>
    <row r="2407" spans="1:7" ht="12.75">
      <c r="A2407" s="8" t="str">
        <f ca="1">IFERROR(__xludf.DUMMYFUNCTION("""COMPUTED_VALUE"""),"19700914TNHAN")</f>
        <v>19700914TNHAN</v>
      </c>
      <c r="B2407" s="8">
        <f ca="1">IFERROR(__xludf.DUMMYFUNCTION("""COMPUTED_VALUE"""),18)</f>
        <v>18</v>
      </c>
      <c r="C2407" s="8" t="str">
        <f ca="1">IFERROR(__xludf.DUMMYFUNCTION("""COMPUTED_VALUE"""),"Male")</f>
        <v>Male</v>
      </c>
      <c r="D2407" s="8" t="str">
        <f ca="1">IFERROR(__xludf.DUMMYFUNCTION("""COMPUTED_VALUE"""),"Student")</f>
        <v>Student</v>
      </c>
      <c r="E2407" s="8" t="str">
        <f ca="1">IFERROR(__xludf.DUMMYFUNCTION("""COMPUTED_VALUE"""),"Fled/Apprehended")</f>
        <v>Fled/Apprehended</v>
      </c>
      <c r="F2407" s="8" t="str">
        <f ca="1">IFERROR(__xludf.DUMMYFUNCTION("""COMPUTED_VALUE"""),"No")</f>
        <v>No</v>
      </c>
      <c r="G2407" s="8" t="str">
        <f ca="1">IFERROR(__xludf.DUMMYFUNCTION("""COMPUTED_VALUE"""),"None")</f>
        <v>None</v>
      </c>
    </row>
    <row r="2408" spans="1:7" ht="12.75">
      <c r="A2408" s="8" t="str">
        <f ca="1">IFERROR(__xludf.DUMMYFUNCTION("""COMPUTED_VALUE"""),"19700831FLALM")</f>
        <v>19700831FLALM</v>
      </c>
      <c r="B2408" s="8">
        <f ca="1">IFERROR(__xludf.DUMMYFUNCTION("""COMPUTED_VALUE"""),27)</f>
        <v>27</v>
      </c>
      <c r="C2408" s="8" t="str">
        <f ca="1">IFERROR(__xludf.DUMMYFUNCTION("""COMPUTED_VALUE"""),"Male")</f>
        <v>Male</v>
      </c>
      <c r="D2408" s="8" t="str">
        <f ca="1">IFERROR(__xludf.DUMMYFUNCTION("""COMPUTED_VALUE"""),"No Relation")</f>
        <v>No Relation</v>
      </c>
      <c r="E2408" s="8" t="str">
        <f ca="1">IFERROR(__xludf.DUMMYFUNCTION("""COMPUTED_VALUE"""),"Apprehended/Killed by LE")</f>
        <v>Apprehended/Killed by LE</v>
      </c>
      <c r="F2408" s="8" t="str">
        <f ca="1">IFERROR(__xludf.DUMMYFUNCTION("""COMPUTED_VALUE"""),"No")</f>
        <v>No</v>
      </c>
      <c r="G2408" s="8" t="str">
        <f ca="1">IFERROR(__xludf.DUMMYFUNCTION("""COMPUTED_VALUE"""),"None")</f>
        <v>None</v>
      </c>
    </row>
    <row r="2409" spans="1:7" ht="12.75">
      <c r="A2409" s="8" t="str">
        <f ca="1">IFERROR(__xludf.DUMMYFUNCTION("""COMPUTED_VALUE"""),"19700828TXRIE")</f>
        <v>19700828TXRIE</v>
      </c>
      <c r="B2409" s="8">
        <f ca="1">IFERROR(__xludf.DUMMYFUNCTION("""COMPUTED_VALUE"""),15)</f>
        <v>15</v>
      </c>
      <c r="C2409" s="8" t="str">
        <f ca="1">IFERROR(__xludf.DUMMYFUNCTION("""COMPUTED_VALUE"""),"Male")</f>
        <v>Male</v>
      </c>
      <c r="D2409" s="8" t="str">
        <f ca="1">IFERROR(__xludf.DUMMYFUNCTION("""COMPUTED_VALUE"""),"Student")</f>
        <v>Student</v>
      </c>
      <c r="E2409" s="8" t="str">
        <f ca="1">IFERROR(__xludf.DUMMYFUNCTION("""COMPUTED_VALUE"""),"Fled/Apprehended")</f>
        <v>Fled/Apprehended</v>
      </c>
      <c r="F2409" s="8" t="str">
        <f ca="1">IFERROR(__xludf.DUMMYFUNCTION("""COMPUTED_VALUE"""),"No")</f>
        <v>No</v>
      </c>
      <c r="G2409" s="8" t="str">
        <f ca="1">IFERROR(__xludf.DUMMYFUNCTION("""COMPUTED_VALUE"""),"None")</f>
        <v>None</v>
      </c>
    </row>
    <row r="2410" spans="1:7" ht="12.75">
      <c r="A2410" s="8" t="str">
        <f ca="1">IFERROR(__xludf.DUMMYFUNCTION("""COMPUTED_VALUE"""),"19700828TXRIE")</f>
        <v>19700828TXRIE</v>
      </c>
      <c r="B2410" s="8">
        <f ca="1">IFERROR(__xludf.DUMMYFUNCTION("""COMPUTED_VALUE"""),16)</f>
        <v>16</v>
      </c>
      <c r="C2410" s="8" t="str">
        <f ca="1">IFERROR(__xludf.DUMMYFUNCTION("""COMPUTED_VALUE"""),"Male")</f>
        <v>Male</v>
      </c>
      <c r="D2410" s="8" t="str">
        <f ca="1">IFERROR(__xludf.DUMMYFUNCTION("""COMPUTED_VALUE"""),"Student")</f>
        <v>Student</v>
      </c>
      <c r="E2410" s="8" t="str">
        <f ca="1">IFERROR(__xludf.DUMMYFUNCTION("""COMPUTED_VALUE"""),"Fled/Apprehended")</f>
        <v>Fled/Apprehended</v>
      </c>
      <c r="F2410" s="8" t="str">
        <f ca="1">IFERROR(__xludf.DUMMYFUNCTION("""COMPUTED_VALUE"""),"No")</f>
        <v>No</v>
      </c>
      <c r="G2410" s="8" t="str">
        <f ca="1">IFERROR(__xludf.DUMMYFUNCTION("""COMPUTED_VALUE"""),"None")</f>
        <v>None</v>
      </c>
    </row>
    <row r="2411" spans="1:7" ht="12.75">
      <c r="A2411" s="8" t="str">
        <f ca="1">IFERROR(__xludf.DUMMYFUNCTION("""COMPUTED_VALUE"""),"19700515UTBEO")</f>
        <v>19700515UTBEO</v>
      </c>
      <c r="B2411" s="8">
        <f ca="1">IFERROR(__xludf.DUMMYFUNCTION("""COMPUTED_VALUE"""),15)</f>
        <v>15</v>
      </c>
      <c r="C2411" s="8" t="str">
        <f ca="1">IFERROR(__xludf.DUMMYFUNCTION("""COMPUTED_VALUE"""),"Male")</f>
        <v>Male</v>
      </c>
      <c r="D2411" s="8" t="str">
        <f ca="1">IFERROR(__xludf.DUMMYFUNCTION("""COMPUTED_VALUE"""),"Student")</f>
        <v>Student</v>
      </c>
      <c r="E2411" s="8" t="str">
        <f ca="1">IFERROR(__xludf.DUMMYFUNCTION("""COMPUTED_VALUE"""),"Unknown")</f>
        <v>Unknown</v>
      </c>
      <c r="F2411" s="8" t="str">
        <f ca="1">IFERROR(__xludf.DUMMYFUNCTION("""COMPUTED_VALUE"""),"No")</f>
        <v>No</v>
      </c>
      <c r="G2411" s="8" t="str">
        <f ca="1">IFERROR(__xludf.DUMMYFUNCTION("""COMPUTED_VALUE"""),"None")</f>
        <v>None</v>
      </c>
    </row>
    <row r="2412" spans="1:7" ht="12.75">
      <c r="A2412" s="8" t="str">
        <f ca="1">IFERROR(__xludf.DUMMYFUNCTION("""COMPUTED_VALUE"""),"19700508FLCAD")</f>
        <v>19700508FLCAD</v>
      </c>
      <c r="B2412" s="8">
        <f ca="1">IFERROR(__xludf.DUMMYFUNCTION("""COMPUTED_VALUE"""),18)</f>
        <v>18</v>
      </c>
      <c r="C2412" s="8" t="str">
        <f ca="1">IFERROR(__xludf.DUMMYFUNCTION("""COMPUTED_VALUE"""),"Male")</f>
        <v>Male</v>
      </c>
      <c r="D2412" s="8" t="str">
        <f ca="1">IFERROR(__xludf.DUMMYFUNCTION("""COMPUTED_VALUE"""),"Student")</f>
        <v>Student</v>
      </c>
      <c r="E2412" s="8" t="str">
        <f ca="1">IFERROR(__xludf.DUMMYFUNCTION("""COMPUTED_VALUE"""),"Fled/Apprehended")</f>
        <v>Fled/Apprehended</v>
      </c>
      <c r="F2412" s="8" t="str">
        <f ca="1">IFERROR(__xludf.DUMMYFUNCTION("""COMPUTED_VALUE"""),"No")</f>
        <v>No</v>
      </c>
      <c r="G2412" s="8" t="str">
        <f ca="1">IFERROR(__xludf.DUMMYFUNCTION("""COMPUTED_VALUE"""),"None")</f>
        <v>None</v>
      </c>
    </row>
    <row r="2413" spans="1:7" ht="12.75">
      <c r="A2413" s="8" t="str">
        <f ca="1">IFERROR(__xludf.DUMMYFUNCTION("""COMPUTED_VALUE"""),"19700422DEPIW")</f>
        <v>19700422DEPIW</v>
      </c>
      <c r="B2413" s="8">
        <f ca="1">IFERROR(__xludf.DUMMYFUNCTION("""COMPUTED_VALUE"""),16)</f>
        <v>16</v>
      </c>
      <c r="C2413" s="8" t="str">
        <f ca="1">IFERROR(__xludf.DUMMYFUNCTION("""COMPUTED_VALUE"""),"Male")</f>
        <v>Male</v>
      </c>
      <c r="D2413" s="8" t="str">
        <f ca="1">IFERROR(__xludf.DUMMYFUNCTION("""COMPUTED_VALUE"""),"Student")</f>
        <v>Student</v>
      </c>
      <c r="E2413" s="8" t="str">
        <f ca="1">IFERROR(__xludf.DUMMYFUNCTION("""COMPUTED_VALUE"""),"Fled/Apprehended")</f>
        <v>Fled/Apprehended</v>
      </c>
      <c r="F2413" s="8" t="str">
        <f ca="1">IFERROR(__xludf.DUMMYFUNCTION("""COMPUTED_VALUE"""),"No")</f>
        <v>No</v>
      </c>
      <c r="G2413" s="8" t="str">
        <f ca="1">IFERROR(__xludf.DUMMYFUNCTION("""COMPUTED_VALUE"""),"None")</f>
        <v>None</v>
      </c>
    </row>
    <row r="2414" spans="1:7" ht="12.75">
      <c r="A2414" s="8" t="str">
        <f ca="1">IFERROR(__xludf.DUMMYFUNCTION("""COMPUTED_VALUE"""),"19700415ARPIP")</f>
        <v>19700415ARPIP</v>
      </c>
      <c r="B2414" s="8">
        <f ca="1">IFERROR(__xludf.DUMMYFUNCTION("""COMPUTED_VALUE"""),18)</f>
        <v>18</v>
      </c>
      <c r="C2414" s="8" t="str">
        <f ca="1">IFERROR(__xludf.DUMMYFUNCTION("""COMPUTED_VALUE"""),"Male")</f>
        <v>Male</v>
      </c>
      <c r="D2414" s="8" t="str">
        <f ca="1">IFERROR(__xludf.DUMMYFUNCTION("""COMPUTED_VALUE"""),"No Relation")</f>
        <v>No Relation</v>
      </c>
      <c r="E2414" s="8" t="str">
        <f ca="1">IFERROR(__xludf.DUMMYFUNCTION("""COMPUTED_VALUE"""),"Fled/Apprehended")</f>
        <v>Fled/Apprehended</v>
      </c>
      <c r="F2414" s="8" t="str">
        <f ca="1">IFERROR(__xludf.DUMMYFUNCTION("""COMPUTED_VALUE"""),"No")</f>
        <v>No</v>
      </c>
      <c r="G2414" s="8" t="str">
        <f ca="1">IFERROR(__xludf.DUMMYFUNCTION("""COMPUTED_VALUE"""),"None")</f>
        <v>None</v>
      </c>
    </row>
    <row r="2415" spans="1:7" ht="12.75">
      <c r="A2415" s="8" t="str">
        <f ca="1">IFERROR(__xludf.DUMMYFUNCTION("""COMPUTED_VALUE"""),"19700415ARPIP")</f>
        <v>19700415ARPIP</v>
      </c>
      <c r="B2415" s="8" t="str">
        <f ca="1">IFERROR(__xludf.DUMMYFUNCTION("""COMPUTED_VALUE"""),"Teen")</f>
        <v>Teen</v>
      </c>
      <c r="C2415" s="8" t="str">
        <f ca="1">IFERROR(__xludf.DUMMYFUNCTION("""COMPUTED_VALUE"""),"Male")</f>
        <v>Male</v>
      </c>
      <c r="D2415" s="8" t="str">
        <f ca="1">IFERROR(__xludf.DUMMYFUNCTION("""COMPUTED_VALUE"""),"No Relation")</f>
        <v>No Relation</v>
      </c>
      <c r="E2415" s="8" t="str">
        <f ca="1">IFERROR(__xludf.DUMMYFUNCTION("""COMPUTED_VALUE"""),"Fled/Apprehended")</f>
        <v>Fled/Apprehended</v>
      </c>
      <c r="F2415" s="8" t="str">
        <f ca="1">IFERROR(__xludf.DUMMYFUNCTION("""COMPUTED_VALUE"""),"No")</f>
        <v>No</v>
      </c>
      <c r="G2415" s="8" t="str">
        <f ca="1">IFERROR(__xludf.DUMMYFUNCTION("""COMPUTED_VALUE"""),"None")</f>
        <v>None</v>
      </c>
    </row>
    <row r="2416" spans="1:7" ht="12.75">
      <c r="A2416" s="8" t="str">
        <f ca="1">IFERROR(__xludf.DUMMYFUNCTION("""COMPUTED_VALUE"""),"19700415ARPIP")</f>
        <v>19700415ARPIP</v>
      </c>
      <c r="B2416" s="8" t="str">
        <f ca="1">IFERROR(__xludf.DUMMYFUNCTION("""COMPUTED_VALUE"""),"Adult")</f>
        <v>Adult</v>
      </c>
      <c r="C2416" s="8" t="str">
        <f ca="1">IFERROR(__xludf.DUMMYFUNCTION("""COMPUTED_VALUE"""),"Male")</f>
        <v>Male</v>
      </c>
      <c r="D2416" s="8" t="str">
        <f ca="1">IFERROR(__xludf.DUMMYFUNCTION("""COMPUTED_VALUE"""),"No Relation")</f>
        <v>No Relation</v>
      </c>
      <c r="E2416" s="8" t="str">
        <f ca="1">IFERROR(__xludf.DUMMYFUNCTION("""COMPUTED_VALUE"""),"Fled/Apprehended")</f>
        <v>Fled/Apprehended</v>
      </c>
      <c r="F2416" s="8" t="str">
        <f ca="1">IFERROR(__xludf.DUMMYFUNCTION("""COMPUTED_VALUE"""),"No")</f>
        <v>No</v>
      </c>
      <c r="G2416" s="8" t="str">
        <f ca="1">IFERROR(__xludf.DUMMYFUNCTION("""COMPUTED_VALUE"""),"None")</f>
        <v>None</v>
      </c>
    </row>
    <row r="2417" spans="1:7" ht="12.75">
      <c r="A2417" s="8" t="str">
        <f ca="1">IFERROR(__xludf.DUMMYFUNCTION("""COMPUTED_VALUE"""),"19700415ARPIP")</f>
        <v>19700415ARPIP</v>
      </c>
      <c r="B2417" s="8" t="str">
        <f ca="1">IFERROR(__xludf.DUMMYFUNCTION("""COMPUTED_VALUE"""),"Adult")</f>
        <v>Adult</v>
      </c>
      <c r="C2417" s="8" t="str">
        <f ca="1">IFERROR(__xludf.DUMMYFUNCTION("""COMPUTED_VALUE"""),"Male")</f>
        <v>Male</v>
      </c>
      <c r="D2417" s="8" t="str">
        <f ca="1">IFERROR(__xludf.DUMMYFUNCTION("""COMPUTED_VALUE"""),"No Relation")</f>
        <v>No Relation</v>
      </c>
      <c r="E2417" s="8" t="str">
        <f ca="1">IFERROR(__xludf.DUMMYFUNCTION("""COMPUTED_VALUE"""),"Fled/Apprehended")</f>
        <v>Fled/Apprehended</v>
      </c>
      <c r="F2417" s="8" t="str">
        <f ca="1">IFERROR(__xludf.DUMMYFUNCTION("""COMPUTED_VALUE"""),"No")</f>
        <v>No</v>
      </c>
      <c r="G2417" s="8" t="str">
        <f ca="1">IFERROR(__xludf.DUMMYFUNCTION("""COMPUTED_VALUE"""),"None")</f>
        <v>None</v>
      </c>
    </row>
    <row r="2418" spans="1:7" ht="12.75">
      <c r="A2418" s="8" t="str">
        <f ca="1">IFERROR(__xludf.DUMMYFUNCTION("""COMPUTED_VALUE"""),"19700415ARPIP")</f>
        <v>19700415ARPIP</v>
      </c>
      <c r="B2418" s="8" t="str">
        <f ca="1">IFERROR(__xludf.DUMMYFUNCTION("""COMPUTED_VALUE"""),"Adult")</f>
        <v>Adult</v>
      </c>
      <c r="C2418" s="8" t="str">
        <f ca="1">IFERROR(__xludf.DUMMYFUNCTION("""COMPUTED_VALUE"""),"Male")</f>
        <v>Male</v>
      </c>
      <c r="D2418" s="8" t="str">
        <f ca="1">IFERROR(__xludf.DUMMYFUNCTION("""COMPUTED_VALUE"""),"No Relation")</f>
        <v>No Relation</v>
      </c>
      <c r="E2418" s="8" t="str">
        <f ca="1">IFERROR(__xludf.DUMMYFUNCTION("""COMPUTED_VALUE"""),"Fled/Apprehended")</f>
        <v>Fled/Apprehended</v>
      </c>
      <c r="F2418" s="8" t="str">
        <f ca="1">IFERROR(__xludf.DUMMYFUNCTION("""COMPUTED_VALUE"""),"No")</f>
        <v>No</v>
      </c>
      <c r="G2418" s="8" t="str">
        <f ca="1">IFERROR(__xludf.DUMMYFUNCTION("""COMPUTED_VALUE"""),"None")</f>
        <v>None</v>
      </c>
    </row>
    <row r="2419" spans="1:7" ht="12.75">
      <c r="A2419" s="8" t="str">
        <f ca="1">IFERROR(__xludf.DUMMYFUNCTION("""COMPUTED_VALUE"""),"19700415ARPIP")</f>
        <v>19700415ARPIP</v>
      </c>
      <c r="B2419" s="8" t="str">
        <f ca="1">IFERROR(__xludf.DUMMYFUNCTION("""COMPUTED_VALUE"""),"Adult")</f>
        <v>Adult</v>
      </c>
      <c r="C2419" s="8" t="str">
        <f ca="1">IFERROR(__xludf.DUMMYFUNCTION("""COMPUTED_VALUE"""),"Male")</f>
        <v>Male</v>
      </c>
      <c r="D2419" s="8" t="str">
        <f ca="1">IFERROR(__xludf.DUMMYFUNCTION("""COMPUTED_VALUE"""),"No Relation")</f>
        <v>No Relation</v>
      </c>
      <c r="E2419" s="8" t="str">
        <f ca="1">IFERROR(__xludf.DUMMYFUNCTION("""COMPUTED_VALUE"""),"Fled/Apprehended")</f>
        <v>Fled/Apprehended</v>
      </c>
      <c r="F2419" s="8" t="str">
        <f ca="1">IFERROR(__xludf.DUMMYFUNCTION("""COMPUTED_VALUE"""),"No")</f>
        <v>No</v>
      </c>
      <c r="G2419" s="8" t="str">
        <f ca="1">IFERROR(__xludf.DUMMYFUNCTION("""COMPUTED_VALUE"""),"None")</f>
        <v>None</v>
      </c>
    </row>
    <row r="2420" spans="1:7" ht="12.75">
      <c r="A2420" s="8" t="str">
        <f ca="1">IFERROR(__xludf.DUMMYFUNCTION("""COMPUTED_VALUE"""),"19700415ARPIP")</f>
        <v>19700415ARPIP</v>
      </c>
      <c r="B2420" s="8" t="str">
        <f ca="1">IFERROR(__xludf.DUMMYFUNCTION("""COMPUTED_VALUE"""),"Adult")</f>
        <v>Adult</v>
      </c>
      <c r="C2420" s="8" t="str">
        <f ca="1">IFERROR(__xludf.DUMMYFUNCTION("""COMPUTED_VALUE"""),"Male")</f>
        <v>Male</v>
      </c>
      <c r="D2420" s="8" t="str">
        <f ca="1">IFERROR(__xludf.DUMMYFUNCTION("""COMPUTED_VALUE"""),"No Relation")</f>
        <v>No Relation</v>
      </c>
      <c r="E2420" s="8" t="str">
        <f ca="1">IFERROR(__xludf.DUMMYFUNCTION("""COMPUTED_VALUE"""),"Fled/Apprehended")</f>
        <v>Fled/Apprehended</v>
      </c>
      <c r="F2420" s="8" t="str">
        <f ca="1">IFERROR(__xludf.DUMMYFUNCTION("""COMPUTED_VALUE"""),"No")</f>
        <v>No</v>
      </c>
      <c r="G2420" s="8" t="str">
        <f ca="1">IFERROR(__xludf.DUMMYFUNCTION("""COMPUTED_VALUE"""),"None")</f>
        <v>None</v>
      </c>
    </row>
    <row r="2421" spans="1:7" ht="12.75">
      <c r="A2421" s="8" t="str">
        <f ca="1">IFERROR(__xludf.DUMMYFUNCTION("""COMPUTED_VALUE"""),"19700415ARPIP")</f>
        <v>19700415ARPIP</v>
      </c>
      <c r="B2421" s="8" t="str">
        <f ca="1">IFERROR(__xludf.DUMMYFUNCTION("""COMPUTED_VALUE"""),"Adult")</f>
        <v>Adult</v>
      </c>
      <c r="C2421" s="8" t="str">
        <f ca="1">IFERROR(__xludf.DUMMYFUNCTION("""COMPUTED_VALUE"""),"Male")</f>
        <v>Male</v>
      </c>
      <c r="D2421" s="8" t="str">
        <f ca="1">IFERROR(__xludf.DUMMYFUNCTION("""COMPUTED_VALUE"""),"No Relation")</f>
        <v>No Relation</v>
      </c>
      <c r="E2421" s="8" t="str">
        <f ca="1">IFERROR(__xludf.DUMMYFUNCTION("""COMPUTED_VALUE"""),"Fled/Apprehended")</f>
        <v>Fled/Apprehended</v>
      </c>
      <c r="F2421" s="8" t="str">
        <f ca="1">IFERROR(__xludf.DUMMYFUNCTION("""COMPUTED_VALUE"""),"No")</f>
        <v>No</v>
      </c>
      <c r="G2421" s="8" t="str">
        <f ca="1">IFERROR(__xludf.DUMMYFUNCTION("""COMPUTED_VALUE"""),"None")</f>
        <v>None</v>
      </c>
    </row>
    <row r="2422" spans="1:7" ht="12.75">
      <c r="A2422" s="8" t="str">
        <f ca="1">IFERROR(__xludf.DUMMYFUNCTION("""COMPUTED_VALUE"""),"19700323CADAL")</f>
        <v>19700323CADAL</v>
      </c>
      <c r="B2422" s="8">
        <f ca="1">IFERROR(__xludf.DUMMYFUNCTION("""COMPUTED_VALUE"""),16)</f>
        <v>16</v>
      </c>
      <c r="C2422" s="8" t="str">
        <f ca="1">IFERROR(__xludf.DUMMYFUNCTION("""COMPUTED_VALUE"""),"Male")</f>
        <v>Male</v>
      </c>
      <c r="D2422" s="8" t="str">
        <f ca="1">IFERROR(__xludf.DUMMYFUNCTION("""COMPUTED_VALUE"""),"Student")</f>
        <v>Student</v>
      </c>
      <c r="E2422" s="8" t="str">
        <f ca="1">IFERROR(__xludf.DUMMYFUNCTION("""COMPUTED_VALUE"""),"Surrendered")</f>
        <v>Surrendered</v>
      </c>
      <c r="F2422" s="8" t="str">
        <f ca="1">IFERROR(__xludf.DUMMYFUNCTION("""COMPUTED_VALUE"""),"No")</f>
        <v>No</v>
      </c>
      <c r="G2422" s="8" t="str">
        <f ca="1">IFERROR(__xludf.DUMMYFUNCTION("""COMPUTED_VALUE"""),"None")</f>
        <v>None</v>
      </c>
    </row>
    <row r="2423" spans="1:7" ht="12.75">
      <c r="A2423" s="8" t="str">
        <f ca="1">IFERROR(__xludf.DUMMYFUNCTION("""COMPUTED_VALUE"""),"19700323CADAL")</f>
        <v>19700323CADAL</v>
      </c>
      <c r="B2423" s="8">
        <f ca="1">IFERROR(__xludf.DUMMYFUNCTION("""COMPUTED_VALUE"""),44)</f>
        <v>44</v>
      </c>
      <c r="C2423" s="8" t="str">
        <f ca="1">IFERROR(__xludf.DUMMYFUNCTION("""COMPUTED_VALUE"""),"Male")</f>
        <v>Male</v>
      </c>
      <c r="D2423" s="8" t="str">
        <f ca="1">IFERROR(__xludf.DUMMYFUNCTION("""COMPUTED_VALUE"""),"Police Officer/SRO")</f>
        <v>Police Officer/SRO</v>
      </c>
      <c r="E2423" s="8" t="str">
        <f ca="1">IFERROR(__xludf.DUMMYFUNCTION("""COMPUTED_VALUE"""),"Surrendered")</f>
        <v>Surrendered</v>
      </c>
      <c r="F2423" s="8" t="str">
        <f ca="1">IFERROR(__xludf.DUMMYFUNCTION("""COMPUTED_VALUE"""),"No")</f>
        <v>No</v>
      </c>
      <c r="G2423" s="8" t="str">
        <f ca="1">IFERROR(__xludf.DUMMYFUNCTION("""COMPUTED_VALUE"""),"None")</f>
        <v>None</v>
      </c>
    </row>
    <row r="2424" spans="1:7" ht="12.75">
      <c r="A2424" s="8" t="str">
        <f ca="1">IFERROR(__xludf.DUMMYFUNCTION("""COMPUTED_VALUE"""),"19700206OHJOC")</f>
        <v>19700206OHJOC</v>
      </c>
      <c r="B2424" s="8">
        <f ca="1">IFERROR(__xludf.DUMMYFUNCTION("""COMPUTED_VALUE"""),18)</f>
        <v>18</v>
      </c>
      <c r="C2424" s="8" t="str">
        <f ca="1">IFERROR(__xludf.DUMMYFUNCTION("""COMPUTED_VALUE"""),"Male")</f>
        <v>Male</v>
      </c>
      <c r="D2424" s="8" t="str">
        <f ca="1">IFERROR(__xludf.DUMMYFUNCTION("""COMPUTED_VALUE"""),"Student")</f>
        <v>Student</v>
      </c>
      <c r="E2424" s="8" t="str">
        <f ca="1">IFERROR(__xludf.DUMMYFUNCTION("""COMPUTED_VALUE"""),"Unknown")</f>
        <v>Unknown</v>
      </c>
      <c r="F2424" s="8" t="str">
        <f ca="1">IFERROR(__xludf.DUMMYFUNCTION("""COMPUTED_VALUE"""),"No")</f>
        <v>No</v>
      </c>
      <c r="G2424" s="8" t="str">
        <f ca="1">IFERROR(__xludf.DUMMYFUNCTION("""COMPUTED_VALUE"""),"None")</f>
        <v>None</v>
      </c>
    </row>
    <row r="2425" spans="1:7" ht="12.75">
      <c r="A2425" s="8" t="str">
        <f ca="1">IFERROR(__xludf.DUMMYFUNCTION("""COMPUTED_VALUE"""),"19700105DCUNW")</f>
        <v>19700105DCUNW</v>
      </c>
      <c r="B2425" s="8"/>
      <c r="C2425" s="8" t="str">
        <f ca="1">IFERROR(__xludf.DUMMYFUNCTION("""COMPUTED_VALUE"""),"Male")</f>
        <v>Male</v>
      </c>
      <c r="D2425" s="8" t="str">
        <f ca="1">IFERROR(__xludf.DUMMYFUNCTION("""COMPUTED_VALUE"""),"Student")</f>
        <v>Student</v>
      </c>
      <c r="E2425" s="8" t="str">
        <f ca="1">IFERROR(__xludf.DUMMYFUNCTION("""COMPUTED_VALUE"""),"Fled/Escaped")</f>
        <v>Fled/Escaped</v>
      </c>
      <c r="F2425" s="8" t="str">
        <f ca="1">IFERROR(__xludf.DUMMYFUNCTION("""COMPUTED_VALUE"""),"No")</f>
        <v>No</v>
      </c>
      <c r="G2425" s="8" t="str">
        <f ca="1">IFERROR(__xludf.DUMMYFUNCTION("""COMPUTED_VALUE"""),"None")</f>
        <v>None</v>
      </c>
    </row>
    <row r="2426" spans="1:7" ht="12.75">
      <c r="A2426" s="8" t="str">
        <f ca="1">IFERROR(__xludf.DUMMYFUNCTION("""COMPUTED_VALUE"""),"19700105DCSOW")</f>
        <v>19700105DCSOW</v>
      </c>
      <c r="B2426" s="8"/>
      <c r="C2426" s="8" t="str">
        <f ca="1">IFERROR(__xludf.DUMMYFUNCTION("""COMPUTED_VALUE"""),"Male")</f>
        <v>Male</v>
      </c>
      <c r="D2426" s="8" t="str">
        <f ca="1">IFERROR(__xludf.DUMMYFUNCTION("""COMPUTED_VALUE"""),"Student")</f>
        <v>Student</v>
      </c>
      <c r="E2426" s="8" t="str">
        <f ca="1">IFERROR(__xludf.DUMMYFUNCTION("""COMPUTED_VALUE"""),"Surrendered")</f>
        <v>Surrendered</v>
      </c>
      <c r="F2426" s="8" t="str">
        <f ca="1">IFERROR(__xludf.DUMMYFUNCTION("""COMPUTED_VALUE"""),"No")</f>
        <v>No</v>
      </c>
      <c r="G2426" s="8" t="str">
        <f ca="1">IFERROR(__xludf.DUMMYFUNCTION("""COMPUTED_VALUE"""),"None")</f>
        <v>None</v>
      </c>
    </row>
    <row r="2427" spans="1:7" ht="12.75">
      <c r="A2427" s="8" t="str">
        <f ca="1">IFERROR(__xludf.DUMMYFUNCTION("""COMPUTED_VALUE"""),"19700105DCHIW")</f>
        <v>19700105DCHIW</v>
      </c>
      <c r="B2427" s="8">
        <f ca="1">IFERROR(__xludf.DUMMYFUNCTION("""COMPUTED_VALUE"""),15)</f>
        <v>15</v>
      </c>
      <c r="C2427" s="8" t="str">
        <f ca="1">IFERROR(__xludf.DUMMYFUNCTION("""COMPUTED_VALUE"""),"Male")</f>
        <v>Male</v>
      </c>
      <c r="D2427" s="8" t="str">
        <f ca="1">IFERROR(__xludf.DUMMYFUNCTION("""COMPUTED_VALUE"""),"Student")</f>
        <v>Student</v>
      </c>
      <c r="E2427" s="8" t="str">
        <f ca="1">IFERROR(__xludf.DUMMYFUNCTION("""COMPUTED_VALUE"""),"Unknown")</f>
        <v>Unknown</v>
      </c>
      <c r="F2427" s="8" t="str">
        <f ca="1">IFERROR(__xludf.DUMMYFUNCTION("""COMPUTED_VALUE"""),"No")</f>
        <v>No</v>
      </c>
      <c r="G2427" s="8" t="str">
        <f ca="1">IFERROR(__xludf.DUMMYFUNCTION("""COMPUTED_VALUE"""),"None")</f>
        <v>None</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E7594-22CF-DF43-A088-E9819F12F63E}">
  <sheetPr>
    <outlinePr summaryBelow="0" summaryRight="0"/>
  </sheetPr>
  <dimension ref="A1:F2500"/>
  <sheetViews>
    <sheetView tabSelected="1" workbookViewId="0">
      <selection activeCell="I11" sqref="I11"/>
    </sheetView>
  </sheetViews>
  <sheetFormatPr defaultColWidth="12.42578125" defaultRowHeight="15.75" customHeight="1"/>
  <cols>
    <col min="1" max="1" width="12.42578125" style="4"/>
    <col min="2" max="2" width="27" style="4" customWidth="1"/>
    <col min="3" max="16384" width="12.42578125" style="4"/>
  </cols>
  <sheetData>
    <row r="1" spans="1:6" ht="15.75" customHeight="1">
      <c r="A1" s="4" t="s">
        <v>31443</v>
      </c>
      <c r="B1" s="9" t="str">
        <f ca="1">IFERROR(__xludf.DUMMYFUNCTION("IMPORTRANGE(""https://docs.google.com/spreadsheets/d/13by1rx0kMN24Sm2nKqqR6GsRtIyhgOO8U6IyuCHwhEU/edit#gid=1519919770"", ""Victim!A1:F2500"")"),"Incident_ID")</f>
        <v>Incident_ID</v>
      </c>
      <c r="C1" s="8" t="str">
        <f ca="1">IFERROR(__xludf.DUMMYFUNCTION("""COMPUTED_VALUE"""),"Injury")</f>
        <v>Injury</v>
      </c>
      <c r="D1" s="8" t="str">
        <f ca="1">IFERROR(__xludf.DUMMYFUNCTION("""COMPUTED_VALUE"""),"Gender")</f>
        <v>Gender</v>
      </c>
      <c r="E1" s="8" t="str">
        <f ca="1">IFERROR(__xludf.DUMMYFUNCTION("""COMPUTED_VALUE"""),"School_Affiliation")</f>
        <v>School_Affiliation</v>
      </c>
      <c r="F1" s="8" t="str">
        <f ca="1">IFERROR(__xludf.DUMMYFUNCTION("""COMPUTED_VALUE"""),"Age")</f>
        <v>Age</v>
      </c>
    </row>
    <row r="2" spans="1:6" ht="12.75">
      <c r="A2" s="4">
        <v>1</v>
      </c>
      <c r="B2" s="8" t="str">
        <f ca="1">IFERROR(__xludf.DUMMYFUNCTION("""COMPUTED_VALUE"""),"20221029TXAVA")</f>
        <v>20221029TXAVA</v>
      </c>
      <c r="C2" s="8" t="str">
        <f ca="1">IFERROR(__xludf.DUMMYFUNCTION("""COMPUTED_VALUE"""),"Wounded")</f>
        <v>Wounded</v>
      </c>
      <c r="D2" s="8" t="str">
        <f ca="1">IFERROR(__xludf.DUMMYFUNCTION("""COMPUTED_VALUE"""),"Male")</f>
        <v>Male</v>
      </c>
      <c r="E2" s="8" t="str">
        <f ca="1">IFERROR(__xludf.DUMMYFUNCTION("""COMPUTED_VALUE"""),"No Relation")</f>
        <v>No Relation</v>
      </c>
      <c r="F2" s="8"/>
    </row>
    <row r="3" spans="1:6" ht="12.75">
      <c r="A3" s="4">
        <v>2</v>
      </c>
      <c r="B3" s="8" t="str">
        <f ca="1">IFERROR(__xludf.DUMMYFUNCTION("""COMPUTED_VALUE"""),"20221028TXROR")</f>
        <v>20221028TXROR</v>
      </c>
      <c r="C3" s="8" t="str">
        <f ca="1">IFERROR(__xludf.DUMMYFUNCTION("""COMPUTED_VALUE"""),"Minor Injuries")</f>
        <v>Minor Injuries</v>
      </c>
      <c r="D3" s="8" t="str">
        <f ca="1">IFERROR(__xludf.DUMMYFUNCTION("""COMPUTED_VALUE"""),"Male")</f>
        <v>Male</v>
      </c>
      <c r="E3" s="8" t="str">
        <f ca="1">IFERROR(__xludf.DUMMYFUNCTION("""COMPUTED_VALUE"""),"Student")</f>
        <v>Student</v>
      </c>
      <c r="F3" s="8" t="str">
        <f ca="1">IFERROR(__xludf.DUMMYFUNCTION("""COMPUTED_VALUE"""),"Teen")</f>
        <v>Teen</v>
      </c>
    </row>
    <row r="4" spans="1:6" ht="12.75">
      <c r="A4" s="4">
        <v>3</v>
      </c>
      <c r="B4" s="8" t="str">
        <f ca="1">IFERROR(__xludf.DUMMYFUNCTION("""COMPUTED_VALUE"""),"20221026ILMIW")</f>
        <v>20221026ILMIW</v>
      </c>
      <c r="C4" s="8" t="str">
        <f ca="1">IFERROR(__xludf.DUMMYFUNCTION("""COMPUTED_VALUE"""),"Wounded")</f>
        <v>Wounded</v>
      </c>
      <c r="D4" s="8" t="str">
        <f ca="1">IFERROR(__xludf.DUMMYFUNCTION("""COMPUTED_VALUE"""),"Male")</f>
        <v>Male</v>
      </c>
      <c r="E4" s="8" t="str">
        <f ca="1">IFERROR(__xludf.DUMMYFUNCTION("""COMPUTED_VALUE"""),"No Relation")</f>
        <v>No Relation</v>
      </c>
      <c r="F4" s="8">
        <f ca="1">IFERROR(__xludf.DUMMYFUNCTION("""COMPUTED_VALUE"""),16)</f>
        <v>16</v>
      </c>
    </row>
    <row r="5" spans="1:6" ht="12.75">
      <c r="A5" s="4">
        <v>4</v>
      </c>
      <c r="B5" s="8" t="str">
        <f ca="1">IFERROR(__xludf.DUMMYFUNCTION("""COMPUTED_VALUE"""),"20221025NYTOS")</f>
        <v>20221025NYTOS</v>
      </c>
      <c r="C5" s="8" t="str">
        <f ca="1">IFERROR(__xludf.DUMMYFUNCTION("""COMPUTED_VALUE"""),"Wounded")</f>
        <v>Wounded</v>
      </c>
      <c r="D5" s="8" t="str">
        <f ca="1">IFERROR(__xludf.DUMMYFUNCTION("""COMPUTED_VALUE"""),"Male")</f>
        <v>Male</v>
      </c>
      <c r="E5" s="8" t="str">
        <f ca="1">IFERROR(__xludf.DUMMYFUNCTION("""COMPUTED_VALUE"""),"Student")</f>
        <v>Student</v>
      </c>
      <c r="F5" s="8" t="str">
        <f ca="1">IFERROR(__xludf.DUMMYFUNCTION("""COMPUTED_VALUE"""),"Teen")</f>
        <v>Teen</v>
      </c>
    </row>
    <row r="6" spans="1:6" ht="12.75">
      <c r="A6" s="4">
        <v>5</v>
      </c>
      <c r="B6" s="8" t="str">
        <f ca="1">IFERROR(__xludf.DUMMYFUNCTION("""COMPUTED_VALUE"""),"20221024MOCES")</f>
        <v>20221024MOCES</v>
      </c>
      <c r="C6" s="8" t="str">
        <f ca="1">IFERROR(__xludf.DUMMYFUNCTION("""COMPUTED_VALUE"""),"Fatal")</f>
        <v>Fatal</v>
      </c>
      <c r="D6" s="8" t="str">
        <f ca="1">IFERROR(__xludf.DUMMYFUNCTION("""COMPUTED_VALUE"""),"Female")</f>
        <v>Female</v>
      </c>
      <c r="E6" s="8" t="str">
        <f ca="1">IFERROR(__xludf.DUMMYFUNCTION("""COMPUTED_VALUE"""),"Student")</f>
        <v>Student</v>
      </c>
      <c r="F6" s="8" t="str">
        <f ca="1">IFERROR(__xludf.DUMMYFUNCTION("""COMPUTED_VALUE"""),"Teen")</f>
        <v>Teen</v>
      </c>
    </row>
    <row r="7" spans="1:6" ht="12.75">
      <c r="A7" s="4">
        <v>6</v>
      </c>
      <c r="B7" s="8" t="str">
        <f ca="1">IFERROR(__xludf.DUMMYFUNCTION("""COMPUTED_VALUE"""),"20221024MOCES")</f>
        <v>20221024MOCES</v>
      </c>
      <c r="C7" s="8" t="str">
        <f ca="1">IFERROR(__xludf.DUMMYFUNCTION("""COMPUTED_VALUE"""),"Fatal")</f>
        <v>Fatal</v>
      </c>
      <c r="D7" s="8" t="str">
        <f ca="1">IFERROR(__xludf.DUMMYFUNCTION("""COMPUTED_VALUE"""),"Female")</f>
        <v>Female</v>
      </c>
      <c r="E7" s="8" t="str">
        <f ca="1">IFERROR(__xludf.DUMMYFUNCTION("""COMPUTED_VALUE"""),"Teacher")</f>
        <v>Teacher</v>
      </c>
      <c r="F7" s="8">
        <f ca="1">IFERROR(__xludf.DUMMYFUNCTION("""COMPUTED_VALUE"""),61)</f>
        <v>61</v>
      </c>
    </row>
    <row r="8" spans="1:6" ht="12.75">
      <c r="A8" s="4">
        <v>7</v>
      </c>
      <c r="B8" s="8" t="str">
        <f ca="1">IFERROR(__xludf.DUMMYFUNCTION("""COMPUTED_VALUE"""),"20221024MOCES")</f>
        <v>20221024MOCES</v>
      </c>
      <c r="C8" s="8" t="str">
        <f ca="1">IFERROR(__xludf.DUMMYFUNCTION("""COMPUTED_VALUE"""),"Wounded")</f>
        <v>Wounded</v>
      </c>
      <c r="D8" s="8"/>
      <c r="E8" s="8" t="str">
        <f ca="1">IFERROR(__xludf.DUMMYFUNCTION("""COMPUTED_VALUE"""),"Student")</f>
        <v>Student</v>
      </c>
      <c r="F8" s="8" t="str">
        <f ca="1">IFERROR(__xludf.DUMMYFUNCTION("""COMPUTED_VALUE"""),"Teen")</f>
        <v>Teen</v>
      </c>
    </row>
    <row r="9" spans="1:6" ht="12.75">
      <c r="A9" s="4">
        <v>8</v>
      </c>
      <c r="B9" s="8" t="str">
        <f ca="1">IFERROR(__xludf.DUMMYFUNCTION("""COMPUTED_VALUE"""),"20221024MOCES")</f>
        <v>20221024MOCES</v>
      </c>
      <c r="C9" s="8" t="str">
        <f ca="1">IFERROR(__xludf.DUMMYFUNCTION("""COMPUTED_VALUE"""),"Wounded")</f>
        <v>Wounded</v>
      </c>
      <c r="D9" s="8"/>
      <c r="E9" s="8" t="str">
        <f ca="1">IFERROR(__xludf.DUMMYFUNCTION("""COMPUTED_VALUE"""),"Student")</f>
        <v>Student</v>
      </c>
      <c r="F9" s="8" t="str">
        <f ca="1">IFERROR(__xludf.DUMMYFUNCTION("""COMPUTED_VALUE"""),"Teen")</f>
        <v>Teen</v>
      </c>
    </row>
    <row r="10" spans="1:6" ht="12.75">
      <c r="A10" s="4">
        <v>9</v>
      </c>
      <c r="B10" s="8" t="str">
        <f ca="1">IFERROR(__xludf.DUMMYFUNCTION("""COMPUTED_VALUE"""),"20221024MOCES")</f>
        <v>20221024MOCES</v>
      </c>
      <c r="C10" s="8" t="str">
        <f ca="1">IFERROR(__xludf.DUMMYFUNCTION("""COMPUTED_VALUE"""),"Wounded")</f>
        <v>Wounded</v>
      </c>
      <c r="D10" s="8"/>
      <c r="E10" s="8" t="str">
        <f ca="1">IFERROR(__xludf.DUMMYFUNCTION("""COMPUTED_VALUE"""),"Student")</f>
        <v>Student</v>
      </c>
      <c r="F10" s="8" t="str">
        <f ca="1">IFERROR(__xludf.DUMMYFUNCTION("""COMPUTED_VALUE"""),"Teen")</f>
        <v>Teen</v>
      </c>
    </row>
    <row r="11" spans="1:6" ht="12.75">
      <c r="A11" s="4">
        <v>10</v>
      </c>
      <c r="B11" s="8" t="str">
        <f ca="1">IFERROR(__xludf.DUMMYFUNCTION("""COMPUTED_VALUE"""),"20221024MOCES")</f>
        <v>20221024MOCES</v>
      </c>
      <c r="C11" s="8" t="str">
        <f ca="1">IFERROR(__xludf.DUMMYFUNCTION("""COMPUTED_VALUE"""),"Wounded")</f>
        <v>Wounded</v>
      </c>
      <c r="D11" s="8"/>
      <c r="E11" s="8" t="str">
        <f ca="1">IFERROR(__xludf.DUMMYFUNCTION("""COMPUTED_VALUE"""),"Student")</f>
        <v>Student</v>
      </c>
      <c r="F11" s="8" t="str">
        <f ca="1">IFERROR(__xludf.DUMMYFUNCTION("""COMPUTED_VALUE"""),"Teen")</f>
        <v>Teen</v>
      </c>
    </row>
    <row r="12" spans="1:6" ht="12.75">
      <c r="A12" s="4">
        <v>11</v>
      </c>
      <c r="B12" s="8" t="str">
        <f ca="1">IFERROR(__xludf.DUMMYFUNCTION("""COMPUTED_VALUE"""),"20221024MOCES")</f>
        <v>20221024MOCES</v>
      </c>
      <c r="C12" s="8" t="str">
        <f ca="1">IFERROR(__xludf.DUMMYFUNCTION("""COMPUTED_VALUE"""),"Wounded")</f>
        <v>Wounded</v>
      </c>
      <c r="D12" s="8"/>
      <c r="E12" s="8" t="str">
        <f ca="1">IFERROR(__xludf.DUMMYFUNCTION("""COMPUTED_VALUE"""),"Student")</f>
        <v>Student</v>
      </c>
      <c r="F12" s="8" t="str">
        <f ca="1">IFERROR(__xludf.DUMMYFUNCTION("""COMPUTED_VALUE"""),"Teen")</f>
        <v>Teen</v>
      </c>
    </row>
    <row r="13" spans="1:6" ht="12.75">
      <c r="A13" s="4">
        <v>12</v>
      </c>
      <c r="B13" s="8" t="str">
        <f ca="1">IFERROR(__xludf.DUMMYFUNCTION("""COMPUTED_VALUE"""),"20221024MOCES")</f>
        <v>20221024MOCES</v>
      </c>
      <c r="C13" s="8" t="str">
        <f ca="1">IFERROR(__xludf.DUMMYFUNCTION("""COMPUTED_VALUE"""),"Wounded")</f>
        <v>Wounded</v>
      </c>
      <c r="D13" s="8"/>
      <c r="E13" s="8" t="str">
        <f ca="1">IFERROR(__xludf.DUMMYFUNCTION("""COMPUTED_VALUE"""),"Student")</f>
        <v>Student</v>
      </c>
      <c r="F13" s="8" t="str">
        <f ca="1">IFERROR(__xludf.DUMMYFUNCTION("""COMPUTED_VALUE"""),"Teen")</f>
        <v>Teen</v>
      </c>
    </row>
    <row r="14" spans="1:6" ht="12.75">
      <c r="A14" s="4">
        <v>13</v>
      </c>
      <c r="B14" s="8" t="str">
        <f ca="1">IFERROR(__xludf.DUMMYFUNCTION("""COMPUTED_VALUE"""),"20221024MOCES")</f>
        <v>20221024MOCES</v>
      </c>
      <c r="C14" s="8" t="str">
        <f ca="1">IFERROR(__xludf.DUMMYFUNCTION("""COMPUTED_VALUE"""),"Wounded")</f>
        <v>Wounded</v>
      </c>
      <c r="D14" s="8"/>
      <c r="E14" s="8" t="str">
        <f ca="1">IFERROR(__xludf.DUMMYFUNCTION("""COMPUTED_VALUE"""),"Student")</f>
        <v>Student</v>
      </c>
      <c r="F14" s="8" t="str">
        <f ca="1">IFERROR(__xludf.DUMMYFUNCTION("""COMPUTED_VALUE"""),"Teen")</f>
        <v>Teen</v>
      </c>
    </row>
    <row r="15" spans="1:6" ht="12.75">
      <c r="A15" s="4">
        <v>14</v>
      </c>
      <c r="B15" s="8" t="str">
        <f ca="1">IFERROR(__xludf.DUMMYFUNCTION("""COMPUTED_VALUE"""),"20221022OHDUC")</f>
        <v>20221022OHDUC</v>
      </c>
      <c r="C15" s="8" t="str">
        <f ca="1">IFERROR(__xludf.DUMMYFUNCTION("""COMPUTED_VALUE"""),"Wounded")</f>
        <v>Wounded</v>
      </c>
      <c r="D15" s="8" t="str">
        <f ca="1">IFERROR(__xludf.DUMMYFUNCTION("""COMPUTED_VALUE"""),"Female")</f>
        <v>Female</v>
      </c>
      <c r="E15" s="8" t="str">
        <f ca="1">IFERROR(__xludf.DUMMYFUNCTION("""COMPUTED_VALUE"""),"No Relation")</f>
        <v>No Relation</v>
      </c>
      <c r="F15" s="8">
        <f ca="1">IFERROR(__xludf.DUMMYFUNCTION("""COMPUTED_VALUE"""),17)</f>
        <v>17</v>
      </c>
    </row>
    <row r="16" spans="1:6" ht="12.75">
      <c r="A16" s="4">
        <v>15</v>
      </c>
      <c r="B16" s="8" t="str">
        <f ca="1">IFERROR(__xludf.DUMMYFUNCTION("""COMPUTED_VALUE"""),"20221022ILCHC")</f>
        <v>20221022ILCHC</v>
      </c>
      <c r="C16" s="8" t="str">
        <f ca="1">IFERROR(__xludf.DUMMYFUNCTION("""COMPUTED_VALUE"""),"Fatal")</f>
        <v>Fatal</v>
      </c>
      <c r="D16" s="8" t="str">
        <f ca="1">IFERROR(__xludf.DUMMYFUNCTION("""COMPUTED_VALUE"""),"Male")</f>
        <v>Male</v>
      </c>
      <c r="E16" s="8" t="str">
        <f ca="1">IFERROR(__xludf.DUMMYFUNCTION("""COMPUTED_VALUE"""),"No Relation")</f>
        <v>No Relation</v>
      </c>
      <c r="F16" s="8">
        <f ca="1">IFERROR(__xludf.DUMMYFUNCTION("""COMPUTED_VALUE"""),16)</f>
        <v>16</v>
      </c>
    </row>
    <row r="17" spans="1:6" ht="12.75">
      <c r="A17" s="4">
        <v>16</v>
      </c>
      <c r="B17" s="8" t="str">
        <f ca="1">IFERROR(__xludf.DUMMYFUNCTION("""COMPUTED_VALUE"""),"20221022ILCHC")</f>
        <v>20221022ILCHC</v>
      </c>
      <c r="C17" s="8" t="str">
        <f ca="1">IFERROR(__xludf.DUMMYFUNCTION("""COMPUTED_VALUE"""),"Wounded")</f>
        <v>Wounded</v>
      </c>
      <c r="D17" s="8" t="str">
        <f ca="1">IFERROR(__xludf.DUMMYFUNCTION("""COMPUTED_VALUE"""),"Female")</f>
        <v>Female</v>
      </c>
      <c r="E17" s="8" t="str">
        <f ca="1">IFERROR(__xludf.DUMMYFUNCTION("""COMPUTED_VALUE"""),"No Relation")</f>
        <v>No Relation</v>
      </c>
      <c r="F17" s="8">
        <f ca="1">IFERROR(__xludf.DUMMYFUNCTION("""COMPUTED_VALUE"""),13)</f>
        <v>13</v>
      </c>
    </row>
    <row r="18" spans="1:6" ht="12.75">
      <c r="A18" s="4">
        <v>17</v>
      </c>
      <c r="B18" s="8" t="str">
        <f ca="1">IFERROR(__xludf.DUMMYFUNCTION("""COMPUTED_VALUE"""),"20221021OHSHS")</f>
        <v>20221021OHSHS</v>
      </c>
      <c r="C18" s="8" t="str">
        <f ca="1">IFERROR(__xludf.DUMMYFUNCTION("""COMPUTED_VALUE"""),"Wounded")</f>
        <v>Wounded</v>
      </c>
      <c r="D18" s="8" t="str">
        <f ca="1">IFERROR(__xludf.DUMMYFUNCTION("""COMPUTED_VALUE"""),"Male")</f>
        <v>Male</v>
      </c>
      <c r="E18" s="8" t="str">
        <f ca="1">IFERROR(__xludf.DUMMYFUNCTION("""COMPUTED_VALUE"""),"No Relation")</f>
        <v>No Relation</v>
      </c>
      <c r="F18" s="8" t="str">
        <f ca="1">IFERROR(__xludf.DUMMYFUNCTION("""COMPUTED_VALUE"""),"Adult")</f>
        <v>Adult</v>
      </c>
    </row>
    <row r="19" spans="1:6" ht="12.75">
      <c r="A19" s="4">
        <v>18</v>
      </c>
      <c r="B19" s="8" t="str">
        <f ca="1">IFERROR(__xludf.DUMMYFUNCTION("""COMPUTED_VALUE"""),"20221021CAGRS")</f>
        <v>20221021CAGRS</v>
      </c>
      <c r="C19" s="8" t="str">
        <f ca="1">IFERROR(__xludf.DUMMYFUNCTION("""COMPUTED_VALUE"""),"Fatal")</f>
        <v>Fatal</v>
      </c>
      <c r="D19" s="8" t="str">
        <f ca="1">IFERROR(__xludf.DUMMYFUNCTION("""COMPUTED_VALUE"""),"Male")</f>
        <v>Male</v>
      </c>
      <c r="E19" s="8" t="str">
        <f ca="1">IFERROR(__xludf.DUMMYFUNCTION("""COMPUTED_VALUE"""),"Nonstudent Using Athletic Facilities/Attending Game")</f>
        <v>Nonstudent Using Athletic Facilities/Attending Game</v>
      </c>
      <c r="F19" s="8">
        <f ca="1">IFERROR(__xludf.DUMMYFUNCTION("""COMPUTED_VALUE"""),24)</f>
        <v>24</v>
      </c>
    </row>
    <row r="20" spans="1:6" ht="12.75">
      <c r="A20" s="4">
        <v>19</v>
      </c>
      <c r="B20" s="8" t="str">
        <f ca="1">IFERROR(__xludf.DUMMYFUNCTION("""COMPUTED_VALUE"""),"20221020PAPAP")</f>
        <v>20221020PAPAP</v>
      </c>
      <c r="C20" s="8" t="str">
        <f ca="1">IFERROR(__xludf.DUMMYFUNCTION("""COMPUTED_VALUE"""),"Wounded")</f>
        <v>Wounded</v>
      </c>
      <c r="D20" s="8" t="str">
        <f ca="1">IFERROR(__xludf.DUMMYFUNCTION("""COMPUTED_VALUE"""),"Male")</f>
        <v>Male</v>
      </c>
      <c r="E20" s="8" t="str">
        <f ca="1">IFERROR(__xludf.DUMMYFUNCTION("""COMPUTED_VALUE"""),"No Relation")</f>
        <v>No Relation</v>
      </c>
      <c r="F20" s="8" t="str">
        <f ca="1">IFERROR(__xludf.DUMMYFUNCTION("""COMPUTED_VALUE"""),"Adult")</f>
        <v>Adult</v>
      </c>
    </row>
    <row r="21" spans="1:6" ht="12.75">
      <c r="A21" s="4">
        <v>20</v>
      </c>
      <c r="B21" s="8" t="str">
        <f ca="1">IFERROR(__xludf.DUMMYFUNCTION("""COMPUTED_VALUE"""),"20221019TNROR")</f>
        <v>20221019TNROR</v>
      </c>
      <c r="C21" s="8" t="str">
        <f ca="1">IFERROR(__xludf.DUMMYFUNCTION("""COMPUTED_VALUE"""),"Wounded")</f>
        <v>Wounded</v>
      </c>
      <c r="D21" s="8" t="str">
        <f ca="1">IFERROR(__xludf.DUMMYFUNCTION("""COMPUTED_VALUE"""),"Female")</f>
        <v>Female</v>
      </c>
      <c r="E21" s="8"/>
      <c r="F21" s="8">
        <f ca="1">IFERROR(__xludf.DUMMYFUNCTION("""COMPUTED_VALUE"""),17)</f>
        <v>17</v>
      </c>
    </row>
    <row r="22" spans="1:6" ht="12.75">
      <c r="A22" s="4">
        <v>21</v>
      </c>
      <c r="B22" s="8" t="str">
        <f ca="1">IFERROR(__xludf.DUMMYFUNCTION("""COMPUTED_VALUE"""),"20221018NVSUL")</f>
        <v>20221018NVSUL</v>
      </c>
      <c r="C22" s="8" t="str">
        <f ca="1">IFERROR(__xludf.DUMMYFUNCTION("""COMPUTED_VALUE"""),"Fatal")</f>
        <v>Fatal</v>
      </c>
      <c r="D22" s="8" t="str">
        <f ca="1">IFERROR(__xludf.DUMMYFUNCTION("""COMPUTED_VALUE"""),"Male")</f>
        <v>Male</v>
      </c>
      <c r="E22" s="8" t="str">
        <f ca="1">IFERROR(__xludf.DUMMYFUNCTION("""COMPUTED_VALUE"""),"No Relation")</f>
        <v>No Relation</v>
      </c>
      <c r="F22" s="8" t="str">
        <f ca="1">IFERROR(__xludf.DUMMYFUNCTION("""COMPUTED_VALUE"""),"Adult")</f>
        <v>Adult</v>
      </c>
    </row>
    <row r="23" spans="1:6" ht="12.75">
      <c r="A23" s="4">
        <v>22</v>
      </c>
      <c r="B23" s="8" t="str">
        <f ca="1">IFERROR(__xludf.DUMMYFUNCTION("""COMPUTED_VALUE"""),"20221018ORJEP")</f>
        <v>20221018ORJEP</v>
      </c>
      <c r="C23" s="8" t="str">
        <f ca="1">IFERROR(__xludf.DUMMYFUNCTION("""COMPUTED_VALUE"""),"Wounded")</f>
        <v>Wounded</v>
      </c>
      <c r="D23" s="8" t="str">
        <f ca="1">IFERROR(__xludf.DUMMYFUNCTION("""COMPUTED_VALUE"""),"Male")</f>
        <v>Male</v>
      </c>
      <c r="E23" s="8" t="str">
        <f ca="1">IFERROR(__xludf.DUMMYFUNCTION("""COMPUTED_VALUE"""),"Student")</f>
        <v>Student</v>
      </c>
      <c r="F23" s="8" t="str">
        <f ca="1">IFERROR(__xludf.DUMMYFUNCTION("""COMPUTED_VALUE"""),"Teen")</f>
        <v>Teen</v>
      </c>
    </row>
    <row r="24" spans="1:6" ht="12.75">
      <c r="A24" s="4">
        <v>23</v>
      </c>
      <c r="B24" s="8" t="str">
        <f ca="1">IFERROR(__xludf.DUMMYFUNCTION("""COMPUTED_VALUE"""),"20221018ORJEP")</f>
        <v>20221018ORJEP</v>
      </c>
      <c r="C24" s="8" t="str">
        <f ca="1">IFERROR(__xludf.DUMMYFUNCTION("""COMPUTED_VALUE"""),"Wounded")</f>
        <v>Wounded</v>
      </c>
      <c r="D24" s="8" t="str">
        <f ca="1">IFERROR(__xludf.DUMMYFUNCTION("""COMPUTED_VALUE"""),"Male")</f>
        <v>Male</v>
      </c>
      <c r="E24" s="8" t="str">
        <f ca="1">IFERROR(__xludf.DUMMYFUNCTION("""COMPUTED_VALUE"""),"Student")</f>
        <v>Student</v>
      </c>
      <c r="F24" s="8" t="str">
        <f ca="1">IFERROR(__xludf.DUMMYFUNCTION("""COMPUTED_VALUE"""),"Teen")</f>
        <v>Teen</v>
      </c>
    </row>
    <row r="25" spans="1:6" ht="12.75">
      <c r="A25" s="4">
        <v>24</v>
      </c>
      <c r="B25" s="8" t="str">
        <f ca="1">IFERROR(__xludf.DUMMYFUNCTION("""COMPUTED_VALUE"""),"20221016VAFAR")</f>
        <v>20221016VAFAR</v>
      </c>
      <c r="C25" s="8" t="str">
        <f ca="1">IFERROR(__xludf.DUMMYFUNCTION("""COMPUTED_VALUE"""),"Wounded")</f>
        <v>Wounded</v>
      </c>
      <c r="D25" s="8" t="str">
        <f ca="1">IFERROR(__xludf.DUMMYFUNCTION("""COMPUTED_VALUE"""),"Male")</f>
        <v>Male</v>
      </c>
      <c r="E25" s="8" t="str">
        <f ca="1">IFERROR(__xludf.DUMMYFUNCTION("""COMPUTED_VALUE"""),"No Relation")</f>
        <v>No Relation</v>
      </c>
      <c r="F25" s="8" t="str">
        <f ca="1">IFERROR(__xludf.DUMMYFUNCTION("""COMPUTED_VALUE"""),"Adult")</f>
        <v>Adult</v>
      </c>
    </row>
    <row r="26" spans="1:6" ht="12.75">
      <c r="A26" s="4">
        <v>25</v>
      </c>
      <c r="B26" s="8" t="str">
        <f ca="1">IFERROR(__xludf.DUMMYFUNCTION("""COMPUTED_VALUE"""),"20221016VAFAR")</f>
        <v>20221016VAFAR</v>
      </c>
      <c r="C26" s="8" t="str">
        <f ca="1">IFERROR(__xludf.DUMMYFUNCTION("""COMPUTED_VALUE"""),"Wounded")</f>
        <v>Wounded</v>
      </c>
      <c r="D26" s="8" t="str">
        <f ca="1">IFERROR(__xludf.DUMMYFUNCTION("""COMPUTED_VALUE"""),"Male")</f>
        <v>Male</v>
      </c>
      <c r="E26" s="8" t="str">
        <f ca="1">IFERROR(__xludf.DUMMYFUNCTION("""COMPUTED_VALUE"""),"No Relation")</f>
        <v>No Relation</v>
      </c>
      <c r="F26" s="8" t="str">
        <f ca="1">IFERROR(__xludf.DUMMYFUNCTION("""COMPUTED_VALUE"""),"Adult")</f>
        <v>Adult</v>
      </c>
    </row>
    <row r="27" spans="1:6" ht="12.75">
      <c r="A27" s="4">
        <v>26</v>
      </c>
      <c r="B27" s="8" t="str">
        <f ca="1">IFERROR(__xludf.DUMMYFUNCTION("""COMPUTED_VALUE"""),"20221016VAFAR")</f>
        <v>20221016VAFAR</v>
      </c>
      <c r="C27" s="8" t="str">
        <f ca="1">IFERROR(__xludf.DUMMYFUNCTION("""COMPUTED_VALUE"""),"Wounded")</f>
        <v>Wounded</v>
      </c>
      <c r="D27" s="8" t="str">
        <f ca="1">IFERROR(__xludf.DUMMYFUNCTION("""COMPUTED_VALUE"""),"Male")</f>
        <v>Male</v>
      </c>
      <c r="E27" s="8" t="str">
        <f ca="1">IFERROR(__xludf.DUMMYFUNCTION("""COMPUTED_VALUE"""),"No Relation")</f>
        <v>No Relation</v>
      </c>
      <c r="F27" s="8" t="str">
        <f ca="1">IFERROR(__xludf.DUMMYFUNCTION("""COMPUTED_VALUE"""),"Adult")</f>
        <v>Adult</v>
      </c>
    </row>
    <row r="28" spans="1:6" ht="12.75">
      <c r="A28" s="4">
        <v>27</v>
      </c>
      <c r="B28" s="8" t="str">
        <f ca="1">IFERROR(__xludf.DUMMYFUNCTION("""COMPUTED_VALUE"""),"20221014NCJAG")</f>
        <v>20221014NCJAG</v>
      </c>
      <c r="C28" s="8" t="str">
        <f ca="1">IFERROR(__xludf.DUMMYFUNCTION("""COMPUTED_VALUE"""),"Wounded")</f>
        <v>Wounded</v>
      </c>
      <c r="D28" s="8" t="str">
        <f ca="1">IFERROR(__xludf.DUMMYFUNCTION("""COMPUTED_VALUE"""),"Male")</f>
        <v>Male</v>
      </c>
      <c r="E28" s="8" t="str">
        <f ca="1">IFERROR(__xludf.DUMMYFUNCTION("""COMPUTED_VALUE"""),"Nonstudent Using Athletic Facilities/Attending Game")</f>
        <v>Nonstudent Using Athletic Facilities/Attending Game</v>
      </c>
      <c r="F28" s="8" t="str">
        <f ca="1">IFERROR(__xludf.DUMMYFUNCTION("""COMPUTED_VALUE"""),"Adult")</f>
        <v>Adult</v>
      </c>
    </row>
    <row r="29" spans="1:6" ht="12.75">
      <c r="A29" s="4">
        <v>28</v>
      </c>
      <c r="B29" s="8" t="str">
        <f ca="1">IFERROR(__xludf.DUMMYFUNCTION("""COMPUTED_VALUE"""),"20221014VAWER")</f>
        <v>20221014VAWER</v>
      </c>
      <c r="C29" s="8" t="str">
        <f ca="1">IFERROR(__xludf.DUMMYFUNCTION("""COMPUTED_VALUE"""),"Fatal")</f>
        <v>Fatal</v>
      </c>
      <c r="D29" s="8" t="str">
        <f ca="1">IFERROR(__xludf.DUMMYFUNCTION("""COMPUTED_VALUE"""),"Female")</f>
        <v>Female</v>
      </c>
      <c r="E29" s="8"/>
      <c r="F29" s="8" t="str">
        <f ca="1">IFERROR(__xludf.DUMMYFUNCTION("""COMPUTED_VALUE"""),"Adult")</f>
        <v>Adult</v>
      </c>
    </row>
    <row r="30" spans="1:6" ht="12.75">
      <c r="A30" s="4">
        <v>29</v>
      </c>
      <c r="B30" s="8" t="str">
        <f ca="1">IFERROR(__xludf.DUMMYFUNCTION("""COMPUTED_VALUE"""),"20221014VAWER")</f>
        <v>20221014VAWER</v>
      </c>
      <c r="C30" s="8" t="str">
        <f ca="1">IFERROR(__xludf.DUMMYFUNCTION("""COMPUTED_VALUE"""),"Wounded")</f>
        <v>Wounded</v>
      </c>
      <c r="D30" s="8" t="str">
        <f ca="1">IFERROR(__xludf.DUMMYFUNCTION("""COMPUTED_VALUE"""),"Male")</f>
        <v>Male</v>
      </c>
      <c r="E30" s="8"/>
      <c r="F30" s="8" t="str">
        <f ca="1">IFERROR(__xludf.DUMMYFUNCTION("""COMPUTED_VALUE"""),"Adult")</f>
        <v>Adult</v>
      </c>
    </row>
    <row r="31" spans="1:6" ht="12.75">
      <c r="A31" s="4">
        <v>30</v>
      </c>
      <c r="B31" s="8" t="str">
        <f ca="1">IFERROR(__xludf.DUMMYFUNCTION("""COMPUTED_VALUE"""),"20221014LABOB")</f>
        <v>20221014LABOB</v>
      </c>
      <c r="C31" s="8" t="str">
        <f ca="1">IFERROR(__xludf.DUMMYFUNCTION("""COMPUTED_VALUE"""),"Fatal")</f>
        <v>Fatal</v>
      </c>
      <c r="D31" s="8" t="str">
        <f ca="1">IFERROR(__xludf.DUMMYFUNCTION("""COMPUTED_VALUE"""),"Male")</f>
        <v>Male</v>
      </c>
      <c r="E31" s="8" t="str">
        <f ca="1">IFERROR(__xludf.DUMMYFUNCTION("""COMPUTED_VALUE"""),"Student")</f>
        <v>Student</v>
      </c>
      <c r="F31" s="8">
        <f ca="1">IFERROR(__xludf.DUMMYFUNCTION("""COMPUTED_VALUE"""),15)</f>
        <v>15</v>
      </c>
    </row>
    <row r="32" spans="1:6" ht="12.75">
      <c r="A32" s="4">
        <v>31</v>
      </c>
      <c r="B32" s="8" t="str">
        <f ca="1">IFERROR(__xludf.DUMMYFUNCTION("""COMPUTED_VALUE"""),"20221013NYSCB")</f>
        <v>20221013NYSCB</v>
      </c>
      <c r="C32" s="8" t="str">
        <f ca="1">IFERROR(__xludf.DUMMYFUNCTION("""COMPUTED_VALUE"""),"Wounded")</f>
        <v>Wounded</v>
      </c>
      <c r="D32" s="8" t="str">
        <f ca="1">IFERROR(__xludf.DUMMYFUNCTION("""COMPUTED_VALUE"""),"Male")</f>
        <v>Male</v>
      </c>
      <c r="E32" s="8" t="str">
        <f ca="1">IFERROR(__xludf.DUMMYFUNCTION("""COMPUTED_VALUE"""),"No Relation")</f>
        <v>No Relation</v>
      </c>
      <c r="F32" s="8">
        <f ca="1">IFERROR(__xludf.DUMMYFUNCTION("""COMPUTED_VALUE"""),30)</f>
        <v>30</v>
      </c>
    </row>
    <row r="33" spans="1:6" ht="12.75">
      <c r="A33" s="4">
        <v>32</v>
      </c>
      <c r="B33" s="8" t="str">
        <f ca="1">IFERROR(__xludf.DUMMYFUNCTION("""COMPUTED_VALUE"""),"20221010WIJAM")</f>
        <v>20221010WIJAM</v>
      </c>
      <c r="C33" s="8" t="str">
        <f ca="1">IFERROR(__xludf.DUMMYFUNCTION("""COMPUTED_VALUE"""),"Wounded")</f>
        <v>Wounded</v>
      </c>
      <c r="D33" s="8" t="str">
        <f ca="1">IFERROR(__xludf.DUMMYFUNCTION("""COMPUTED_VALUE"""),"Male")</f>
        <v>Male</v>
      </c>
      <c r="E33" s="8" t="str">
        <f ca="1">IFERROR(__xludf.DUMMYFUNCTION("""COMPUTED_VALUE"""),"Nonstudent")</f>
        <v>Nonstudent</v>
      </c>
      <c r="F33" s="8" t="str">
        <f ca="1">IFERROR(__xludf.DUMMYFUNCTION("""COMPUTED_VALUE"""),"Teen")</f>
        <v>Teen</v>
      </c>
    </row>
    <row r="34" spans="1:6" ht="12.75">
      <c r="A34" s="4">
        <v>33</v>
      </c>
      <c r="B34" s="8" t="str">
        <f ca="1">IFERROR(__xludf.DUMMYFUNCTION("""COMPUTED_VALUE"""),"20221009MAWAA")</f>
        <v>20221009MAWAA</v>
      </c>
      <c r="C34" s="8" t="str">
        <f ca="1">IFERROR(__xludf.DUMMYFUNCTION("""COMPUTED_VALUE"""),"Wounded")</f>
        <v>Wounded</v>
      </c>
      <c r="D34" s="8" t="str">
        <f ca="1">IFERROR(__xludf.DUMMYFUNCTION("""COMPUTED_VALUE"""),"Male")</f>
        <v>Male</v>
      </c>
      <c r="E34" s="8" t="str">
        <f ca="1">IFERROR(__xludf.DUMMYFUNCTION("""COMPUTED_VALUE"""),"No Relation")</f>
        <v>No Relation</v>
      </c>
      <c r="F34" s="8">
        <f ca="1">IFERROR(__xludf.DUMMYFUNCTION("""COMPUTED_VALUE"""),20)</f>
        <v>20</v>
      </c>
    </row>
    <row r="35" spans="1:6" ht="12.75">
      <c r="A35" s="4">
        <v>34</v>
      </c>
      <c r="B35" s="8" t="str">
        <f ca="1">IFERROR(__xludf.DUMMYFUNCTION("""COMPUTED_VALUE"""),"20221007NCJHG")</f>
        <v>20221007NCJHG</v>
      </c>
      <c r="C35" s="8" t="str">
        <f ca="1">IFERROR(__xludf.DUMMYFUNCTION("""COMPUTED_VALUE"""),"Wounded")</f>
        <v>Wounded</v>
      </c>
      <c r="D35" s="8" t="str">
        <f ca="1">IFERROR(__xludf.DUMMYFUNCTION("""COMPUTED_VALUE"""),"Male")</f>
        <v>Male</v>
      </c>
      <c r="E35" s="8" t="str">
        <f ca="1">IFERROR(__xludf.DUMMYFUNCTION("""COMPUTED_VALUE"""),"Student")</f>
        <v>Student</v>
      </c>
      <c r="F35" s="8">
        <f ca="1">IFERROR(__xludf.DUMMYFUNCTION("""COMPUTED_VALUE"""),17)</f>
        <v>17</v>
      </c>
    </row>
    <row r="36" spans="1:6" ht="12.75">
      <c r="A36" s="4">
        <v>35</v>
      </c>
      <c r="B36" s="8" t="str">
        <f ca="1">IFERROR(__xludf.DUMMYFUNCTION("""COMPUTED_VALUE"""),"20221007OHWHT")</f>
        <v>20221007OHWHT</v>
      </c>
      <c r="C36" s="8" t="str">
        <f ca="1">IFERROR(__xludf.DUMMYFUNCTION("""COMPUTED_VALUE"""),"Wounded")</f>
        <v>Wounded</v>
      </c>
      <c r="D36" s="8" t="str">
        <f ca="1">IFERROR(__xludf.DUMMYFUNCTION("""COMPUTED_VALUE"""),"Male")</f>
        <v>Male</v>
      </c>
      <c r="E36" s="8" t="str">
        <f ca="1">IFERROR(__xludf.DUMMYFUNCTION("""COMPUTED_VALUE"""),"Student")</f>
        <v>Student</v>
      </c>
      <c r="F36" s="8" t="str">
        <f ca="1">IFERROR(__xludf.DUMMYFUNCTION("""COMPUTED_VALUE"""),"Teen")</f>
        <v>Teen</v>
      </c>
    </row>
    <row r="37" spans="1:6" ht="12.75">
      <c r="A37" s="4">
        <v>36</v>
      </c>
      <c r="B37" s="8" t="str">
        <f ca="1">IFERROR(__xludf.DUMMYFUNCTION("""COMPUTED_VALUE"""),"20221007OHWHT")</f>
        <v>20221007OHWHT</v>
      </c>
      <c r="C37" s="8" t="str">
        <f ca="1">IFERROR(__xludf.DUMMYFUNCTION("""COMPUTED_VALUE"""),"Wounded")</f>
        <v>Wounded</v>
      </c>
      <c r="D37" s="8" t="str">
        <f ca="1">IFERROR(__xludf.DUMMYFUNCTION("""COMPUTED_VALUE"""),"Female")</f>
        <v>Female</v>
      </c>
      <c r="E37" s="8" t="str">
        <f ca="1">IFERROR(__xludf.DUMMYFUNCTION("""COMPUTED_VALUE"""),"Nonstudent Using Athletic Facilities/Attending Game")</f>
        <v>Nonstudent Using Athletic Facilities/Attending Game</v>
      </c>
      <c r="F37" s="8" t="str">
        <f ca="1">IFERROR(__xludf.DUMMYFUNCTION("""COMPUTED_VALUE"""),"Adult")</f>
        <v>Adult</v>
      </c>
    </row>
    <row r="38" spans="1:6" ht="12.75">
      <c r="A38" s="4">
        <v>37</v>
      </c>
      <c r="B38" s="8" t="str">
        <f ca="1">IFERROR(__xludf.DUMMYFUNCTION("""COMPUTED_VALUE"""),"20221007OHWHT")</f>
        <v>20221007OHWHT</v>
      </c>
      <c r="C38" s="8" t="str">
        <f ca="1">IFERROR(__xludf.DUMMYFUNCTION("""COMPUTED_VALUE"""),"Wounded")</f>
        <v>Wounded</v>
      </c>
      <c r="D38" s="8" t="str">
        <f ca="1">IFERROR(__xludf.DUMMYFUNCTION("""COMPUTED_VALUE"""),"Male")</f>
        <v>Male</v>
      </c>
      <c r="E38" s="8" t="str">
        <f ca="1">IFERROR(__xludf.DUMMYFUNCTION("""COMPUTED_VALUE"""),"Nonstudent Using Athletic Facilities/Attending Game")</f>
        <v>Nonstudent Using Athletic Facilities/Attending Game</v>
      </c>
      <c r="F38" s="8" t="str">
        <f ca="1">IFERROR(__xludf.DUMMYFUNCTION("""COMPUTED_VALUE"""),"Adult")</f>
        <v>Adult</v>
      </c>
    </row>
    <row r="39" spans="1:6" ht="12.75">
      <c r="A39" s="4">
        <v>38</v>
      </c>
      <c r="B39" s="8" t="str">
        <f ca="1">IFERROR(__xludf.DUMMYFUNCTION("""COMPUTED_VALUE"""),"20221004MAJB")</f>
        <v>20221004MAJB</v>
      </c>
      <c r="C39" s="8" t="str">
        <f ca="1">IFERROR(__xludf.DUMMYFUNCTION("""COMPUTED_VALUE"""),"Wounded")</f>
        <v>Wounded</v>
      </c>
      <c r="D39" s="8" t="str">
        <f ca="1">IFERROR(__xludf.DUMMYFUNCTION("""COMPUTED_VALUE"""),"Male")</f>
        <v>Male</v>
      </c>
      <c r="E39" s="8" t="str">
        <f ca="1">IFERROR(__xludf.DUMMYFUNCTION("""COMPUTED_VALUE"""),"Student")</f>
        <v>Student</v>
      </c>
      <c r="F39" s="8">
        <f ca="1">IFERROR(__xludf.DUMMYFUNCTION("""COMPUTED_VALUE"""),17)</f>
        <v>17</v>
      </c>
    </row>
    <row r="40" spans="1:6" ht="12.75">
      <c r="A40" s="4">
        <v>39</v>
      </c>
      <c r="B40" s="8" t="str">
        <f ca="1">IFERROR(__xludf.DUMMYFUNCTION("""COMPUTED_VALUE"""),"20221001CACOO")</f>
        <v>20221001CACOO</v>
      </c>
      <c r="C40" s="8" t="str">
        <f ca="1">IFERROR(__xludf.DUMMYFUNCTION("""COMPUTED_VALUE"""),"Wounded")</f>
        <v>Wounded</v>
      </c>
      <c r="D40" s="8" t="str">
        <f ca="1">IFERROR(__xludf.DUMMYFUNCTION("""COMPUTED_VALUE"""),"Male")</f>
        <v>Male</v>
      </c>
      <c r="E40" s="8" t="str">
        <f ca="1">IFERROR(__xludf.DUMMYFUNCTION("""COMPUTED_VALUE"""),"Nonstudent Using Athletic Facilities/Attending Game")</f>
        <v>Nonstudent Using Athletic Facilities/Attending Game</v>
      </c>
      <c r="F40" s="8">
        <f ca="1">IFERROR(__xludf.DUMMYFUNCTION("""COMPUTED_VALUE"""),34)</f>
        <v>34</v>
      </c>
    </row>
    <row r="41" spans="1:6" ht="12.75">
      <c r="A41" s="4">
        <v>40</v>
      </c>
      <c r="B41" s="8" t="str">
        <f ca="1">IFERROR(__xludf.DUMMYFUNCTION("""COMPUTED_VALUE"""),"20220930OKMCT")</f>
        <v>20220930OKMCT</v>
      </c>
      <c r="C41" s="8" t="str">
        <f ca="1">IFERROR(__xludf.DUMMYFUNCTION("""COMPUTED_VALUE"""),"Fatal")</f>
        <v>Fatal</v>
      </c>
      <c r="D41" s="8" t="str">
        <f ca="1">IFERROR(__xludf.DUMMYFUNCTION("""COMPUTED_VALUE"""),"Male")</f>
        <v>Male</v>
      </c>
      <c r="E41" s="8" t="str">
        <f ca="1">IFERROR(__xludf.DUMMYFUNCTION("""COMPUTED_VALUE"""),"Student")</f>
        <v>Student</v>
      </c>
      <c r="F41" s="8">
        <f ca="1">IFERROR(__xludf.DUMMYFUNCTION("""COMPUTED_VALUE"""),17)</f>
        <v>17</v>
      </c>
    </row>
    <row r="42" spans="1:6" ht="12.75">
      <c r="A42" s="4">
        <v>41</v>
      </c>
      <c r="B42" s="8" t="str">
        <f ca="1">IFERROR(__xludf.DUMMYFUNCTION("""COMPUTED_VALUE"""),"20220930OKMCT")</f>
        <v>20220930OKMCT</v>
      </c>
      <c r="C42" s="8" t="str">
        <f ca="1">IFERROR(__xludf.DUMMYFUNCTION("""COMPUTED_VALUE"""),"Wounded")</f>
        <v>Wounded</v>
      </c>
      <c r="D42" s="8" t="str">
        <f ca="1">IFERROR(__xludf.DUMMYFUNCTION("""COMPUTED_VALUE"""),"Male")</f>
        <v>Male</v>
      </c>
      <c r="E42" s="8" t="str">
        <f ca="1">IFERROR(__xludf.DUMMYFUNCTION("""COMPUTED_VALUE"""),"Student")</f>
        <v>Student</v>
      </c>
      <c r="F42" s="8">
        <f ca="1">IFERROR(__xludf.DUMMYFUNCTION("""COMPUTED_VALUE"""),17)</f>
        <v>17</v>
      </c>
    </row>
    <row r="43" spans="1:6" ht="12.75">
      <c r="A43" s="4">
        <v>42</v>
      </c>
      <c r="B43" s="8" t="str">
        <f ca="1">IFERROR(__xludf.DUMMYFUNCTION("""COMPUTED_VALUE"""),"20220930OKMCT")</f>
        <v>20220930OKMCT</v>
      </c>
      <c r="C43" s="8" t="str">
        <f ca="1">IFERROR(__xludf.DUMMYFUNCTION("""COMPUTED_VALUE"""),"Wounded")</f>
        <v>Wounded</v>
      </c>
      <c r="D43" s="8" t="str">
        <f ca="1">IFERROR(__xludf.DUMMYFUNCTION("""COMPUTED_VALUE"""),"Female")</f>
        <v>Female</v>
      </c>
      <c r="E43" s="8" t="str">
        <f ca="1">IFERROR(__xludf.DUMMYFUNCTION("""COMPUTED_VALUE"""),"Nonstudent Using Athletic Facilities/Attending Game")</f>
        <v>Nonstudent Using Athletic Facilities/Attending Game</v>
      </c>
      <c r="F43" s="8">
        <f ca="1">IFERROR(__xludf.DUMMYFUNCTION("""COMPUTED_VALUE"""),20)</f>
        <v>20</v>
      </c>
    </row>
    <row r="44" spans="1:6" ht="12.75">
      <c r="A44" s="4">
        <v>43</v>
      </c>
      <c r="B44" s="8" t="str">
        <f ca="1">IFERROR(__xludf.DUMMYFUNCTION("""COMPUTED_VALUE"""),"20220930OKMCT")</f>
        <v>20220930OKMCT</v>
      </c>
      <c r="C44" s="8" t="str">
        <f ca="1">IFERROR(__xludf.DUMMYFUNCTION("""COMPUTED_VALUE"""),"Wounded")</f>
        <v>Wounded</v>
      </c>
      <c r="D44" s="8" t="str">
        <f ca="1">IFERROR(__xludf.DUMMYFUNCTION("""COMPUTED_VALUE"""),"Female")</f>
        <v>Female</v>
      </c>
      <c r="E44" s="8" t="str">
        <f ca="1">IFERROR(__xludf.DUMMYFUNCTION("""COMPUTED_VALUE"""),"Nonstudent Using Athletic Facilities/Attending Game")</f>
        <v>Nonstudent Using Athletic Facilities/Attending Game</v>
      </c>
      <c r="F44" s="8">
        <f ca="1">IFERROR(__xludf.DUMMYFUNCTION("""COMPUTED_VALUE"""),9)</f>
        <v>9</v>
      </c>
    </row>
    <row r="45" spans="1:6" ht="12.75">
      <c r="A45" s="4">
        <v>44</v>
      </c>
      <c r="B45" s="8" t="str">
        <f ca="1">IFERROR(__xludf.DUMMYFUNCTION("""COMPUTED_VALUE"""),"20220930NYNEN")</f>
        <v>20220930NYNEN</v>
      </c>
      <c r="C45" s="8" t="str">
        <f ca="1">IFERROR(__xludf.DUMMYFUNCTION("""COMPUTED_VALUE"""),"Wounded")</f>
        <v>Wounded</v>
      </c>
      <c r="D45" s="8" t="str">
        <f ca="1">IFERROR(__xludf.DUMMYFUNCTION("""COMPUTED_VALUE"""),"Female")</f>
        <v>Female</v>
      </c>
      <c r="E45" s="8" t="str">
        <f ca="1">IFERROR(__xludf.DUMMYFUNCTION("""COMPUTED_VALUE"""),"Nonstudent Using Athletic Facilities/Attending Game")</f>
        <v>Nonstudent Using Athletic Facilities/Attending Game</v>
      </c>
      <c r="F45" s="8">
        <f ca="1">IFERROR(__xludf.DUMMYFUNCTION("""COMPUTED_VALUE"""),43)</f>
        <v>43</v>
      </c>
    </row>
    <row r="46" spans="1:6" ht="12.75">
      <c r="A46" s="4">
        <v>45</v>
      </c>
      <c r="B46" s="8" t="str">
        <f ca="1">IFERROR(__xludf.DUMMYFUNCTION("""COMPUTED_VALUE"""),"20220930NYNEN")</f>
        <v>20220930NYNEN</v>
      </c>
      <c r="C46" s="8" t="str">
        <f ca="1">IFERROR(__xludf.DUMMYFUNCTION("""COMPUTED_VALUE"""),"Wounded")</f>
        <v>Wounded</v>
      </c>
      <c r="D46" s="8" t="str">
        <f ca="1">IFERROR(__xludf.DUMMYFUNCTION("""COMPUTED_VALUE"""),"Female")</f>
        <v>Female</v>
      </c>
      <c r="E46" s="8" t="str">
        <f ca="1">IFERROR(__xludf.DUMMYFUNCTION("""COMPUTED_VALUE"""),"Student")</f>
        <v>Student</v>
      </c>
      <c r="F46" s="8">
        <f ca="1">IFERROR(__xludf.DUMMYFUNCTION("""COMPUTED_VALUE"""),17)</f>
        <v>17</v>
      </c>
    </row>
    <row r="47" spans="1:6" ht="12.75">
      <c r="A47" s="4">
        <v>46</v>
      </c>
      <c r="B47" s="8" t="str">
        <f ca="1">IFERROR(__xludf.DUMMYFUNCTION("""COMPUTED_VALUE"""),"20220930NYNEN")</f>
        <v>20220930NYNEN</v>
      </c>
      <c r="C47" s="8" t="str">
        <f ca="1">IFERROR(__xludf.DUMMYFUNCTION("""COMPUTED_VALUE"""),"Wounded")</f>
        <v>Wounded</v>
      </c>
      <c r="D47" s="8" t="str">
        <f ca="1">IFERROR(__xludf.DUMMYFUNCTION("""COMPUTED_VALUE"""),"Male")</f>
        <v>Male</v>
      </c>
      <c r="E47" s="8" t="str">
        <f ca="1">IFERROR(__xludf.DUMMYFUNCTION("""COMPUTED_VALUE"""),"Nonstudent Using Athletic Facilities/Attending Game")</f>
        <v>Nonstudent Using Athletic Facilities/Attending Game</v>
      </c>
      <c r="F47" s="8">
        <f ca="1">IFERROR(__xludf.DUMMYFUNCTION("""COMPUTED_VALUE"""),21)</f>
        <v>21</v>
      </c>
    </row>
    <row r="48" spans="1:6" ht="12.75">
      <c r="A48" s="4">
        <v>47</v>
      </c>
      <c r="B48" s="8" t="str">
        <f ca="1">IFERROR(__xludf.DUMMYFUNCTION("""COMPUTED_VALUE"""),"20220928CARUO")</f>
        <v>20220928CARUO</v>
      </c>
      <c r="C48" s="8" t="str">
        <f ca="1">IFERROR(__xludf.DUMMYFUNCTION("""COMPUTED_VALUE"""),"Wounded")</f>
        <v>Wounded</v>
      </c>
      <c r="D48" s="8"/>
      <c r="E48" s="8" t="str">
        <f ca="1">IFERROR(__xludf.DUMMYFUNCTION("""COMPUTED_VALUE"""),"Student")</f>
        <v>Student</v>
      </c>
      <c r="F48" s="8" t="str">
        <f ca="1">IFERROR(__xludf.DUMMYFUNCTION("""COMPUTED_VALUE"""),"Adult")</f>
        <v>Adult</v>
      </c>
    </row>
    <row r="49" spans="1:6" ht="12.75">
      <c r="A49" s="4">
        <v>48</v>
      </c>
      <c r="B49" s="8" t="str">
        <f ca="1">IFERROR(__xludf.DUMMYFUNCTION("""COMPUTED_VALUE"""),"20220928CARUO")</f>
        <v>20220928CARUO</v>
      </c>
      <c r="C49" s="8" t="str">
        <f ca="1">IFERROR(__xludf.DUMMYFUNCTION("""COMPUTED_VALUE"""),"Wounded")</f>
        <v>Wounded</v>
      </c>
      <c r="D49" s="8"/>
      <c r="E49" s="8" t="str">
        <f ca="1">IFERROR(__xludf.DUMMYFUNCTION("""COMPUTED_VALUE"""),"Student")</f>
        <v>Student</v>
      </c>
      <c r="F49" s="8" t="str">
        <f ca="1">IFERROR(__xludf.DUMMYFUNCTION("""COMPUTED_VALUE"""),"Adult")</f>
        <v>Adult</v>
      </c>
    </row>
    <row r="50" spans="1:6" ht="12.75">
      <c r="A50" s="4">
        <v>49</v>
      </c>
      <c r="B50" s="8" t="str">
        <f ca="1">IFERROR(__xludf.DUMMYFUNCTION("""COMPUTED_VALUE"""),"20220928CARUO")</f>
        <v>20220928CARUO</v>
      </c>
      <c r="C50" s="8" t="str">
        <f ca="1">IFERROR(__xludf.DUMMYFUNCTION("""COMPUTED_VALUE"""),"Wounded")</f>
        <v>Wounded</v>
      </c>
      <c r="D50" s="8"/>
      <c r="E50" s="8" t="str">
        <f ca="1">IFERROR(__xludf.DUMMYFUNCTION("""COMPUTED_VALUE"""),"Teacher")</f>
        <v>Teacher</v>
      </c>
      <c r="F50" s="8" t="str">
        <f ca="1">IFERROR(__xludf.DUMMYFUNCTION("""COMPUTED_VALUE"""),"Adult")</f>
        <v>Adult</v>
      </c>
    </row>
    <row r="51" spans="1:6" ht="12.75">
      <c r="A51" s="4">
        <v>50</v>
      </c>
      <c r="B51" s="8" t="str">
        <f ca="1">IFERROR(__xludf.DUMMYFUNCTION("""COMPUTED_VALUE"""),"20220928CARUO")</f>
        <v>20220928CARUO</v>
      </c>
      <c r="C51" s="8" t="str">
        <f ca="1">IFERROR(__xludf.DUMMYFUNCTION("""COMPUTED_VALUE"""),"Wounded")</f>
        <v>Wounded</v>
      </c>
      <c r="D51" s="8"/>
      <c r="E51" s="8" t="str">
        <f ca="1">IFERROR(__xludf.DUMMYFUNCTION("""COMPUTED_VALUE"""),"Teacher")</f>
        <v>Teacher</v>
      </c>
      <c r="F51" s="8" t="str">
        <f ca="1">IFERROR(__xludf.DUMMYFUNCTION("""COMPUTED_VALUE"""),"Adult")</f>
        <v>Adult</v>
      </c>
    </row>
    <row r="52" spans="1:6" ht="12.75">
      <c r="A52" s="4">
        <v>51</v>
      </c>
      <c r="B52" s="8" t="str">
        <f ca="1">IFERROR(__xludf.DUMMYFUNCTION("""COMPUTED_VALUE"""),"20220928CARUO")</f>
        <v>20220928CARUO</v>
      </c>
      <c r="C52" s="8" t="str">
        <f ca="1">IFERROR(__xludf.DUMMYFUNCTION("""COMPUTED_VALUE"""),"Wounded")</f>
        <v>Wounded</v>
      </c>
      <c r="D52" s="8"/>
      <c r="E52" s="8" t="str">
        <f ca="1">IFERROR(__xludf.DUMMYFUNCTION("""COMPUTED_VALUE"""),"Teacher")</f>
        <v>Teacher</v>
      </c>
      <c r="F52" s="8" t="str">
        <f ca="1">IFERROR(__xludf.DUMMYFUNCTION("""COMPUTED_VALUE"""),"Adult")</f>
        <v>Adult</v>
      </c>
    </row>
    <row r="53" spans="1:6" ht="12.75">
      <c r="A53" s="4">
        <v>52</v>
      </c>
      <c r="B53" s="8" t="str">
        <f ca="1">IFERROR(__xludf.DUMMYFUNCTION("""COMPUTED_VALUE"""),"20220928CARUO")</f>
        <v>20220928CARUO</v>
      </c>
      <c r="C53" s="8" t="str">
        <f ca="1">IFERROR(__xludf.DUMMYFUNCTION("""COMPUTED_VALUE"""),"Wounded")</f>
        <v>Wounded</v>
      </c>
      <c r="D53" s="8"/>
      <c r="E53" s="8" t="str">
        <f ca="1">IFERROR(__xludf.DUMMYFUNCTION("""COMPUTED_VALUE"""),"Teacher")</f>
        <v>Teacher</v>
      </c>
      <c r="F53" s="8" t="str">
        <f ca="1">IFERROR(__xludf.DUMMYFUNCTION("""COMPUTED_VALUE"""),"Adult")</f>
        <v>Adult</v>
      </c>
    </row>
    <row r="54" spans="1:6" ht="12.75">
      <c r="A54" s="4">
        <v>53</v>
      </c>
      <c r="B54" s="8" t="str">
        <f ca="1">IFERROR(__xludf.DUMMYFUNCTION("""COMPUTED_VALUE"""),"20220927PAROP")</f>
        <v>20220927PAROP</v>
      </c>
      <c r="C54" s="8" t="str">
        <f ca="1">IFERROR(__xludf.DUMMYFUNCTION("""COMPUTED_VALUE"""),"Fatal")</f>
        <v>Fatal</v>
      </c>
      <c r="D54" s="8" t="str">
        <f ca="1">IFERROR(__xludf.DUMMYFUNCTION("""COMPUTED_VALUE"""),"Male")</f>
        <v>Male</v>
      </c>
      <c r="E54" s="8" t="str">
        <f ca="1">IFERROR(__xludf.DUMMYFUNCTION("""COMPUTED_VALUE"""),"Student")</f>
        <v>Student</v>
      </c>
      <c r="F54" s="8">
        <f ca="1">IFERROR(__xludf.DUMMYFUNCTION("""COMPUTED_VALUE"""),14)</f>
        <v>14</v>
      </c>
    </row>
    <row r="55" spans="1:6" ht="12.75">
      <c r="A55" s="4">
        <v>54</v>
      </c>
      <c r="B55" s="8" t="str">
        <f ca="1">IFERROR(__xludf.DUMMYFUNCTION("""COMPUTED_VALUE"""),"20220927PAROP")</f>
        <v>20220927PAROP</v>
      </c>
      <c r="C55" s="8" t="str">
        <f ca="1">IFERROR(__xludf.DUMMYFUNCTION("""COMPUTED_VALUE"""),"Wounded")</f>
        <v>Wounded</v>
      </c>
      <c r="D55" s="8" t="str">
        <f ca="1">IFERROR(__xludf.DUMMYFUNCTION("""COMPUTED_VALUE"""),"Male")</f>
        <v>Male</v>
      </c>
      <c r="E55" s="8" t="str">
        <f ca="1">IFERROR(__xludf.DUMMYFUNCTION("""COMPUTED_VALUE"""),"Student")</f>
        <v>Student</v>
      </c>
      <c r="F55" s="8">
        <f ca="1">IFERROR(__xludf.DUMMYFUNCTION("""COMPUTED_VALUE"""),14)</f>
        <v>14</v>
      </c>
    </row>
    <row r="56" spans="1:6" ht="12.75">
      <c r="A56" s="4">
        <v>55</v>
      </c>
      <c r="B56" s="8" t="str">
        <f ca="1">IFERROR(__xludf.DUMMYFUNCTION("""COMPUTED_VALUE"""),"20220927PAROP")</f>
        <v>20220927PAROP</v>
      </c>
      <c r="C56" s="8" t="str">
        <f ca="1">IFERROR(__xludf.DUMMYFUNCTION("""COMPUTED_VALUE"""),"Wounded")</f>
        <v>Wounded</v>
      </c>
      <c r="D56" s="8" t="str">
        <f ca="1">IFERROR(__xludf.DUMMYFUNCTION("""COMPUTED_VALUE"""),"Male")</f>
        <v>Male</v>
      </c>
      <c r="E56" s="8" t="str">
        <f ca="1">IFERROR(__xludf.DUMMYFUNCTION("""COMPUTED_VALUE"""),"Student")</f>
        <v>Student</v>
      </c>
      <c r="F56" s="8">
        <f ca="1">IFERROR(__xludf.DUMMYFUNCTION("""COMPUTED_VALUE"""),17)</f>
        <v>17</v>
      </c>
    </row>
    <row r="57" spans="1:6" ht="12.75">
      <c r="A57" s="4">
        <v>56</v>
      </c>
      <c r="B57" s="8" t="str">
        <f ca="1">IFERROR(__xludf.DUMMYFUNCTION("""COMPUTED_VALUE"""),"20220927PAROP")</f>
        <v>20220927PAROP</v>
      </c>
      <c r="C57" s="8" t="str">
        <f ca="1">IFERROR(__xludf.DUMMYFUNCTION("""COMPUTED_VALUE"""),"Wounded")</f>
        <v>Wounded</v>
      </c>
      <c r="D57" s="8" t="str">
        <f ca="1">IFERROR(__xludf.DUMMYFUNCTION("""COMPUTED_VALUE"""),"Male")</f>
        <v>Male</v>
      </c>
      <c r="E57" s="8" t="str">
        <f ca="1">IFERROR(__xludf.DUMMYFUNCTION("""COMPUTED_VALUE"""),"Student")</f>
        <v>Student</v>
      </c>
      <c r="F57" s="8" t="str">
        <f ca="1">IFERROR(__xludf.DUMMYFUNCTION("""COMPUTED_VALUE"""),"Teen")</f>
        <v>Teen</v>
      </c>
    </row>
    <row r="58" spans="1:6" ht="12.75">
      <c r="A58" s="4">
        <v>57</v>
      </c>
      <c r="B58" s="8" t="str">
        <f ca="1">IFERROR(__xludf.DUMMYFUNCTION("""COMPUTED_VALUE"""),"20220927PAROP")</f>
        <v>20220927PAROP</v>
      </c>
      <c r="C58" s="8" t="str">
        <f ca="1">IFERROR(__xludf.DUMMYFUNCTION("""COMPUTED_VALUE"""),"Wounded")</f>
        <v>Wounded</v>
      </c>
      <c r="D58" s="8" t="str">
        <f ca="1">IFERROR(__xludf.DUMMYFUNCTION("""COMPUTED_VALUE"""),"Male")</f>
        <v>Male</v>
      </c>
      <c r="E58" s="8" t="str">
        <f ca="1">IFERROR(__xludf.DUMMYFUNCTION("""COMPUTED_VALUE"""),"Student")</f>
        <v>Student</v>
      </c>
      <c r="F58" s="8" t="str">
        <f ca="1">IFERROR(__xludf.DUMMYFUNCTION("""COMPUTED_VALUE"""),"Teen")</f>
        <v>Teen</v>
      </c>
    </row>
    <row r="59" spans="1:6" ht="12.75">
      <c r="A59" s="4">
        <v>58</v>
      </c>
      <c r="B59" s="8" t="str">
        <f ca="1">IFERROR(__xludf.DUMMYFUNCTION("""COMPUTED_VALUE"""),"20220927TXHGD")</f>
        <v>20220927TXHGD</v>
      </c>
      <c r="C59" s="8" t="str">
        <f ca="1">IFERROR(__xludf.DUMMYFUNCTION("""COMPUTED_VALUE"""),"Wounded")</f>
        <v>Wounded</v>
      </c>
      <c r="D59" s="8" t="str">
        <f ca="1">IFERROR(__xludf.DUMMYFUNCTION("""COMPUTED_VALUE"""),"Male")</f>
        <v>Male</v>
      </c>
      <c r="E59" s="8" t="str">
        <f ca="1">IFERROR(__xludf.DUMMYFUNCTION("""COMPUTED_VALUE"""),"Student")</f>
        <v>Student</v>
      </c>
      <c r="F59" s="8" t="str">
        <f ca="1">IFERROR(__xludf.DUMMYFUNCTION("""COMPUTED_VALUE"""),"Teen")</f>
        <v>Teen</v>
      </c>
    </row>
    <row r="60" spans="1:6" ht="12.75">
      <c r="A60" s="4">
        <v>59</v>
      </c>
      <c r="B60" s="8" t="str">
        <f ca="1">IFERROR(__xludf.DUMMYFUNCTION("""COMPUTED_VALUE"""),"20220926GAVAV")</f>
        <v>20220926GAVAV</v>
      </c>
      <c r="C60" s="8" t="str">
        <f ca="1">IFERROR(__xludf.DUMMYFUNCTION("""COMPUTED_VALUE"""),"Wounded")</f>
        <v>Wounded</v>
      </c>
      <c r="D60" s="8" t="str">
        <f ca="1">IFERROR(__xludf.DUMMYFUNCTION("""COMPUTED_VALUE"""),"Male")</f>
        <v>Male</v>
      </c>
      <c r="E60" s="8" t="str">
        <f ca="1">IFERROR(__xludf.DUMMYFUNCTION("""COMPUTED_VALUE"""),"Student")</f>
        <v>Student</v>
      </c>
      <c r="F60" s="8">
        <f ca="1">IFERROR(__xludf.DUMMYFUNCTION("""COMPUTED_VALUE"""),17)</f>
        <v>17</v>
      </c>
    </row>
    <row r="61" spans="1:6" ht="12.75">
      <c r="A61" s="4">
        <v>60</v>
      </c>
      <c r="B61" s="8" t="str">
        <f ca="1">IFERROR(__xludf.DUMMYFUNCTION("""COMPUTED_VALUE"""),"20220923CANOC")</f>
        <v>20220923CANOC</v>
      </c>
      <c r="C61" s="8" t="str">
        <f ca="1">IFERROR(__xludf.DUMMYFUNCTION("""COMPUTED_VALUE"""),"Wounded")</f>
        <v>Wounded</v>
      </c>
      <c r="D61" s="8" t="str">
        <f ca="1">IFERROR(__xludf.DUMMYFUNCTION("""COMPUTED_VALUE"""),"Male")</f>
        <v>Male</v>
      </c>
      <c r="E61" s="8" t="str">
        <f ca="1">IFERROR(__xludf.DUMMYFUNCTION("""COMPUTED_VALUE"""),"Nonstudent Using Athletic Facilities/Attending Game")</f>
        <v>Nonstudent Using Athletic Facilities/Attending Game</v>
      </c>
      <c r="F61" s="8"/>
    </row>
    <row r="62" spans="1:6" ht="12.75">
      <c r="A62" s="4">
        <v>61</v>
      </c>
      <c r="B62" s="8" t="str">
        <f ca="1">IFERROR(__xludf.DUMMYFUNCTION("""COMPUTED_VALUE"""),"20220923WIROM")</f>
        <v>20220923WIROM</v>
      </c>
      <c r="C62" s="8" t="str">
        <f ca="1">IFERROR(__xludf.DUMMYFUNCTION("""COMPUTED_VALUE"""),"Wounded")</f>
        <v>Wounded</v>
      </c>
      <c r="D62" s="8" t="str">
        <f ca="1">IFERROR(__xludf.DUMMYFUNCTION("""COMPUTED_VALUE"""),"Male")</f>
        <v>Male</v>
      </c>
      <c r="E62" s="8" t="str">
        <f ca="1">IFERROR(__xludf.DUMMYFUNCTION("""COMPUTED_VALUE"""),"No Relation")</f>
        <v>No Relation</v>
      </c>
      <c r="F62" s="8">
        <f ca="1">IFERROR(__xludf.DUMMYFUNCTION("""COMPUTED_VALUE"""),38)</f>
        <v>38</v>
      </c>
    </row>
    <row r="63" spans="1:6" ht="12.75">
      <c r="A63" s="4">
        <v>62</v>
      </c>
      <c r="B63" s="8" t="str">
        <f ca="1">IFERROR(__xludf.DUMMYFUNCTION("""COMPUTED_VALUE"""),"20220923DEAPM")</f>
        <v>20220923DEAPM</v>
      </c>
      <c r="C63" s="8" t="str">
        <f ca="1">IFERROR(__xludf.DUMMYFUNCTION("""COMPUTED_VALUE"""),"Wounded")</f>
        <v>Wounded</v>
      </c>
      <c r="D63" s="8" t="str">
        <f ca="1">IFERROR(__xludf.DUMMYFUNCTION("""COMPUTED_VALUE"""),"Male")</f>
        <v>Male</v>
      </c>
      <c r="E63" s="8" t="str">
        <f ca="1">IFERROR(__xludf.DUMMYFUNCTION("""COMPUTED_VALUE"""),"Student")</f>
        <v>Student</v>
      </c>
      <c r="F63" s="8">
        <f ca="1">IFERROR(__xludf.DUMMYFUNCTION("""COMPUTED_VALUE"""),16)</f>
        <v>16</v>
      </c>
    </row>
    <row r="64" spans="1:6" ht="12.75">
      <c r="A64" s="4">
        <v>63</v>
      </c>
      <c r="B64" s="8" t="str">
        <f ca="1">IFERROR(__xludf.DUMMYFUNCTION("""COMPUTED_VALUE"""),"20220923DEAPM")</f>
        <v>20220923DEAPM</v>
      </c>
      <c r="C64" s="8" t="str">
        <f ca="1">IFERROR(__xludf.DUMMYFUNCTION("""COMPUTED_VALUE"""),"Wounded")</f>
        <v>Wounded</v>
      </c>
      <c r="D64" s="8" t="str">
        <f ca="1">IFERROR(__xludf.DUMMYFUNCTION("""COMPUTED_VALUE"""),"Female")</f>
        <v>Female</v>
      </c>
      <c r="E64" s="8" t="str">
        <f ca="1">IFERROR(__xludf.DUMMYFUNCTION("""COMPUTED_VALUE"""),"Student")</f>
        <v>Student</v>
      </c>
      <c r="F64" s="8">
        <f ca="1">IFERROR(__xludf.DUMMYFUNCTION("""COMPUTED_VALUE"""),17)</f>
        <v>17</v>
      </c>
    </row>
    <row r="65" spans="1:6" ht="12.75">
      <c r="A65" s="4">
        <v>64</v>
      </c>
      <c r="B65" s="8" t="str">
        <f ca="1">IFERROR(__xludf.DUMMYFUNCTION("""COMPUTED_VALUE"""),"20220923MNRIM")</f>
        <v>20220923MNRIM</v>
      </c>
      <c r="C65" s="8" t="str">
        <f ca="1">IFERROR(__xludf.DUMMYFUNCTION("""COMPUTED_VALUE"""),"Wounded")</f>
        <v>Wounded</v>
      </c>
      <c r="D65" s="8" t="str">
        <f ca="1">IFERROR(__xludf.DUMMYFUNCTION("""COMPUTED_VALUE"""),"Male")</f>
        <v>Male</v>
      </c>
      <c r="E65" s="8" t="str">
        <f ca="1">IFERROR(__xludf.DUMMYFUNCTION("""COMPUTED_VALUE"""),"Nonstudent Using Athletic Facilities/Attending Game")</f>
        <v>Nonstudent Using Athletic Facilities/Attending Game</v>
      </c>
      <c r="F65" s="8">
        <f ca="1">IFERROR(__xludf.DUMMYFUNCTION("""COMPUTED_VALUE"""),18)</f>
        <v>18</v>
      </c>
    </row>
    <row r="66" spans="1:6" ht="12.75">
      <c r="A66" s="4">
        <v>65</v>
      </c>
      <c r="B66" s="8" t="str">
        <f ca="1">IFERROR(__xludf.DUMMYFUNCTION("""COMPUTED_VALUE"""),"20220923MNRIM")</f>
        <v>20220923MNRIM</v>
      </c>
      <c r="C66" s="8" t="str">
        <f ca="1">IFERROR(__xludf.DUMMYFUNCTION("""COMPUTED_VALUE"""),"Wounded")</f>
        <v>Wounded</v>
      </c>
      <c r="D66" s="8" t="str">
        <f ca="1">IFERROR(__xludf.DUMMYFUNCTION("""COMPUTED_VALUE"""),"Male")</f>
        <v>Male</v>
      </c>
      <c r="E66" s="8" t="str">
        <f ca="1">IFERROR(__xludf.DUMMYFUNCTION("""COMPUTED_VALUE"""),"Nonstudent Using Athletic Facilities/Attending Game")</f>
        <v>Nonstudent Using Athletic Facilities/Attending Game</v>
      </c>
      <c r="F66" s="8">
        <f ca="1">IFERROR(__xludf.DUMMYFUNCTION("""COMPUTED_VALUE"""),21)</f>
        <v>21</v>
      </c>
    </row>
    <row r="67" spans="1:6" ht="12.75">
      <c r="A67" s="4">
        <v>66</v>
      </c>
      <c r="B67" s="8" t="str">
        <f ca="1">IFERROR(__xludf.DUMMYFUNCTION("""COMPUTED_VALUE"""),"20220917GAJOA")</f>
        <v>20220917GAJOA</v>
      </c>
      <c r="C67" s="8" t="str">
        <f ca="1">IFERROR(__xludf.DUMMYFUNCTION("""COMPUTED_VALUE"""),"Wounded")</f>
        <v>Wounded</v>
      </c>
      <c r="D67" s="8" t="str">
        <f ca="1">IFERROR(__xludf.DUMMYFUNCTION("""COMPUTED_VALUE"""),"Male")</f>
        <v>Male</v>
      </c>
      <c r="E67" s="8" t="str">
        <f ca="1">IFERROR(__xludf.DUMMYFUNCTION("""COMPUTED_VALUE"""),"Nonstudent Using Athletic Facilities/Attending Game")</f>
        <v>Nonstudent Using Athletic Facilities/Attending Game</v>
      </c>
      <c r="F67" s="8"/>
    </row>
    <row r="68" spans="1:6" ht="12.75">
      <c r="A68" s="4">
        <v>67</v>
      </c>
      <c r="B68" s="8" t="str">
        <f ca="1">IFERROR(__xludf.DUMMYFUNCTION("""COMPUTED_VALUE"""),"20220917GAJOA")</f>
        <v>20220917GAJOA</v>
      </c>
      <c r="C68" s="8" t="str">
        <f ca="1">IFERROR(__xludf.DUMMYFUNCTION("""COMPUTED_VALUE"""),"Wounded")</f>
        <v>Wounded</v>
      </c>
      <c r="D68" s="8"/>
      <c r="E68" s="8" t="str">
        <f ca="1">IFERROR(__xludf.DUMMYFUNCTION("""COMPUTED_VALUE"""),"Nonstudent Using Athletic Facilities/Attending Game")</f>
        <v>Nonstudent Using Athletic Facilities/Attending Game</v>
      </c>
      <c r="F68" s="8"/>
    </row>
    <row r="69" spans="1:6" ht="12.75">
      <c r="A69" s="4">
        <v>68</v>
      </c>
      <c r="B69" s="8" t="str">
        <f ca="1">IFERROR(__xludf.DUMMYFUNCTION("""COMPUTED_VALUE"""),"20220916NYPSN")</f>
        <v>20220916NYPSN</v>
      </c>
      <c r="C69" s="8" t="str">
        <f ca="1">IFERROR(__xludf.DUMMYFUNCTION("""COMPUTED_VALUE"""),"Minor Injuries")</f>
        <v>Minor Injuries</v>
      </c>
      <c r="D69" s="8"/>
      <c r="E69" s="8" t="str">
        <f ca="1">IFERROR(__xludf.DUMMYFUNCTION("""COMPUTED_VALUE"""),"Student")</f>
        <v>Student</v>
      </c>
      <c r="F69" s="8" t="str">
        <f ca="1">IFERROR(__xludf.DUMMYFUNCTION("""COMPUTED_VALUE"""),"Child")</f>
        <v>Child</v>
      </c>
    </row>
    <row r="70" spans="1:6" ht="12.75">
      <c r="A70" s="4">
        <v>69</v>
      </c>
      <c r="B70" s="8" t="str">
        <f ca="1">IFERROR(__xludf.DUMMYFUNCTION("""COMPUTED_VALUE"""),"20220916NYPSN")</f>
        <v>20220916NYPSN</v>
      </c>
      <c r="C70" s="8" t="str">
        <f ca="1">IFERROR(__xludf.DUMMYFUNCTION("""COMPUTED_VALUE"""),"Minor Injuries")</f>
        <v>Minor Injuries</v>
      </c>
      <c r="D70" s="8"/>
      <c r="E70" s="8" t="str">
        <f ca="1">IFERROR(__xludf.DUMMYFUNCTION("""COMPUTED_VALUE"""),"Student")</f>
        <v>Student</v>
      </c>
      <c r="F70" s="8" t="str">
        <f ca="1">IFERROR(__xludf.DUMMYFUNCTION("""COMPUTED_VALUE"""),"Child")</f>
        <v>Child</v>
      </c>
    </row>
    <row r="71" spans="1:6" ht="12.75">
      <c r="A71" s="4">
        <v>70</v>
      </c>
      <c r="B71" s="8" t="str">
        <f ca="1">IFERROR(__xludf.DUMMYFUNCTION("""COMPUTED_VALUE"""),"20220916NYPSN")</f>
        <v>20220916NYPSN</v>
      </c>
      <c r="C71" s="8" t="str">
        <f ca="1">IFERROR(__xludf.DUMMYFUNCTION("""COMPUTED_VALUE"""),"Minor Injuries")</f>
        <v>Minor Injuries</v>
      </c>
      <c r="D71" s="8"/>
      <c r="E71" s="8" t="str">
        <f ca="1">IFERROR(__xludf.DUMMYFUNCTION("""COMPUTED_VALUE"""),"Student")</f>
        <v>Student</v>
      </c>
      <c r="F71" s="8" t="str">
        <f ca="1">IFERROR(__xludf.DUMMYFUNCTION("""COMPUTED_VALUE"""),"Child")</f>
        <v>Child</v>
      </c>
    </row>
    <row r="72" spans="1:6" ht="12.75">
      <c r="A72" s="4">
        <v>71</v>
      </c>
      <c r="B72" s="8" t="str">
        <f ca="1">IFERROR(__xludf.DUMMYFUNCTION("""COMPUTED_VALUE"""),"20220916NYPSN")</f>
        <v>20220916NYPSN</v>
      </c>
      <c r="C72" s="8" t="str">
        <f ca="1">IFERROR(__xludf.DUMMYFUNCTION("""COMPUTED_VALUE"""),"Minor Injuries")</f>
        <v>Minor Injuries</v>
      </c>
      <c r="D72" s="8"/>
      <c r="E72" s="8" t="str">
        <f ca="1">IFERROR(__xludf.DUMMYFUNCTION("""COMPUTED_VALUE"""),"Student")</f>
        <v>Student</v>
      </c>
      <c r="F72" s="8" t="str">
        <f ca="1">IFERROR(__xludf.DUMMYFUNCTION("""COMPUTED_VALUE"""),"Child")</f>
        <v>Child</v>
      </c>
    </row>
    <row r="73" spans="1:6" ht="12.75">
      <c r="A73" s="4">
        <v>72</v>
      </c>
      <c r="B73" s="8" t="str">
        <f ca="1">IFERROR(__xludf.DUMMYFUNCTION("""COMPUTED_VALUE"""),"20220916NYPSN")</f>
        <v>20220916NYPSN</v>
      </c>
      <c r="C73" s="8" t="str">
        <f ca="1">IFERROR(__xludf.DUMMYFUNCTION("""COMPUTED_VALUE"""),"Minor Injuries")</f>
        <v>Minor Injuries</v>
      </c>
      <c r="D73" s="8"/>
      <c r="E73" s="8" t="str">
        <f ca="1">IFERROR(__xludf.DUMMYFUNCTION("""COMPUTED_VALUE"""),"Student")</f>
        <v>Student</v>
      </c>
      <c r="F73" s="8" t="str">
        <f ca="1">IFERROR(__xludf.DUMMYFUNCTION("""COMPUTED_VALUE"""),"Child")</f>
        <v>Child</v>
      </c>
    </row>
    <row r="74" spans="1:6" ht="12.75">
      <c r="A74" s="4">
        <v>73</v>
      </c>
      <c r="B74" s="8" t="str">
        <f ca="1">IFERROR(__xludf.DUMMYFUNCTION("""COMPUTED_VALUE"""),"20220913MDOXO")</f>
        <v>20220913MDOXO</v>
      </c>
      <c r="C74" s="8" t="str">
        <f ca="1">IFERROR(__xludf.DUMMYFUNCTION("""COMPUTED_VALUE"""),"Wounded")</f>
        <v>Wounded</v>
      </c>
      <c r="D74" s="8"/>
      <c r="E74" s="8"/>
      <c r="F74" s="8"/>
    </row>
    <row r="75" spans="1:6" ht="12.75">
      <c r="A75" s="4">
        <v>74</v>
      </c>
      <c r="B75" s="8" t="str">
        <f ca="1">IFERROR(__xludf.DUMMYFUNCTION("""COMPUTED_VALUE"""),"20220913CAVAV")</f>
        <v>20220913CAVAV</v>
      </c>
      <c r="C75" s="8" t="str">
        <f ca="1">IFERROR(__xludf.DUMMYFUNCTION("""COMPUTED_VALUE"""),"Wounded")</f>
        <v>Wounded</v>
      </c>
      <c r="D75" s="8" t="str">
        <f ca="1">IFERROR(__xludf.DUMMYFUNCTION("""COMPUTED_VALUE"""),"Male")</f>
        <v>Male</v>
      </c>
      <c r="E75" s="8" t="str">
        <f ca="1">IFERROR(__xludf.DUMMYFUNCTION("""COMPUTED_VALUE"""),"Other Staff")</f>
        <v>Other Staff</v>
      </c>
      <c r="F75" s="8" t="str">
        <f ca="1">IFERROR(__xludf.DUMMYFUNCTION("""COMPUTED_VALUE"""),"Adult")</f>
        <v>Adult</v>
      </c>
    </row>
    <row r="76" spans="1:6" ht="12.75">
      <c r="A76" s="4">
        <v>75</v>
      </c>
      <c r="B76" s="8" t="str">
        <f ca="1">IFERROR(__xludf.DUMMYFUNCTION("""COMPUTED_VALUE"""),"20220909WIWIR")</f>
        <v>20220909WIWIR</v>
      </c>
      <c r="C76" s="8" t="str">
        <f ca="1">IFERROR(__xludf.DUMMYFUNCTION("""COMPUTED_VALUE"""),"Wounded")</f>
        <v>Wounded</v>
      </c>
      <c r="D76" s="8" t="str">
        <f ca="1">IFERROR(__xludf.DUMMYFUNCTION("""COMPUTED_VALUE"""),"Female")</f>
        <v>Female</v>
      </c>
      <c r="E76" s="8" t="str">
        <f ca="1">IFERROR(__xludf.DUMMYFUNCTION("""COMPUTED_VALUE"""),"Student")</f>
        <v>Student</v>
      </c>
      <c r="F76" s="8" t="str">
        <f ca="1">IFERROR(__xludf.DUMMYFUNCTION("""COMPUTED_VALUE"""),"Teen")</f>
        <v>Teen</v>
      </c>
    </row>
    <row r="77" spans="1:6" ht="12.75">
      <c r="A77" s="4">
        <v>76</v>
      </c>
      <c r="B77" s="8" t="str">
        <f ca="1">IFERROR(__xludf.DUMMYFUNCTION("""COMPUTED_VALUE"""),"20220907MDCAB")</f>
        <v>20220907MDCAB</v>
      </c>
      <c r="C77" s="8" t="str">
        <f ca="1">IFERROR(__xludf.DUMMYFUNCTION("""COMPUTED_VALUE"""),"Wounded")</f>
        <v>Wounded</v>
      </c>
      <c r="D77" s="8" t="str">
        <f ca="1">IFERROR(__xludf.DUMMYFUNCTION("""COMPUTED_VALUE"""),"Male")</f>
        <v>Male</v>
      </c>
      <c r="E77" s="8" t="str">
        <f ca="1">IFERROR(__xludf.DUMMYFUNCTION("""COMPUTED_VALUE"""),"Student")</f>
        <v>Student</v>
      </c>
      <c r="F77" s="8">
        <f ca="1">IFERROR(__xludf.DUMMYFUNCTION("""COMPUTED_VALUE"""),15)</f>
        <v>15</v>
      </c>
    </row>
    <row r="78" spans="1:6" ht="12.75">
      <c r="A78" s="4">
        <v>77</v>
      </c>
      <c r="B78" s="8" t="str">
        <f ca="1">IFERROR(__xludf.DUMMYFUNCTION("""COMPUTED_VALUE"""),"20220906IANOS")</f>
        <v>20220906IANOS</v>
      </c>
      <c r="C78" s="8" t="str">
        <f ca="1">IFERROR(__xludf.DUMMYFUNCTION("""COMPUTED_VALUE"""),"Minor Injuries")</f>
        <v>Minor Injuries</v>
      </c>
      <c r="D78" s="8"/>
      <c r="E78" s="8" t="str">
        <f ca="1">IFERROR(__xludf.DUMMYFUNCTION("""COMPUTED_VALUE"""),"Student")</f>
        <v>Student</v>
      </c>
      <c r="F78" s="8" t="str">
        <f ca="1">IFERROR(__xludf.DUMMYFUNCTION("""COMPUTED_VALUE"""),"Teen")</f>
        <v>Teen</v>
      </c>
    </row>
    <row r="79" spans="1:6" ht="12.75">
      <c r="A79" s="4">
        <v>78</v>
      </c>
      <c r="B79" s="8" t="str">
        <f ca="1">IFERROR(__xludf.DUMMYFUNCTION("""COMPUTED_VALUE"""),"20220906IANOS")</f>
        <v>20220906IANOS</v>
      </c>
      <c r="C79" s="8" t="str">
        <f ca="1">IFERROR(__xludf.DUMMYFUNCTION("""COMPUTED_VALUE"""),"Minor Injuries")</f>
        <v>Minor Injuries</v>
      </c>
      <c r="D79" s="8"/>
      <c r="E79" s="8" t="str">
        <f ca="1">IFERROR(__xludf.DUMMYFUNCTION("""COMPUTED_VALUE"""),"Student")</f>
        <v>Student</v>
      </c>
      <c r="F79" s="8" t="str">
        <f ca="1">IFERROR(__xludf.DUMMYFUNCTION("""COMPUTED_VALUE"""),"Teen")</f>
        <v>Teen</v>
      </c>
    </row>
    <row r="80" spans="1:6" ht="12.75">
      <c r="A80" s="4">
        <v>79</v>
      </c>
      <c r="B80" s="8" t="str">
        <f ca="1">IFERROR(__xludf.DUMMYFUNCTION("""COMPUTED_VALUE"""),"20220906IANOS")</f>
        <v>20220906IANOS</v>
      </c>
      <c r="C80" s="8" t="str">
        <f ca="1">IFERROR(__xludf.DUMMYFUNCTION("""COMPUTED_VALUE"""),"Minor Injuries")</f>
        <v>Minor Injuries</v>
      </c>
      <c r="D80" s="8"/>
      <c r="E80" s="8" t="str">
        <f ca="1">IFERROR(__xludf.DUMMYFUNCTION("""COMPUTED_VALUE"""),"Student")</f>
        <v>Student</v>
      </c>
      <c r="F80" s="8" t="str">
        <f ca="1">IFERROR(__xludf.DUMMYFUNCTION("""COMPUTED_VALUE"""),"Teen")</f>
        <v>Teen</v>
      </c>
    </row>
    <row r="81" spans="1:6" ht="12.75">
      <c r="A81" s="4">
        <v>80</v>
      </c>
      <c r="B81" s="8" t="str">
        <f ca="1">IFERROR(__xludf.DUMMYFUNCTION("""COMPUTED_VALUE"""),"20220906IANOS")</f>
        <v>20220906IANOS</v>
      </c>
      <c r="C81" s="8" t="str">
        <f ca="1">IFERROR(__xludf.DUMMYFUNCTION("""COMPUTED_VALUE"""),"Minor Injuries")</f>
        <v>Minor Injuries</v>
      </c>
      <c r="D81" s="8"/>
      <c r="E81" s="8" t="str">
        <f ca="1">IFERROR(__xludf.DUMMYFUNCTION("""COMPUTED_VALUE"""),"Student")</f>
        <v>Student</v>
      </c>
      <c r="F81" s="8" t="str">
        <f ca="1">IFERROR(__xludf.DUMMYFUNCTION("""COMPUTED_VALUE"""),"Teen")</f>
        <v>Teen</v>
      </c>
    </row>
    <row r="82" spans="1:6" ht="12.75">
      <c r="A82" s="4">
        <v>81</v>
      </c>
      <c r="B82" s="8" t="str">
        <f ca="1">IFERROR(__xludf.DUMMYFUNCTION("""COMPUTED_VALUE"""),"20220906IANOS")</f>
        <v>20220906IANOS</v>
      </c>
      <c r="C82" s="8" t="str">
        <f ca="1">IFERROR(__xludf.DUMMYFUNCTION("""COMPUTED_VALUE"""),"Minor Injuries")</f>
        <v>Minor Injuries</v>
      </c>
      <c r="D82" s="8"/>
      <c r="E82" s="8" t="str">
        <f ca="1">IFERROR(__xludf.DUMMYFUNCTION("""COMPUTED_VALUE"""),"Other Staff")</f>
        <v>Other Staff</v>
      </c>
      <c r="F82" s="8" t="str">
        <f ca="1">IFERROR(__xludf.DUMMYFUNCTION("""COMPUTED_VALUE"""),"Adult")</f>
        <v>Adult</v>
      </c>
    </row>
    <row r="83" spans="1:6" ht="12.75">
      <c r="A83" s="4">
        <v>82</v>
      </c>
      <c r="B83" s="8" t="str">
        <f ca="1">IFERROR(__xludf.DUMMYFUNCTION("""COMPUTED_VALUE"""),"20220904FLBOL")</f>
        <v>20220904FLBOL</v>
      </c>
      <c r="C83" s="8" t="str">
        <f ca="1">IFERROR(__xludf.DUMMYFUNCTION("""COMPUTED_VALUE"""),"Wounded")</f>
        <v>Wounded</v>
      </c>
      <c r="D83" s="8"/>
      <c r="E83" s="8" t="str">
        <f ca="1">IFERROR(__xludf.DUMMYFUNCTION("""COMPUTED_VALUE"""),"Nonstudent Using Athletic Facilities/Attending Game")</f>
        <v>Nonstudent Using Athletic Facilities/Attending Game</v>
      </c>
      <c r="F83" s="8">
        <f ca="1">IFERROR(__xludf.DUMMYFUNCTION("""COMPUTED_VALUE"""),18)</f>
        <v>18</v>
      </c>
    </row>
    <row r="84" spans="1:6" ht="12.75">
      <c r="A84" s="4">
        <v>83</v>
      </c>
      <c r="B84" s="8" t="str">
        <f ca="1">IFERROR(__xludf.DUMMYFUNCTION("""COMPUTED_VALUE"""),"20220904FLBOL")</f>
        <v>20220904FLBOL</v>
      </c>
      <c r="C84" s="8" t="str">
        <f ca="1">IFERROR(__xludf.DUMMYFUNCTION("""COMPUTED_VALUE"""),"Wounded")</f>
        <v>Wounded</v>
      </c>
      <c r="D84" s="8"/>
      <c r="E84" s="8" t="str">
        <f ca="1">IFERROR(__xludf.DUMMYFUNCTION("""COMPUTED_VALUE"""),"Nonstudent Using Athletic Facilities/Attending Game")</f>
        <v>Nonstudent Using Athletic Facilities/Attending Game</v>
      </c>
      <c r="F84" s="8" t="str">
        <f ca="1">IFERROR(__xludf.DUMMYFUNCTION("""COMPUTED_VALUE"""),"Teen")</f>
        <v>Teen</v>
      </c>
    </row>
    <row r="85" spans="1:6" ht="12.75">
      <c r="A85" s="4">
        <v>84</v>
      </c>
      <c r="B85" s="8" t="str">
        <f ca="1">IFERROR(__xludf.DUMMYFUNCTION("""COMPUTED_VALUE"""),"20220904FLBOL")</f>
        <v>20220904FLBOL</v>
      </c>
      <c r="C85" s="8" t="str">
        <f ca="1">IFERROR(__xludf.DUMMYFUNCTION("""COMPUTED_VALUE"""),"Wounded")</f>
        <v>Wounded</v>
      </c>
      <c r="D85" s="8"/>
      <c r="E85" s="8" t="str">
        <f ca="1">IFERROR(__xludf.DUMMYFUNCTION("""COMPUTED_VALUE"""),"Nonstudent Using Athletic Facilities/Attending Game")</f>
        <v>Nonstudent Using Athletic Facilities/Attending Game</v>
      </c>
      <c r="F85" s="8" t="str">
        <f ca="1">IFERROR(__xludf.DUMMYFUNCTION("""COMPUTED_VALUE"""),"Teen")</f>
        <v>Teen</v>
      </c>
    </row>
    <row r="86" spans="1:6" ht="12.75">
      <c r="A86" s="4">
        <v>85</v>
      </c>
      <c r="B86" s="8" t="str">
        <f ca="1">IFERROR(__xludf.DUMMYFUNCTION("""COMPUTED_VALUE"""),"20220904FLBOL")</f>
        <v>20220904FLBOL</v>
      </c>
      <c r="C86" s="8" t="str">
        <f ca="1">IFERROR(__xludf.DUMMYFUNCTION("""COMPUTED_VALUE"""),"Wounded")</f>
        <v>Wounded</v>
      </c>
      <c r="D86" s="8"/>
      <c r="E86" s="8" t="str">
        <f ca="1">IFERROR(__xludf.DUMMYFUNCTION("""COMPUTED_VALUE"""),"Nonstudent Using Athletic Facilities/Attending Game")</f>
        <v>Nonstudent Using Athletic Facilities/Attending Game</v>
      </c>
      <c r="F86" s="8" t="str">
        <f ca="1">IFERROR(__xludf.DUMMYFUNCTION("""COMPUTED_VALUE"""),"Teen")</f>
        <v>Teen</v>
      </c>
    </row>
    <row r="87" spans="1:6" ht="12.75">
      <c r="A87" s="4">
        <v>86</v>
      </c>
      <c r="B87" s="8" t="str">
        <f ca="1">IFERROR(__xludf.DUMMYFUNCTION("""COMPUTED_VALUE"""),"20220902MDMEB")</f>
        <v>20220902MDMEB</v>
      </c>
      <c r="C87" s="8" t="str">
        <f ca="1">IFERROR(__xludf.DUMMYFUNCTION("""COMPUTED_VALUE"""),"Fatal")</f>
        <v>Fatal</v>
      </c>
      <c r="D87" s="8" t="str">
        <f ca="1">IFERROR(__xludf.DUMMYFUNCTION("""COMPUTED_VALUE"""),"Male")</f>
        <v>Male</v>
      </c>
      <c r="E87" s="8" t="str">
        <f ca="1">IFERROR(__xludf.DUMMYFUNCTION("""COMPUTED_VALUE"""),"Student")</f>
        <v>Student</v>
      </c>
      <c r="F87" s="8">
        <f ca="1">IFERROR(__xludf.DUMMYFUNCTION("""COMPUTED_VALUE"""),17)</f>
        <v>17</v>
      </c>
    </row>
    <row r="88" spans="1:6" ht="12.75">
      <c r="A88" s="4">
        <v>87</v>
      </c>
      <c r="B88" s="8" t="str">
        <f ca="1">IFERROR(__xludf.DUMMYFUNCTION("""COMPUTED_VALUE"""),"20220831DCIDW")</f>
        <v>20220831DCIDW</v>
      </c>
      <c r="C88" s="8" t="str">
        <f ca="1">IFERROR(__xludf.DUMMYFUNCTION("""COMPUTED_VALUE"""),"Wounded")</f>
        <v>Wounded</v>
      </c>
      <c r="D88" s="8" t="str">
        <f ca="1">IFERROR(__xludf.DUMMYFUNCTION("""COMPUTED_VALUE"""),"Male")</f>
        <v>Male</v>
      </c>
      <c r="E88" s="8" t="str">
        <f ca="1">IFERROR(__xludf.DUMMYFUNCTION("""COMPUTED_VALUE"""),"Student")</f>
        <v>Student</v>
      </c>
      <c r="F88" s="8" t="str">
        <f ca="1">IFERROR(__xludf.DUMMYFUNCTION("""COMPUTED_VALUE"""),"Teen")</f>
        <v>Teen</v>
      </c>
    </row>
    <row r="89" spans="1:6" ht="12.75">
      <c r="A89" s="4">
        <v>88</v>
      </c>
      <c r="B89" s="8" t="str">
        <f ca="1">IFERROR(__xludf.DUMMYFUNCTION("""COMPUTED_VALUE"""),"20220831DCIDW")</f>
        <v>20220831DCIDW</v>
      </c>
      <c r="C89" s="8" t="str">
        <f ca="1">IFERROR(__xludf.DUMMYFUNCTION("""COMPUTED_VALUE"""),"Wounded")</f>
        <v>Wounded</v>
      </c>
      <c r="D89" s="8" t="str">
        <f ca="1">IFERROR(__xludf.DUMMYFUNCTION("""COMPUTED_VALUE"""),"Male")</f>
        <v>Male</v>
      </c>
      <c r="E89" s="8" t="str">
        <f ca="1">IFERROR(__xludf.DUMMYFUNCTION("""COMPUTED_VALUE"""),"Student")</f>
        <v>Student</v>
      </c>
      <c r="F89" s="8" t="str">
        <f ca="1">IFERROR(__xludf.DUMMYFUNCTION("""COMPUTED_VALUE"""),"Teen")</f>
        <v>Teen</v>
      </c>
    </row>
    <row r="90" spans="1:6" ht="12.75">
      <c r="A90" s="4">
        <v>89</v>
      </c>
      <c r="B90" s="8" t="str">
        <f ca="1">IFERROR(__xludf.DUMMYFUNCTION("""COMPUTED_VALUE"""),"20220831PAFRP")</f>
        <v>20220831PAFRP</v>
      </c>
      <c r="C90" s="8" t="str">
        <f ca="1">IFERROR(__xludf.DUMMYFUNCTION("""COMPUTED_VALUE"""),"Wounded")</f>
        <v>Wounded</v>
      </c>
      <c r="D90" s="8" t="str">
        <f ca="1">IFERROR(__xludf.DUMMYFUNCTION("""COMPUTED_VALUE"""),"Male")</f>
        <v>Male</v>
      </c>
      <c r="E90" s="8" t="str">
        <f ca="1">IFERROR(__xludf.DUMMYFUNCTION("""COMPUTED_VALUE"""),"No Relation")</f>
        <v>No Relation</v>
      </c>
      <c r="F90" s="8">
        <f ca="1">IFERROR(__xludf.DUMMYFUNCTION("""COMPUTED_VALUE"""),20)</f>
        <v>20</v>
      </c>
    </row>
    <row r="91" spans="1:6" ht="12.75">
      <c r="A91" s="4">
        <v>90</v>
      </c>
      <c r="B91" s="8" t="str">
        <f ca="1">IFERROR(__xludf.DUMMYFUNCTION("""COMPUTED_VALUE"""),"20220831PAFRP")</f>
        <v>20220831PAFRP</v>
      </c>
      <c r="C91" s="8" t="str">
        <f ca="1">IFERROR(__xludf.DUMMYFUNCTION("""COMPUTED_VALUE"""),"Wounded")</f>
        <v>Wounded</v>
      </c>
      <c r="D91" s="8" t="str">
        <f ca="1">IFERROR(__xludf.DUMMYFUNCTION("""COMPUTED_VALUE"""),"Female")</f>
        <v>Female</v>
      </c>
      <c r="E91" s="8" t="str">
        <f ca="1">IFERROR(__xludf.DUMMYFUNCTION("""COMPUTED_VALUE"""),"No Relation")</f>
        <v>No Relation</v>
      </c>
      <c r="F91" s="8">
        <f ca="1">IFERROR(__xludf.DUMMYFUNCTION("""COMPUTED_VALUE"""),20)</f>
        <v>20</v>
      </c>
    </row>
    <row r="92" spans="1:6" ht="12.75">
      <c r="A92" s="4">
        <v>91</v>
      </c>
      <c r="B92" s="8" t="str">
        <f ca="1">IFERROR(__xludf.DUMMYFUNCTION("""COMPUTED_VALUE"""),"20220831PAFRP")</f>
        <v>20220831PAFRP</v>
      </c>
      <c r="C92" s="8" t="str">
        <f ca="1">IFERROR(__xludf.DUMMYFUNCTION("""COMPUTED_VALUE"""),"Wounded")</f>
        <v>Wounded</v>
      </c>
      <c r="D92" s="8" t="str">
        <f ca="1">IFERROR(__xludf.DUMMYFUNCTION("""COMPUTED_VALUE"""),"Male")</f>
        <v>Male</v>
      </c>
      <c r="E92" s="8" t="str">
        <f ca="1">IFERROR(__xludf.DUMMYFUNCTION("""COMPUTED_VALUE"""),"No Relation")</f>
        <v>No Relation</v>
      </c>
      <c r="F92" s="8">
        <f ca="1">IFERROR(__xludf.DUMMYFUNCTION("""COMPUTED_VALUE"""),17)</f>
        <v>17</v>
      </c>
    </row>
    <row r="93" spans="1:6" ht="12.75">
      <c r="A93" s="4">
        <v>92</v>
      </c>
      <c r="B93" s="8" t="str">
        <f ca="1">IFERROR(__xludf.DUMMYFUNCTION("""COMPUTED_VALUE"""),"20220829CAMAO")</f>
        <v>20220829CAMAO</v>
      </c>
      <c r="C93" s="8" t="str">
        <f ca="1">IFERROR(__xludf.DUMMYFUNCTION("""COMPUTED_VALUE"""),"Wounded")</f>
        <v>Wounded</v>
      </c>
      <c r="D93" s="8" t="str">
        <f ca="1">IFERROR(__xludf.DUMMYFUNCTION("""COMPUTED_VALUE"""),"Male")</f>
        <v>Male</v>
      </c>
      <c r="E93" s="8" t="str">
        <f ca="1">IFERROR(__xludf.DUMMYFUNCTION("""COMPUTED_VALUE"""),"Student")</f>
        <v>Student</v>
      </c>
      <c r="F93" s="8">
        <f ca="1">IFERROR(__xludf.DUMMYFUNCTION("""COMPUTED_VALUE"""),13)</f>
        <v>13</v>
      </c>
    </row>
    <row r="94" spans="1:6" ht="12.75">
      <c r="A94" s="4">
        <v>93</v>
      </c>
      <c r="B94" s="8" t="str">
        <f ca="1">IFERROR(__xludf.DUMMYFUNCTION("""COMPUTED_VALUE"""),"20220823OHINC")</f>
        <v>20220823OHINC</v>
      </c>
      <c r="C94" s="8" t="str">
        <f ca="1">IFERROR(__xludf.DUMMYFUNCTION("""COMPUTED_VALUE"""),"Minor Injuries")</f>
        <v>Minor Injuries</v>
      </c>
      <c r="D94" s="8"/>
      <c r="E94" s="8" t="str">
        <f ca="1">IFERROR(__xludf.DUMMYFUNCTION("""COMPUTED_VALUE"""),"Teacher")</f>
        <v>Teacher</v>
      </c>
      <c r="F94" s="8" t="str">
        <f ca="1">IFERROR(__xludf.DUMMYFUNCTION("""COMPUTED_VALUE"""),"Adult")</f>
        <v>Adult</v>
      </c>
    </row>
    <row r="95" spans="1:6" ht="12.75">
      <c r="A95" s="4">
        <v>94</v>
      </c>
      <c r="B95" s="8" t="str">
        <f ca="1">IFERROR(__xludf.DUMMYFUNCTION("""COMPUTED_VALUE"""),"20220823OHINC")</f>
        <v>20220823OHINC</v>
      </c>
      <c r="C95" s="8" t="str">
        <f ca="1">IFERROR(__xludf.DUMMYFUNCTION("""COMPUTED_VALUE"""),"Minor Injuries")</f>
        <v>Minor Injuries</v>
      </c>
      <c r="D95" s="8"/>
      <c r="E95" s="8" t="str">
        <f ca="1">IFERROR(__xludf.DUMMYFUNCTION("""COMPUTED_VALUE"""),"Teacher")</f>
        <v>Teacher</v>
      </c>
      <c r="F95" s="8" t="str">
        <f ca="1">IFERROR(__xludf.DUMMYFUNCTION("""COMPUTED_VALUE"""),"Adult")</f>
        <v>Adult</v>
      </c>
    </row>
    <row r="96" spans="1:6" ht="12.75">
      <c r="A96" s="4">
        <v>95</v>
      </c>
      <c r="B96" s="8" t="str">
        <f ca="1">IFERROR(__xludf.DUMMYFUNCTION("""COMPUTED_VALUE"""),"20220823OHINC")</f>
        <v>20220823OHINC</v>
      </c>
      <c r="C96" s="8" t="str">
        <f ca="1">IFERROR(__xludf.DUMMYFUNCTION("""COMPUTED_VALUE"""),"Minor Injuries")</f>
        <v>Minor Injuries</v>
      </c>
      <c r="D96" s="8"/>
      <c r="E96" s="8" t="str">
        <f ca="1">IFERROR(__xludf.DUMMYFUNCTION("""COMPUTED_VALUE"""),"Teacher")</f>
        <v>Teacher</v>
      </c>
      <c r="F96" s="8" t="str">
        <f ca="1">IFERROR(__xludf.DUMMYFUNCTION("""COMPUTED_VALUE"""),"Adult")</f>
        <v>Adult</v>
      </c>
    </row>
    <row r="97" spans="1:6" ht="12.75">
      <c r="A97" s="4">
        <v>96</v>
      </c>
      <c r="B97" s="8" t="str">
        <f ca="1">IFERROR(__xludf.DUMMYFUNCTION("""COMPUTED_VALUE"""),"20220809PACHP")</f>
        <v>20220809PACHP</v>
      </c>
      <c r="C97" s="8" t="str">
        <f ca="1">IFERROR(__xludf.DUMMYFUNCTION("""COMPUTED_VALUE"""),"Fatal")</f>
        <v>Fatal</v>
      </c>
      <c r="D97" s="8" t="str">
        <f ca="1">IFERROR(__xludf.DUMMYFUNCTION("""COMPUTED_VALUE"""),"Male")</f>
        <v>Male</v>
      </c>
      <c r="E97" s="8" t="str">
        <f ca="1">IFERROR(__xludf.DUMMYFUNCTION("""COMPUTED_VALUE"""),"No Relation")</f>
        <v>No Relation</v>
      </c>
      <c r="F97" s="8">
        <f ca="1">IFERROR(__xludf.DUMMYFUNCTION("""COMPUTED_VALUE"""),28)</f>
        <v>28</v>
      </c>
    </row>
    <row r="98" spans="1:6" ht="12.75">
      <c r="A98" s="4">
        <v>97</v>
      </c>
      <c r="B98" s="8" t="str">
        <f ca="1">IFERROR(__xludf.DUMMYFUNCTION("""COMPUTED_VALUE"""),"20220809PACHP")</f>
        <v>20220809PACHP</v>
      </c>
      <c r="C98" s="8" t="str">
        <f ca="1">IFERROR(__xludf.DUMMYFUNCTION("""COMPUTED_VALUE"""),"Wounded")</f>
        <v>Wounded</v>
      </c>
      <c r="D98" s="8" t="str">
        <f ca="1">IFERROR(__xludf.DUMMYFUNCTION("""COMPUTED_VALUE"""),"Male")</f>
        <v>Male</v>
      </c>
      <c r="E98" s="8" t="str">
        <f ca="1">IFERROR(__xludf.DUMMYFUNCTION("""COMPUTED_VALUE"""),"No Relation")</f>
        <v>No Relation</v>
      </c>
      <c r="F98" s="8" t="str">
        <f ca="1">IFERROR(__xludf.DUMMYFUNCTION("""COMPUTED_VALUE"""),"Adult")</f>
        <v>Adult</v>
      </c>
    </row>
    <row r="99" spans="1:6" ht="12.75">
      <c r="A99" s="4">
        <v>98</v>
      </c>
      <c r="B99" s="8" t="str">
        <f ca="1">IFERROR(__xludf.DUMMYFUNCTION("""COMPUTED_VALUE"""),"20220803PALEP")</f>
        <v>20220803PALEP</v>
      </c>
      <c r="C99" s="8" t="str">
        <f ca="1">IFERROR(__xludf.DUMMYFUNCTION("""COMPUTED_VALUE"""),"Fatal")</f>
        <v>Fatal</v>
      </c>
      <c r="D99" s="8" t="str">
        <f ca="1">IFERROR(__xludf.DUMMYFUNCTION("""COMPUTED_VALUE"""),"Male")</f>
        <v>Male</v>
      </c>
      <c r="E99" s="8" t="str">
        <f ca="1">IFERROR(__xludf.DUMMYFUNCTION("""COMPUTED_VALUE"""),"No Relation")</f>
        <v>No Relation</v>
      </c>
      <c r="F99" s="8">
        <f ca="1">IFERROR(__xludf.DUMMYFUNCTION("""COMPUTED_VALUE"""),26)</f>
        <v>26</v>
      </c>
    </row>
    <row r="100" spans="1:6" ht="12.75">
      <c r="A100" s="4">
        <v>99</v>
      </c>
      <c r="B100" s="8" t="str">
        <f ca="1">IFERROR(__xludf.DUMMYFUNCTION("""COMPUTED_VALUE"""),"20220803PALEP")</f>
        <v>20220803PALEP</v>
      </c>
      <c r="C100" s="8" t="str">
        <f ca="1">IFERROR(__xludf.DUMMYFUNCTION("""COMPUTED_VALUE"""),"Wounded")</f>
        <v>Wounded</v>
      </c>
      <c r="D100" s="8" t="str">
        <f ca="1">IFERROR(__xludf.DUMMYFUNCTION("""COMPUTED_VALUE"""),"Male")</f>
        <v>Male</v>
      </c>
      <c r="E100" s="8" t="str">
        <f ca="1">IFERROR(__xludf.DUMMYFUNCTION("""COMPUTED_VALUE"""),"No Relation")</f>
        <v>No Relation</v>
      </c>
      <c r="F100" s="8">
        <f ca="1">IFERROR(__xludf.DUMMYFUNCTION("""COMPUTED_VALUE"""),24)</f>
        <v>24</v>
      </c>
    </row>
    <row r="101" spans="1:6" ht="12.75">
      <c r="A101" s="4">
        <v>100</v>
      </c>
      <c r="B101" s="8" t="str">
        <f ca="1">IFERROR(__xludf.DUMMYFUNCTION("""COMPUTED_VALUE"""),"20220731CAOAO")</f>
        <v>20220731CAOAO</v>
      </c>
      <c r="C101" s="8" t="str">
        <f ca="1">IFERROR(__xludf.DUMMYFUNCTION("""COMPUTED_VALUE"""),"Wounded")</f>
        <v>Wounded</v>
      </c>
      <c r="D101" s="8" t="str">
        <f ca="1">IFERROR(__xludf.DUMMYFUNCTION("""COMPUTED_VALUE"""),"Female")</f>
        <v>Female</v>
      </c>
      <c r="E101" s="8" t="str">
        <f ca="1">IFERROR(__xludf.DUMMYFUNCTION("""COMPUTED_VALUE"""),"Nonstudent Using Athletic Facilities/Attending Game")</f>
        <v>Nonstudent Using Athletic Facilities/Attending Game</v>
      </c>
      <c r="F101" s="8">
        <f ca="1">IFERROR(__xludf.DUMMYFUNCTION("""COMPUTED_VALUE"""),6)</f>
        <v>6</v>
      </c>
    </row>
    <row r="102" spans="1:6" ht="12.75">
      <c r="A102" s="4">
        <v>101</v>
      </c>
      <c r="B102" s="8" t="str">
        <f ca="1">IFERROR(__xludf.DUMMYFUNCTION("""COMPUTED_VALUE"""),"20220731CAOAO")</f>
        <v>20220731CAOAO</v>
      </c>
      <c r="C102" s="8" t="str">
        <f ca="1">IFERROR(__xludf.DUMMYFUNCTION("""COMPUTED_VALUE"""),"Wounded")</f>
        <v>Wounded</v>
      </c>
      <c r="D102" s="8" t="str">
        <f ca="1">IFERROR(__xludf.DUMMYFUNCTION("""COMPUTED_VALUE"""),"Female")</f>
        <v>Female</v>
      </c>
      <c r="E102" s="8" t="str">
        <f ca="1">IFERROR(__xludf.DUMMYFUNCTION("""COMPUTED_VALUE"""),"Nonstudent Using Athletic Facilities/Attending Game")</f>
        <v>Nonstudent Using Athletic Facilities/Attending Game</v>
      </c>
      <c r="F102" s="8" t="str">
        <f ca="1">IFERROR(__xludf.DUMMYFUNCTION("""COMPUTED_VALUE"""),"Adult")</f>
        <v>Adult</v>
      </c>
    </row>
    <row r="103" spans="1:6" ht="12.75">
      <c r="A103" s="4">
        <v>102</v>
      </c>
      <c r="B103" s="8" t="str">
        <f ca="1">IFERROR(__xludf.DUMMYFUNCTION("""COMPUTED_VALUE"""),"20220731CAOAO")</f>
        <v>20220731CAOAO</v>
      </c>
      <c r="C103" s="8" t="str">
        <f ca="1">IFERROR(__xludf.DUMMYFUNCTION("""COMPUTED_VALUE"""),"Wounded")</f>
        <v>Wounded</v>
      </c>
      <c r="D103" s="8" t="str">
        <f ca="1">IFERROR(__xludf.DUMMYFUNCTION("""COMPUTED_VALUE"""),"Male")</f>
        <v>Male</v>
      </c>
      <c r="E103" s="8" t="str">
        <f ca="1">IFERROR(__xludf.DUMMYFUNCTION("""COMPUTED_VALUE"""),"Nonstudent Using Athletic Facilities/Attending Game")</f>
        <v>Nonstudent Using Athletic Facilities/Attending Game</v>
      </c>
      <c r="F103" s="8" t="str">
        <f ca="1">IFERROR(__xludf.DUMMYFUNCTION("""COMPUTED_VALUE"""),"Adult")</f>
        <v>Adult</v>
      </c>
    </row>
    <row r="104" spans="1:6" ht="12.75">
      <c r="A104" s="4">
        <v>103</v>
      </c>
      <c r="B104" s="8" t="str">
        <f ca="1">IFERROR(__xludf.DUMMYFUNCTION("""COMPUTED_VALUE"""),"20220725NYBRB")</f>
        <v>20220725NYBRB</v>
      </c>
      <c r="C104" s="8" t="str">
        <f ca="1">IFERROR(__xludf.DUMMYFUNCTION("""COMPUTED_VALUE"""),"Wounded")</f>
        <v>Wounded</v>
      </c>
      <c r="D104" s="8" t="str">
        <f ca="1">IFERROR(__xludf.DUMMYFUNCTION("""COMPUTED_VALUE"""),"Female")</f>
        <v>Female</v>
      </c>
      <c r="E104" s="8" t="str">
        <f ca="1">IFERROR(__xludf.DUMMYFUNCTION("""COMPUTED_VALUE"""),"Nonstudent Using Athletic Facilities/Attending Game")</f>
        <v>Nonstudent Using Athletic Facilities/Attending Game</v>
      </c>
      <c r="F104" s="8">
        <f ca="1">IFERROR(__xludf.DUMMYFUNCTION("""COMPUTED_VALUE"""),12)</f>
        <v>12</v>
      </c>
    </row>
    <row r="105" spans="1:6" ht="12.75">
      <c r="A105" s="4">
        <v>104</v>
      </c>
      <c r="B105" s="8" t="str">
        <f ca="1">IFERROR(__xludf.DUMMYFUNCTION("""COMPUTED_VALUE"""),"20220725NYBRB")</f>
        <v>20220725NYBRB</v>
      </c>
      <c r="C105" s="8" t="str">
        <f ca="1">IFERROR(__xludf.DUMMYFUNCTION("""COMPUTED_VALUE"""),"Wounded")</f>
        <v>Wounded</v>
      </c>
      <c r="D105" s="8" t="str">
        <f ca="1">IFERROR(__xludf.DUMMYFUNCTION("""COMPUTED_VALUE"""),"Male")</f>
        <v>Male</v>
      </c>
      <c r="E105" s="8" t="str">
        <f ca="1">IFERROR(__xludf.DUMMYFUNCTION("""COMPUTED_VALUE"""),"Nonstudent Using Athletic Facilities/Attending Game")</f>
        <v>Nonstudent Using Athletic Facilities/Attending Game</v>
      </c>
      <c r="F105" s="8">
        <f ca="1">IFERROR(__xludf.DUMMYFUNCTION("""COMPUTED_VALUE"""),16)</f>
        <v>16</v>
      </c>
    </row>
    <row r="106" spans="1:6" ht="12.75">
      <c r="A106" s="4">
        <v>105</v>
      </c>
      <c r="B106" s="8" t="str">
        <f ca="1">IFERROR(__xludf.DUMMYFUNCTION("""COMPUTED_VALUE"""),"20220716GAAPF")</f>
        <v>20220716GAAPF</v>
      </c>
      <c r="C106" s="8" t="str">
        <f ca="1">IFERROR(__xludf.DUMMYFUNCTION("""COMPUTED_VALUE"""),"Wounded")</f>
        <v>Wounded</v>
      </c>
      <c r="D106" s="8" t="str">
        <f ca="1">IFERROR(__xludf.DUMMYFUNCTION("""COMPUTED_VALUE"""),"Male")</f>
        <v>Male</v>
      </c>
      <c r="E106" s="8" t="str">
        <f ca="1">IFERROR(__xludf.DUMMYFUNCTION("""COMPUTED_VALUE"""),"No Relation")</f>
        <v>No Relation</v>
      </c>
      <c r="F106" s="8">
        <f ca="1">IFERROR(__xludf.DUMMYFUNCTION("""COMPUTED_VALUE"""),19)</f>
        <v>19</v>
      </c>
    </row>
    <row r="107" spans="1:6" ht="12.75">
      <c r="A107" s="4">
        <v>106</v>
      </c>
      <c r="B107" s="8" t="str">
        <f ca="1">IFERROR(__xludf.DUMMYFUNCTION("""COMPUTED_VALUE"""),"20220629CABUA")</f>
        <v>20220629CABUA</v>
      </c>
      <c r="C107" s="8" t="str">
        <f ca="1">IFERROR(__xludf.DUMMYFUNCTION("""COMPUTED_VALUE"""),"Fatal")</f>
        <v>Fatal</v>
      </c>
      <c r="D107" s="8" t="str">
        <f ca="1">IFERROR(__xludf.DUMMYFUNCTION("""COMPUTED_VALUE"""),"Male")</f>
        <v>Male</v>
      </c>
      <c r="E107" s="8" t="str">
        <f ca="1">IFERROR(__xludf.DUMMYFUNCTION("""COMPUTED_VALUE"""),"No Relation")</f>
        <v>No Relation</v>
      </c>
      <c r="F107" s="8" t="str">
        <f ca="1">IFERROR(__xludf.DUMMYFUNCTION("""COMPUTED_VALUE"""),"Adult")</f>
        <v>Adult</v>
      </c>
    </row>
    <row r="108" spans="1:6" ht="12.75">
      <c r="A108" s="4">
        <v>107</v>
      </c>
      <c r="B108" s="8" t="str">
        <f ca="1">IFERROR(__xludf.DUMMYFUNCTION("""COMPUTED_VALUE"""),"20220620ILGRC")</f>
        <v>20220620ILGRC</v>
      </c>
      <c r="C108" s="8" t="str">
        <f ca="1">IFERROR(__xludf.DUMMYFUNCTION("""COMPUTED_VALUE"""),"Wounded")</f>
        <v>Wounded</v>
      </c>
      <c r="D108" s="8" t="str">
        <f ca="1">IFERROR(__xludf.DUMMYFUNCTION("""COMPUTED_VALUE"""),"Female")</f>
        <v>Female</v>
      </c>
      <c r="E108" s="8" t="str">
        <f ca="1">IFERROR(__xludf.DUMMYFUNCTION("""COMPUTED_VALUE"""),"No Relation")</f>
        <v>No Relation</v>
      </c>
      <c r="F108" s="8">
        <f ca="1">IFERROR(__xludf.DUMMYFUNCTION("""COMPUTED_VALUE"""),34)</f>
        <v>34</v>
      </c>
    </row>
    <row r="109" spans="1:6" ht="12.75">
      <c r="A109" s="4">
        <v>108</v>
      </c>
      <c r="B109" s="8" t="str">
        <f ca="1">IFERROR(__xludf.DUMMYFUNCTION("""COMPUTED_VALUE"""),"20220620ILGRC")</f>
        <v>20220620ILGRC</v>
      </c>
      <c r="C109" s="8" t="str">
        <f ca="1">IFERROR(__xludf.DUMMYFUNCTION("""COMPUTED_VALUE"""),"Wounded")</f>
        <v>Wounded</v>
      </c>
      <c r="D109" s="8" t="str">
        <f ca="1">IFERROR(__xludf.DUMMYFUNCTION("""COMPUTED_VALUE"""),"Male")</f>
        <v>Male</v>
      </c>
      <c r="E109" s="8" t="str">
        <f ca="1">IFERROR(__xludf.DUMMYFUNCTION("""COMPUTED_VALUE"""),"No Relation")</f>
        <v>No Relation</v>
      </c>
      <c r="F109" s="8">
        <f ca="1">IFERROR(__xludf.DUMMYFUNCTION("""COMPUTED_VALUE"""),16)</f>
        <v>16</v>
      </c>
    </row>
    <row r="110" spans="1:6" ht="12.75">
      <c r="A110" s="4">
        <v>109</v>
      </c>
      <c r="B110" s="8" t="str">
        <f ca="1">IFERROR(__xludf.DUMMYFUNCTION("""COMPUTED_VALUE"""),"20220620ILGRC")</f>
        <v>20220620ILGRC</v>
      </c>
      <c r="C110" s="8" t="str">
        <f ca="1">IFERROR(__xludf.DUMMYFUNCTION("""COMPUTED_VALUE"""),"Wounded")</f>
        <v>Wounded</v>
      </c>
      <c r="D110" s="8" t="str">
        <f ca="1">IFERROR(__xludf.DUMMYFUNCTION("""COMPUTED_VALUE"""),"Female")</f>
        <v>Female</v>
      </c>
      <c r="E110" s="8" t="str">
        <f ca="1">IFERROR(__xludf.DUMMYFUNCTION("""COMPUTED_VALUE"""),"No Relation")</f>
        <v>No Relation</v>
      </c>
      <c r="F110" s="8">
        <f ca="1">IFERROR(__xludf.DUMMYFUNCTION("""COMPUTED_VALUE"""),17)</f>
        <v>17</v>
      </c>
    </row>
    <row r="111" spans="1:6" ht="12.75">
      <c r="A111" s="4">
        <v>110</v>
      </c>
      <c r="B111" s="8" t="str">
        <f ca="1">IFERROR(__xludf.DUMMYFUNCTION("""COMPUTED_VALUE"""),"20220609ALWAG")</f>
        <v>20220609ALWAG</v>
      </c>
      <c r="C111" s="8" t="str">
        <f ca="1">IFERROR(__xludf.DUMMYFUNCTION("""COMPUTED_VALUE"""),"Fatal")</f>
        <v>Fatal</v>
      </c>
      <c r="D111" s="8" t="str">
        <f ca="1">IFERROR(__xludf.DUMMYFUNCTION("""COMPUTED_VALUE"""),"Male")</f>
        <v>Male</v>
      </c>
      <c r="E111" s="8" t="str">
        <f ca="1">IFERROR(__xludf.DUMMYFUNCTION("""COMPUTED_VALUE"""),"No Relation")</f>
        <v>No Relation</v>
      </c>
      <c r="F111" s="8">
        <f ca="1">IFERROR(__xludf.DUMMYFUNCTION("""COMPUTED_VALUE"""),32)</f>
        <v>32</v>
      </c>
    </row>
    <row r="112" spans="1:6" ht="12.75">
      <c r="A112" s="4">
        <v>111</v>
      </c>
      <c r="B112" s="8" t="str">
        <f ca="1">IFERROR(__xludf.DUMMYFUNCTION("""COMPUTED_VALUE"""),"20220605INWEG")</f>
        <v>20220605INWEG</v>
      </c>
      <c r="C112" s="8" t="str">
        <f ca="1">IFERROR(__xludf.DUMMYFUNCTION("""COMPUTED_VALUE"""),"Wounded")</f>
        <v>Wounded</v>
      </c>
      <c r="D112" s="8" t="str">
        <f ca="1">IFERROR(__xludf.DUMMYFUNCTION("""COMPUTED_VALUE"""),"Male")</f>
        <v>Male</v>
      </c>
      <c r="E112" s="8"/>
      <c r="F112" s="8">
        <f ca="1">IFERROR(__xludf.DUMMYFUNCTION("""COMPUTED_VALUE"""),19)</f>
        <v>19</v>
      </c>
    </row>
    <row r="113" spans="1:6" ht="12.75">
      <c r="A113" s="4">
        <v>112</v>
      </c>
      <c r="B113" s="8" t="str">
        <f ca="1">IFERROR(__xludf.DUMMYFUNCTION("""COMPUTED_VALUE"""),"20220605INWEG")</f>
        <v>20220605INWEG</v>
      </c>
      <c r="C113" s="8" t="str">
        <f ca="1">IFERROR(__xludf.DUMMYFUNCTION("""COMPUTED_VALUE"""),"Wounded")</f>
        <v>Wounded</v>
      </c>
      <c r="D113" s="8" t="str">
        <f ca="1">IFERROR(__xludf.DUMMYFUNCTION("""COMPUTED_VALUE"""),"Female")</f>
        <v>Female</v>
      </c>
      <c r="E113" s="8"/>
      <c r="F113" s="8">
        <f ca="1">IFERROR(__xludf.DUMMYFUNCTION("""COMPUTED_VALUE"""),19)</f>
        <v>19</v>
      </c>
    </row>
    <row r="114" spans="1:6" ht="12.75">
      <c r="A114" s="4">
        <v>113</v>
      </c>
      <c r="B114" s="8" t="str">
        <f ca="1">IFERROR(__xludf.DUMMYFUNCTION("""COMPUTED_VALUE"""),"20220601CAULL")</f>
        <v>20220601CAULL</v>
      </c>
      <c r="C114" s="8" t="str">
        <f ca="1">IFERROR(__xludf.DUMMYFUNCTION("""COMPUTED_VALUE"""),"Wounded")</f>
        <v>Wounded</v>
      </c>
      <c r="D114" s="8" t="str">
        <f ca="1">IFERROR(__xludf.DUMMYFUNCTION("""COMPUTED_VALUE"""),"Male")</f>
        <v>Male</v>
      </c>
      <c r="E114" s="8" t="str">
        <f ca="1">IFERROR(__xludf.DUMMYFUNCTION("""COMPUTED_VALUE"""),"Student")</f>
        <v>Student</v>
      </c>
      <c r="F114" s="8">
        <f ca="1">IFERROR(__xludf.DUMMYFUNCTION("""COMPUTED_VALUE"""),16)</f>
        <v>16</v>
      </c>
    </row>
    <row r="115" spans="1:6" ht="12.75">
      <c r="A115" s="4">
        <v>114</v>
      </c>
      <c r="B115" s="8" t="str">
        <f ca="1">IFERROR(__xludf.DUMMYFUNCTION("""COMPUTED_VALUE"""),"20220531LAMON")</f>
        <v>20220531LAMON</v>
      </c>
      <c r="C115" s="8" t="str">
        <f ca="1">IFERROR(__xludf.DUMMYFUNCTION("""COMPUTED_VALUE"""),"Wounded")</f>
        <v>Wounded</v>
      </c>
      <c r="D115" s="8" t="str">
        <f ca="1">IFERROR(__xludf.DUMMYFUNCTION("""COMPUTED_VALUE"""),"Male")</f>
        <v>Male</v>
      </c>
      <c r="E115" s="8" t="str">
        <f ca="1">IFERROR(__xludf.DUMMYFUNCTION("""COMPUTED_VALUE"""),"Relative")</f>
        <v>Relative</v>
      </c>
      <c r="F115" s="8" t="str">
        <f ca="1">IFERROR(__xludf.DUMMYFUNCTION("""COMPUTED_VALUE"""),"Adult")</f>
        <v>Adult</v>
      </c>
    </row>
    <row r="116" spans="1:6" ht="12.75">
      <c r="A116" s="4">
        <v>115</v>
      </c>
      <c r="B116" s="8" t="str">
        <f ca="1">IFERROR(__xludf.DUMMYFUNCTION("""COMPUTED_VALUE"""),"20220531LAMON")</f>
        <v>20220531LAMON</v>
      </c>
      <c r="C116" s="8" t="str">
        <f ca="1">IFERROR(__xludf.DUMMYFUNCTION("""COMPUTED_VALUE"""),"Wounded")</f>
        <v>Wounded</v>
      </c>
      <c r="D116" s="8" t="str">
        <f ca="1">IFERROR(__xludf.DUMMYFUNCTION("""COMPUTED_VALUE"""),"Male")</f>
        <v>Male</v>
      </c>
      <c r="E116" s="8" t="str">
        <f ca="1">IFERROR(__xludf.DUMMYFUNCTION("""COMPUTED_VALUE"""),"Relative")</f>
        <v>Relative</v>
      </c>
      <c r="F116" s="8" t="str">
        <f ca="1">IFERROR(__xludf.DUMMYFUNCTION("""COMPUTED_VALUE"""),"Adult")</f>
        <v>Adult</v>
      </c>
    </row>
    <row r="117" spans="1:6" ht="12.75">
      <c r="A117" s="4">
        <v>116</v>
      </c>
      <c r="B117" s="8" t="str">
        <f ca="1">IFERROR(__xludf.DUMMYFUNCTION("""COMPUTED_VALUE"""),"20220531LAMON")</f>
        <v>20220531LAMON</v>
      </c>
      <c r="C117" s="8" t="str">
        <f ca="1">IFERROR(__xludf.DUMMYFUNCTION("""COMPUTED_VALUE"""),"Fatal")</f>
        <v>Fatal</v>
      </c>
      <c r="D117" s="8" t="str">
        <f ca="1">IFERROR(__xludf.DUMMYFUNCTION("""COMPUTED_VALUE"""),"Female")</f>
        <v>Female</v>
      </c>
      <c r="E117" s="8" t="str">
        <f ca="1">IFERROR(__xludf.DUMMYFUNCTION("""COMPUTED_VALUE"""),"Relative")</f>
        <v>Relative</v>
      </c>
      <c r="F117" s="8">
        <f ca="1">IFERROR(__xludf.DUMMYFUNCTION("""COMPUTED_VALUE"""),80)</f>
        <v>80</v>
      </c>
    </row>
    <row r="118" spans="1:6" ht="12.75">
      <c r="A118" s="4">
        <v>117</v>
      </c>
      <c r="B118" s="8" t="str">
        <f ca="1">IFERROR(__xludf.DUMMYFUNCTION("""COMPUTED_VALUE"""),"20220530CAHEL")</f>
        <v>20220530CAHEL</v>
      </c>
      <c r="C118" s="8" t="str">
        <f ca="1">IFERROR(__xludf.DUMMYFUNCTION("""COMPUTED_VALUE"""),"Wounded")</f>
        <v>Wounded</v>
      </c>
      <c r="D118" s="8" t="str">
        <f ca="1">IFERROR(__xludf.DUMMYFUNCTION("""COMPUTED_VALUE"""),"Male")</f>
        <v>Male</v>
      </c>
      <c r="E118" s="8" t="str">
        <f ca="1">IFERROR(__xludf.DUMMYFUNCTION("""COMPUTED_VALUE"""),"No Relation")</f>
        <v>No Relation</v>
      </c>
      <c r="F118" s="8">
        <f ca="1">IFERROR(__xludf.DUMMYFUNCTION("""COMPUTED_VALUE"""),20)</f>
        <v>20</v>
      </c>
    </row>
    <row r="119" spans="1:6" ht="12.75">
      <c r="A119" s="4">
        <v>118</v>
      </c>
      <c r="B119" s="8" t="str">
        <f ca="1">IFERROR(__xludf.DUMMYFUNCTION("""COMPUTED_VALUE"""),"20220529ILDAC")</f>
        <v>20220529ILDAC</v>
      </c>
      <c r="C119" s="8" t="str">
        <f ca="1">IFERROR(__xludf.DUMMYFUNCTION("""COMPUTED_VALUE"""),"Wounded")</f>
        <v>Wounded</v>
      </c>
      <c r="D119" s="8" t="str">
        <f ca="1">IFERROR(__xludf.DUMMYFUNCTION("""COMPUTED_VALUE"""),"Male")</f>
        <v>Male</v>
      </c>
      <c r="E119" s="8"/>
      <c r="F119" s="8">
        <f ca="1">IFERROR(__xludf.DUMMYFUNCTION("""COMPUTED_VALUE"""),21)</f>
        <v>21</v>
      </c>
    </row>
    <row r="120" spans="1:6" ht="12.75">
      <c r="A120" s="4">
        <v>119</v>
      </c>
      <c r="B120" s="8" t="str">
        <f ca="1">IFERROR(__xludf.DUMMYFUNCTION("""COMPUTED_VALUE"""),"20220529ILDAC")</f>
        <v>20220529ILDAC</v>
      </c>
      <c r="C120" s="8" t="str">
        <f ca="1">IFERROR(__xludf.DUMMYFUNCTION("""COMPUTED_VALUE"""),"Wounded")</f>
        <v>Wounded</v>
      </c>
      <c r="D120" s="8" t="str">
        <f ca="1">IFERROR(__xludf.DUMMYFUNCTION("""COMPUTED_VALUE"""),"Male")</f>
        <v>Male</v>
      </c>
      <c r="E120" s="8"/>
      <c r="F120" s="8">
        <f ca="1">IFERROR(__xludf.DUMMYFUNCTION("""COMPUTED_VALUE"""),21)</f>
        <v>21</v>
      </c>
    </row>
    <row r="121" spans="1:6" ht="12.75">
      <c r="A121" s="4">
        <v>120</v>
      </c>
      <c r="B121" s="8" t="str">
        <f ca="1">IFERROR(__xludf.DUMMYFUNCTION("""COMPUTED_VALUE"""),"20220529ILDAC")</f>
        <v>20220529ILDAC</v>
      </c>
      <c r="C121" s="8" t="str">
        <f ca="1">IFERROR(__xludf.DUMMYFUNCTION("""COMPUTED_VALUE"""),"Wounded")</f>
        <v>Wounded</v>
      </c>
      <c r="D121" s="8" t="str">
        <f ca="1">IFERROR(__xludf.DUMMYFUNCTION("""COMPUTED_VALUE"""),"Female")</f>
        <v>Female</v>
      </c>
      <c r="E121" s="8"/>
      <c r="F121" s="8">
        <f ca="1">IFERROR(__xludf.DUMMYFUNCTION("""COMPUTED_VALUE"""),21)</f>
        <v>21</v>
      </c>
    </row>
    <row r="122" spans="1:6" ht="12.75">
      <c r="A122" s="4">
        <v>121</v>
      </c>
      <c r="B122" s="8" t="str">
        <f ca="1">IFERROR(__xludf.DUMMYFUNCTION("""COMPUTED_VALUE"""),"20220529ILDAC")</f>
        <v>20220529ILDAC</v>
      </c>
      <c r="C122" s="8" t="str">
        <f ca="1">IFERROR(__xludf.DUMMYFUNCTION("""COMPUTED_VALUE"""),"Wounded")</f>
        <v>Wounded</v>
      </c>
      <c r="D122" s="8" t="str">
        <f ca="1">IFERROR(__xludf.DUMMYFUNCTION("""COMPUTED_VALUE"""),"Female")</f>
        <v>Female</v>
      </c>
      <c r="E122" s="8"/>
      <c r="F122" s="8">
        <f ca="1">IFERROR(__xludf.DUMMYFUNCTION("""COMPUTED_VALUE"""),16)</f>
        <v>16</v>
      </c>
    </row>
    <row r="123" spans="1:6" ht="12.75">
      <c r="A123" s="4">
        <v>122</v>
      </c>
      <c r="B123" s="8" t="str">
        <f ca="1">IFERROR(__xludf.DUMMYFUNCTION("""COMPUTED_VALUE"""),"20220529ILDAC")</f>
        <v>20220529ILDAC</v>
      </c>
      <c r="C123" s="8" t="str">
        <f ca="1">IFERROR(__xludf.DUMMYFUNCTION("""COMPUTED_VALUE"""),"Wounded")</f>
        <v>Wounded</v>
      </c>
      <c r="D123" s="8" t="str">
        <f ca="1">IFERROR(__xludf.DUMMYFUNCTION("""COMPUTED_VALUE"""),"Male")</f>
        <v>Male</v>
      </c>
      <c r="E123" s="8"/>
      <c r="F123" s="8">
        <f ca="1">IFERROR(__xludf.DUMMYFUNCTION("""COMPUTED_VALUE"""),33)</f>
        <v>33</v>
      </c>
    </row>
    <row r="124" spans="1:6" ht="12.75">
      <c r="A124" s="4">
        <v>123</v>
      </c>
      <c r="B124" s="8" t="str">
        <f ca="1">IFERROR(__xludf.DUMMYFUNCTION("""COMPUTED_VALUE"""),"20220526SCMEG")</f>
        <v>20220526SCMEG</v>
      </c>
      <c r="C124" s="8" t="str">
        <f ca="1">IFERROR(__xludf.DUMMYFUNCTION("""COMPUTED_VALUE"""),"Fatal")</f>
        <v>Fatal</v>
      </c>
      <c r="D124" s="8" t="str">
        <f ca="1">IFERROR(__xludf.DUMMYFUNCTION("""COMPUTED_VALUE"""),"Male")</f>
        <v>Male</v>
      </c>
      <c r="E124" s="8" t="str">
        <f ca="1">IFERROR(__xludf.DUMMYFUNCTION("""COMPUTED_VALUE"""),"No Relation")</f>
        <v>No Relation</v>
      </c>
      <c r="F124" s="8">
        <f ca="1">IFERROR(__xludf.DUMMYFUNCTION("""COMPUTED_VALUE"""),31)</f>
        <v>31</v>
      </c>
    </row>
    <row r="125" spans="1:6" ht="12.75">
      <c r="A125" s="4">
        <v>124</v>
      </c>
      <c r="B125" s="8" t="str">
        <f ca="1">IFERROR(__xludf.DUMMYFUNCTION("""COMPUTED_VALUE"""),"20220524TXROU")</f>
        <v>20220524TXROU</v>
      </c>
      <c r="C125" s="8" t="str">
        <f ca="1">IFERROR(__xludf.DUMMYFUNCTION("""COMPUTED_VALUE"""),"Wounded")</f>
        <v>Wounded</v>
      </c>
      <c r="D125" s="8"/>
      <c r="E125" s="8"/>
      <c r="F125" s="8"/>
    </row>
    <row r="126" spans="1:6" ht="12.75">
      <c r="A126" s="4">
        <v>125</v>
      </c>
      <c r="B126" s="8" t="str">
        <f ca="1">IFERROR(__xludf.DUMMYFUNCTION("""COMPUTED_VALUE"""),"20220524TXROU")</f>
        <v>20220524TXROU</v>
      </c>
      <c r="C126" s="8" t="str">
        <f ca="1">IFERROR(__xludf.DUMMYFUNCTION("""COMPUTED_VALUE"""),"Fatal")</f>
        <v>Fatal</v>
      </c>
      <c r="D126" s="8"/>
      <c r="E126" s="8" t="str">
        <f ca="1">IFERROR(__xludf.DUMMYFUNCTION("""COMPUTED_VALUE"""),"Student")</f>
        <v>Student</v>
      </c>
      <c r="F126" s="8" t="str">
        <f ca="1">IFERROR(__xludf.DUMMYFUNCTION("""COMPUTED_VALUE"""),"Child")</f>
        <v>Child</v>
      </c>
    </row>
    <row r="127" spans="1:6" ht="12.75">
      <c r="A127" s="4">
        <v>126</v>
      </c>
      <c r="B127" s="8" t="str">
        <f ca="1">IFERROR(__xludf.DUMMYFUNCTION("""COMPUTED_VALUE"""),"20220524TXROU")</f>
        <v>20220524TXROU</v>
      </c>
      <c r="C127" s="8" t="str">
        <f ca="1">IFERROR(__xludf.DUMMYFUNCTION("""COMPUTED_VALUE"""),"Wounded")</f>
        <v>Wounded</v>
      </c>
      <c r="D127" s="8"/>
      <c r="E127" s="8" t="str">
        <f ca="1">IFERROR(__xludf.DUMMYFUNCTION("""COMPUTED_VALUE"""),"Student")</f>
        <v>Student</v>
      </c>
      <c r="F127" s="8" t="str">
        <f ca="1">IFERROR(__xludf.DUMMYFUNCTION("""COMPUTED_VALUE"""),"Child")</f>
        <v>Child</v>
      </c>
    </row>
    <row r="128" spans="1:6" ht="12.75">
      <c r="A128" s="4">
        <v>127</v>
      </c>
      <c r="B128" s="8" t="str">
        <f ca="1">IFERROR(__xludf.DUMMYFUNCTION("""COMPUTED_VALUE"""),"20220524TXROU")</f>
        <v>20220524TXROU</v>
      </c>
      <c r="C128" s="8" t="str">
        <f ca="1">IFERROR(__xludf.DUMMYFUNCTION("""COMPUTED_VALUE"""),"Fatal")</f>
        <v>Fatal</v>
      </c>
      <c r="D128" s="8"/>
      <c r="E128" s="8" t="str">
        <f ca="1">IFERROR(__xludf.DUMMYFUNCTION("""COMPUTED_VALUE"""),"Student")</f>
        <v>Student</v>
      </c>
      <c r="F128" s="8" t="str">
        <f ca="1">IFERROR(__xludf.DUMMYFUNCTION("""COMPUTED_VALUE"""),"Child")</f>
        <v>Child</v>
      </c>
    </row>
    <row r="129" spans="1:6" ht="12.75">
      <c r="A129" s="4">
        <v>128</v>
      </c>
      <c r="B129" s="8" t="str">
        <f ca="1">IFERROR(__xludf.DUMMYFUNCTION("""COMPUTED_VALUE"""),"20220524TXROU")</f>
        <v>20220524TXROU</v>
      </c>
      <c r="C129" s="8" t="str">
        <f ca="1">IFERROR(__xludf.DUMMYFUNCTION("""COMPUTED_VALUE"""),"Fatal")</f>
        <v>Fatal</v>
      </c>
      <c r="D129" s="8"/>
      <c r="E129" s="8" t="str">
        <f ca="1">IFERROR(__xludf.DUMMYFUNCTION("""COMPUTED_VALUE"""),"Student")</f>
        <v>Student</v>
      </c>
      <c r="F129" s="8" t="str">
        <f ca="1">IFERROR(__xludf.DUMMYFUNCTION("""COMPUTED_VALUE"""),"Child")</f>
        <v>Child</v>
      </c>
    </row>
    <row r="130" spans="1:6" ht="12.75">
      <c r="A130" s="4">
        <v>129</v>
      </c>
      <c r="B130" s="8" t="str">
        <f ca="1">IFERROR(__xludf.DUMMYFUNCTION("""COMPUTED_VALUE"""),"20220524TXROU")</f>
        <v>20220524TXROU</v>
      </c>
      <c r="C130" s="8" t="str">
        <f ca="1">IFERROR(__xludf.DUMMYFUNCTION("""COMPUTED_VALUE"""),"Wounded")</f>
        <v>Wounded</v>
      </c>
      <c r="D130" s="8"/>
      <c r="E130" s="8"/>
      <c r="F130" s="8"/>
    </row>
    <row r="131" spans="1:6" ht="12.75">
      <c r="A131" s="4">
        <v>130</v>
      </c>
      <c r="B131" s="8" t="str">
        <f ca="1">IFERROR(__xludf.DUMMYFUNCTION("""COMPUTED_VALUE"""),"20220524TXROU")</f>
        <v>20220524TXROU</v>
      </c>
      <c r="C131" s="8" t="str">
        <f ca="1">IFERROR(__xludf.DUMMYFUNCTION("""COMPUTED_VALUE"""),"Fatal")</f>
        <v>Fatal</v>
      </c>
      <c r="D131" s="8"/>
      <c r="E131" s="8" t="str">
        <f ca="1">IFERROR(__xludf.DUMMYFUNCTION("""COMPUTED_VALUE"""),"Student")</f>
        <v>Student</v>
      </c>
      <c r="F131" s="8" t="str">
        <f ca="1">IFERROR(__xludf.DUMMYFUNCTION("""COMPUTED_VALUE"""),"Child")</f>
        <v>Child</v>
      </c>
    </row>
    <row r="132" spans="1:6" ht="12.75">
      <c r="A132" s="4">
        <v>131</v>
      </c>
      <c r="B132" s="8" t="str">
        <f ca="1">IFERROR(__xludf.DUMMYFUNCTION("""COMPUTED_VALUE"""),"20220524TXROU")</f>
        <v>20220524TXROU</v>
      </c>
      <c r="C132" s="8" t="str">
        <f ca="1">IFERROR(__xludf.DUMMYFUNCTION("""COMPUTED_VALUE"""),"Wounded")</f>
        <v>Wounded</v>
      </c>
      <c r="D132" s="8"/>
      <c r="E132" s="8"/>
      <c r="F132" s="8"/>
    </row>
    <row r="133" spans="1:6" ht="12.75">
      <c r="A133" s="4">
        <v>132</v>
      </c>
      <c r="B133" s="8" t="str">
        <f ca="1">IFERROR(__xludf.DUMMYFUNCTION("""COMPUTED_VALUE"""),"20220524TXROU")</f>
        <v>20220524TXROU</v>
      </c>
      <c r="C133" s="8" t="str">
        <f ca="1">IFERROR(__xludf.DUMMYFUNCTION("""COMPUTED_VALUE"""),"Wounded")</f>
        <v>Wounded</v>
      </c>
      <c r="D133" s="8"/>
      <c r="E133" s="8" t="str">
        <f ca="1">IFERROR(__xludf.DUMMYFUNCTION("""COMPUTED_VALUE"""),"Student")</f>
        <v>Student</v>
      </c>
      <c r="F133" s="8" t="str">
        <f ca="1">IFERROR(__xludf.DUMMYFUNCTION("""COMPUTED_VALUE"""),"Child")</f>
        <v>Child</v>
      </c>
    </row>
    <row r="134" spans="1:6" ht="12.75">
      <c r="A134" s="4">
        <v>133</v>
      </c>
      <c r="B134" s="8" t="str">
        <f ca="1">IFERROR(__xludf.DUMMYFUNCTION("""COMPUTED_VALUE"""),"20220524TXROU")</f>
        <v>20220524TXROU</v>
      </c>
      <c r="C134" s="8" t="str">
        <f ca="1">IFERROR(__xludf.DUMMYFUNCTION("""COMPUTED_VALUE"""),"Wounded")</f>
        <v>Wounded</v>
      </c>
      <c r="D134" s="8"/>
      <c r="E134" s="8"/>
      <c r="F134" s="8"/>
    </row>
    <row r="135" spans="1:6" ht="12.75">
      <c r="A135" s="4">
        <v>134</v>
      </c>
      <c r="B135" s="8" t="str">
        <f ca="1">IFERROR(__xludf.DUMMYFUNCTION("""COMPUTED_VALUE"""),"20220524TXROU")</f>
        <v>20220524TXROU</v>
      </c>
      <c r="C135" s="8" t="str">
        <f ca="1">IFERROR(__xludf.DUMMYFUNCTION("""COMPUTED_VALUE"""),"Fatal")</f>
        <v>Fatal</v>
      </c>
      <c r="D135" s="8"/>
      <c r="E135" s="8" t="str">
        <f ca="1">IFERROR(__xludf.DUMMYFUNCTION("""COMPUTED_VALUE"""),"Student")</f>
        <v>Student</v>
      </c>
      <c r="F135" s="8" t="str">
        <f ca="1">IFERROR(__xludf.DUMMYFUNCTION("""COMPUTED_VALUE"""),"Child")</f>
        <v>Child</v>
      </c>
    </row>
    <row r="136" spans="1:6" ht="12.75">
      <c r="A136" s="4">
        <v>135</v>
      </c>
      <c r="B136" s="8" t="str">
        <f ca="1">IFERROR(__xludf.DUMMYFUNCTION("""COMPUTED_VALUE"""),"20220524TXROU")</f>
        <v>20220524TXROU</v>
      </c>
      <c r="C136" s="8" t="str">
        <f ca="1">IFERROR(__xludf.DUMMYFUNCTION("""COMPUTED_VALUE"""),"Fatal")</f>
        <v>Fatal</v>
      </c>
      <c r="D136" s="8"/>
      <c r="E136" s="8" t="str">
        <f ca="1">IFERROR(__xludf.DUMMYFUNCTION("""COMPUTED_VALUE"""),"Student")</f>
        <v>Student</v>
      </c>
      <c r="F136" s="8" t="str">
        <f ca="1">IFERROR(__xludf.DUMMYFUNCTION("""COMPUTED_VALUE"""),"Child")</f>
        <v>Child</v>
      </c>
    </row>
    <row r="137" spans="1:6" ht="12.75">
      <c r="A137" s="4">
        <v>136</v>
      </c>
      <c r="B137" s="8" t="str">
        <f ca="1">IFERROR(__xludf.DUMMYFUNCTION("""COMPUTED_VALUE"""),"20220524TXROU")</f>
        <v>20220524TXROU</v>
      </c>
      <c r="C137" s="8" t="str">
        <f ca="1">IFERROR(__xludf.DUMMYFUNCTION("""COMPUTED_VALUE"""),"Fatal")</f>
        <v>Fatal</v>
      </c>
      <c r="D137" s="8"/>
      <c r="E137" s="8" t="str">
        <f ca="1">IFERROR(__xludf.DUMMYFUNCTION("""COMPUTED_VALUE"""),"Student")</f>
        <v>Student</v>
      </c>
      <c r="F137" s="8" t="str">
        <f ca="1">IFERROR(__xludf.DUMMYFUNCTION("""COMPUTED_VALUE"""),"Child")</f>
        <v>Child</v>
      </c>
    </row>
    <row r="138" spans="1:6" ht="12.75">
      <c r="A138" s="4">
        <v>137</v>
      </c>
      <c r="B138" s="8" t="str">
        <f ca="1">IFERROR(__xludf.DUMMYFUNCTION("""COMPUTED_VALUE"""),"20220524TXROU")</f>
        <v>20220524TXROU</v>
      </c>
      <c r="C138" s="8" t="str">
        <f ca="1">IFERROR(__xludf.DUMMYFUNCTION("""COMPUTED_VALUE"""),"Wounded")</f>
        <v>Wounded</v>
      </c>
      <c r="D138" s="8"/>
      <c r="E138" s="8"/>
      <c r="F138" s="8"/>
    </row>
    <row r="139" spans="1:6" ht="12.75">
      <c r="A139" s="4">
        <v>138</v>
      </c>
      <c r="B139" s="8" t="str">
        <f ca="1">IFERROR(__xludf.DUMMYFUNCTION("""COMPUTED_VALUE"""),"20220524TXROU")</f>
        <v>20220524TXROU</v>
      </c>
      <c r="C139" s="8" t="str">
        <f ca="1">IFERROR(__xludf.DUMMYFUNCTION("""COMPUTED_VALUE"""),"Fatal")</f>
        <v>Fatal</v>
      </c>
      <c r="D139" s="8"/>
      <c r="E139" s="8" t="str">
        <f ca="1">IFERROR(__xludf.DUMMYFUNCTION("""COMPUTED_VALUE"""),"Student")</f>
        <v>Student</v>
      </c>
      <c r="F139" s="8" t="str">
        <f ca="1">IFERROR(__xludf.DUMMYFUNCTION("""COMPUTED_VALUE"""),"Child")</f>
        <v>Child</v>
      </c>
    </row>
    <row r="140" spans="1:6" ht="12.75">
      <c r="A140" s="4">
        <v>139</v>
      </c>
      <c r="B140" s="8" t="str">
        <f ca="1">IFERROR(__xludf.DUMMYFUNCTION("""COMPUTED_VALUE"""),"20220524TXROU")</f>
        <v>20220524TXROU</v>
      </c>
      <c r="C140" s="8" t="str">
        <f ca="1">IFERROR(__xludf.DUMMYFUNCTION("""COMPUTED_VALUE"""),"Wounded")</f>
        <v>Wounded</v>
      </c>
      <c r="D140" s="8"/>
      <c r="E140" s="8"/>
      <c r="F140" s="8"/>
    </row>
    <row r="141" spans="1:6" ht="12.75">
      <c r="A141" s="4">
        <v>140</v>
      </c>
      <c r="B141" s="8" t="str">
        <f ca="1">IFERROR(__xludf.DUMMYFUNCTION("""COMPUTED_VALUE"""),"20220524TXROU")</f>
        <v>20220524TXROU</v>
      </c>
      <c r="C141" s="8" t="str">
        <f ca="1">IFERROR(__xludf.DUMMYFUNCTION("""COMPUTED_VALUE"""),"Wounded")</f>
        <v>Wounded</v>
      </c>
      <c r="D141" s="8"/>
      <c r="E141" s="8" t="str">
        <f ca="1">IFERROR(__xludf.DUMMYFUNCTION("""COMPUTED_VALUE"""),"Student")</f>
        <v>Student</v>
      </c>
      <c r="F141" s="8" t="str">
        <f ca="1">IFERROR(__xludf.DUMMYFUNCTION("""COMPUTED_VALUE"""),"Child")</f>
        <v>Child</v>
      </c>
    </row>
    <row r="142" spans="1:6" ht="12.75">
      <c r="A142" s="4">
        <v>141</v>
      </c>
      <c r="B142" s="8" t="str">
        <f ca="1">IFERROR(__xludf.DUMMYFUNCTION("""COMPUTED_VALUE"""),"20220524TXROU")</f>
        <v>20220524TXROU</v>
      </c>
      <c r="C142" s="8" t="str">
        <f ca="1">IFERROR(__xludf.DUMMYFUNCTION("""COMPUTED_VALUE"""),"Fatal")</f>
        <v>Fatal</v>
      </c>
      <c r="D142" s="8"/>
      <c r="E142" s="8" t="str">
        <f ca="1">IFERROR(__xludf.DUMMYFUNCTION("""COMPUTED_VALUE"""),"Student")</f>
        <v>Student</v>
      </c>
      <c r="F142" s="8" t="str">
        <f ca="1">IFERROR(__xludf.DUMMYFUNCTION("""COMPUTED_VALUE"""),"Child")</f>
        <v>Child</v>
      </c>
    </row>
    <row r="143" spans="1:6" ht="12.75">
      <c r="A143" s="4">
        <v>142</v>
      </c>
      <c r="B143" s="8" t="str">
        <f ca="1">IFERROR(__xludf.DUMMYFUNCTION("""COMPUTED_VALUE"""),"20220524TXROU")</f>
        <v>20220524TXROU</v>
      </c>
      <c r="C143" s="8" t="str">
        <f ca="1">IFERROR(__xludf.DUMMYFUNCTION("""COMPUTED_VALUE"""),"Wounded")</f>
        <v>Wounded</v>
      </c>
      <c r="D143" s="8"/>
      <c r="E143" s="8"/>
      <c r="F143" s="8"/>
    </row>
    <row r="144" spans="1:6" ht="12.75">
      <c r="A144" s="4">
        <v>143</v>
      </c>
      <c r="B144" s="8" t="str">
        <f ca="1">IFERROR(__xludf.DUMMYFUNCTION("""COMPUTED_VALUE"""),"20220524TXROU")</f>
        <v>20220524TXROU</v>
      </c>
      <c r="C144" s="8" t="str">
        <f ca="1">IFERROR(__xludf.DUMMYFUNCTION("""COMPUTED_VALUE"""),"Fatal")</f>
        <v>Fatal</v>
      </c>
      <c r="D144" s="8"/>
      <c r="E144" s="8" t="str">
        <f ca="1">IFERROR(__xludf.DUMMYFUNCTION("""COMPUTED_VALUE"""),"Student")</f>
        <v>Student</v>
      </c>
      <c r="F144" s="8" t="str">
        <f ca="1">IFERROR(__xludf.DUMMYFUNCTION("""COMPUTED_VALUE"""),"Child")</f>
        <v>Child</v>
      </c>
    </row>
    <row r="145" spans="1:6" ht="12.75">
      <c r="A145" s="4">
        <v>144</v>
      </c>
      <c r="B145" s="8" t="str">
        <f ca="1">IFERROR(__xludf.DUMMYFUNCTION("""COMPUTED_VALUE"""),"20220524TXROU")</f>
        <v>20220524TXROU</v>
      </c>
      <c r="C145" s="8" t="str">
        <f ca="1">IFERROR(__xludf.DUMMYFUNCTION("""COMPUTED_VALUE"""),"Fatal")</f>
        <v>Fatal</v>
      </c>
      <c r="D145" s="8"/>
      <c r="E145" s="8" t="str">
        <f ca="1">IFERROR(__xludf.DUMMYFUNCTION("""COMPUTED_VALUE"""),"Student")</f>
        <v>Student</v>
      </c>
      <c r="F145" s="8" t="str">
        <f ca="1">IFERROR(__xludf.DUMMYFUNCTION("""COMPUTED_VALUE"""),"Child")</f>
        <v>Child</v>
      </c>
    </row>
    <row r="146" spans="1:6" ht="12.75">
      <c r="A146" s="4">
        <v>145</v>
      </c>
      <c r="B146" s="8" t="str">
        <f ca="1">IFERROR(__xludf.DUMMYFUNCTION("""COMPUTED_VALUE"""),"20220524TXROU")</f>
        <v>20220524TXROU</v>
      </c>
      <c r="C146" s="8" t="str">
        <f ca="1">IFERROR(__xludf.DUMMYFUNCTION("""COMPUTED_VALUE"""),"Fatal")</f>
        <v>Fatal</v>
      </c>
      <c r="D146" s="8"/>
      <c r="E146" s="8" t="str">
        <f ca="1">IFERROR(__xludf.DUMMYFUNCTION("""COMPUTED_VALUE"""),"Student")</f>
        <v>Student</v>
      </c>
      <c r="F146" s="8" t="str">
        <f ca="1">IFERROR(__xludf.DUMMYFUNCTION("""COMPUTED_VALUE"""),"Child")</f>
        <v>Child</v>
      </c>
    </row>
    <row r="147" spans="1:6" ht="12.75">
      <c r="A147" s="4">
        <v>146</v>
      </c>
      <c r="B147" s="8" t="str">
        <f ca="1">IFERROR(__xludf.DUMMYFUNCTION("""COMPUTED_VALUE"""),"20220524TXROU")</f>
        <v>20220524TXROU</v>
      </c>
      <c r="C147" s="8" t="str">
        <f ca="1">IFERROR(__xludf.DUMMYFUNCTION("""COMPUTED_VALUE"""),"Wounded")</f>
        <v>Wounded</v>
      </c>
      <c r="D147" s="8"/>
      <c r="E147" s="8"/>
      <c r="F147" s="8"/>
    </row>
    <row r="148" spans="1:6" ht="12.75">
      <c r="A148" s="4">
        <v>147</v>
      </c>
      <c r="B148" s="8" t="str">
        <f ca="1">IFERROR(__xludf.DUMMYFUNCTION("""COMPUTED_VALUE"""),"20220524TXROU")</f>
        <v>20220524TXROU</v>
      </c>
      <c r="C148" s="8" t="str">
        <f ca="1">IFERROR(__xludf.DUMMYFUNCTION("""COMPUTED_VALUE"""),"Wounded")</f>
        <v>Wounded</v>
      </c>
      <c r="D148" s="8"/>
      <c r="E148" s="8"/>
      <c r="F148" s="8" t="str">
        <f ca="1">IFERROR(__xludf.DUMMYFUNCTION("""COMPUTED_VALUE"""),"Adult")</f>
        <v>Adult</v>
      </c>
    </row>
    <row r="149" spans="1:6" ht="12.75">
      <c r="A149" s="4">
        <v>148</v>
      </c>
      <c r="B149" s="8" t="str">
        <f ca="1">IFERROR(__xludf.DUMMYFUNCTION("""COMPUTED_VALUE"""),"20220524TXROU")</f>
        <v>20220524TXROU</v>
      </c>
      <c r="C149" s="8" t="str">
        <f ca="1">IFERROR(__xludf.DUMMYFUNCTION("""COMPUTED_VALUE"""),"Fatal")</f>
        <v>Fatal</v>
      </c>
      <c r="D149" s="8"/>
      <c r="E149" s="8" t="str">
        <f ca="1">IFERROR(__xludf.DUMMYFUNCTION("""COMPUTED_VALUE"""),"Student")</f>
        <v>Student</v>
      </c>
      <c r="F149" s="8" t="str">
        <f ca="1">IFERROR(__xludf.DUMMYFUNCTION("""COMPUTED_VALUE"""),"Child")</f>
        <v>Child</v>
      </c>
    </row>
    <row r="150" spans="1:6" ht="12.75">
      <c r="A150" s="4">
        <v>149</v>
      </c>
      <c r="B150" s="8" t="str">
        <f ca="1">IFERROR(__xludf.DUMMYFUNCTION("""COMPUTED_VALUE"""),"20220524TXROU")</f>
        <v>20220524TXROU</v>
      </c>
      <c r="C150" s="8" t="str">
        <f ca="1">IFERROR(__xludf.DUMMYFUNCTION("""COMPUTED_VALUE"""),"Wounded")</f>
        <v>Wounded</v>
      </c>
      <c r="D150" s="8"/>
      <c r="E150" s="8"/>
      <c r="F150" s="8"/>
    </row>
    <row r="151" spans="1:6" ht="12.75">
      <c r="A151" s="4">
        <v>150</v>
      </c>
      <c r="B151" s="8" t="str">
        <f ca="1">IFERROR(__xludf.DUMMYFUNCTION("""COMPUTED_VALUE"""),"20220524TXROU")</f>
        <v>20220524TXROU</v>
      </c>
      <c r="C151" s="8" t="str">
        <f ca="1">IFERROR(__xludf.DUMMYFUNCTION("""COMPUTED_VALUE"""),"Fatal")</f>
        <v>Fatal</v>
      </c>
      <c r="D151" s="8"/>
      <c r="E151" s="8" t="str">
        <f ca="1">IFERROR(__xludf.DUMMYFUNCTION("""COMPUTED_VALUE"""),"Student")</f>
        <v>Student</v>
      </c>
      <c r="F151" s="8" t="str">
        <f ca="1">IFERROR(__xludf.DUMMYFUNCTION("""COMPUTED_VALUE"""),"Child")</f>
        <v>Child</v>
      </c>
    </row>
    <row r="152" spans="1:6" ht="12.75">
      <c r="A152" s="4">
        <v>151</v>
      </c>
      <c r="B152" s="8" t="str">
        <f ca="1">IFERROR(__xludf.DUMMYFUNCTION("""COMPUTED_VALUE"""),"20220524TXROU")</f>
        <v>20220524TXROU</v>
      </c>
      <c r="C152" s="8" t="str">
        <f ca="1">IFERROR(__xludf.DUMMYFUNCTION("""COMPUTED_VALUE"""),"Fatal")</f>
        <v>Fatal</v>
      </c>
      <c r="D152" s="8" t="str">
        <f ca="1">IFERROR(__xludf.DUMMYFUNCTION("""COMPUTED_VALUE"""),"Female")</f>
        <v>Female</v>
      </c>
      <c r="E152" s="8" t="str">
        <f ca="1">IFERROR(__xludf.DUMMYFUNCTION("""COMPUTED_VALUE"""),"Teacher")</f>
        <v>Teacher</v>
      </c>
      <c r="F152" s="8" t="str">
        <f ca="1">IFERROR(__xludf.DUMMYFUNCTION("""COMPUTED_VALUE"""),"Adult")</f>
        <v>Adult</v>
      </c>
    </row>
    <row r="153" spans="1:6" ht="12.75">
      <c r="A153" s="4">
        <v>152</v>
      </c>
      <c r="B153" s="8" t="str">
        <f ca="1">IFERROR(__xludf.DUMMYFUNCTION("""COMPUTED_VALUE"""),"20220524TXROU")</f>
        <v>20220524TXROU</v>
      </c>
      <c r="C153" s="8" t="str">
        <f ca="1">IFERROR(__xludf.DUMMYFUNCTION("""COMPUTED_VALUE"""),"Fatal")</f>
        <v>Fatal</v>
      </c>
      <c r="D153" s="8"/>
      <c r="E153" s="8" t="str">
        <f ca="1">IFERROR(__xludf.DUMMYFUNCTION("""COMPUTED_VALUE"""),"Student")</f>
        <v>Student</v>
      </c>
      <c r="F153" s="8" t="str">
        <f ca="1">IFERROR(__xludf.DUMMYFUNCTION("""COMPUTED_VALUE"""),"Child")</f>
        <v>Child</v>
      </c>
    </row>
    <row r="154" spans="1:6" ht="12.75">
      <c r="A154" s="4">
        <v>153</v>
      </c>
      <c r="B154" s="8" t="str">
        <f ca="1">IFERROR(__xludf.DUMMYFUNCTION("""COMPUTED_VALUE"""),"20220524TXROU")</f>
        <v>20220524TXROU</v>
      </c>
      <c r="C154" s="8" t="str">
        <f ca="1">IFERROR(__xludf.DUMMYFUNCTION("""COMPUTED_VALUE"""),"Wounded")</f>
        <v>Wounded</v>
      </c>
      <c r="D154" s="8"/>
      <c r="E154" s="8"/>
      <c r="F154" s="8"/>
    </row>
    <row r="155" spans="1:6" ht="12.75">
      <c r="A155" s="4">
        <v>154</v>
      </c>
      <c r="B155" s="8" t="str">
        <f ca="1">IFERROR(__xludf.DUMMYFUNCTION("""COMPUTED_VALUE"""),"20220524TXROU")</f>
        <v>20220524TXROU</v>
      </c>
      <c r="C155" s="8" t="str">
        <f ca="1">IFERROR(__xludf.DUMMYFUNCTION("""COMPUTED_VALUE"""),"Wounded")</f>
        <v>Wounded</v>
      </c>
      <c r="D155" s="8"/>
      <c r="E155" s="8"/>
      <c r="F155" s="8"/>
    </row>
    <row r="156" spans="1:6" ht="12.75">
      <c r="A156" s="4">
        <v>155</v>
      </c>
      <c r="B156" s="8" t="str">
        <f ca="1">IFERROR(__xludf.DUMMYFUNCTION("""COMPUTED_VALUE"""),"20220524TXROU")</f>
        <v>20220524TXROU</v>
      </c>
      <c r="C156" s="8" t="str">
        <f ca="1">IFERROR(__xludf.DUMMYFUNCTION("""COMPUTED_VALUE"""),"Fatal")</f>
        <v>Fatal</v>
      </c>
      <c r="D156" s="8"/>
      <c r="E156" s="8" t="str">
        <f ca="1">IFERROR(__xludf.DUMMYFUNCTION("""COMPUTED_VALUE"""),"Student")</f>
        <v>Student</v>
      </c>
      <c r="F156" s="8" t="str">
        <f ca="1">IFERROR(__xludf.DUMMYFUNCTION("""COMPUTED_VALUE"""),"Child")</f>
        <v>Child</v>
      </c>
    </row>
    <row r="157" spans="1:6" ht="12.75">
      <c r="A157" s="4">
        <v>156</v>
      </c>
      <c r="B157" s="8" t="str">
        <f ca="1">IFERROR(__xludf.DUMMYFUNCTION("""COMPUTED_VALUE"""),"20220524TXROU")</f>
        <v>20220524TXROU</v>
      </c>
      <c r="C157" s="8" t="str">
        <f ca="1">IFERROR(__xludf.DUMMYFUNCTION("""COMPUTED_VALUE"""),"Wounded")</f>
        <v>Wounded</v>
      </c>
      <c r="D157" s="8"/>
      <c r="E157" s="8"/>
      <c r="F157" s="8"/>
    </row>
    <row r="158" spans="1:6" ht="12.75">
      <c r="A158" s="4">
        <v>157</v>
      </c>
      <c r="B158" s="8" t="str">
        <f ca="1">IFERROR(__xludf.DUMMYFUNCTION("""COMPUTED_VALUE"""),"20220524TXROU")</f>
        <v>20220524TXROU</v>
      </c>
      <c r="C158" s="8" t="str">
        <f ca="1">IFERROR(__xludf.DUMMYFUNCTION("""COMPUTED_VALUE"""),"Fatal")</f>
        <v>Fatal</v>
      </c>
      <c r="D158" s="8"/>
      <c r="E158" s="8" t="str">
        <f ca="1">IFERROR(__xludf.DUMMYFUNCTION("""COMPUTED_VALUE"""),"Student")</f>
        <v>Student</v>
      </c>
      <c r="F158" s="8" t="str">
        <f ca="1">IFERROR(__xludf.DUMMYFUNCTION("""COMPUTED_VALUE"""),"Child")</f>
        <v>Child</v>
      </c>
    </row>
    <row r="159" spans="1:6" ht="12.75">
      <c r="A159" s="4">
        <v>158</v>
      </c>
      <c r="B159" s="8" t="str">
        <f ca="1">IFERROR(__xludf.DUMMYFUNCTION("""COMPUTED_VALUE"""),"20220524TXROU")</f>
        <v>20220524TXROU</v>
      </c>
      <c r="C159" s="8" t="str">
        <f ca="1">IFERROR(__xludf.DUMMYFUNCTION("""COMPUTED_VALUE"""),"Fatal")</f>
        <v>Fatal</v>
      </c>
      <c r="D159" s="8"/>
      <c r="E159" s="8" t="str">
        <f ca="1">IFERROR(__xludf.DUMMYFUNCTION("""COMPUTED_VALUE"""),"Teacher")</f>
        <v>Teacher</v>
      </c>
      <c r="F159" s="8" t="str">
        <f ca="1">IFERROR(__xludf.DUMMYFUNCTION("""COMPUTED_VALUE"""),"Adult")</f>
        <v>Adult</v>
      </c>
    </row>
    <row r="160" spans="1:6" ht="12.75">
      <c r="A160" s="4">
        <v>159</v>
      </c>
      <c r="B160" s="8" t="str">
        <f ca="1">IFERROR(__xludf.DUMMYFUNCTION("""COMPUTED_VALUE"""),"20220524TXROU")</f>
        <v>20220524TXROU</v>
      </c>
      <c r="C160" s="8" t="str">
        <f ca="1">IFERROR(__xludf.DUMMYFUNCTION("""COMPUTED_VALUE"""),"Fatal")</f>
        <v>Fatal</v>
      </c>
      <c r="D160" s="8"/>
      <c r="E160" s="8" t="str">
        <f ca="1">IFERROR(__xludf.DUMMYFUNCTION("""COMPUTED_VALUE"""),"Student")</f>
        <v>Student</v>
      </c>
      <c r="F160" s="8" t="str">
        <f ca="1">IFERROR(__xludf.DUMMYFUNCTION("""COMPUTED_VALUE"""),"Child")</f>
        <v>Child</v>
      </c>
    </row>
    <row r="161" spans="1:6" ht="12.75">
      <c r="A161" s="4">
        <v>160</v>
      </c>
      <c r="B161" s="8" t="str">
        <f ca="1">IFERROR(__xludf.DUMMYFUNCTION("""COMPUTED_VALUE"""),"20220524TXROU")</f>
        <v>20220524TXROU</v>
      </c>
      <c r="C161" s="8" t="str">
        <f ca="1">IFERROR(__xludf.DUMMYFUNCTION("""COMPUTED_VALUE"""),"Wounded")</f>
        <v>Wounded</v>
      </c>
      <c r="D161" s="8"/>
      <c r="E161" s="8"/>
      <c r="F161" s="8"/>
    </row>
    <row r="162" spans="1:6" ht="12.75">
      <c r="A162" s="4">
        <v>161</v>
      </c>
      <c r="B162" s="8" t="str">
        <f ca="1">IFERROR(__xludf.DUMMYFUNCTION("""COMPUTED_VALUE"""),"20220524TXROU")</f>
        <v>20220524TXROU</v>
      </c>
      <c r="C162" s="8" t="str">
        <f ca="1">IFERROR(__xludf.DUMMYFUNCTION("""COMPUTED_VALUE"""),"Fatal")</f>
        <v>Fatal</v>
      </c>
      <c r="D162" s="8"/>
      <c r="E162" s="8" t="str">
        <f ca="1">IFERROR(__xludf.DUMMYFUNCTION("""COMPUTED_VALUE"""),"Student")</f>
        <v>Student</v>
      </c>
      <c r="F162" s="8" t="str">
        <f ca="1">IFERROR(__xludf.DUMMYFUNCTION("""COMPUTED_VALUE"""),"Child")</f>
        <v>Child</v>
      </c>
    </row>
    <row r="163" spans="1:6" ht="12.75">
      <c r="A163" s="4">
        <v>162</v>
      </c>
      <c r="B163" s="8" t="str">
        <f ca="1">IFERROR(__xludf.DUMMYFUNCTION("""COMPUTED_VALUE"""),"20220524TXROU")</f>
        <v>20220524TXROU</v>
      </c>
      <c r="C163" s="8" t="str">
        <f ca="1">IFERROR(__xludf.DUMMYFUNCTION("""COMPUTED_VALUE"""),"Wounded")</f>
        <v>Wounded</v>
      </c>
      <c r="D163" s="8"/>
      <c r="E163" s="8"/>
      <c r="F163" s="8"/>
    </row>
    <row r="164" spans="1:6" ht="12.75">
      <c r="A164" s="4">
        <v>163</v>
      </c>
      <c r="B164" s="8" t="str">
        <f ca="1">IFERROR(__xludf.DUMMYFUNCTION("""COMPUTED_VALUE"""),"20220524DCPOW")</f>
        <v>20220524DCPOW</v>
      </c>
      <c r="C164" s="8" t="str">
        <f ca="1">IFERROR(__xludf.DUMMYFUNCTION("""COMPUTED_VALUE"""),"Wounded")</f>
        <v>Wounded</v>
      </c>
      <c r="D164" s="8" t="str">
        <f ca="1">IFERROR(__xludf.DUMMYFUNCTION("""COMPUTED_VALUE"""),"Male")</f>
        <v>Male</v>
      </c>
      <c r="E164" s="8" t="str">
        <f ca="1">IFERROR(__xludf.DUMMYFUNCTION("""COMPUTED_VALUE"""),"No Relation")</f>
        <v>No Relation</v>
      </c>
      <c r="F164" s="8">
        <f ca="1">IFERROR(__xludf.DUMMYFUNCTION("""COMPUTED_VALUE"""),19)</f>
        <v>19</v>
      </c>
    </row>
    <row r="165" spans="1:6" ht="12.75">
      <c r="A165" s="4">
        <v>164</v>
      </c>
      <c r="B165" s="8" t="str">
        <f ca="1">IFERROR(__xludf.DUMMYFUNCTION("""COMPUTED_VALUE"""),"20220523PASIP")</f>
        <v>20220523PASIP</v>
      </c>
      <c r="C165" s="8" t="str">
        <f ca="1">IFERROR(__xludf.DUMMYFUNCTION("""COMPUTED_VALUE"""),"Wounded")</f>
        <v>Wounded</v>
      </c>
      <c r="D165" s="8" t="str">
        <f ca="1">IFERROR(__xludf.DUMMYFUNCTION("""COMPUTED_VALUE"""),"Male")</f>
        <v>Male</v>
      </c>
      <c r="E165" s="8" t="str">
        <f ca="1">IFERROR(__xludf.DUMMYFUNCTION("""COMPUTED_VALUE"""),"Student")</f>
        <v>Student</v>
      </c>
      <c r="F165" s="8">
        <f ca="1">IFERROR(__xludf.DUMMYFUNCTION("""COMPUTED_VALUE"""),15)</f>
        <v>15</v>
      </c>
    </row>
    <row r="166" spans="1:6" ht="12.75">
      <c r="A166" s="4">
        <v>165</v>
      </c>
      <c r="B166" s="8" t="str">
        <f ca="1">IFERROR(__xludf.DUMMYFUNCTION("""COMPUTED_VALUE"""),"20220523PASIP")</f>
        <v>20220523PASIP</v>
      </c>
      <c r="C166" s="8" t="str">
        <f ca="1">IFERROR(__xludf.DUMMYFUNCTION("""COMPUTED_VALUE"""),"Wounded")</f>
        <v>Wounded</v>
      </c>
      <c r="D166" s="8" t="str">
        <f ca="1">IFERROR(__xludf.DUMMYFUNCTION("""COMPUTED_VALUE"""),"Male")</f>
        <v>Male</v>
      </c>
      <c r="E166" s="8" t="str">
        <f ca="1">IFERROR(__xludf.DUMMYFUNCTION("""COMPUTED_VALUE"""),"Student")</f>
        <v>Student</v>
      </c>
      <c r="F166" s="8">
        <f ca="1">IFERROR(__xludf.DUMMYFUNCTION("""COMPUTED_VALUE"""),16)</f>
        <v>16</v>
      </c>
    </row>
    <row r="167" spans="1:6" ht="12.75">
      <c r="A167" s="4">
        <v>166</v>
      </c>
      <c r="B167" s="8" t="str">
        <f ca="1">IFERROR(__xludf.DUMMYFUNCTION("""COMPUTED_VALUE"""),"20220523PASIP")</f>
        <v>20220523PASIP</v>
      </c>
      <c r="C167" s="8" t="str">
        <f ca="1">IFERROR(__xludf.DUMMYFUNCTION("""COMPUTED_VALUE"""),"Wounded")</f>
        <v>Wounded</v>
      </c>
      <c r="D167" s="8" t="str">
        <f ca="1">IFERROR(__xludf.DUMMYFUNCTION("""COMPUTED_VALUE"""),"Male")</f>
        <v>Male</v>
      </c>
      <c r="E167" s="8" t="str">
        <f ca="1">IFERROR(__xludf.DUMMYFUNCTION("""COMPUTED_VALUE"""),"Student")</f>
        <v>Student</v>
      </c>
      <c r="F167" s="8">
        <f ca="1">IFERROR(__xludf.DUMMYFUNCTION("""COMPUTED_VALUE"""),17)</f>
        <v>17</v>
      </c>
    </row>
    <row r="168" spans="1:6" ht="12.75">
      <c r="A168" s="4">
        <v>167</v>
      </c>
      <c r="B168" s="8" t="str">
        <f ca="1">IFERROR(__xludf.DUMMYFUNCTION("""COMPUTED_VALUE"""),"20220520VAPOD")</f>
        <v>20220520VAPOD</v>
      </c>
      <c r="C168" s="8" t="str">
        <f ca="1">IFERROR(__xludf.DUMMYFUNCTION("""COMPUTED_VALUE"""),"None")</f>
        <v>None</v>
      </c>
      <c r="D168" s="8" t="str">
        <f ca="1">IFERROR(__xludf.DUMMYFUNCTION("""COMPUTED_VALUE"""),"Male")</f>
        <v>Male</v>
      </c>
      <c r="E168" s="8" t="str">
        <f ca="1">IFERROR(__xludf.DUMMYFUNCTION("""COMPUTED_VALUE"""),"Student")</f>
        <v>Student</v>
      </c>
      <c r="F168" s="8" t="str">
        <f ca="1">IFERROR(__xludf.DUMMYFUNCTION("""COMPUTED_VALUE"""),"Teen")</f>
        <v>Teen</v>
      </c>
    </row>
    <row r="169" spans="1:6" ht="12.75">
      <c r="A169" s="4">
        <v>168</v>
      </c>
      <c r="B169" s="8" t="str">
        <f ca="1">IFERROR(__xludf.DUMMYFUNCTION("""COMPUTED_VALUE"""),"20220520TNEAC")</f>
        <v>20220520TNEAC</v>
      </c>
      <c r="C169" s="8" t="str">
        <f ca="1">IFERROR(__xludf.DUMMYFUNCTION("""COMPUTED_VALUE"""),"Fatal")</f>
        <v>Fatal</v>
      </c>
      <c r="D169" s="8" t="str">
        <f ca="1">IFERROR(__xludf.DUMMYFUNCTION("""COMPUTED_VALUE"""),"Male")</f>
        <v>Male</v>
      </c>
      <c r="E169" s="8" t="str">
        <f ca="1">IFERROR(__xludf.DUMMYFUNCTION("""COMPUTED_VALUE"""),"No Relation")</f>
        <v>No Relation</v>
      </c>
      <c r="F169" s="8">
        <f ca="1">IFERROR(__xludf.DUMMYFUNCTION("""COMPUTED_VALUE"""),25)</f>
        <v>25</v>
      </c>
    </row>
    <row r="170" spans="1:6" ht="12.75">
      <c r="A170" s="4">
        <v>169</v>
      </c>
      <c r="B170" s="8" t="str">
        <f ca="1">IFERROR(__xludf.DUMMYFUNCTION("""COMPUTED_VALUE"""),"20220520OHCAC")</f>
        <v>20220520OHCAC</v>
      </c>
      <c r="C170" s="8" t="str">
        <f ca="1">IFERROR(__xludf.DUMMYFUNCTION("""COMPUTED_VALUE"""),"Minor Injuries")</f>
        <v>Minor Injuries</v>
      </c>
      <c r="D170" s="8"/>
      <c r="E170" s="8" t="str">
        <f ca="1">IFERROR(__xludf.DUMMYFUNCTION("""COMPUTED_VALUE"""),"Bus Driver")</f>
        <v>Bus Driver</v>
      </c>
      <c r="F170" s="8" t="str">
        <f ca="1">IFERROR(__xludf.DUMMYFUNCTION("""COMPUTED_VALUE"""),"Adult")</f>
        <v>Adult</v>
      </c>
    </row>
    <row r="171" spans="1:6" ht="12.75">
      <c r="A171" s="4">
        <v>170</v>
      </c>
      <c r="B171" s="8" t="str">
        <f ca="1">IFERROR(__xludf.DUMMYFUNCTION("""COMPUTED_VALUE"""),"20220519MIEAK")</f>
        <v>20220519MIEAK</v>
      </c>
      <c r="C171" s="8" t="str">
        <f ca="1">IFERROR(__xludf.DUMMYFUNCTION("""COMPUTED_VALUE"""),"Wounded")</f>
        <v>Wounded</v>
      </c>
      <c r="D171" s="8" t="str">
        <f ca="1">IFERROR(__xludf.DUMMYFUNCTION("""COMPUTED_VALUE"""),"Female")</f>
        <v>Female</v>
      </c>
      <c r="E171" s="8" t="str">
        <f ca="1">IFERROR(__xludf.DUMMYFUNCTION("""COMPUTED_VALUE"""),"Relative")</f>
        <v>Relative</v>
      </c>
      <c r="F171" s="8">
        <f ca="1">IFERROR(__xludf.DUMMYFUNCTION("""COMPUTED_VALUE"""),40)</f>
        <v>40</v>
      </c>
    </row>
    <row r="172" spans="1:6" ht="12.75">
      <c r="A172" s="4">
        <v>171</v>
      </c>
      <c r="B172" s="8" t="str">
        <f ca="1">IFERROR(__xludf.DUMMYFUNCTION("""COMPUTED_VALUE"""),"20220519MIEAK")</f>
        <v>20220519MIEAK</v>
      </c>
      <c r="C172" s="8" t="str">
        <f ca="1">IFERROR(__xludf.DUMMYFUNCTION("""COMPUTED_VALUE"""),"Wounded")</f>
        <v>Wounded</v>
      </c>
      <c r="D172" s="8" t="str">
        <f ca="1">IFERROR(__xludf.DUMMYFUNCTION("""COMPUTED_VALUE"""),"Male")</f>
        <v>Male</v>
      </c>
      <c r="E172" s="8" t="str">
        <f ca="1">IFERROR(__xludf.DUMMYFUNCTION("""COMPUTED_VALUE"""),"Relative")</f>
        <v>Relative</v>
      </c>
      <c r="F172" s="8">
        <f ca="1">IFERROR(__xludf.DUMMYFUNCTION("""COMPUTED_VALUE"""),16)</f>
        <v>16</v>
      </c>
    </row>
    <row r="173" spans="1:6" ht="12.75">
      <c r="A173" s="4">
        <v>172</v>
      </c>
      <c r="B173" s="8" t="str">
        <f ca="1">IFERROR(__xludf.DUMMYFUNCTION("""COMPUTED_VALUE"""),"20220519LAHAH")</f>
        <v>20220519LAHAH</v>
      </c>
      <c r="C173" s="8" t="str">
        <f ca="1">IFERROR(__xludf.DUMMYFUNCTION("""COMPUTED_VALUE"""),"Wounded")</f>
        <v>Wounded</v>
      </c>
      <c r="D173" s="8"/>
      <c r="E173" s="8"/>
      <c r="F173" s="8" t="str">
        <f ca="1">IFERROR(__xludf.DUMMYFUNCTION("""COMPUTED_VALUE"""),"Adult")</f>
        <v>Adult</v>
      </c>
    </row>
    <row r="174" spans="1:6" ht="12.75">
      <c r="A174" s="4">
        <v>173</v>
      </c>
      <c r="B174" s="8" t="str">
        <f ca="1">IFERROR(__xludf.DUMMYFUNCTION("""COMPUTED_VALUE"""),"20220519LAHAH")</f>
        <v>20220519LAHAH</v>
      </c>
      <c r="C174" s="8" t="str">
        <f ca="1">IFERROR(__xludf.DUMMYFUNCTION("""COMPUTED_VALUE"""),"Wounded")</f>
        <v>Wounded</v>
      </c>
      <c r="D174" s="8"/>
      <c r="E174" s="8"/>
      <c r="F174" s="8" t="str">
        <f ca="1">IFERROR(__xludf.DUMMYFUNCTION("""COMPUTED_VALUE"""),"Adult")</f>
        <v>Adult</v>
      </c>
    </row>
    <row r="175" spans="1:6" ht="12.75">
      <c r="A175" s="4">
        <v>174</v>
      </c>
      <c r="B175" s="8" t="str">
        <f ca="1">IFERROR(__xludf.DUMMYFUNCTION("""COMPUTED_VALUE"""),"20220519LAHAH")</f>
        <v>20220519LAHAH</v>
      </c>
      <c r="C175" s="8" t="str">
        <f ca="1">IFERROR(__xludf.DUMMYFUNCTION("""COMPUTED_VALUE"""),"Minor Injuries")</f>
        <v>Minor Injuries</v>
      </c>
      <c r="D175" s="8"/>
      <c r="E175" s="8"/>
      <c r="F175" s="8" t="str">
        <f ca="1">IFERROR(__xludf.DUMMYFUNCTION("""COMPUTED_VALUE"""),"Adult")</f>
        <v>Adult</v>
      </c>
    </row>
    <row r="176" spans="1:6" ht="12.75">
      <c r="A176" s="4">
        <v>175</v>
      </c>
      <c r="B176" s="8" t="str">
        <f ca="1">IFERROR(__xludf.DUMMYFUNCTION("""COMPUTED_VALUE"""),"20220519LAHAH")</f>
        <v>20220519LAHAH</v>
      </c>
      <c r="C176" s="8" t="str">
        <f ca="1">IFERROR(__xludf.DUMMYFUNCTION("""COMPUTED_VALUE"""),"Wounded")</f>
        <v>Wounded</v>
      </c>
      <c r="D176" s="8"/>
      <c r="E176" s="8"/>
      <c r="F176" s="8" t="str">
        <f ca="1">IFERROR(__xludf.DUMMYFUNCTION("""COMPUTED_VALUE"""),"Adult")</f>
        <v>Adult</v>
      </c>
    </row>
    <row r="177" spans="1:6" ht="12.75">
      <c r="A177" s="4">
        <v>176</v>
      </c>
      <c r="B177" s="8" t="str">
        <f ca="1">IFERROR(__xludf.DUMMYFUNCTION("""COMPUTED_VALUE"""),"20220518TNRIM")</f>
        <v>20220518TNRIM</v>
      </c>
      <c r="C177" s="8" t="str">
        <f ca="1">IFERROR(__xludf.DUMMYFUNCTION("""COMPUTED_VALUE"""),"Fatal")</f>
        <v>Fatal</v>
      </c>
      <c r="D177" s="8" t="str">
        <f ca="1">IFERROR(__xludf.DUMMYFUNCTION("""COMPUTED_VALUE"""),"Male")</f>
        <v>Male</v>
      </c>
      <c r="E177" s="8" t="str">
        <f ca="1">IFERROR(__xludf.DUMMYFUNCTION("""COMPUTED_VALUE"""),"Student")</f>
        <v>Student</v>
      </c>
      <c r="F177" s="8">
        <f ca="1">IFERROR(__xludf.DUMMYFUNCTION("""COMPUTED_VALUE"""),18)</f>
        <v>18</v>
      </c>
    </row>
    <row r="178" spans="1:6" ht="12.75">
      <c r="A178" s="4">
        <v>177</v>
      </c>
      <c r="B178" s="8" t="str">
        <f ca="1">IFERROR(__xludf.DUMMYFUNCTION("""COMPUTED_VALUE"""),"20220518TNRIM")</f>
        <v>20220518TNRIM</v>
      </c>
      <c r="C178" s="8" t="str">
        <f ca="1">IFERROR(__xludf.DUMMYFUNCTION("""COMPUTED_VALUE"""),"Wounded")</f>
        <v>Wounded</v>
      </c>
      <c r="D178" s="8"/>
      <c r="E178" s="8"/>
      <c r="F178" s="8"/>
    </row>
    <row r="179" spans="1:6" ht="12.75">
      <c r="A179" s="4">
        <v>178</v>
      </c>
      <c r="B179" s="8" t="str">
        <f ca="1">IFERROR(__xludf.DUMMYFUNCTION("""COMPUTED_VALUE"""),"20220517ILWAC")</f>
        <v>20220517ILWAC</v>
      </c>
      <c r="C179" s="8" t="str">
        <f ca="1">IFERROR(__xludf.DUMMYFUNCTION("""COMPUTED_VALUE"""),"Wounded")</f>
        <v>Wounded</v>
      </c>
      <c r="D179" s="8" t="str">
        <f ca="1">IFERROR(__xludf.DUMMYFUNCTION("""COMPUTED_VALUE"""),"Male")</f>
        <v>Male</v>
      </c>
      <c r="E179" s="8" t="str">
        <f ca="1">IFERROR(__xludf.DUMMYFUNCTION("""COMPUTED_VALUE"""),"Student")</f>
        <v>Student</v>
      </c>
      <c r="F179" s="8">
        <f ca="1">IFERROR(__xludf.DUMMYFUNCTION("""COMPUTED_VALUE"""),7)</f>
        <v>7</v>
      </c>
    </row>
    <row r="180" spans="1:6" ht="12.75">
      <c r="A180" s="4">
        <v>179</v>
      </c>
      <c r="B180" s="8" t="str">
        <f ca="1">IFERROR(__xludf.DUMMYFUNCTION("""COMPUTED_VALUE"""),"20220515NHBEB")</f>
        <v>20220515NHBEB</v>
      </c>
      <c r="C180" s="8" t="str">
        <f ca="1">IFERROR(__xludf.DUMMYFUNCTION("""COMPUTED_VALUE"""),"Minor Injuries")</f>
        <v>Minor Injuries</v>
      </c>
      <c r="D180" s="8" t="str">
        <f ca="1">IFERROR(__xludf.DUMMYFUNCTION("""COMPUTED_VALUE"""),"Male")</f>
        <v>Male</v>
      </c>
      <c r="E180" s="8" t="str">
        <f ca="1">IFERROR(__xludf.DUMMYFUNCTION("""COMPUTED_VALUE"""),"No Relation")</f>
        <v>No Relation</v>
      </c>
      <c r="F180" s="8">
        <f ca="1">IFERROR(__xludf.DUMMYFUNCTION("""COMPUTED_VALUE"""),13)</f>
        <v>13</v>
      </c>
    </row>
    <row r="181" spans="1:6" ht="12.75">
      <c r="A181" s="4">
        <v>180</v>
      </c>
      <c r="B181" s="8" t="str">
        <f ca="1">IFERROR(__xludf.DUMMYFUNCTION("""COMPUTED_VALUE"""),"20220515NHBEB")</f>
        <v>20220515NHBEB</v>
      </c>
      <c r="C181" s="8" t="str">
        <f ca="1">IFERROR(__xludf.DUMMYFUNCTION("""COMPUTED_VALUE"""),"Minor Injuries")</f>
        <v>Minor Injuries</v>
      </c>
      <c r="D181" s="8" t="str">
        <f ca="1">IFERROR(__xludf.DUMMYFUNCTION("""COMPUTED_VALUE"""),"Female")</f>
        <v>Female</v>
      </c>
      <c r="E181" s="8" t="str">
        <f ca="1">IFERROR(__xludf.DUMMYFUNCTION("""COMPUTED_VALUE"""),"No Relation")</f>
        <v>No Relation</v>
      </c>
      <c r="F181" s="8">
        <f ca="1">IFERROR(__xludf.DUMMYFUNCTION("""COMPUTED_VALUE"""),12)</f>
        <v>12</v>
      </c>
    </row>
    <row r="182" spans="1:6" ht="12.75">
      <c r="A182" s="4">
        <v>181</v>
      </c>
      <c r="B182" s="8" t="str">
        <f ca="1">IFERROR(__xludf.DUMMYFUNCTION("""COMPUTED_VALUE"""),"20220515ILMEP")</f>
        <v>20220515ILMEP</v>
      </c>
      <c r="C182" s="8" t="str">
        <f ca="1">IFERROR(__xludf.DUMMYFUNCTION("""COMPUTED_VALUE"""),"Wounded")</f>
        <v>Wounded</v>
      </c>
      <c r="D182" s="8" t="str">
        <f ca="1">IFERROR(__xludf.DUMMYFUNCTION("""COMPUTED_VALUE"""),"Male")</f>
        <v>Male</v>
      </c>
      <c r="E182" s="8" t="str">
        <f ca="1">IFERROR(__xludf.DUMMYFUNCTION("""COMPUTED_VALUE"""),"No Relation")</f>
        <v>No Relation</v>
      </c>
      <c r="F182" s="8">
        <f ca="1">IFERROR(__xludf.DUMMYFUNCTION("""COMPUTED_VALUE"""),17)</f>
        <v>17</v>
      </c>
    </row>
    <row r="183" spans="1:6" ht="12.75">
      <c r="A183" s="4">
        <v>182</v>
      </c>
      <c r="B183" s="8" t="str">
        <f ca="1">IFERROR(__xludf.DUMMYFUNCTION("""COMPUTED_VALUE"""),"20220513GASOM")</f>
        <v>20220513GASOM</v>
      </c>
      <c r="C183" s="8" t="str">
        <f ca="1">IFERROR(__xludf.DUMMYFUNCTION("""COMPUTED_VALUE"""),"Wounded")</f>
        <v>Wounded</v>
      </c>
      <c r="D183" s="8" t="str">
        <f ca="1">IFERROR(__xludf.DUMMYFUNCTION("""COMPUTED_VALUE"""),"Male")</f>
        <v>Male</v>
      </c>
      <c r="E183" s="8"/>
      <c r="F183" s="8">
        <f ca="1">IFERROR(__xludf.DUMMYFUNCTION("""COMPUTED_VALUE"""),21)</f>
        <v>21</v>
      </c>
    </row>
    <row r="184" spans="1:6" ht="12.75">
      <c r="A184" s="4">
        <v>183</v>
      </c>
      <c r="B184" s="8" t="str">
        <f ca="1">IFERROR(__xludf.DUMMYFUNCTION("""COMPUTED_VALUE"""),"20220513FLALW")</f>
        <v>20220513FLALW</v>
      </c>
      <c r="C184" s="8" t="str">
        <f ca="1">IFERROR(__xludf.DUMMYFUNCTION("""COMPUTED_VALUE"""),"Fatal")</f>
        <v>Fatal</v>
      </c>
      <c r="D184" s="8" t="str">
        <f ca="1">IFERROR(__xludf.DUMMYFUNCTION("""COMPUTED_VALUE"""),"Male")</f>
        <v>Male</v>
      </c>
      <c r="E184" s="8" t="str">
        <f ca="1">IFERROR(__xludf.DUMMYFUNCTION("""COMPUTED_VALUE"""),"Former Student")</f>
        <v>Former Student</v>
      </c>
      <c r="F184" s="8">
        <f ca="1">IFERROR(__xludf.DUMMYFUNCTION("""COMPUTED_VALUE"""),33)</f>
        <v>33</v>
      </c>
    </row>
    <row r="185" spans="1:6" ht="12.75">
      <c r="A185" s="4">
        <v>184</v>
      </c>
      <c r="B185" s="8" t="str">
        <f ca="1">IFERROR(__xludf.DUMMYFUNCTION("""COMPUTED_VALUE"""),"20220512TXHEH")</f>
        <v>20220512TXHEH</v>
      </c>
      <c r="C185" s="8" t="str">
        <f ca="1">IFERROR(__xludf.DUMMYFUNCTION("""COMPUTED_VALUE"""),"Wounded")</f>
        <v>Wounded</v>
      </c>
      <c r="D185" s="8"/>
      <c r="E185" s="8" t="str">
        <f ca="1">IFERROR(__xludf.DUMMYFUNCTION("""COMPUTED_VALUE"""),"Student")</f>
        <v>Student</v>
      </c>
      <c r="F185" s="8" t="str">
        <f ca="1">IFERROR(__xludf.DUMMYFUNCTION("""COMPUTED_VALUE"""),"Teen")</f>
        <v>Teen</v>
      </c>
    </row>
    <row r="186" spans="1:6" ht="12.75">
      <c r="A186" s="4">
        <v>185</v>
      </c>
      <c r="B186" s="8" t="str">
        <f ca="1">IFERROR(__xludf.DUMMYFUNCTION("""COMPUTED_VALUE"""),"20220512ARHOH")</f>
        <v>20220512ARHOH</v>
      </c>
      <c r="C186" s="8" t="str">
        <f ca="1">IFERROR(__xludf.DUMMYFUNCTION("""COMPUTED_VALUE"""),"Wounded")</f>
        <v>Wounded</v>
      </c>
      <c r="D186" s="8"/>
      <c r="E186" s="8"/>
      <c r="F186" s="8"/>
    </row>
    <row r="187" spans="1:6" ht="12.75">
      <c r="A187" s="4">
        <v>186</v>
      </c>
      <c r="B187" s="8" t="str">
        <f ca="1">IFERROR(__xludf.DUMMYFUNCTION("""COMPUTED_VALUE"""),"20220512ARHOH")</f>
        <v>20220512ARHOH</v>
      </c>
      <c r="C187" s="8" t="str">
        <f ca="1">IFERROR(__xludf.DUMMYFUNCTION("""COMPUTED_VALUE"""),"Wounded")</f>
        <v>Wounded</v>
      </c>
      <c r="D187" s="8"/>
      <c r="E187" s="8"/>
      <c r="F187" s="8"/>
    </row>
    <row r="188" spans="1:6" ht="12.75">
      <c r="A188" s="4">
        <v>187</v>
      </c>
      <c r="B188" s="8" t="str">
        <f ca="1">IFERROR(__xludf.DUMMYFUNCTION("""COMPUTED_VALUE"""),"20220512ARHOH")</f>
        <v>20220512ARHOH</v>
      </c>
      <c r="C188" s="8" t="str">
        <f ca="1">IFERROR(__xludf.DUMMYFUNCTION("""COMPUTED_VALUE"""),"Fatal")</f>
        <v>Fatal</v>
      </c>
      <c r="D188" s="8" t="str">
        <f ca="1">IFERROR(__xludf.DUMMYFUNCTION("""COMPUTED_VALUE"""),"Male")</f>
        <v>Male</v>
      </c>
      <c r="E188" s="8"/>
      <c r="F188" s="8">
        <f ca="1">IFERROR(__xludf.DUMMYFUNCTION("""COMPUTED_VALUE"""),39)</f>
        <v>39</v>
      </c>
    </row>
    <row r="189" spans="1:6" ht="12.75">
      <c r="A189" s="4">
        <v>188</v>
      </c>
      <c r="B189" s="8" t="str">
        <f ca="1">IFERROR(__xludf.DUMMYFUNCTION("""COMPUTED_VALUE"""),"20220511FLJAJ")</f>
        <v>20220511FLJAJ</v>
      </c>
      <c r="C189" s="8" t="str">
        <f ca="1">IFERROR(__xludf.DUMMYFUNCTION("""COMPUTED_VALUE"""),"Wounded")</f>
        <v>Wounded</v>
      </c>
      <c r="D189" s="8" t="str">
        <f ca="1">IFERROR(__xludf.DUMMYFUNCTION("""COMPUTED_VALUE"""),"Male")</f>
        <v>Male</v>
      </c>
      <c r="E189" s="8" t="str">
        <f ca="1">IFERROR(__xludf.DUMMYFUNCTION("""COMPUTED_VALUE"""),"Student")</f>
        <v>Student</v>
      </c>
      <c r="F189" s="8">
        <f ca="1">IFERROR(__xludf.DUMMYFUNCTION("""COMPUTED_VALUE"""),17)</f>
        <v>17</v>
      </c>
    </row>
    <row r="190" spans="1:6" ht="12.75">
      <c r="A190" s="4">
        <v>189</v>
      </c>
      <c r="B190" s="8" t="str">
        <f ca="1">IFERROR(__xludf.DUMMYFUNCTION("""COMPUTED_VALUE"""),"20220509NYEDS")</f>
        <v>20220509NYEDS</v>
      </c>
      <c r="C190" s="8" t="str">
        <f ca="1">IFERROR(__xludf.DUMMYFUNCTION("""COMPUTED_VALUE"""),"Fatal")</f>
        <v>Fatal</v>
      </c>
      <c r="D190" s="8" t="str">
        <f ca="1">IFERROR(__xludf.DUMMYFUNCTION("""COMPUTED_VALUE"""),"Male")</f>
        <v>Male</v>
      </c>
      <c r="E190" s="8"/>
      <c r="F190" s="8">
        <f ca="1">IFERROR(__xludf.DUMMYFUNCTION("""COMPUTED_VALUE"""),26)</f>
        <v>26</v>
      </c>
    </row>
    <row r="191" spans="1:6" ht="12.75">
      <c r="A191" s="4">
        <v>190</v>
      </c>
      <c r="B191" s="8" t="str">
        <f ca="1">IFERROR(__xludf.DUMMYFUNCTION("""COMPUTED_VALUE"""),"20220509GARIS")</f>
        <v>20220509GARIS</v>
      </c>
      <c r="C191" s="8" t="str">
        <f ca="1">IFERROR(__xludf.DUMMYFUNCTION("""COMPUTED_VALUE"""),"Minor Injuries")</f>
        <v>Minor Injuries</v>
      </c>
      <c r="D191" s="8" t="str">
        <f ca="1">IFERROR(__xludf.DUMMYFUNCTION("""COMPUTED_VALUE"""),"Female")</f>
        <v>Female</v>
      </c>
      <c r="E191" s="8" t="str">
        <f ca="1">IFERROR(__xludf.DUMMYFUNCTION("""COMPUTED_VALUE"""),"Bus Driver")</f>
        <v>Bus Driver</v>
      </c>
      <c r="F191" s="8" t="str">
        <f ca="1">IFERROR(__xludf.DUMMYFUNCTION("""COMPUTED_VALUE"""),"Adult")</f>
        <v>Adult</v>
      </c>
    </row>
    <row r="192" spans="1:6" ht="12.75">
      <c r="A192" s="4">
        <v>191</v>
      </c>
      <c r="B192" s="8" t="str">
        <f ca="1">IFERROR(__xludf.DUMMYFUNCTION("""COMPUTED_VALUE"""),"20220501VALOM")</f>
        <v>20220501VALOM</v>
      </c>
      <c r="C192" s="8" t="str">
        <f ca="1">IFERROR(__xludf.DUMMYFUNCTION("""COMPUTED_VALUE"""),"Wounded")</f>
        <v>Wounded</v>
      </c>
      <c r="D192" s="8" t="str">
        <f ca="1">IFERROR(__xludf.DUMMYFUNCTION("""COMPUTED_VALUE"""),"Male")</f>
        <v>Male</v>
      </c>
      <c r="E192" s="8" t="str">
        <f ca="1">IFERROR(__xludf.DUMMYFUNCTION("""COMPUTED_VALUE"""),"Nonstudent Using Athletic Facilities/Attending Game")</f>
        <v>Nonstudent Using Athletic Facilities/Attending Game</v>
      </c>
      <c r="F192" s="8" t="str">
        <f ca="1">IFERROR(__xludf.DUMMYFUNCTION("""COMPUTED_VALUE"""),"Adult")</f>
        <v>Adult</v>
      </c>
    </row>
    <row r="193" spans="1:6" ht="12.75">
      <c r="A193" s="4">
        <v>192</v>
      </c>
      <c r="B193" s="8" t="str">
        <f ca="1">IFERROR(__xludf.DUMMYFUNCTION("""COMPUTED_VALUE"""),"20220501VALOM")</f>
        <v>20220501VALOM</v>
      </c>
      <c r="C193" s="8" t="str">
        <f ca="1">IFERROR(__xludf.DUMMYFUNCTION("""COMPUTED_VALUE"""),"Wounded")</f>
        <v>Wounded</v>
      </c>
      <c r="D193" s="8" t="str">
        <f ca="1">IFERROR(__xludf.DUMMYFUNCTION("""COMPUTED_VALUE"""),"Male")</f>
        <v>Male</v>
      </c>
      <c r="E193" s="8" t="str">
        <f ca="1">IFERROR(__xludf.DUMMYFUNCTION("""COMPUTED_VALUE"""),"Nonstudent Using Athletic Facilities/Attending Game")</f>
        <v>Nonstudent Using Athletic Facilities/Attending Game</v>
      </c>
      <c r="F193" s="8" t="str">
        <f ca="1">IFERROR(__xludf.DUMMYFUNCTION("""COMPUTED_VALUE"""),"Adult")</f>
        <v>Adult</v>
      </c>
    </row>
    <row r="194" spans="1:6" ht="12.75">
      <c r="A194" s="4">
        <v>193</v>
      </c>
      <c r="B194" s="8" t="str">
        <f ca="1">IFERROR(__xludf.DUMMYFUNCTION("""COMPUTED_VALUE"""),"20220501OHHAC")</f>
        <v>20220501OHHAC</v>
      </c>
      <c r="C194" s="8" t="str">
        <f ca="1">IFERROR(__xludf.DUMMYFUNCTION("""COMPUTED_VALUE"""),"Fatal")</f>
        <v>Fatal</v>
      </c>
      <c r="D194" s="8" t="str">
        <f ca="1">IFERROR(__xludf.DUMMYFUNCTION("""COMPUTED_VALUE"""),"Male")</f>
        <v>Male</v>
      </c>
      <c r="E194" s="8"/>
      <c r="F194" s="8" t="str">
        <f ca="1">IFERROR(__xludf.DUMMYFUNCTION("""COMPUTED_VALUE"""),"Adult")</f>
        <v>Adult</v>
      </c>
    </row>
    <row r="195" spans="1:6" ht="12.75">
      <c r="A195" s="4">
        <v>194</v>
      </c>
      <c r="B195" s="8" t="str">
        <f ca="1">IFERROR(__xludf.DUMMYFUNCTION("""COMPUTED_VALUE"""),"20220430PAMCJ")</f>
        <v>20220430PAMCJ</v>
      </c>
      <c r="C195" s="8" t="str">
        <f ca="1">IFERROR(__xludf.DUMMYFUNCTION("""COMPUTED_VALUE"""),"None")</f>
        <v>None</v>
      </c>
      <c r="D195" s="8" t="str">
        <f ca="1">IFERROR(__xludf.DUMMYFUNCTION("""COMPUTED_VALUE"""),"Male")</f>
        <v>Male</v>
      </c>
      <c r="E195" s="8" t="str">
        <f ca="1">IFERROR(__xludf.DUMMYFUNCTION("""COMPUTED_VALUE"""),"Nonstudent Using Athletic Facilities/Attending Game")</f>
        <v>Nonstudent Using Athletic Facilities/Attending Game</v>
      </c>
      <c r="F195" s="8" t="str">
        <f ca="1">IFERROR(__xludf.DUMMYFUNCTION("""COMPUTED_VALUE"""),"Adult")</f>
        <v>Adult</v>
      </c>
    </row>
    <row r="196" spans="1:6" ht="12.75">
      <c r="A196" s="4">
        <v>195</v>
      </c>
      <c r="B196" s="8" t="str">
        <f ca="1">IFERROR(__xludf.DUMMYFUNCTION("""COMPUTED_VALUE"""),"20220427TXMOS")</f>
        <v>20220427TXMOS</v>
      </c>
      <c r="C196" s="8" t="str">
        <f ca="1">IFERROR(__xludf.DUMMYFUNCTION("""COMPUTED_VALUE"""),"Wounded")</f>
        <v>Wounded</v>
      </c>
      <c r="D196" s="8" t="str">
        <f ca="1">IFERROR(__xludf.DUMMYFUNCTION("""COMPUTED_VALUE"""),"Male")</f>
        <v>Male</v>
      </c>
      <c r="E196" s="8" t="str">
        <f ca="1">IFERROR(__xludf.DUMMYFUNCTION("""COMPUTED_VALUE"""),"No Relation")</f>
        <v>No Relation</v>
      </c>
      <c r="F196" s="8" t="str">
        <f ca="1">IFERROR(__xludf.DUMMYFUNCTION("""COMPUTED_VALUE"""),"Adult")</f>
        <v>Adult</v>
      </c>
    </row>
    <row r="197" spans="1:6" ht="12.75">
      <c r="A197" s="4">
        <v>196</v>
      </c>
      <c r="B197" s="8" t="str">
        <f ca="1">IFERROR(__xludf.DUMMYFUNCTION("""COMPUTED_VALUE"""),"20220426GASOM")</f>
        <v>20220426GASOM</v>
      </c>
      <c r="C197" s="8" t="str">
        <f ca="1">IFERROR(__xludf.DUMMYFUNCTION("""COMPUTED_VALUE"""),"Fatal")</f>
        <v>Fatal</v>
      </c>
      <c r="D197" s="8" t="str">
        <f ca="1">IFERROR(__xludf.DUMMYFUNCTION("""COMPUTED_VALUE"""),"Male")</f>
        <v>Male</v>
      </c>
      <c r="E197" s="8"/>
      <c r="F197" s="8">
        <f ca="1">IFERROR(__xludf.DUMMYFUNCTION("""COMPUTED_VALUE"""),15)</f>
        <v>15</v>
      </c>
    </row>
    <row r="198" spans="1:6" ht="12.75">
      <c r="A198" s="4">
        <v>197</v>
      </c>
      <c r="B198" s="8" t="str">
        <f ca="1">IFERROR(__xludf.DUMMYFUNCTION("""COMPUTED_VALUE"""),"20220424MOHAF")</f>
        <v>20220424MOHAF</v>
      </c>
      <c r="C198" s="8" t="str">
        <f ca="1">IFERROR(__xludf.DUMMYFUNCTION("""COMPUTED_VALUE"""),"Fatal")</f>
        <v>Fatal</v>
      </c>
      <c r="D198" s="8" t="str">
        <f ca="1">IFERROR(__xludf.DUMMYFUNCTION("""COMPUTED_VALUE"""),"Male")</f>
        <v>Male</v>
      </c>
      <c r="E198" s="8" t="str">
        <f ca="1">IFERROR(__xludf.DUMMYFUNCTION("""COMPUTED_VALUE"""),"No Relation")</f>
        <v>No Relation</v>
      </c>
      <c r="F198" s="8" t="str">
        <f ca="1">IFERROR(__xludf.DUMMYFUNCTION("""COMPUTED_VALUE"""),"Adult")</f>
        <v>Adult</v>
      </c>
    </row>
    <row r="199" spans="1:6" ht="12.75">
      <c r="A199" s="4">
        <v>198</v>
      </c>
      <c r="B199" s="8" t="str">
        <f ca="1">IFERROR(__xludf.DUMMYFUNCTION("""COMPUTED_VALUE"""),"20220422DCEDW")</f>
        <v>20220422DCEDW</v>
      </c>
      <c r="C199" s="8" t="str">
        <f ca="1">IFERROR(__xludf.DUMMYFUNCTION("""COMPUTED_VALUE"""),"Wounded")</f>
        <v>Wounded</v>
      </c>
      <c r="D199" s="8" t="str">
        <f ca="1">IFERROR(__xludf.DUMMYFUNCTION("""COMPUTED_VALUE"""),"Female")</f>
        <v>Female</v>
      </c>
      <c r="E199" s="8" t="str">
        <f ca="1">IFERROR(__xludf.DUMMYFUNCTION("""COMPUTED_VALUE"""),"Parent")</f>
        <v>Parent</v>
      </c>
      <c r="F199" s="8" t="str">
        <f ca="1">IFERROR(__xludf.DUMMYFUNCTION("""COMPUTED_VALUE"""),"Adult")</f>
        <v>Adult</v>
      </c>
    </row>
    <row r="200" spans="1:6" ht="12.75">
      <c r="A200" s="4">
        <v>199</v>
      </c>
      <c r="B200" s="8" t="str">
        <f ca="1">IFERROR(__xludf.DUMMYFUNCTION("""COMPUTED_VALUE"""),"20220422DCEDW")</f>
        <v>20220422DCEDW</v>
      </c>
      <c r="C200" s="8" t="str">
        <f ca="1">IFERROR(__xludf.DUMMYFUNCTION("""COMPUTED_VALUE"""),"Wounded")</f>
        <v>Wounded</v>
      </c>
      <c r="D200" s="8" t="str">
        <f ca="1">IFERROR(__xludf.DUMMYFUNCTION("""COMPUTED_VALUE"""),"Female")</f>
        <v>Female</v>
      </c>
      <c r="E200" s="8" t="str">
        <f ca="1">IFERROR(__xludf.DUMMYFUNCTION("""COMPUTED_VALUE"""),"Student")</f>
        <v>Student</v>
      </c>
      <c r="F200" s="8">
        <f ca="1">IFERROR(__xludf.DUMMYFUNCTION("""COMPUTED_VALUE"""),12)</f>
        <v>12</v>
      </c>
    </row>
    <row r="201" spans="1:6" ht="12.75">
      <c r="A201" s="4">
        <v>200</v>
      </c>
      <c r="B201" s="8" t="str">
        <f ca="1">IFERROR(__xludf.DUMMYFUNCTION("""COMPUTED_VALUE"""),"20220422DCEDW")</f>
        <v>20220422DCEDW</v>
      </c>
      <c r="C201" s="8" t="str">
        <f ca="1">IFERROR(__xludf.DUMMYFUNCTION("""COMPUTED_VALUE"""),"Minor Injuries")</f>
        <v>Minor Injuries</v>
      </c>
      <c r="D201" s="8" t="str">
        <f ca="1">IFERROR(__xludf.DUMMYFUNCTION("""COMPUTED_VALUE"""),"Female")</f>
        <v>Female</v>
      </c>
      <c r="E201" s="8" t="str">
        <f ca="1">IFERROR(__xludf.DUMMYFUNCTION("""COMPUTED_VALUE"""),"Student")</f>
        <v>Student</v>
      </c>
      <c r="F201" s="8">
        <f ca="1">IFERROR(__xludf.DUMMYFUNCTION("""COMPUTED_VALUE"""),16)</f>
        <v>16</v>
      </c>
    </row>
    <row r="202" spans="1:6" ht="12.75">
      <c r="A202" s="4">
        <v>201</v>
      </c>
      <c r="B202" s="8" t="str">
        <f ca="1">IFERROR(__xludf.DUMMYFUNCTION("""COMPUTED_VALUE"""),"20220422DCEDW")</f>
        <v>20220422DCEDW</v>
      </c>
      <c r="C202" s="8" t="str">
        <f ca="1">IFERROR(__xludf.DUMMYFUNCTION("""COMPUTED_VALUE"""),"Wounded")</f>
        <v>Wounded</v>
      </c>
      <c r="D202" s="8" t="str">
        <f ca="1">IFERROR(__xludf.DUMMYFUNCTION("""COMPUTED_VALUE"""),"Male")</f>
        <v>Male</v>
      </c>
      <c r="E202" s="8" t="str">
        <f ca="1">IFERROR(__xludf.DUMMYFUNCTION("""COMPUTED_VALUE"""),"Security Guard")</f>
        <v>Security Guard</v>
      </c>
      <c r="F202" s="8" t="str">
        <f ca="1">IFERROR(__xludf.DUMMYFUNCTION("""COMPUTED_VALUE"""),"Adult")</f>
        <v>Adult</v>
      </c>
    </row>
    <row r="203" spans="1:6" ht="12.75">
      <c r="A203" s="4">
        <v>202</v>
      </c>
      <c r="B203" s="8" t="str">
        <f ca="1">IFERROR(__xludf.DUMMYFUNCTION("""COMPUTED_VALUE"""),"20220422DCEDW")</f>
        <v>20220422DCEDW</v>
      </c>
      <c r="C203" s="8" t="str">
        <f ca="1">IFERROR(__xludf.DUMMYFUNCTION("""COMPUTED_VALUE"""),"Wounded")</f>
        <v>Wounded</v>
      </c>
      <c r="D203" s="8" t="str">
        <f ca="1">IFERROR(__xludf.DUMMYFUNCTION("""COMPUTED_VALUE"""),"Female")</f>
        <v>Female</v>
      </c>
      <c r="E203" s="8" t="str">
        <f ca="1">IFERROR(__xludf.DUMMYFUNCTION("""COMPUTED_VALUE"""),"No Relation")</f>
        <v>No Relation</v>
      </c>
      <c r="F203" s="8" t="str">
        <f ca="1">IFERROR(__xludf.DUMMYFUNCTION("""COMPUTED_VALUE"""),"Adult")</f>
        <v>Adult</v>
      </c>
    </row>
    <row r="204" spans="1:6" ht="12.75">
      <c r="A204" s="4">
        <v>203</v>
      </c>
      <c r="B204" s="8" t="str">
        <f ca="1">IFERROR(__xludf.DUMMYFUNCTION("""COMPUTED_VALUE"""),"20220421NDMOM")</f>
        <v>20220421NDMOM</v>
      </c>
      <c r="C204" s="8" t="str">
        <f ca="1">IFERROR(__xludf.DUMMYFUNCTION("""COMPUTED_VALUE"""),"Fatal")</f>
        <v>Fatal</v>
      </c>
      <c r="D204" s="8" t="str">
        <f ca="1">IFERROR(__xludf.DUMMYFUNCTION("""COMPUTED_VALUE"""),"Male")</f>
        <v>Male</v>
      </c>
      <c r="E204" s="8"/>
      <c r="F204" s="8">
        <f ca="1">IFERROR(__xludf.DUMMYFUNCTION("""COMPUTED_VALUE"""),34)</f>
        <v>34</v>
      </c>
    </row>
    <row r="205" spans="1:6" ht="12.75">
      <c r="A205" s="4">
        <v>204</v>
      </c>
      <c r="B205" s="8" t="str">
        <f ca="1">IFERROR(__xludf.DUMMYFUNCTION("""COMPUTED_VALUE"""),"20220416IAMED")</f>
        <v>20220416IAMED</v>
      </c>
      <c r="C205" s="8" t="str">
        <f ca="1">IFERROR(__xludf.DUMMYFUNCTION("""COMPUTED_VALUE"""),"Wounded")</f>
        <v>Wounded</v>
      </c>
      <c r="D205" s="8"/>
      <c r="E205" s="8"/>
      <c r="F205" s="8" t="str">
        <f ca="1">IFERROR(__xludf.DUMMYFUNCTION("""COMPUTED_VALUE"""),"Adult")</f>
        <v>Adult</v>
      </c>
    </row>
    <row r="206" spans="1:6" ht="12.75">
      <c r="A206" s="4">
        <v>205</v>
      </c>
      <c r="B206" s="8" t="str">
        <f ca="1">IFERROR(__xludf.DUMMYFUNCTION("""COMPUTED_VALUE"""),"20220415VAGAW")</f>
        <v>20220415VAGAW</v>
      </c>
      <c r="C206" s="8" t="str">
        <f ca="1">IFERROR(__xludf.DUMMYFUNCTION("""COMPUTED_VALUE"""),"Wounded")</f>
        <v>Wounded</v>
      </c>
      <c r="D206" s="8" t="str">
        <f ca="1">IFERROR(__xludf.DUMMYFUNCTION("""COMPUTED_VALUE"""),"Female")</f>
        <v>Female</v>
      </c>
      <c r="E206" s="8" t="str">
        <f ca="1">IFERROR(__xludf.DUMMYFUNCTION("""COMPUTED_VALUE"""),"Student")</f>
        <v>Student</v>
      </c>
      <c r="F206" s="8" t="str">
        <f ca="1">IFERROR(__xludf.DUMMYFUNCTION("""COMPUTED_VALUE"""),"Teen")</f>
        <v>Teen</v>
      </c>
    </row>
    <row r="207" spans="1:6" ht="12.75">
      <c r="A207" s="4">
        <v>206</v>
      </c>
      <c r="B207" s="8" t="str">
        <f ca="1">IFERROR(__xludf.DUMMYFUNCTION("""COMPUTED_VALUE"""),"20220414MSNEP")</f>
        <v>20220414MSNEP</v>
      </c>
      <c r="C207" s="8" t="str">
        <f ca="1">IFERROR(__xludf.DUMMYFUNCTION("""COMPUTED_VALUE"""),"Wounded")</f>
        <v>Wounded</v>
      </c>
      <c r="D207" s="8" t="str">
        <f ca="1">IFERROR(__xludf.DUMMYFUNCTION("""COMPUTED_VALUE"""),"Male")</f>
        <v>Male</v>
      </c>
      <c r="E207" s="8" t="str">
        <f ca="1">IFERROR(__xludf.DUMMYFUNCTION("""COMPUTED_VALUE"""),"Student")</f>
        <v>Student</v>
      </c>
      <c r="F207" s="8" t="str">
        <f ca="1">IFERROR(__xludf.DUMMYFUNCTION("""COMPUTED_VALUE"""),"Teen")</f>
        <v>Teen</v>
      </c>
    </row>
    <row r="208" spans="1:6" ht="12.75">
      <c r="A208" s="4">
        <v>207</v>
      </c>
      <c r="B208" s="8" t="str">
        <f ca="1">IFERROR(__xludf.DUMMYFUNCTION("""COMPUTED_VALUE"""),"20220414MSNEP")</f>
        <v>20220414MSNEP</v>
      </c>
      <c r="C208" s="8" t="str">
        <f ca="1">IFERROR(__xludf.DUMMYFUNCTION("""COMPUTED_VALUE"""),"Minor Injuries")</f>
        <v>Minor Injuries</v>
      </c>
      <c r="D208" s="8" t="str">
        <f ca="1">IFERROR(__xludf.DUMMYFUNCTION("""COMPUTED_VALUE"""),"Male")</f>
        <v>Male</v>
      </c>
      <c r="E208" s="8" t="str">
        <f ca="1">IFERROR(__xludf.DUMMYFUNCTION("""COMPUTED_VALUE"""),"Student")</f>
        <v>Student</v>
      </c>
      <c r="F208" s="8" t="str">
        <f ca="1">IFERROR(__xludf.DUMMYFUNCTION("""COMPUTED_VALUE"""),"Teen")</f>
        <v>Teen</v>
      </c>
    </row>
    <row r="209" spans="1:6" ht="12.75">
      <c r="A209" s="4">
        <v>208</v>
      </c>
      <c r="B209" s="8" t="str">
        <f ca="1">IFERROR(__xludf.DUMMYFUNCTION("""COMPUTED_VALUE"""),"20220414MSNEP")</f>
        <v>20220414MSNEP</v>
      </c>
      <c r="C209" s="8" t="str">
        <f ca="1">IFERROR(__xludf.DUMMYFUNCTION("""COMPUTED_VALUE"""),"Wounded")</f>
        <v>Wounded</v>
      </c>
      <c r="D209" s="8" t="str">
        <f ca="1">IFERROR(__xludf.DUMMYFUNCTION("""COMPUTED_VALUE"""),"Male")</f>
        <v>Male</v>
      </c>
      <c r="E209" s="8" t="str">
        <f ca="1">IFERROR(__xludf.DUMMYFUNCTION("""COMPUTED_VALUE"""),"Student")</f>
        <v>Student</v>
      </c>
      <c r="F209" s="8" t="str">
        <f ca="1">IFERROR(__xludf.DUMMYFUNCTION("""COMPUTED_VALUE"""),"Teen")</f>
        <v>Teen</v>
      </c>
    </row>
    <row r="210" spans="1:6" ht="12.75">
      <c r="A210" s="4">
        <v>209</v>
      </c>
      <c r="B210" s="8" t="str">
        <f ca="1">IFERROR(__xludf.DUMMYFUNCTION("""COMPUTED_VALUE"""),"20220413MISHS")</f>
        <v>20220413MISHS</v>
      </c>
      <c r="C210" s="8" t="str">
        <f ca="1">IFERROR(__xludf.DUMMYFUNCTION("""COMPUTED_VALUE"""),"Minor Injuries")</f>
        <v>Minor Injuries</v>
      </c>
      <c r="D210" s="8"/>
      <c r="E210" s="8" t="str">
        <f ca="1">IFERROR(__xludf.DUMMYFUNCTION("""COMPUTED_VALUE"""),"Student")</f>
        <v>Student</v>
      </c>
      <c r="F210" s="8" t="str">
        <f ca="1">IFERROR(__xludf.DUMMYFUNCTION("""COMPUTED_VALUE"""),"Child")</f>
        <v>Child</v>
      </c>
    </row>
    <row r="211" spans="1:6" ht="12.75">
      <c r="A211" s="4">
        <v>210</v>
      </c>
      <c r="B211" s="8" t="str">
        <f ca="1">IFERROR(__xludf.DUMMYFUNCTION("""COMPUTED_VALUE"""),"20220410MALYL")</f>
        <v>20220410MALYL</v>
      </c>
      <c r="C211" s="8" t="str">
        <f ca="1">IFERROR(__xludf.DUMMYFUNCTION("""COMPUTED_VALUE"""),"Fatal")</f>
        <v>Fatal</v>
      </c>
      <c r="D211" s="8" t="str">
        <f ca="1">IFERROR(__xludf.DUMMYFUNCTION("""COMPUTED_VALUE"""),"Male")</f>
        <v>Male</v>
      </c>
      <c r="E211" s="8" t="str">
        <f ca="1">IFERROR(__xludf.DUMMYFUNCTION("""COMPUTED_VALUE"""),"No Relation")</f>
        <v>No Relation</v>
      </c>
      <c r="F211" s="8">
        <f ca="1">IFERROR(__xludf.DUMMYFUNCTION("""COMPUTED_VALUE"""),20)</f>
        <v>20</v>
      </c>
    </row>
    <row r="212" spans="1:6" ht="12.75">
      <c r="A212" s="4">
        <v>211</v>
      </c>
      <c r="B212" s="8" t="str">
        <f ca="1">IFERROR(__xludf.DUMMYFUNCTION("""COMPUTED_VALUE"""),"20220406WASTM")</f>
        <v>20220406WASTM</v>
      </c>
      <c r="C212" s="8" t="str">
        <f ca="1">IFERROR(__xludf.DUMMYFUNCTION("""COMPUTED_VALUE"""),"None")</f>
        <v>None</v>
      </c>
      <c r="D212" s="8"/>
      <c r="E212" s="8" t="str">
        <f ca="1">IFERROR(__xludf.DUMMYFUNCTION("""COMPUTED_VALUE"""),"Student")</f>
        <v>Student</v>
      </c>
      <c r="F212" s="8" t="str">
        <f ca="1">IFERROR(__xludf.DUMMYFUNCTION("""COMPUTED_VALUE"""),"Child")</f>
        <v>Child</v>
      </c>
    </row>
    <row r="213" spans="1:6" ht="12.75">
      <c r="A213" s="4">
        <v>212</v>
      </c>
      <c r="B213" s="8" t="str">
        <f ca="1">IFERROR(__xludf.DUMMYFUNCTION("""COMPUTED_VALUE"""),"20220406WASTM")</f>
        <v>20220406WASTM</v>
      </c>
      <c r="C213" s="8" t="str">
        <f ca="1">IFERROR(__xludf.DUMMYFUNCTION("""COMPUTED_VALUE"""),"None")</f>
        <v>None</v>
      </c>
      <c r="D213" s="8"/>
      <c r="E213" s="8" t="str">
        <f ca="1">IFERROR(__xludf.DUMMYFUNCTION("""COMPUTED_VALUE"""),"Student")</f>
        <v>Student</v>
      </c>
      <c r="F213" s="8" t="str">
        <f ca="1">IFERROR(__xludf.DUMMYFUNCTION("""COMPUTED_VALUE"""),"Child")</f>
        <v>Child</v>
      </c>
    </row>
    <row r="214" spans="1:6" ht="12.75">
      <c r="A214" s="4">
        <v>213</v>
      </c>
      <c r="B214" s="8" t="str">
        <f ca="1">IFERROR(__xludf.DUMMYFUNCTION("""COMPUTED_VALUE"""),"20220406ORROP")</f>
        <v>20220406ORROP</v>
      </c>
      <c r="C214" s="8" t="str">
        <f ca="1">IFERROR(__xludf.DUMMYFUNCTION("""COMPUTED_VALUE"""),"Wounded")</f>
        <v>Wounded</v>
      </c>
      <c r="D214" s="8"/>
      <c r="E214" s="8"/>
      <c r="F214" s="8" t="str">
        <f ca="1">IFERROR(__xludf.DUMMYFUNCTION("""COMPUTED_VALUE"""),"Adult")</f>
        <v>Adult</v>
      </c>
    </row>
    <row r="215" spans="1:6" ht="12.75">
      <c r="A215" s="4">
        <v>214</v>
      </c>
      <c r="B215" s="8" t="str">
        <f ca="1">IFERROR(__xludf.DUMMYFUNCTION("""COMPUTED_VALUE"""),"20220405PAERE")</f>
        <v>20220405PAERE</v>
      </c>
      <c r="C215" s="8" t="str">
        <f ca="1">IFERROR(__xludf.DUMMYFUNCTION("""COMPUTED_VALUE"""),"Wounded")</f>
        <v>Wounded</v>
      </c>
      <c r="D215" s="8"/>
      <c r="E215" s="8" t="str">
        <f ca="1">IFERROR(__xludf.DUMMYFUNCTION("""COMPUTED_VALUE"""),"Student")</f>
        <v>Student</v>
      </c>
      <c r="F215" s="8" t="str">
        <f ca="1">IFERROR(__xludf.DUMMYFUNCTION("""COMPUTED_VALUE"""),"Teen")</f>
        <v>Teen</v>
      </c>
    </row>
    <row r="216" spans="1:6" ht="12.75">
      <c r="A216" s="4">
        <v>215</v>
      </c>
      <c r="B216" s="8" t="str">
        <f ca="1">IFERROR(__xludf.DUMMYFUNCTION("""COMPUTED_VALUE"""),"20220403INBLB")</f>
        <v>20220403INBLB</v>
      </c>
      <c r="C216" s="8" t="str">
        <f ca="1">IFERROR(__xludf.DUMMYFUNCTION("""COMPUTED_VALUE"""),"Wounded")</f>
        <v>Wounded</v>
      </c>
      <c r="D216" s="8" t="str">
        <f ca="1">IFERROR(__xludf.DUMMYFUNCTION("""COMPUTED_VALUE"""),"Male")</f>
        <v>Male</v>
      </c>
      <c r="E216" s="8"/>
      <c r="F216" s="8">
        <f ca="1">IFERROR(__xludf.DUMMYFUNCTION("""COMPUTED_VALUE"""),17)</f>
        <v>17</v>
      </c>
    </row>
    <row r="217" spans="1:6" ht="12.75">
      <c r="A217" s="4">
        <v>216</v>
      </c>
      <c r="B217" s="8" t="str">
        <f ca="1">IFERROR(__xludf.DUMMYFUNCTION("""COMPUTED_VALUE"""),"20220331SCTAG")</f>
        <v>20220331SCTAG</v>
      </c>
      <c r="C217" s="8" t="str">
        <f ca="1">IFERROR(__xludf.DUMMYFUNCTION("""COMPUTED_VALUE"""),"Fatal")</f>
        <v>Fatal</v>
      </c>
      <c r="D217" s="8" t="str">
        <f ca="1">IFERROR(__xludf.DUMMYFUNCTION("""COMPUTED_VALUE"""),"Male")</f>
        <v>Male</v>
      </c>
      <c r="E217" s="8" t="str">
        <f ca="1">IFERROR(__xludf.DUMMYFUNCTION("""COMPUTED_VALUE"""),"Student")</f>
        <v>Student</v>
      </c>
      <c r="F217" s="8">
        <f ca="1">IFERROR(__xludf.DUMMYFUNCTION("""COMPUTED_VALUE"""),12)</f>
        <v>12</v>
      </c>
    </row>
    <row r="218" spans="1:6" ht="12.75">
      <c r="A218" s="4">
        <v>217</v>
      </c>
      <c r="B218" s="8" t="str">
        <f ca="1">IFERROR(__xludf.DUMMYFUNCTION("""COMPUTED_VALUE"""),"20220330AZKIK")</f>
        <v>20220330AZKIK</v>
      </c>
      <c r="C218" s="8" t="str">
        <f ca="1">IFERROR(__xludf.DUMMYFUNCTION("""COMPUTED_VALUE"""),"Wounded")</f>
        <v>Wounded</v>
      </c>
      <c r="D218" s="8" t="str">
        <f ca="1">IFERROR(__xludf.DUMMYFUNCTION("""COMPUTED_VALUE"""),"Male")</f>
        <v>Male</v>
      </c>
      <c r="E218" s="8" t="str">
        <f ca="1">IFERROR(__xludf.DUMMYFUNCTION("""COMPUTED_VALUE"""),"Student")</f>
        <v>Student</v>
      </c>
      <c r="F218" s="8">
        <f ca="1">IFERROR(__xludf.DUMMYFUNCTION("""COMPUTED_VALUE"""),15)</f>
        <v>15</v>
      </c>
    </row>
    <row r="219" spans="1:6" ht="12.75">
      <c r="A219" s="4">
        <v>218</v>
      </c>
      <c r="B219" s="8" t="str">
        <f ca="1">IFERROR(__xludf.DUMMYFUNCTION("""COMPUTED_VALUE"""),"20220329NVWEL")</f>
        <v>20220329NVWEL</v>
      </c>
      <c r="C219" s="8" t="str">
        <f ca="1">IFERROR(__xludf.DUMMYFUNCTION("""COMPUTED_VALUE"""),"Wounded")</f>
        <v>Wounded</v>
      </c>
      <c r="D219" s="8" t="str">
        <f ca="1">IFERROR(__xludf.DUMMYFUNCTION("""COMPUTED_VALUE"""),"Male")</f>
        <v>Male</v>
      </c>
      <c r="E219" s="8" t="str">
        <f ca="1">IFERROR(__xludf.DUMMYFUNCTION("""COMPUTED_VALUE"""),"Student")</f>
        <v>Student</v>
      </c>
      <c r="F219" s="8">
        <f ca="1">IFERROR(__xludf.DUMMYFUNCTION("""COMPUTED_VALUE"""),16)</f>
        <v>16</v>
      </c>
    </row>
    <row r="220" spans="1:6" ht="12.75">
      <c r="A220" s="4">
        <v>219</v>
      </c>
      <c r="B220" s="8" t="str">
        <f ca="1">IFERROR(__xludf.DUMMYFUNCTION("""COMPUTED_VALUE"""),"20220329NVWEL")</f>
        <v>20220329NVWEL</v>
      </c>
      <c r="C220" s="8" t="str">
        <f ca="1">IFERROR(__xludf.DUMMYFUNCTION("""COMPUTED_VALUE"""),"Wounded")</f>
        <v>Wounded</v>
      </c>
      <c r="D220" s="8" t="str">
        <f ca="1">IFERROR(__xludf.DUMMYFUNCTION("""COMPUTED_VALUE"""),"Male")</f>
        <v>Male</v>
      </c>
      <c r="E220" s="8" t="str">
        <f ca="1">IFERROR(__xludf.DUMMYFUNCTION("""COMPUTED_VALUE"""),"Nonstudent")</f>
        <v>Nonstudent</v>
      </c>
      <c r="F220" s="8" t="str">
        <f ca="1">IFERROR(__xludf.DUMMYFUNCTION("""COMPUTED_VALUE"""),"Teen")</f>
        <v>Teen</v>
      </c>
    </row>
    <row r="221" spans="1:6" ht="12.75">
      <c r="A221" s="4">
        <v>220</v>
      </c>
      <c r="B221" s="8" t="str">
        <f ca="1">IFERROR(__xludf.DUMMYFUNCTION("""COMPUTED_VALUE"""),"20220329NVWEL")</f>
        <v>20220329NVWEL</v>
      </c>
      <c r="C221" s="8" t="str">
        <f ca="1">IFERROR(__xludf.DUMMYFUNCTION("""COMPUTED_VALUE"""),"Minor Injuries")</f>
        <v>Minor Injuries</v>
      </c>
      <c r="D221" s="8" t="str">
        <f ca="1">IFERROR(__xludf.DUMMYFUNCTION("""COMPUTED_VALUE"""),"Female")</f>
        <v>Female</v>
      </c>
      <c r="E221" s="8" t="str">
        <f ca="1">IFERROR(__xludf.DUMMYFUNCTION("""COMPUTED_VALUE"""),"Student")</f>
        <v>Student</v>
      </c>
      <c r="F221" s="8" t="str">
        <f ca="1">IFERROR(__xludf.DUMMYFUNCTION("""COMPUTED_VALUE"""),"Teen")</f>
        <v>Teen</v>
      </c>
    </row>
    <row r="222" spans="1:6" ht="12.75">
      <c r="A222" s="4">
        <v>221</v>
      </c>
      <c r="B222" s="8" t="str">
        <f ca="1">IFERROR(__xludf.DUMMYFUNCTION("""COMPUTED_VALUE"""),"20220328NCOAC")</f>
        <v>20220328NCOAC</v>
      </c>
      <c r="C222" s="8" t="str">
        <f ca="1">IFERROR(__xludf.DUMMYFUNCTION("""COMPUTED_VALUE"""),"Wounded")</f>
        <v>Wounded</v>
      </c>
      <c r="D222" s="8" t="str">
        <f ca="1">IFERROR(__xludf.DUMMYFUNCTION("""COMPUTED_VALUE"""),"Male")</f>
        <v>Male</v>
      </c>
      <c r="E222" s="8" t="str">
        <f ca="1">IFERROR(__xludf.DUMMYFUNCTION("""COMPUTED_VALUE"""),"No Relation")</f>
        <v>No Relation</v>
      </c>
      <c r="F222" s="8">
        <f ca="1">IFERROR(__xludf.DUMMYFUNCTION("""COMPUTED_VALUE"""),16)</f>
        <v>16</v>
      </c>
    </row>
    <row r="223" spans="1:6" ht="12.75">
      <c r="A223" s="4">
        <v>222</v>
      </c>
      <c r="B223" s="8" t="str">
        <f ca="1">IFERROR(__xludf.DUMMYFUNCTION("""COMPUTED_VALUE"""),"20220322FLNEN")</f>
        <v>20220322FLNEN</v>
      </c>
      <c r="C223" s="8" t="str">
        <f ca="1">IFERROR(__xludf.DUMMYFUNCTION("""COMPUTED_VALUE"""),"Minor Injuries")</f>
        <v>Minor Injuries</v>
      </c>
      <c r="D223" s="8" t="str">
        <f ca="1">IFERROR(__xludf.DUMMYFUNCTION("""COMPUTED_VALUE"""),"Female")</f>
        <v>Female</v>
      </c>
      <c r="E223" s="8" t="str">
        <f ca="1">IFERROR(__xludf.DUMMYFUNCTION("""COMPUTED_VALUE"""),"Other Staff")</f>
        <v>Other Staff</v>
      </c>
      <c r="F223" s="8" t="str">
        <f ca="1">IFERROR(__xludf.DUMMYFUNCTION("""COMPUTED_VALUE"""),"Adult")</f>
        <v>Adult</v>
      </c>
    </row>
    <row r="224" spans="1:6" ht="12.75">
      <c r="A224" s="4">
        <v>223</v>
      </c>
      <c r="B224" s="8" t="str">
        <f ca="1">IFERROR(__xludf.DUMMYFUNCTION("""COMPUTED_VALUE"""),"20220321MIMAK")</f>
        <v>20220321MIMAK</v>
      </c>
      <c r="C224" s="8" t="str">
        <f ca="1">IFERROR(__xludf.DUMMYFUNCTION("""COMPUTED_VALUE"""),"None")</f>
        <v>None</v>
      </c>
      <c r="D224" s="8" t="str">
        <f ca="1">IFERROR(__xludf.DUMMYFUNCTION("""COMPUTED_VALUE"""),"Male")</f>
        <v>Male</v>
      </c>
      <c r="E224" s="8" t="str">
        <f ca="1">IFERROR(__xludf.DUMMYFUNCTION("""COMPUTED_VALUE"""),"Parent")</f>
        <v>Parent</v>
      </c>
      <c r="F224" s="8" t="str">
        <f ca="1">IFERROR(__xludf.DUMMYFUNCTION("""COMPUTED_VALUE"""),"Adult")</f>
        <v>Adult</v>
      </c>
    </row>
    <row r="225" spans="1:6" ht="12.75">
      <c r="A225" s="4">
        <v>224</v>
      </c>
      <c r="B225" s="8" t="str">
        <f ca="1">IFERROR(__xludf.DUMMYFUNCTION("""COMPUTED_VALUE"""),"20220319ALCEL")</f>
        <v>20220319ALCEL</v>
      </c>
      <c r="C225" s="8" t="str">
        <f ca="1">IFERROR(__xludf.DUMMYFUNCTION("""COMPUTED_VALUE"""),"None")</f>
        <v>None</v>
      </c>
      <c r="D225" s="8" t="str">
        <f ca="1">IFERROR(__xludf.DUMMYFUNCTION("""COMPUTED_VALUE"""),"Male")</f>
        <v>Male</v>
      </c>
      <c r="E225" s="8" t="str">
        <f ca="1">IFERROR(__xludf.DUMMYFUNCTION("""COMPUTED_VALUE"""),"No Relation")</f>
        <v>No Relation</v>
      </c>
      <c r="F225" s="8" t="str">
        <f ca="1">IFERROR(__xludf.DUMMYFUNCTION("""COMPUTED_VALUE"""),"Adult")</f>
        <v>Adult</v>
      </c>
    </row>
    <row r="226" spans="1:6" ht="12.75">
      <c r="A226" s="4">
        <v>225</v>
      </c>
      <c r="B226" s="8" t="str">
        <f ca="1">IFERROR(__xludf.DUMMYFUNCTION("""COMPUTED_VALUE"""),"20220318RICEP")</f>
        <v>20220318RICEP</v>
      </c>
      <c r="C226" s="8" t="str">
        <f ca="1">IFERROR(__xludf.DUMMYFUNCTION("""COMPUTED_VALUE"""),"Minor Injuries")</f>
        <v>Minor Injuries</v>
      </c>
      <c r="D226" s="8"/>
      <c r="E226" s="8" t="str">
        <f ca="1">IFERROR(__xludf.DUMMYFUNCTION("""COMPUTED_VALUE"""),"Other Staff")</f>
        <v>Other Staff</v>
      </c>
      <c r="F226" s="8" t="str">
        <f ca="1">IFERROR(__xludf.DUMMYFUNCTION("""COMPUTED_VALUE"""),"Adult")</f>
        <v>Adult</v>
      </c>
    </row>
    <row r="227" spans="1:6" ht="12.75">
      <c r="A227" s="4">
        <v>226</v>
      </c>
      <c r="B227" s="8" t="str">
        <f ca="1">IFERROR(__xludf.DUMMYFUNCTION("""COMPUTED_VALUE"""),"20220318ILBAB")</f>
        <v>20220318ILBAB</v>
      </c>
      <c r="C227" s="8" t="str">
        <f ca="1">IFERROR(__xludf.DUMMYFUNCTION("""COMPUTED_VALUE"""),"Minor Injuries")</f>
        <v>Minor Injuries</v>
      </c>
      <c r="D227" s="8" t="str">
        <f ca="1">IFERROR(__xludf.DUMMYFUNCTION("""COMPUTED_VALUE"""),"Male")</f>
        <v>Male</v>
      </c>
      <c r="E227" s="8" t="str">
        <f ca="1">IFERROR(__xludf.DUMMYFUNCTION("""COMPUTED_VALUE"""),"Student")</f>
        <v>Student</v>
      </c>
      <c r="F227" s="8" t="str">
        <f ca="1">IFERROR(__xludf.DUMMYFUNCTION("""COMPUTED_VALUE"""),"Teen")</f>
        <v>Teen</v>
      </c>
    </row>
    <row r="228" spans="1:6" ht="12.75">
      <c r="A228" s="4">
        <v>227</v>
      </c>
      <c r="B228" s="8" t="str">
        <f ca="1">IFERROR(__xludf.DUMMYFUNCTION("""COMPUTED_VALUE"""),"20220318ILBAB")</f>
        <v>20220318ILBAB</v>
      </c>
      <c r="C228" s="8" t="str">
        <f ca="1">IFERROR(__xludf.DUMMYFUNCTION("""COMPUTED_VALUE"""),"Minor Injuries")</f>
        <v>Minor Injuries</v>
      </c>
      <c r="D228" s="8" t="str">
        <f ca="1">IFERROR(__xludf.DUMMYFUNCTION("""COMPUTED_VALUE"""),"Male")</f>
        <v>Male</v>
      </c>
      <c r="E228" s="8" t="str">
        <f ca="1">IFERROR(__xludf.DUMMYFUNCTION("""COMPUTED_VALUE"""),"Student")</f>
        <v>Student</v>
      </c>
      <c r="F228" s="8" t="str">
        <f ca="1">IFERROR(__xludf.DUMMYFUNCTION("""COMPUTED_VALUE"""),"Teen")</f>
        <v>Teen</v>
      </c>
    </row>
    <row r="229" spans="1:6" ht="12.75">
      <c r="A229" s="4">
        <v>228</v>
      </c>
      <c r="B229" s="8" t="str">
        <f ca="1">IFERROR(__xludf.DUMMYFUNCTION("""COMPUTED_VALUE"""),"20220315WAEIY")</f>
        <v>20220315WAEIY</v>
      </c>
      <c r="C229" s="8" t="str">
        <f ca="1">IFERROR(__xludf.DUMMYFUNCTION("""COMPUTED_VALUE"""),"Fatal")</f>
        <v>Fatal</v>
      </c>
      <c r="D229" s="8" t="str">
        <f ca="1">IFERROR(__xludf.DUMMYFUNCTION("""COMPUTED_VALUE"""),"Male")</f>
        <v>Male</v>
      </c>
      <c r="E229" s="8" t="str">
        <f ca="1">IFERROR(__xludf.DUMMYFUNCTION("""COMPUTED_VALUE"""),"Student")</f>
        <v>Student</v>
      </c>
      <c r="F229" s="8">
        <f ca="1">IFERROR(__xludf.DUMMYFUNCTION("""COMPUTED_VALUE"""),16)</f>
        <v>16</v>
      </c>
    </row>
    <row r="230" spans="1:6" ht="12.75">
      <c r="A230" s="4">
        <v>229</v>
      </c>
      <c r="B230" s="8" t="str">
        <f ca="1">IFERROR(__xludf.DUMMYFUNCTION("""COMPUTED_VALUE"""),"20220315WAEIY")</f>
        <v>20220315WAEIY</v>
      </c>
      <c r="C230" s="8" t="str">
        <f ca="1">IFERROR(__xludf.DUMMYFUNCTION("""COMPUTED_VALUE"""),"Wounded")</f>
        <v>Wounded</v>
      </c>
      <c r="D230" s="8" t="str">
        <f ca="1">IFERROR(__xludf.DUMMYFUNCTION("""COMPUTED_VALUE"""),"Male")</f>
        <v>Male</v>
      </c>
      <c r="E230" s="8" t="str">
        <f ca="1">IFERROR(__xludf.DUMMYFUNCTION("""COMPUTED_VALUE"""),"Student")</f>
        <v>Student</v>
      </c>
      <c r="F230" s="8">
        <f ca="1">IFERROR(__xludf.DUMMYFUNCTION("""COMPUTED_VALUE"""),18)</f>
        <v>18</v>
      </c>
    </row>
    <row r="231" spans="1:6" ht="12.75">
      <c r="A231" s="4">
        <v>230</v>
      </c>
      <c r="B231" s="8" t="str">
        <f ca="1">IFERROR(__xludf.DUMMYFUNCTION("""COMPUTED_VALUE"""),"20220315MDPAB")</f>
        <v>20220315MDPAB</v>
      </c>
      <c r="C231" s="8" t="str">
        <f ca="1">IFERROR(__xludf.DUMMYFUNCTION("""COMPUTED_VALUE"""),"Wounded")</f>
        <v>Wounded</v>
      </c>
      <c r="D231" s="8" t="str">
        <f ca="1">IFERROR(__xludf.DUMMYFUNCTION("""COMPUTED_VALUE"""),"Male")</f>
        <v>Male</v>
      </c>
      <c r="E231" s="8" t="str">
        <f ca="1">IFERROR(__xludf.DUMMYFUNCTION("""COMPUTED_VALUE"""),"Student")</f>
        <v>Student</v>
      </c>
      <c r="F231" s="8">
        <f ca="1">IFERROR(__xludf.DUMMYFUNCTION("""COMPUTED_VALUE"""),18)</f>
        <v>18</v>
      </c>
    </row>
    <row r="232" spans="1:6" ht="12.75">
      <c r="A232" s="4">
        <v>231</v>
      </c>
      <c r="B232" s="8" t="str">
        <f ca="1">IFERROR(__xludf.DUMMYFUNCTION("""COMPUTED_VALUE"""),"20220315MATEB")</f>
        <v>20220315MATEB</v>
      </c>
      <c r="C232" s="8" t="str">
        <f ca="1">IFERROR(__xludf.DUMMYFUNCTION("""COMPUTED_VALUE"""),"Wounded")</f>
        <v>Wounded</v>
      </c>
      <c r="D232" s="8"/>
      <c r="E232" s="8" t="str">
        <f ca="1">IFERROR(__xludf.DUMMYFUNCTION("""COMPUTED_VALUE"""),"Student")</f>
        <v>Student</v>
      </c>
      <c r="F232" s="8">
        <f ca="1">IFERROR(__xludf.DUMMYFUNCTION("""COMPUTED_VALUE"""),17)</f>
        <v>17</v>
      </c>
    </row>
    <row r="233" spans="1:6" ht="12.75">
      <c r="A233" s="4">
        <v>232</v>
      </c>
      <c r="B233" s="8" t="str">
        <f ca="1">IFERROR(__xludf.DUMMYFUNCTION("""COMPUTED_VALUE"""),"20220315MATEB")</f>
        <v>20220315MATEB</v>
      </c>
      <c r="C233" s="8" t="str">
        <f ca="1">IFERROR(__xludf.DUMMYFUNCTION("""COMPUTED_VALUE"""),"Wounded")</f>
        <v>Wounded</v>
      </c>
      <c r="D233" s="8"/>
      <c r="E233" s="8" t="str">
        <f ca="1">IFERROR(__xludf.DUMMYFUNCTION("""COMPUTED_VALUE"""),"Teacher")</f>
        <v>Teacher</v>
      </c>
      <c r="F233" s="8">
        <f ca="1">IFERROR(__xludf.DUMMYFUNCTION("""COMPUTED_VALUE"""),31)</f>
        <v>31</v>
      </c>
    </row>
    <row r="234" spans="1:6" ht="12.75">
      <c r="A234" s="4">
        <v>233</v>
      </c>
      <c r="B234" s="8" t="str">
        <f ca="1">IFERROR(__xludf.DUMMYFUNCTION("""COMPUTED_VALUE"""),"20220311OHFAP")</f>
        <v>20220311OHFAP</v>
      </c>
      <c r="C234" s="8" t="str">
        <f ca="1">IFERROR(__xludf.DUMMYFUNCTION("""COMPUTED_VALUE"""),"None")</f>
        <v>None</v>
      </c>
      <c r="D234" s="8" t="str">
        <f ca="1">IFERROR(__xludf.DUMMYFUNCTION("""COMPUTED_VALUE"""),"Male")</f>
        <v>Male</v>
      </c>
      <c r="E234" s="8" t="str">
        <f ca="1">IFERROR(__xludf.DUMMYFUNCTION("""COMPUTED_VALUE"""),"No Relation")</f>
        <v>No Relation</v>
      </c>
      <c r="F234" s="8">
        <f ca="1">IFERROR(__xludf.DUMMYFUNCTION("""COMPUTED_VALUE"""),43)</f>
        <v>43</v>
      </c>
    </row>
    <row r="235" spans="1:6" ht="12.75">
      <c r="A235" s="4">
        <v>234</v>
      </c>
      <c r="B235" s="8" t="str">
        <f ca="1">IFERROR(__xludf.DUMMYFUNCTION("""COMPUTED_VALUE"""),"20220311CADER")</f>
        <v>20220311CADER</v>
      </c>
      <c r="C235" s="8" t="str">
        <f ca="1">IFERROR(__xludf.DUMMYFUNCTION("""COMPUTED_VALUE"""),"Minor Injuries")</f>
        <v>Minor Injuries</v>
      </c>
      <c r="D235" s="8" t="str">
        <f ca="1">IFERROR(__xludf.DUMMYFUNCTION("""COMPUTED_VALUE"""),"Male")</f>
        <v>Male</v>
      </c>
      <c r="E235" s="8" t="str">
        <f ca="1">IFERROR(__xludf.DUMMYFUNCTION("""COMPUTED_VALUE"""),"Student")</f>
        <v>Student</v>
      </c>
      <c r="F235" s="8" t="str">
        <f ca="1">IFERROR(__xludf.DUMMYFUNCTION("""COMPUTED_VALUE"""),"Teen")</f>
        <v>Teen</v>
      </c>
    </row>
    <row r="236" spans="1:6" ht="12.75">
      <c r="A236" s="4">
        <v>235</v>
      </c>
      <c r="B236" s="8" t="str">
        <f ca="1">IFERROR(__xludf.DUMMYFUNCTION("""COMPUTED_VALUE"""),"20220310TNHAM")</f>
        <v>20220310TNHAM</v>
      </c>
      <c r="C236" s="8" t="str">
        <f ca="1">IFERROR(__xludf.DUMMYFUNCTION("""COMPUTED_VALUE"""),"None")</f>
        <v>None</v>
      </c>
      <c r="D236" s="8"/>
      <c r="E236" s="8" t="str">
        <f ca="1">IFERROR(__xludf.DUMMYFUNCTION("""COMPUTED_VALUE"""),"Student")</f>
        <v>Student</v>
      </c>
      <c r="F236" s="8" t="str">
        <f ca="1">IFERROR(__xludf.DUMMYFUNCTION("""COMPUTED_VALUE"""),"Child")</f>
        <v>Child</v>
      </c>
    </row>
    <row r="237" spans="1:6" ht="12.75">
      <c r="A237" s="4">
        <v>236</v>
      </c>
      <c r="B237" s="8" t="str">
        <f ca="1">IFERROR(__xludf.DUMMYFUNCTION("""COMPUTED_VALUE"""),"20220310TNHAM")</f>
        <v>20220310TNHAM</v>
      </c>
      <c r="C237" s="8" t="str">
        <f ca="1">IFERROR(__xludf.DUMMYFUNCTION("""COMPUTED_VALUE"""),"None")</f>
        <v>None</v>
      </c>
      <c r="D237" s="8"/>
      <c r="E237" s="8" t="str">
        <f ca="1">IFERROR(__xludf.DUMMYFUNCTION("""COMPUTED_VALUE"""),"Student")</f>
        <v>Student</v>
      </c>
      <c r="F237" s="8" t="str">
        <f ca="1">IFERROR(__xludf.DUMMYFUNCTION("""COMPUTED_VALUE"""),"Child")</f>
        <v>Child</v>
      </c>
    </row>
    <row r="238" spans="1:6" ht="12.75">
      <c r="A238" s="4">
        <v>237</v>
      </c>
      <c r="B238" s="8" t="str">
        <f ca="1">IFERROR(__xludf.DUMMYFUNCTION("""COMPUTED_VALUE"""),"20220310TNHAM")</f>
        <v>20220310TNHAM</v>
      </c>
      <c r="C238" s="8" t="str">
        <f ca="1">IFERROR(__xludf.DUMMYFUNCTION("""COMPUTED_VALUE"""),"None")</f>
        <v>None</v>
      </c>
      <c r="D238" s="8"/>
      <c r="E238" s="8" t="str">
        <f ca="1">IFERROR(__xludf.DUMMYFUNCTION("""COMPUTED_VALUE"""),"Student")</f>
        <v>Student</v>
      </c>
      <c r="F238" s="8" t="str">
        <f ca="1">IFERROR(__xludf.DUMMYFUNCTION("""COMPUTED_VALUE"""),"Child")</f>
        <v>Child</v>
      </c>
    </row>
    <row r="239" spans="1:6" ht="12.75">
      <c r="A239" s="4">
        <v>238</v>
      </c>
      <c r="B239" s="8" t="str">
        <f ca="1">IFERROR(__xludf.DUMMYFUNCTION("""COMPUTED_VALUE"""),"20220310TNHAM")</f>
        <v>20220310TNHAM</v>
      </c>
      <c r="C239" s="8" t="str">
        <f ca="1">IFERROR(__xludf.DUMMYFUNCTION("""COMPUTED_VALUE"""),"None")</f>
        <v>None</v>
      </c>
      <c r="D239" s="8"/>
      <c r="E239" s="8" t="str">
        <f ca="1">IFERROR(__xludf.DUMMYFUNCTION("""COMPUTED_VALUE"""),"Student")</f>
        <v>Student</v>
      </c>
      <c r="F239" s="8" t="str">
        <f ca="1">IFERROR(__xludf.DUMMYFUNCTION("""COMPUTED_VALUE"""),"Child")</f>
        <v>Child</v>
      </c>
    </row>
    <row r="240" spans="1:6" ht="12.75">
      <c r="A240" s="4">
        <v>239</v>
      </c>
      <c r="B240" s="8" t="str">
        <f ca="1">IFERROR(__xludf.DUMMYFUNCTION("""COMPUTED_VALUE"""),"20220310TNHAM")</f>
        <v>20220310TNHAM</v>
      </c>
      <c r="C240" s="8" t="str">
        <f ca="1">IFERROR(__xludf.DUMMYFUNCTION("""COMPUTED_VALUE"""),"None")</f>
        <v>None</v>
      </c>
      <c r="D240" s="8"/>
      <c r="E240" s="8" t="str">
        <f ca="1">IFERROR(__xludf.DUMMYFUNCTION("""COMPUTED_VALUE"""),"Student")</f>
        <v>Student</v>
      </c>
      <c r="F240" s="8" t="str">
        <f ca="1">IFERROR(__xludf.DUMMYFUNCTION("""COMPUTED_VALUE"""),"Child")</f>
        <v>Child</v>
      </c>
    </row>
    <row r="241" spans="1:6" ht="12.75">
      <c r="A241" s="4">
        <v>240</v>
      </c>
      <c r="B241" s="8" t="str">
        <f ca="1">IFERROR(__xludf.DUMMYFUNCTION("""COMPUTED_VALUE"""),"20220310MDCOL")</f>
        <v>20220310MDCOL</v>
      </c>
      <c r="C241" s="8" t="str">
        <f ca="1">IFERROR(__xludf.DUMMYFUNCTION("""COMPUTED_VALUE"""),"Fatal")</f>
        <v>Fatal</v>
      </c>
      <c r="D241" s="8" t="str">
        <f ca="1">IFERROR(__xludf.DUMMYFUNCTION("""COMPUTED_VALUE"""),"Male")</f>
        <v>Male</v>
      </c>
      <c r="E241" s="8"/>
      <c r="F241" s="8" t="str">
        <f ca="1">IFERROR(__xludf.DUMMYFUNCTION("""COMPUTED_VALUE"""),"Adult")</f>
        <v>Adult</v>
      </c>
    </row>
    <row r="242" spans="1:6" ht="12.75">
      <c r="A242" s="4">
        <v>241</v>
      </c>
      <c r="B242" s="8" t="str">
        <f ca="1">IFERROR(__xludf.DUMMYFUNCTION("""COMPUTED_VALUE"""),"20220309TXNOH")</f>
        <v>20220309TXNOH</v>
      </c>
      <c r="C242" s="8" t="str">
        <f ca="1">IFERROR(__xludf.DUMMYFUNCTION("""COMPUTED_VALUE"""),"Wounded")</f>
        <v>Wounded</v>
      </c>
      <c r="D242" s="8" t="str">
        <f ca="1">IFERROR(__xludf.DUMMYFUNCTION("""COMPUTED_VALUE"""),"Female")</f>
        <v>Female</v>
      </c>
      <c r="E242" s="8" t="str">
        <f ca="1">IFERROR(__xludf.DUMMYFUNCTION("""COMPUTED_VALUE"""),"Student")</f>
        <v>Student</v>
      </c>
      <c r="F242" s="8">
        <f ca="1">IFERROR(__xludf.DUMMYFUNCTION("""COMPUTED_VALUE"""),17)</f>
        <v>17</v>
      </c>
    </row>
    <row r="243" spans="1:6" ht="12.75">
      <c r="A243" s="4">
        <v>242</v>
      </c>
      <c r="B243" s="8" t="str">
        <f ca="1">IFERROR(__xludf.DUMMYFUNCTION("""COMPUTED_VALUE"""),"20220309FLNOM")</f>
        <v>20220309FLNOM</v>
      </c>
      <c r="C243" s="8" t="str">
        <f ca="1">IFERROR(__xludf.DUMMYFUNCTION("""COMPUTED_VALUE"""),"Wounded")</f>
        <v>Wounded</v>
      </c>
      <c r="D243" s="8" t="str">
        <f ca="1">IFERROR(__xludf.DUMMYFUNCTION("""COMPUTED_VALUE"""),"Male")</f>
        <v>Male</v>
      </c>
      <c r="E243" s="8" t="str">
        <f ca="1">IFERROR(__xludf.DUMMYFUNCTION("""COMPUTED_VALUE"""),"Student")</f>
        <v>Student</v>
      </c>
      <c r="F243" s="8">
        <f ca="1">IFERROR(__xludf.DUMMYFUNCTION("""COMPUTED_VALUE"""),17)</f>
        <v>17</v>
      </c>
    </row>
    <row r="244" spans="1:6" ht="12.75">
      <c r="A244" s="4">
        <v>243</v>
      </c>
      <c r="B244" s="8" t="str">
        <f ca="1">IFERROR(__xludf.DUMMYFUNCTION("""COMPUTED_VALUE"""),"20220309FLNOM")</f>
        <v>20220309FLNOM</v>
      </c>
      <c r="C244" s="8" t="str">
        <f ca="1">IFERROR(__xludf.DUMMYFUNCTION("""COMPUTED_VALUE"""),"Wounded")</f>
        <v>Wounded</v>
      </c>
      <c r="D244" s="8" t="str">
        <f ca="1">IFERROR(__xludf.DUMMYFUNCTION("""COMPUTED_VALUE"""),"Male")</f>
        <v>Male</v>
      </c>
      <c r="E244" s="8" t="str">
        <f ca="1">IFERROR(__xludf.DUMMYFUNCTION("""COMPUTED_VALUE"""),"Student")</f>
        <v>Student</v>
      </c>
      <c r="F244" s="8">
        <f ca="1">IFERROR(__xludf.DUMMYFUNCTION("""COMPUTED_VALUE"""),18)</f>
        <v>18</v>
      </c>
    </row>
    <row r="245" spans="1:6" ht="12.75">
      <c r="A245" s="4">
        <v>244</v>
      </c>
      <c r="B245" s="8" t="str">
        <f ca="1">IFERROR(__xludf.DUMMYFUNCTION("""COMPUTED_VALUE"""),"20220309FLNOM")</f>
        <v>20220309FLNOM</v>
      </c>
      <c r="C245" s="8" t="str">
        <f ca="1">IFERROR(__xludf.DUMMYFUNCTION("""COMPUTED_VALUE"""),"Wounded")</f>
        <v>Wounded</v>
      </c>
      <c r="D245" s="8"/>
      <c r="E245" s="8" t="str">
        <f ca="1">IFERROR(__xludf.DUMMYFUNCTION("""COMPUTED_VALUE"""),"Student")</f>
        <v>Student</v>
      </c>
      <c r="F245" s="8" t="str">
        <f ca="1">IFERROR(__xludf.DUMMYFUNCTION("""COMPUTED_VALUE"""),"Teen")</f>
        <v>Teen</v>
      </c>
    </row>
    <row r="246" spans="1:6" ht="12.75">
      <c r="A246" s="4">
        <v>245</v>
      </c>
      <c r="B246" s="8" t="str">
        <f ca="1">IFERROR(__xludf.DUMMYFUNCTION("""COMPUTED_VALUE"""),"20220307IAEAD")</f>
        <v>20220307IAEAD</v>
      </c>
      <c r="C246" s="8" t="str">
        <f ca="1">IFERROR(__xludf.DUMMYFUNCTION("""COMPUTED_VALUE"""),"Fatal")</f>
        <v>Fatal</v>
      </c>
      <c r="D246" s="8" t="str">
        <f ca="1">IFERROR(__xludf.DUMMYFUNCTION("""COMPUTED_VALUE"""),"Male")</f>
        <v>Male</v>
      </c>
      <c r="E246" s="8" t="str">
        <f ca="1">IFERROR(__xludf.DUMMYFUNCTION("""COMPUTED_VALUE"""),"Former Student")</f>
        <v>Former Student</v>
      </c>
      <c r="F246" s="8">
        <f ca="1">IFERROR(__xludf.DUMMYFUNCTION("""COMPUTED_VALUE"""),15)</f>
        <v>15</v>
      </c>
    </row>
    <row r="247" spans="1:6" ht="12.75">
      <c r="A247" s="4">
        <v>246</v>
      </c>
      <c r="B247" s="8" t="str">
        <f ca="1">IFERROR(__xludf.DUMMYFUNCTION("""COMPUTED_VALUE"""),"20220307IAEAD")</f>
        <v>20220307IAEAD</v>
      </c>
      <c r="C247" s="8" t="str">
        <f ca="1">IFERROR(__xludf.DUMMYFUNCTION("""COMPUTED_VALUE"""),"Wounded")</f>
        <v>Wounded</v>
      </c>
      <c r="D247" s="8" t="str">
        <f ca="1">IFERROR(__xludf.DUMMYFUNCTION("""COMPUTED_VALUE"""),"Female")</f>
        <v>Female</v>
      </c>
      <c r="E247" s="8" t="str">
        <f ca="1">IFERROR(__xludf.DUMMYFUNCTION("""COMPUTED_VALUE"""),"Student")</f>
        <v>Student</v>
      </c>
      <c r="F247" s="8">
        <f ca="1">IFERROR(__xludf.DUMMYFUNCTION("""COMPUTED_VALUE"""),16)</f>
        <v>16</v>
      </c>
    </row>
    <row r="248" spans="1:6" ht="12.75">
      <c r="A248" s="4">
        <v>247</v>
      </c>
      <c r="B248" s="8" t="str">
        <f ca="1">IFERROR(__xludf.DUMMYFUNCTION("""COMPUTED_VALUE"""),"20220307IAEAD")</f>
        <v>20220307IAEAD</v>
      </c>
      <c r="C248" s="8" t="str">
        <f ca="1">IFERROR(__xludf.DUMMYFUNCTION("""COMPUTED_VALUE"""),"Wounded")</f>
        <v>Wounded</v>
      </c>
      <c r="D248" s="8" t="str">
        <f ca="1">IFERROR(__xludf.DUMMYFUNCTION("""COMPUTED_VALUE"""),"Female")</f>
        <v>Female</v>
      </c>
      <c r="E248" s="8" t="str">
        <f ca="1">IFERROR(__xludf.DUMMYFUNCTION("""COMPUTED_VALUE"""),"Student")</f>
        <v>Student</v>
      </c>
      <c r="F248" s="8">
        <f ca="1">IFERROR(__xludf.DUMMYFUNCTION("""COMPUTED_VALUE"""),18)</f>
        <v>18</v>
      </c>
    </row>
    <row r="249" spans="1:6" ht="12.75">
      <c r="A249" s="4">
        <v>248</v>
      </c>
      <c r="B249" s="8" t="str">
        <f ca="1">IFERROR(__xludf.DUMMYFUNCTION("""COMPUTED_VALUE"""),"20220304KSOLO")</f>
        <v>20220304KSOLO</v>
      </c>
      <c r="C249" s="8" t="str">
        <f ca="1">IFERROR(__xludf.DUMMYFUNCTION("""COMPUTED_VALUE"""),"Wounded")</f>
        <v>Wounded</v>
      </c>
      <c r="D249" s="8" t="str">
        <f ca="1">IFERROR(__xludf.DUMMYFUNCTION("""COMPUTED_VALUE"""),"Male")</f>
        <v>Male</v>
      </c>
      <c r="E249" s="8" t="str">
        <f ca="1">IFERROR(__xludf.DUMMYFUNCTION("""COMPUTED_VALUE"""),"Principal/Vice-Principal")</f>
        <v>Principal/Vice-Principal</v>
      </c>
      <c r="F249" s="8" t="str">
        <f ca="1">IFERROR(__xludf.DUMMYFUNCTION("""COMPUTED_VALUE"""),"Adult")</f>
        <v>Adult</v>
      </c>
    </row>
    <row r="250" spans="1:6" ht="12.75">
      <c r="A250" s="4">
        <v>249</v>
      </c>
      <c r="B250" s="8" t="str">
        <f ca="1">IFERROR(__xludf.DUMMYFUNCTION("""COMPUTED_VALUE"""),"20220304KSOLO")</f>
        <v>20220304KSOLO</v>
      </c>
      <c r="C250" s="8" t="str">
        <f ca="1">IFERROR(__xludf.DUMMYFUNCTION("""COMPUTED_VALUE"""),"Wounded")</f>
        <v>Wounded</v>
      </c>
      <c r="D250" s="8" t="str">
        <f ca="1">IFERROR(__xludf.DUMMYFUNCTION("""COMPUTED_VALUE"""),"Male")</f>
        <v>Male</v>
      </c>
      <c r="E250" s="8" t="str">
        <f ca="1">IFERROR(__xludf.DUMMYFUNCTION("""COMPUTED_VALUE"""),"Police Officer/SRO")</f>
        <v>Police Officer/SRO</v>
      </c>
      <c r="F250" s="8" t="str">
        <f ca="1">IFERROR(__xludf.DUMMYFUNCTION("""COMPUTED_VALUE"""),"Adult")</f>
        <v>Adult</v>
      </c>
    </row>
    <row r="251" spans="1:6" ht="12.75">
      <c r="A251" s="4">
        <v>250</v>
      </c>
      <c r="B251" s="8" t="str">
        <f ca="1">IFERROR(__xludf.DUMMYFUNCTION("""COMPUTED_VALUE"""),"20220303MIJWL")</f>
        <v>20220303MIJWL</v>
      </c>
      <c r="C251" s="8" t="str">
        <f ca="1">IFERROR(__xludf.DUMMYFUNCTION("""COMPUTED_VALUE"""),"Wounded")</f>
        <v>Wounded</v>
      </c>
      <c r="D251" s="8" t="str">
        <f ca="1">IFERROR(__xludf.DUMMYFUNCTION("""COMPUTED_VALUE"""),"Male")</f>
        <v>Male</v>
      </c>
      <c r="E251" s="8"/>
      <c r="F251" s="8">
        <f ca="1">IFERROR(__xludf.DUMMYFUNCTION("""COMPUTED_VALUE"""),17)</f>
        <v>17</v>
      </c>
    </row>
    <row r="252" spans="1:6" ht="12.75">
      <c r="A252" s="4">
        <v>251</v>
      </c>
      <c r="B252" s="8" t="str">
        <f ca="1">IFERROR(__xludf.DUMMYFUNCTION("""COMPUTED_VALUE"""),"20220228NYBOB")</f>
        <v>20220228NYBOB</v>
      </c>
      <c r="C252" s="8" t="str">
        <f ca="1">IFERROR(__xludf.DUMMYFUNCTION("""COMPUTED_VALUE"""),"Wounded")</f>
        <v>Wounded</v>
      </c>
      <c r="D252" s="8" t="str">
        <f ca="1">IFERROR(__xludf.DUMMYFUNCTION("""COMPUTED_VALUE"""),"Male")</f>
        <v>Male</v>
      </c>
      <c r="E252" s="8" t="str">
        <f ca="1">IFERROR(__xludf.DUMMYFUNCTION("""COMPUTED_VALUE"""),"Student")</f>
        <v>Student</v>
      </c>
      <c r="F252" s="8">
        <f ca="1">IFERROR(__xludf.DUMMYFUNCTION("""COMPUTED_VALUE"""),14)</f>
        <v>14</v>
      </c>
    </row>
    <row r="253" spans="1:6" ht="12.75">
      <c r="A253" s="4">
        <v>252</v>
      </c>
      <c r="B253" s="8" t="str">
        <f ca="1">IFERROR(__xludf.DUMMYFUNCTION("""COMPUTED_VALUE"""),"20220227DCDUW")</f>
        <v>20220227DCDUW</v>
      </c>
      <c r="C253" s="8" t="str">
        <f ca="1">IFERROR(__xludf.DUMMYFUNCTION("""COMPUTED_VALUE"""),"Fatal")</f>
        <v>Fatal</v>
      </c>
      <c r="D253" s="8" t="str">
        <f ca="1">IFERROR(__xludf.DUMMYFUNCTION("""COMPUTED_VALUE"""),"Male")</f>
        <v>Male</v>
      </c>
      <c r="E253" s="8" t="str">
        <f ca="1">IFERROR(__xludf.DUMMYFUNCTION("""COMPUTED_VALUE"""),"No Relation")</f>
        <v>No Relation</v>
      </c>
      <c r="F253" s="8">
        <f ca="1">IFERROR(__xludf.DUMMYFUNCTION("""COMPUTED_VALUE"""),32)</f>
        <v>32</v>
      </c>
    </row>
    <row r="254" spans="1:6" ht="12.75">
      <c r="A254" s="4">
        <v>253</v>
      </c>
      <c r="B254" s="8" t="str">
        <f ca="1">IFERROR(__xludf.DUMMYFUNCTION("""COMPUTED_VALUE"""),"20220225NMWEA")</f>
        <v>20220225NMWEA</v>
      </c>
      <c r="C254" s="8" t="str">
        <f ca="1">IFERROR(__xludf.DUMMYFUNCTION("""COMPUTED_VALUE"""),"Fatal")</f>
        <v>Fatal</v>
      </c>
      <c r="D254" s="8" t="str">
        <f ca="1">IFERROR(__xludf.DUMMYFUNCTION("""COMPUTED_VALUE"""),"Male")</f>
        <v>Male</v>
      </c>
      <c r="E254" s="8" t="str">
        <f ca="1">IFERROR(__xludf.DUMMYFUNCTION("""COMPUTED_VALUE"""),"Student")</f>
        <v>Student</v>
      </c>
      <c r="F254" s="8">
        <f ca="1">IFERROR(__xludf.DUMMYFUNCTION("""COMPUTED_VALUE"""),16)</f>
        <v>16</v>
      </c>
    </row>
    <row r="255" spans="1:6" ht="12.75">
      <c r="A255" s="4">
        <v>254</v>
      </c>
      <c r="B255" s="8" t="str">
        <f ca="1">IFERROR(__xludf.DUMMYFUNCTION("""COMPUTED_VALUE"""),"20220222TXALH")</f>
        <v>20220222TXALH</v>
      </c>
      <c r="C255" s="8" t="str">
        <f ca="1">IFERROR(__xludf.DUMMYFUNCTION("""COMPUTED_VALUE"""),"Fatal")</f>
        <v>Fatal</v>
      </c>
      <c r="D255" s="8" t="str">
        <f ca="1">IFERROR(__xludf.DUMMYFUNCTION("""COMPUTED_VALUE"""),"Male")</f>
        <v>Male</v>
      </c>
      <c r="E255" s="8" t="str">
        <f ca="1">IFERROR(__xludf.DUMMYFUNCTION("""COMPUTED_VALUE"""),"No Relation")</f>
        <v>No Relation</v>
      </c>
      <c r="F255" s="8" t="str">
        <f ca="1">IFERROR(__xludf.DUMMYFUNCTION("""COMPUTED_VALUE"""),"Adult")</f>
        <v>Adult</v>
      </c>
    </row>
    <row r="256" spans="1:6" ht="12.75">
      <c r="A256" s="4">
        <v>255</v>
      </c>
      <c r="B256" s="8" t="str">
        <f ca="1">IFERROR(__xludf.DUMMYFUNCTION("""COMPUTED_VALUE"""),"20220222COLIP")</f>
        <v>20220222COLIP</v>
      </c>
      <c r="C256" s="8" t="str">
        <f ca="1">IFERROR(__xludf.DUMMYFUNCTION("""COMPUTED_VALUE"""),"Fatal")</f>
        <v>Fatal</v>
      </c>
      <c r="D256" s="8" t="str">
        <f ca="1">IFERROR(__xludf.DUMMYFUNCTION("""COMPUTED_VALUE"""),"Male")</f>
        <v>Male</v>
      </c>
      <c r="E256" s="8" t="str">
        <f ca="1">IFERROR(__xludf.DUMMYFUNCTION("""COMPUTED_VALUE"""),"No Relation")</f>
        <v>No Relation</v>
      </c>
      <c r="F256" s="8" t="str">
        <f ca="1">IFERROR(__xludf.DUMMYFUNCTION("""COMPUTED_VALUE"""),"Adult")</f>
        <v>Adult</v>
      </c>
    </row>
    <row r="257" spans="1:6" ht="12.75">
      <c r="A257" s="4">
        <v>256</v>
      </c>
      <c r="B257" s="8" t="str">
        <f ca="1">IFERROR(__xludf.DUMMYFUNCTION("""COMPUTED_VALUE"""),"20220221MDJOH")</f>
        <v>20220221MDJOH</v>
      </c>
      <c r="C257" s="8" t="str">
        <f ca="1">IFERROR(__xludf.DUMMYFUNCTION("""COMPUTED_VALUE"""),"Fatal")</f>
        <v>Fatal</v>
      </c>
      <c r="D257" s="8" t="str">
        <f ca="1">IFERROR(__xludf.DUMMYFUNCTION("""COMPUTED_VALUE"""),"Male")</f>
        <v>Male</v>
      </c>
      <c r="E257" s="8" t="str">
        <f ca="1">IFERROR(__xludf.DUMMYFUNCTION("""COMPUTED_VALUE"""),"No Relation")</f>
        <v>No Relation</v>
      </c>
      <c r="F257" s="8">
        <f ca="1">IFERROR(__xludf.DUMMYFUNCTION("""COMPUTED_VALUE"""),18)</f>
        <v>18</v>
      </c>
    </row>
    <row r="258" spans="1:6" ht="12.75">
      <c r="A258" s="4">
        <v>257</v>
      </c>
      <c r="B258" s="8" t="str">
        <f ca="1">IFERROR(__xludf.DUMMYFUNCTION("""COMPUTED_VALUE"""),"20220220OKWIW")</f>
        <v>20220220OKWIW</v>
      </c>
      <c r="C258" s="8" t="str">
        <f ca="1">IFERROR(__xludf.DUMMYFUNCTION("""COMPUTED_VALUE"""),"Wounded")</f>
        <v>Wounded</v>
      </c>
      <c r="D258" s="8" t="str">
        <f ca="1">IFERROR(__xludf.DUMMYFUNCTION("""COMPUTED_VALUE"""),"Male")</f>
        <v>Male</v>
      </c>
      <c r="E258" s="8" t="str">
        <f ca="1">IFERROR(__xludf.DUMMYFUNCTION("""COMPUTED_VALUE"""),"Police Officer/SRO")</f>
        <v>Police Officer/SRO</v>
      </c>
      <c r="F258" s="8" t="str">
        <f ca="1">IFERROR(__xludf.DUMMYFUNCTION("""COMPUTED_VALUE"""),"Adult")</f>
        <v>Adult</v>
      </c>
    </row>
    <row r="259" spans="1:6" ht="12.75">
      <c r="A259" s="4">
        <v>258</v>
      </c>
      <c r="B259" s="8" t="str">
        <f ca="1">IFERROR(__xludf.DUMMYFUNCTION("""COMPUTED_VALUE"""),"20220220MSMCM")</f>
        <v>20220220MSMCM</v>
      </c>
      <c r="C259" s="8" t="str">
        <f ca="1">IFERROR(__xludf.DUMMYFUNCTION("""COMPUTED_VALUE"""),"Wounded")</f>
        <v>Wounded</v>
      </c>
      <c r="D259" s="8"/>
      <c r="E259" s="8"/>
      <c r="F259" s="8"/>
    </row>
    <row r="260" spans="1:6" ht="12.75">
      <c r="A260" s="4">
        <v>259</v>
      </c>
      <c r="B260" s="8" t="str">
        <f ca="1">IFERROR(__xludf.DUMMYFUNCTION("""COMPUTED_VALUE"""),"20220220MSMCM")</f>
        <v>20220220MSMCM</v>
      </c>
      <c r="C260" s="8" t="str">
        <f ca="1">IFERROR(__xludf.DUMMYFUNCTION("""COMPUTED_VALUE"""),"Wounded")</f>
        <v>Wounded</v>
      </c>
      <c r="D260" s="8"/>
      <c r="E260" s="8"/>
      <c r="F260" s="8"/>
    </row>
    <row r="261" spans="1:6" ht="12.75">
      <c r="A261" s="4">
        <v>260</v>
      </c>
      <c r="B261" s="8" t="str">
        <f ca="1">IFERROR(__xludf.DUMMYFUNCTION("""COMPUTED_VALUE"""),"20220220MSMCM")</f>
        <v>20220220MSMCM</v>
      </c>
      <c r="C261" s="8" t="str">
        <f ca="1">IFERROR(__xludf.DUMMYFUNCTION("""COMPUTED_VALUE"""),"Wounded")</f>
        <v>Wounded</v>
      </c>
      <c r="D261" s="8"/>
      <c r="E261" s="8"/>
      <c r="F261" s="8"/>
    </row>
    <row r="262" spans="1:6" ht="12.75">
      <c r="A262" s="4">
        <v>261</v>
      </c>
      <c r="B262" s="8" t="str">
        <f ca="1">IFERROR(__xludf.DUMMYFUNCTION("""COMPUTED_VALUE"""),"20220220MSMCM")</f>
        <v>20220220MSMCM</v>
      </c>
      <c r="C262" s="8" t="str">
        <f ca="1">IFERROR(__xludf.DUMMYFUNCTION("""COMPUTED_VALUE"""),"Wounded")</f>
        <v>Wounded</v>
      </c>
      <c r="D262" s="8"/>
      <c r="E262" s="8"/>
      <c r="F262" s="8"/>
    </row>
    <row r="263" spans="1:6" ht="12.75">
      <c r="A263" s="4">
        <v>262</v>
      </c>
      <c r="B263" s="8" t="str">
        <f ca="1">IFERROR(__xludf.DUMMYFUNCTION("""COMPUTED_VALUE"""),"20220220MSMCM")</f>
        <v>20220220MSMCM</v>
      </c>
      <c r="C263" s="8" t="str">
        <f ca="1">IFERROR(__xludf.DUMMYFUNCTION("""COMPUTED_VALUE"""),"Fatal")</f>
        <v>Fatal</v>
      </c>
      <c r="D263" s="8" t="str">
        <f ca="1">IFERROR(__xludf.DUMMYFUNCTION("""COMPUTED_VALUE"""),"Male")</f>
        <v>Male</v>
      </c>
      <c r="E263" s="8" t="str">
        <f ca="1">IFERROR(__xludf.DUMMYFUNCTION("""COMPUTED_VALUE"""),"Nonstudent Using Athletic Facilities/Attending Game")</f>
        <v>Nonstudent Using Athletic Facilities/Attending Game</v>
      </c>
      <c r="F263" s="8">
        <f ca="1">IFERROR(__xludf.DUMMYFUNCTION("""COMPUTED_VALUE"""),6)</f>
        <v>6</v>
      </c>
    </row>
    <row r="264" spans="1:6" ht="12.75">
      <c r="A264" s="4">
        <v>263</v>
      </c>
      <c r="B264" s="8" t="str">
        <f ca="1">IFERROR(__xludf.DUMMYFUNCTION("""COMPUTED_VALUE"""),"20220219VACAC")</f>
        <v>20220219VACAC</v>
      </c>
      <c r="C264" s="8" t="str">
        <f ca="1">IFERROR(__xludf.DUMMYFUNCTION("""COMPUTED_VALUE"""),"Fatal")</f>
        <v>Fatal</v>
      </c>
      <c r="D264" s="8" t="str">
        <f ca="1">IFERROR(__xludf.DUMMYFUNCTION("""COMPUTED_VALUE"""),"Male")</f>
        <v>Male</v>
      </c>
      <c r="E264" s="8"/>
      <c r="F264" s="8">
        <f ca="1">IFERROR(__xludf.DUMMYFUNCTION("""COMPUTED_VALUE"""),17)</f>
        <v>17</v>
      </c>
    </row>
    <row r="265" spans="1:6" ht="12.75">
      <c r="A265" s="4">
        <v>264</v>
      </c>
      <c r="B265" s="8" t="str">
        <f ca="1">IFERROR(__xludf.DUMMYFUNCTION("""COMPUTED_VALUE"""),"20220218MATET")</f>
        <v>20220218MATET</v>
      </c>
      <c r="C265" s="8" t="str">
        <f ca="1">IFERROR(__xludf.DUMMYFUNCTION("""COMPUTED_VALUE"""),"Minor Injuries")</f>
        <v>Minor Injuries</v>
      </c>
      <c r="D265" s="8"/>
      <c r="E265" s="8" t="str">
        <f ca="1">IFERROR(__xludf.DUMMYFUNCTION("""COMPUTED_VALUE"""),"Student")</f>
        <v>Student</v>
      </c>
      <c r="F265" s="8" t="str">
        <f ca="1">IFERROR(__xludf.DUMMYFUNCTION("""COMPUTED_VALUE"""),"Teen")</f>
        <v>Teen</v>
      </c>
    </row>
    <row r="266" spans="1:6" ht="12.75">
      <c r="A266" s="4">
        <v>265</v>
      </c>
      <c r="B266" s="8" t="str">
        <f ca="1">IFERROR(__xludf.DUMMYFUNCTION("""COMPUTED_VALUE"""),"20220218MATET")</f>
        <v>20220218MATET</v>
      </c>
      <c r="C266" s="8" t="str">
        <f ca="1">IFERROR(__xludf.DUMMYFUNCTION("""COMPUTED_VALUE"""),"Minor Injuries")</f>
        <v>Minor Injuries</v>
      </c>
      <c r="D266" s="8" t="str">
        <f ca="1">IFERROR(__xludf.DUMMYFUNCTION("""COMPUTED_VALUE"""),"Female")</f>
        <v>Female</v>
      </c>
      <c r="E266" s="8" t="str">
        <f ca="1">IFERROR(__xludf.DUMMYFUNCTION("""COMPUTED_VALUE"""),"Student")</f>
        <v>Student</v>
      </c>
      <c r="F266" s="8" t="str">
        <f ca="1">IFERROR(__xludf.DUMMYFUNCTION("""COMPUTED_VALUE"""),"Teen")</f>
        <v>Teen</v>
      </c>
    </row>
    <row r="267" spans="1:6" ht="12.75">
      <c r="A267" s="4">
        <v>266</v>
      </c>
      <c r="B267" s="8" t="str">
        <f ca="1">IFERROR(__xludf.DUMMYFUNCTION("""COMPUTED_VALUE"""),"20220218MATET")</f>
        <v>20220218MATET</v>
      </c>
      <c r="C267" s="8" t="str">
        <f ca="1">IFERROR(__xludf.DUMMYFUNCTION("""COMPUTED_VALUE"""),"Minor Injuries")</f>
        <v>Minor Injuries</v>
      </c>
      <c r="D267" s="8"/>
      <c r="E267" s="8" t="str">
        <f ca="1">IFERROR(__xludf.DUMMYFUNCTION("""COMPUTED_VALUE"""),"Student")</f>
        <v>Student</v>
      </c>
      <c r="F267" s="8" t="str">
        <f ca="1">IFERROR(__xludf.DUMMYFUNCTION("""COMPUTED_VALUE"""),"Teen")</f>
        <v>Teen</v>
      </c>
    </row>
    <row r="268" spans="1:6" ht="12.75">
      <c r="A268" s="4">
        <v>267</v>
      </c>
      <c r="B268" s="8" t="str">
        <f ca="1">IFERROR(__xludf.DUMMYFUNCTION("""COMPUTED_VALUE"""),"20220218MATET")</f>
        <v>20220218MATET</v>
      </c>
      <c r="C268" s="8" t="str">
        <f ca="1">IFERROR(__xludf.DUMMYFUNCTION("""COMPUTED_VALUE"""),"Minor Injuries")</f>
        <v>Minor Injuries</v>
      </c>
      <c r="D268" s="8"/>
      <c r="E268" s="8" t="str">
        <f ca="1">IFERROR(__xludf.DUMMYFUNCTION("""COMPUTED_VALUE"""),"Student")</f>
        <v>Student</v>
      </c>
      <c r="F268" s="8" t="str">
        <f ca="1">IFERROR(__xludf.DUMMYFUNCTION("""COMPUTED_VALUE"""),"Teen")</f>
        <v>Teen</v>
      </c>
    </row>
    <row r="269" spans="1:6" ht="12.75">
      <c r="A269" s="4">
        <v>268</v>
      </c>
      <c r="B269" s="8" t="str">
        <f ca="1">IFERROR(__xludf.DUMMYFUNCTION("""COMPUTED_VALUE"""),"20220218MATET")</f>
        <v>20220218MATET</v>
      </c>
      <c r="C269" s="8" t="str">
        <f ca="1">IFERROR(__xludf.DUMMYFUNCTION("""COMPUTED_VALUE"""),"Minor Injuries")</f>
        <v>Minor Injuries</v>
      </c>
      <c r="D269" s="8"/>
      <c r="E269" s="8" t="str">
        <f ca="1">IFERROR(__xludf.DUMMYFUNCTION("""COMPUTED_VALUE"""),"Student")</f>
        <v>Student</v>
      </c>
      <c r="F269" s="8" t="str">
        <f ca="1">IFERROR(__xludf.DUMMYFUNCTION("""COMPUTED_VALUE"""),"Teen")</f>
        <v>Teen</v>
      </c>
    </row>
    <row r="270" spans="1:6" ht="12.75">
      <c r="A270" s="4">
        <v>269</v>
      </c>
      <c r="B270" s="8" t="str">
        <f ca="1">IFERROR(__xludf.DUMMYFUNCTION("""COMPUTED_VALUE"""),"20220218MATET")</f>
        <v>20220218MATET</v>
      </c>
      <c r="C270" s="8" t="str">
        <f ca="1">IFERROR(__xludf.DUMMYFUNCTION("""COMPUTED_VALUE"""),"Minor Injuries")</f>
        <v>Minor Injuries</v>
      </c>
      <c r="D270" s="8"/>
      <c r="E270" s="8" t="str">
        <f ca="1">IFERROR(__xludf.DUMMYFUNCTION("""COMPUTED_VALUE"""),"Student")</f>
        <v>Student</v>
      </c>
      <c r="F270" s="8" t="str">
        <f ca="1">IFERROR(__xludf.DUMMYFUNCTION("""COMPUTED_VALUE"""),"Teen")</f>
        <v>Teen</v>
      </c>
    </row>
    <row r="271" spans="1:6" ht="12.75">
      <c r="A271" s="4">
        <v>270</v>
      </c>
      <c r="B271" s="8" t="str">
        <f ca="1">IFERROR(__xludf.DUMMYFUNCTION("""COMPUTED_VALUE"""),"20220218MATET")</f>
        <v>20220218MATET</v>
      </c>
      <c r="C271" s="8" t="str">
        <f ca="1">IFERROR(__xludf.DUMMYFUNCTION("""COMPUTED_VALUE"""),"Minor Injuries")</f>
        <v>Minor Injuries</v>
      </c>
      <c r="D271" s="8"/>
      <c r="E271" s="8" t="str">
        <f ca="1">IFERROR(__xludf.DUMMYFUNCTION("""COMPUTED_VALUE"""),"Student")</f>
        <v>Student</v>
      </c>
      <c r="F271" s="8" t="str">
        <f ca="1">IFERROR(__xludf.DUMMYFUNCTION("""COMPUTED_VALUE"""),"Teen")</f>
        <v>Teen</v>
      </c>
    </row>
    <row r="272" spans="1:6" ht="12.75">
      <c r="A272" s="4">
        <v>271</v>
      </c>
      <c r="B272" s="8" t="str">
        <f ca="1">IFERROR(__xludf.DUMMYFUNCTION("""COMPUTED_VALUE"""),"20220217WAMCG")</f>
        <v>20220217WAMCG</v>
      </c>
      <c r="C272" s="8" t="str">
        <f ca="1">IFERROR(__xludf.DUMMYFUNCTION("""COMPUTED_VALUE"""),"Wounded")</f>
        <v>Wounded</v>
      </c>
      <c r="D272" s="8" t="str">
        <f ca="1">IFERROR(__xludf.DUMMYFUNCTION("""COMPUTED_VALUE"""),"Male")</f>
        <v>Male</v>
      </c>
      <c r="E272" s="8" t="str">
        <f ca="1">IFERROR(__xludf.DUMMYFUNCTION("""COMPUTED_VALUE"""),"Gang Member")</f>
        <v>Gang Member</v>
      </c>
      <c r="F272" s="8" t="str">
        <f ca="1">IFERROR(__xludf.DUMMYFUNCTION("""COMPUTED_VALUE"""),"Adult")</f>
        <v>Adult</v>
      </c>
    </row>
    <row r="273" spans="1:6" ht="12.75">
      <c r="A273" s="4">
        <v>272</v>
      </c>
      <c r="B273" s="8" t="str">
        <f ca="1">IFERROR(__xludf.DUMMYFUNCTION("""COMPUTED_VALUE"""),"20220211DCEAW")</f>
        <v>20220211DCEAW</v>
      </c>
      <c r="C273" s="8" t="str">
        <f ca="1">IFERROR(__xludf.DUMMYFUNCTION("""COMPUTED_VALUE"""),"Wounded")</f>
        <v>Wounded</v>
      </c>
      <c r="D273" s="8" t="str">
        <f ca="1">IFERROR(__xludf.DUMMYFUNCTION("""COMPUTED_VALUE"""),"Male")</f>
        <v>Male</v>
      </c>
      <c r="E273" s="8"/>
      <c r="F273" s="8" t="str">
        <f ca="1">IFERROR(__xludf.DUMMYFUNCTION("""COMPUTED_VALUE"""),"Adult")</f>
        <v>Adult</v>
      </c>
    </row>
    <row r="274" spans="1:6" ht="12.75">
      <c r="A274" s="4">
        <v>273</v>
      </c>
      <c r="B274" s="8" t="str">
        <f ca="1">IFERROR(__xludf.DUMMYFUNCTION("""COMPUTED_VALUE"""),"20220209NYMCB")</f>
        <v>20220209NYMCB</v>
      </c>
      <c r="C274" s="8" t="str">
        <f ca="1">IFERROR(__xludf.DUMMYFUNCTION("""COMPUTED_VALUE"""),"Wounded")</f>
        <v>Wounded</v>
      </c>
      <c r="D274" s="8" t="str">
        <f ca="1">IFERROR(__xludf.DUMMYFUNCTION("""COMPUTED_VALUE"""),"Male")</f>
        <v>Male</v>
      </c>
      <c r="E274" s="8" t="str">
        <f ca="1">IFERROR(__xludf.DUMMYFUNCTION("""COMPUTED_VALUE"""),"Police Officer/SRO")</f>
        <v>Police Officer/SRO</v>
      </c>
      <c r="F274" s="8" t="str">
        <f ca="1">IFERROR(__xludf.DUMMYFUNCTION("""COMPUTED_VALUE"""),"Adult")</f>
        <v>Adult</v>
      </c>
    </row>
    <row r="275" spans="1:6" ht="12.75">
      <c r="A275" s="4">
        <v>274</v>
      </c>
      <c r="B275" s="8" t="str">
        <f ca="1">IFERROR(__xludf.DUMMYFUNCTION("""COMPUTED_VALUE"""),"20220209NYMCB")</f>
        <v>20220209NYMCB</v>
      </c>
      <c r="C275" s="8" t="str">
        <f ca="1">IFERROR(__xludf.DUMMYFUNCTION("""COMPUTED_VALUE"""),"Wounded")</f>
        <v>Wounded</v>
      </c>
      <c r="D275" s="8" t="str">
        <f ca="1">IFERROR(__xludf.DUMMYFUNCTION("""COMPUTED_VALUE"""),"Male")</f>
        <v>Male</v>
      </c>
      <c r="E275" s="8" t="str">
        <f ca="1">IFERROR(__xludf.DUMMYFUNCTION("""COMPUTED_VALUE"""),"Student")</f>
        <v>Student</v>
      </c>
      <c r="F275" s="8">
        <f ca="1">IFERROR(__xludf.DUMMYFUNCTION("""COMPUTED_VALUE"""),13)</f>
        <v>13</v>
      </c>
    </row>
    <row r="276" spans="1:6" ht="12.75">
      <c r="A276" s="4">
        <v>275</v>
      </c>
      <c r="B276" s="8" t="str">
        <f ca="1">IFERROR(__xludf.DUMMYFUNCTION("""COMPUTED_VALUE"""),"20220209MNMIM")</f>
        <v>20220209MNMIM</v>
      </c>
      <c r="C276" s="8" t="str">
        <f ca="1">IFERROR(__xludf.DUMMYFUNCTION("""COMPUTED_VALUE"""),"Wounded")</f>
        <v>Wounded</v>
      </c>
      <c r="D276" s="8"/>
      <c r="E276" s="8" t="str">
        <f ca="1">IFERROR(__xludf.DUMMYFUNCTION("""COMPUTED_VALUE"""),"Bus Driver")</f>
        <v>Bus Driver</v>
      </c>
      <c r="F276" s="8" t="str">
        <f ca="1">IFERROR(__xludf.DUMMYFUNCTION("""COMPUTED_VALUE"""),"Adult")</f>
        <v>Adult</v>
      </c>
    </row>
    <row r="277" spans="1:6" ht="12.75">
      <c r="A277" s="4">
        <v>276</v>
      </c>
      <c r="B277" s="8" t="str">
        <f ca="1">IFERROR(__xludf.DUMMYFUNCTION("""COMPUTED_VALUE"""),"20220208MDCAC")</f>
        <v>20220208MDCAC</v>
      </c>
      <c r="C277" s="8" t="str">
        <f ca="1">IFERROR(__xludf.DUMMYFUNCTION("""COMPUTED_VALUE"""),"Wounded")</f>
        <v>Wounded</v>
      </c>
      <c r="D277" s="8" t="str">
        <f ca="1">IFERROR(__xludf.DUMMYFUNCTION("""COMPUTED_VALUE"""),"Male")</f>
        <v>Male</v>
      </c>
      <c r="E277" s="8" t="str">
        <f ca="1">IFERROR(__xludf.DUMMYFUNCTION("""COMPUTED_VALUE"""),"Student")</f>
        <v>Student</v>
      </c>
      <c r="F277" s="8">
        <f ca="1">IFERROR(__xludf.DUMMYFUNCTION("""COMPUTED_VALUE"""),16)</f>
        <v>16</v>
      </c>
    </row>
    <row r="278" spans="1:6" ht="12.75">
      <c r="A278" s="4">
        <v>277</v>
      </c>
      <c r="B278" s="8" t="str">
        <f ca="1">IFERROR(__xludf.DUMMYFUNCTION("""COMPUTED_VALUE"""),"20220208MDCAC")</f>
        <v>20220208MDCAC</v>
      </c>
      <c r="C278" s="8" t="str">
        <f ca="1">IFERROR(__xludf.DUMMYFUNCTION("""COMPUTED_VALUE"""),"Wounded")</f>
        <v>Wounded</v>
      </c>
      <c r="D278" s="8"/>
      <c r="E278" s="8" t="str">
        <f ca="1">IFERROR(__xludf.DUMMYFUNCTION("""COMPUTED_VALUE"""),"Student")</f>
        <v>Student</v>
      </c>
      <c r="F278" s="8">
        <f ca="1">IFERROR(__xludf.DUMMYFUNCTION("""COMPUTED_VALUE"""),16)</f>
        <v>16</v>
      </c>
    </row>
    <row r="279" spans="1:6" ht="12.75">
      <c r="A279" s="4">
        <v>278</v>
      </c>
      <c r="B279" s="8" t="str">
        <f ca="1">IFERROR(__xludf.DUMMYFUNCTION("""COMPUTED_VALUE"""),"20220204ALWEB")</f>
        <v>20220204ALWEB</v>
      </c>
      <c r="C279" s="8" t="str">
        <f ca="1">IFERROR(__xludf.DUMMYFUNCTION("""COMPUTED_VALUE"""),"Wounded")</f>
        <v>Wounded</v>
      </c>
      <c r="D279" s="8"/>
      <c r="E279" s="8" t="str">
        <f ca="1">IFERROR(__xludf.DUMMYFUNCTION("""COMPUTED_VALUE"""),"Student")</f>
        <v>Student</v>
      </c>
      <c r="F279" s="8">
        <f ca="1">IFERROR(__xludf.DUMMYFUNCTION("""COMPUTED_VALUE"""),16)</f>
        <v>16</v>
      </c>
    </row>
    <row r="280" spans="1:6" ht="12.75">
      <c r="A280" s="4">
        <v>279</v>
      </c>
      <c r="B280" s="8" t="str">
        <f ca="1">IFERROR(__xludf.DUMMYFUNCTION("""COMPUTED_VALUE"""),"20220201WIRUM")</f>
        <v>20220201WIRUM</v>
      </c>
      <c r="C280" s="8" t="str">
        <f ca="1">IFERROR(__xludf.DUMMYFUNCTION("""COMPUTED_VALUE"""),"Wounded")</f>
        <v>Wounded</v>
      </c>
      <c r="D280" s="8" t="str">
        <f ca="1">IFERROR(__xludf.DUMMYFUNCTION("""COMPUTED_VALUE"""),"Female")</f>
        <v>Female</v>
      </c>
      <c r="E280" s="8" t="str">
        <f ca="1">IFERROR(__xludf.DUMMYFUNCTION("""COMPUTED_VALUE"""),"Student")</f>
        <v>Student</v>
      </c>
      <c r="F280" s="8">
        <f ca="1">IFERROR(__xludf.DUMMYFUNCTION("""COMPUTED_VALUE"""),15)</f>
        <v>15</v>
      </c>
    </row>
    <row r="281" spans="1:6" ht="12.75">
      <c r="A281" s="4">
        <v>280</v>
      </c>
      <c r="B281" s="8" t="str">
        <f ca="1">IFERROR(__xludf.DUMMYFUNCTION("""COMPUTED_VALUE"""),"20220201WIRUM")</f>
        <v>20220201WIRUM</v>
      </c>
      <c r="C281" s="8" t="str">
        <f ca="1">IFERROR(__xludf.DUMMYFUNCTION("""COMPUTED_VALUE"""),"Wounded")</f>
        <v>Wounded</v>
      </c>
      <c r="D281" s="8" t="str">
        <f ca="1">IFERROR(__xludf.DUMMYFUNCTION("""COMPUTED_VALUE"""),"Female")</f>
        <v>Female</v>
      </c>
      <c r="E281" s="8" t="str">
        <f ca="1">IFERROR(__xludf.DUMMYFUNCTION("""COMPUTED_VALUE"""),"Student")</f>
        <v>Student</v>
      </c>
      <c r="F281" s="8">
        <f ca="1">IFERROR(__xludf.DUMMYFUNCTION("""COMPUTED_VALUE"""),15)</f>
        <v>15</v>
      </c>
    </row>
    <row r="282" spans="1:6" ht="12.75">
      <c r="A282" s="4">
        <v>281</v>
      </c>
      <c r="B282" s="8" t="str">
        <f ca="1">IFERROR(__xludf.DUMMYFUNCTION("""COMPUTED_VALUE"""),"20220201WIRUM")</f>
        <v>20220201WIRUM</v>
      </c>
      <c r="C282" s="8" t="str">
        <f ca="1">IFERROR(__xludf.DUMMYFUNCTION("""COMPUTED_VALUE"""),"Wounded")</f>
        <v>Wounded</v>
      </c>
      <c r="D282" s="8" t="str">
        <f ca="1">IFERROR(__xludf.DUMMYFUNCTION("""COMPUTED_VALUE"""),"Female")</f>
        <v>Female</v>
      </c>
      <c r="E282" s="8" t="str">
        <f ca="1">IFERROR(__xludf.DUMMYFUNCTION("""COMPUTED_VALUE"""),"Student")</f>
        <v>Student</v>
      </c>
      <c r="F282" s="8">
        <f ca="1">IFERROR(__xludf.DUMMYFUNCTION("""COMPUTED_VALUE"""),16)</f>
        <v>16</v>
      </c>
    </row>
    <row r="283" spans="1:6" ht="12.75">
      <c r="A283" s="4">
        <v>282</v>
      </c>
      <c r="B283" s="8" t="str">
        <f ca="1">IFERROR(__xludf.DUMMYFUNCTION("""COMPUTED_VALUE"""),"20220201WIRUM")</f>
        <v>20220201WIRUM</v>
      </c>
      <c r="C283" s="8" t="str">
        <f ca="1">IFERROR(__xludf.DUMMYFUNCTION("""COMPUTED_VALUE"""),"Wounded")</f>
        <v>Wounded</v>
      </c>
      <c r="D283" s="8" t="str">
        <f ca="1">IFERROR(__xludf.DUMMYFUNCTION("""COMPUTED_VALUE"""),"Female")</f>
        <v>Female</v>
      </c>
      <c r="E283" s="8" t="str">
        <f ca="1">IFERROR(__xludf.DUMMYFUNCTION("""COMPUTED_VALUE"""),"Student")</f>
        <v>Student</v>
      </c>
      <c r="F283" s="8">
        <f ca="1">IFERROR(__xludf.DUMMYFUNCTION("""COMPUTED_VALUE"""),17)</f>
        <v>17</v>
      </c>
    </row>
    <row r="284" spans="1:6" ht="12.75">
      <c r="A284" s="4">
        <v>283</v>
      </c>
      <c r="B284" s="8" t="str">
        <f ca="1">IFERROR(__xludf.DUMMYFUNCTION("""COMPUTED_VALUE"""),"20220201WIRUM")</f>
        <v>20220201WIRUM</v>
      </c>
      <c r="C284" s="8" t="str">
        <f ca="1">IFERROR(__xludf.DUMMYFUNCTION("""COMPUTED_VALUE"""),"Wounded")</f>
        <v>Wounded</v>
      </c>
      <c r="D284" s="8" t="str">
        <f ca="1">IFERROR(__xludf.DUMMYFUNCTION("""COMPUTED_VALUE"""),"Female")</f>
        <v>Female</v>
      </c>
      <c r="E284" s="8" t="str">
        <f ca="1">IFERROR(__xludf.DUMMYFUNCTION("""COMPUTED_VALUE"""),"Nonstudent Using Athletic Facilities/Attending Game")</f>
        <v>Nonstudent Using Athletic Facilities/Attending Game</v>
      </c>
      <c r="F284" s="8">
        <f ca="1">IFERROR(__xludf.DUMMYFUNCTION("""COMPUTED_VALUE"""),20)</f>
        <v>20</v>
      </c>
    </row>
    <row r="285" spans="1:6" ht="12.75">
      <c r="A285" s="4">
        <v>284</v>
      </c>
      <c r="B285" s="8" t="str">
        <f ca="1">IFERROR(__xludf.DUMMYFUNCTION("""COMPUTED_VALUE"""),"20220201MNSOR")</f>
        <v>20220201MNSOR</v>
      </c>
      <c r="C285" s="8" t="str">
        <f ca="1">IFERROR(__xludf.DUMMYFUNCTION("""COMPUTED_VALUE"""),"Fatal")</f>
        <v>Fatal</v>
      </c>
      <c r="D285" s="8" t="str">
        <f ca="1">IFERROR(__xludf.DUMMYFUNCTION("""COMPUTED_VALUE"""),"Male")</f>
        <v>Male</v>
      </c>
      <c r="E285" s="8" t="str">
        <f ca="1">IFERROR(__xludf.DUMMYFUNCTION("""COMPUTED_VALUE"""),"Student")</f>
        <v>Student</v>
      </c>
      <c r="F285" s="8">
        <f ca="1">IFERROR(__xludf.DUMMYFUNCTION("""COMPUTED_VALUE"""),15)</f>
        <v>15</v>
      </c>
    </row>
    <row r="286" spans="1:6" ht="12.75">
      <c r="A286" s="4">
        <v>285</v>
      </c>
      <c r="B286" s="8" t="str">
        <f ca="1">IFERROR(__xludf.DUMMYFUNCTION("""COMPUTED_VALUE"""),"20220201MNSOR")</f>
        <v>20220201MNSOR</v>
      </c>
      <c r="C286" s="8" t="str">
        <f ca="1">IFERROR(__xludf.DUMMYFUNCTION("""COMPUTED_VALUE"""),"Wounded")</f>
        <v>Wounded</v>
      </c>
      <c r="D286" s="8" t="str">
        <f ca="1">IFERROR(__xludf.DUMMYFUNCTION("""COMPUTED_VALUE"""),"Male")</f>
        <v>Male</v>
      </c>
      <c r="E286" s="8" t="str">
        <f ca="1">IFERROR(__xludf.DUMMYFUNCTION("""COMPUTED_VALUE"""),"Student")</f>
        <v>Student</v>
      </c>
      <c r="F286" s="8">
        <f ca="1">IFERROR(__xludf.DUMMYFUNCTION("""COMPUTED_VALUE"""),17)</f>
        <v>17</v>
      </c>
    </row>
    <row r="287" spans="1:6" ht="12.75">
      <c r="A287" s="4">
        <v>286</v>
      </c>
      <c r="B287" s="8" t="str">
        <f ca="1">IFERROR(__xludf.DUMMYFUNCTION("""COMPUTED_VALUE"""),"20220201MNSOR")</f>
        <v>20220201MNSOR</v>
      </c>
      <c r="C287" s="8" t="str">
        <f ca="1">IFERROR(__xludf.DUMMYFUNCTION("""COMPUTED_VALUE"""),"Wounded")</f>
        <v>Wounded</v>
      </c>
      <c r="D287" s="8" t="str">
        <f ca="1">IFERROR(__xludf.DUMMYFUNCTION("""COMPUTED_VALUE"""),"Male")</f>
        <v>Male</v>
      </c>
      <c r="E287" s="8" t="str">
        <f ca="1">IFERROR(__xludf.DUMMYFUNCTION("""COMPUTED_VALUE"""),"Student")</f>
        <v>Student</v>
      </c>
      <c r="F287" s="8">
        <f ca="1">IFERROR(__xludf.DUMMYFUNCTION("""COMPUTED_VALUE"""),19)</f>
        <v>19</v>
      </c>
    </row>
    <row r="288" spans="1:6" ht="12.75">
      <c r="A288" s="4">
        <v>287</v>
      </c>
      <c r="B288" s="8" t="str">
        <f ca="1">IFERROR(__xludf.DUMMYFUNCTION("""COMPUTED_VALUE"""),"20220201ILALC")</f>
        <v>20220201ILALC</v>
      </c>
      <c r="C288" s="8" t="str">
        <f ca="1">IFERROR(__xludf.DUMMYFUNCTION("""COMPUTED_VALUE"""),"Wounded")</f>
        <v>Wounded</v>
      </c>
      <c r="D288" s="8" t="str">
        <f ca="1">IFERROR(__xludf.DUMMYFUNCTION("""COMPUTED_VALUE"""),"Female")</f>
        <v>Female</v>
      </c>
      <c r="E288" s="8" t="str">
        <f ca="1">IFERROR(__xludf.DUMMYFUNCTION("""COMPUTED_VALUE"""),"No Relation")</f>
        <v>No Relation</v>
      </c>
      <c r="F288" s="8">
        <f ca="1">IFERROR(__xludf.DUMMYFUNCTION("""COMPUTED_VALUE"""),16)</f>
        <v>16</v>
      </c>
    </row>
    <row r="289" spans="1:6" ht="12.75">
      <c r="A289" s="4">
        <v>288</v>
      </c>
      <c r="B289" s="8" t="str">
        <f ca="1">IFERROR(__xludf.DUMMYFUNCTION("""COMPUTED_VALUE"""),"20220129WIBEB")</f>
        <v>20220129WIBEB</v>
      </c>
      <c r="C289" s="8" t="str">
        <f ca="1">IFERROR(__xludf.DUMMYFUNCTION("""COMPUTED_VALUE"""),"Fatal")</f>
        <v>Fatal</v>
      </c>
      <c r="D289" s="8" t="str">
        <f ca="1">IFERROR(__xludf.DUMMYFUNCTION("""COMPUTED_VALUE"""),"Male")</f>
        <v>Male</v>
      </c>
      <c r="E289" s="8" t="str">
        <f ca="1">IFERROR(__xludf.DUMMYFUNCTION("""COMPUTED_VALUE"""),"Nonstudent Using Athletic Facilities/Attending Game")</f>
        <v>Nonstudent Using Athletic Facilities/Attending Game</v>
      </c>
      <c r="F289" s="8">
        <f ca="1">IFERROR(__xludf.DUMMYFUNCTION("""COMPUTED_VALUE"""),19)</f>
        <v>19</v>
      </c>
    </row>
    <row r="290" spans="1:6" ht="12.75">
      <c r="A290" s="4">
        <v>289</v>
      </c>
      <c r="B290" s="8" t="str">
        <f ca="1">IFERROR(__xludf.DUMMYFUNCTION("""COMPUTED_VALUE"""),"20220128LACAM")</f>
        <v>20220128LACAM</v>
      </c>
      <c r="C290" s="8" t="str">
        <f ca="1">IFERROR(__xludf.DUMMYFUNCTION("""COMPUTED_VALUE"""),"None")</f>
        <v>None</v>
      </c>
      <c r="D290" s="8"/>
      <c r="E290" s="8" t="str">
        <f ca="1">IFERROR(__xludf.DUMMYFUNCTION("""COMPUTED_VALUE"""),"Nonstudent Using Athletic Facilities/Attending Game")</f>
        <v>Nonstudent Using Athletic Facilities/Attending Game</v>
      </c>
      <c r="F290" s="8" t="str">
        <f ca="1">IFERROR(__xludf.DUMMYFUNCTION("""COMPUTED_VALUE"""),"Adult")</f>
        <v>Adult</v>
      </c>
    </row>
    <row r="291" spans="1:6" ht="12.75">
      <c r="A291" s="4">
        <v>290</v>
      </c>
      <c r="B291" s="8" t="str">
        <f ca="1">IFERROR(__xludf.DUMMYFUNCTION("""COMPUTED_VALUE"""),"20220128LACAM")</f>
        <v>20220128LACAM</v>
      </c>
      <c r="C291" s="8" t="str">
        <f ca="1">IFERROR(__xludf.DUMMYFUNCTION("""COMPUTED_VALUE"""),"None")</f>
        <v>None</v>
      </c>
      <c r="D291" s="8"/>
      <c r="E291" s="8" t="str">
        <f ca="1">IFERROR(__xludf.DUMMYFUNCTION("""COMPUTED_VALUE"""),"Nonstudent Using Athletic Facilities/Attending Game")</f>
        <v>Nonstudent Using Athletic Facilities/Attending Game</v>
      </c>
      <c r="F291" s="8" t="str">
        <f ca="1">IFERROR(__xludf.DUMMYFUNCTION("""COMPUTED_VALUE"""),"Adult")</f>
        <v>Adult</v>
      </c>
    </row>
    <row r="292" spans="1:6" ht="12.75">
      <c r="A292" s="4">
        <v>291</v>
      </c>
      <c r="B292" s="8" t="str">
        <f ca="1">IFERROR(__xludf.DUMMYFUNCTION("""COMPUTED_VALUE"""),"20220127TXMOH")</f>
        <v>20220127TXMOH</v>
      </c>
      <c r="C292" s="8" t="str">
        <f ca="1">IFERROR(__xludf.DUMMYFUNCTION("""COMPUTED_VALUE"""),"Wounded")</f>
        <v>Wounded</v>
      </c>
      <c r="D292" s="8" t="str">
        <f ca="1">IFERROR(__xludf.DUMMYFUNCTION("""COMPUTED_VALUE"""),"Female")</f>
        <v>Female</v>
      </c>
      <c r="E292" s="8" t="str">
        <f ca="1">IFERROR(__xludf.DUMMYFUNCTION("""COMPUTED_VALUE"""),"No Relation")</f>
        <v>No Relation</v>
      </c>
      <c r="F292" s="8" t="str">
        <f ca="1">IFERROR(__xludf.DUMMYFUNCTION("""COMPUTED_VALUE"""),"Adult")</f>
        <v>Adult</v>
      </c>
    </row>
    <row r="293" spans="1:6" ht="12.75">
      <c r="A293" s="4">
        <v>292</v>
      </c>
      <c r="B293" s="8" t="str">
        <f ca="1">IFERROR(__xludf.DUMMYFUNCTION("""COMPUTED_VALUE"""),"20220126PABAP")</f>
        <v>20220126PABAP</v>
      </c>
      <c r="C293" s="8" t="str">
        <f ca="1">IFERROR(__xludf.DUMMYFUNCTION("""COMPUTED_VALUE"""),"Fatal")</f>
        <v>Fatal</v>
      </c>
      <c r="D293" s="8" t="str">
        <f ca="1">IFERROR(__xludf.DUMMYFUNCTION("""COMPUTED_VALUE"""),"Male")</f>
        <v>Male</v>
      </c>
      <c r="E293" s="8" t="str">
        <f ca="1">IFERROR(__xludf.DUMMYFUNCTION("""COMPUTED_VALUE"""),"Student")</f>
        <v>Student</v>
      </c>
      <c r="F293" s="8">
        <f ca="1">IFERROR(__xludf.DUMMYFUNCTION("""COMPUTED_VALUE"""),17)</f>
        <v>17</v>
      </c>
    </row>
    <row r="294" spans="1:6" ht="12.75">
      <c r="A294" s="4">
        <v>293</v>
      </c>
      <c r="B294" s="8" t="str">
        <f ca="1">IFERROR(__xludf.DUMMYFUNCTION("""COMPUTED_VALUE"""),"20220124NVSUL")</f>
        <v>20220124NVSUL</v>
      </c>
      <c r="C294" s="8" t="str">
        <f ca="1">IFERROR(__xludf.DUMMYFUNCTION("""COMPUTED_VALUE"""),"Wounded")</f>
        <v>Wounded</v>
      </c>
      <c r="D294" s="8"/>
      <c r="E294" s="8"/>
      <c r="F294" s="8"/>
    </row>
    <row r="295" spans="1:6" ht="12.75">
      <c r="A295" s="4">
        <v>294</v>
      </c>
      <c r="B295" s="8" t="str">
        <f ca="1">IFERROR(__xludf.DUMMYFUNCTION("""COMPUTED_VALUE"""),"20220121MDMAR")</f>
        <v>20220121MDMAR</v>
      </c>
      <c r="C295" s="8" t="str">
        <f ca="1">IFERROR(__xludf.DUMMYFUNCTION("""COMPUTED_VALUE"""),"Wounded")</f>
        <v>Wounded</v>
      </c>
      <c r="D295" s="8" t="str">
        <f ca="1">IFERROR(__xludf.DUMMYFUNCTION("""COMPUTED_VALUE"""),"Male")</f>
        <v>Male</v>
      </c>
      <c r="E295" s="8" t="str">
        <f ca="1">IFERROR(__xludf.DUMMYFUNCTION("""COMPUTED_VALUE"""),"Student")</f>
        <v>Student</v>
      </c>
      <c r="F295" s="8">
        <f ca="1">IFERROR(__xludf.DUMMYFUNCTION("""COMPUTED_VALUE"""),15)</f>
        <v>15</v>
      </c>
    </row>
    <row r="296" spans="1:6" ht="12.75">
      <c r="A296" s="4">
        <v>295</v>
      </c>
      <c r="B296" s="8" t="str">
        <f ca="1">IFERROR(__xludf.DUMMYFUNCTION("""COMPUTED_VALUE"""),"20220119VAMAP")</f>
        <v>20220119VAMAP</v>
      </c>
      <c r="C296" s="8" t="str">
        <f ca="1">IFERROR(__xludf.DUMMYFUNCTION("""COMPUTED_VALUE"""),"Wounded")</f>
        <v>Wounded</v>
      </c>
      <c r="D296" s="8" t="str">
        <f ca="1">IFERROR(__xludf.DUMMYFUNCTION("""COMPUTED_VALUE"""),"Male")</f>
        <v>Male</v>
      </c>
      <c r="E296" s="8" t="str">
        <f ca="1">IFERROR(__xludf.DUMMYFUNCTION("""COMPUTED_VALUE"""),"Student")</f>
        <v>Student</v>
      </c>
      <c r="F296" s="8" t="str">
        <f ca="1">IFERROR(__xludf.DUMMYFUNCTION("""COMPUTED_VALUE"""),"Teen")</f>
        <v>Teen</v>
      </c>
    </row>
    <row r="297" spans="1:6" ht="12.75">
      <c r="A297" s="4">
        <v>296</v>
      </c>
      <c r="B297" s="8" t="str">
        <f ca="1">IFERROR(__xludf.DUMMYFUNCTION("""COMPUTED_VALUE"""),"20220119PAPIP")</f>
        <v>20220119PAPIP</v>
      </c>
      <c r="C297" s="8" t="str">
        <f ca="1">IFERROR(__xludf.DUMMYFUNCTION("""COMPUTED_VALUE"""),"Fatal")</f>
        <v>Fatal</v>
      </c>
      <c r="D297" s="8" t="str">
        <f ca="1">IFERROR(__xludf.DUMMYFUNCTION("""COMPUTED_VALUE"""),"Male")</f>
        <v>Male</v>
      </c>
      <c r="E297" s="8" t="str">
        <f ca="1">IFERROR(__xludf.DUMMYFUNCTION("""COMPUTED_VALUE"""),"Student")</f>
        <v>Student</v>
      </c>
      <c r="F297" s="8">
        <f ca="1">IFERROR(__xludf.DUMMYFUNCTION("""COMPUTED_VALUE"""),15)</f>
        <v>15</v>
      </c>
    </row>
    <row r="298" spans="1:6" ht="12.75">
      <c r="A298" s="4">
        <v>297</v>
      </c>
      <c r="B298" s="8" t="str">
        <f ca="1">IFERROR(__xludf.DUMMYFUNCTION("""COMPUTED_VALUE"""),"20220119FLSES")</f>
        <v>20220119FLSES</v>
      </c>
      <c r="C298" s="8" t="str">
        <f ca="1">IFERROR(__xludf.DUMMYFUNCTION("""COMPUTED_VALUE"""),"Wounded")</f>
        <v>Wounded</v>
      </c>
      <c r="D298" s="8" t="str">
        <f ca="1">IFERROR(__xludf.DUMMYFUNCTION("""COMPUTED_VALUE"""),"Male")</f>
        <v>Male</v>
      </c>
      <c r="E298" s="8" t="str">
        <f ca="1">IFERROR(__xludf.DUMMYFUNCTION("""COMPUTED_VALUE"""),"Student")</f>
        <v>Student</v>
      </c>
      <c r="F298" s="8">
        <f ca="1">IFERROR(__xludf.DUMMYFUNCTION("""COMPUTED_VALUE"""),17)</f>
        <v>17</v>
      </c>
    </row>
    <row r="299" spans="1:6" ht="12.75">
      <c r="A299" s="4">
        <v>298</v>
      </c>
      <c r="B299" s="8" t="str">
        <f ca="1">IFERROR(__xludf.DUMMYFUNCTION("""COMPUTED_VALUE"""),"20220119DCANW")</f>
        <v>20220119DCANW</v>
      </c>
      <c r="C299" s="8" t="str">
        <f ca="1">IFERROR(__xludf.DUMMYFUNCTION("""COMPUTED_VALUE"""),"None")</f>
        <v>None</v>
      </c>
      <c r="D299" s="8" t="str">
        <f ca="1">IFERROR(__xludf.DUMMYFUNCTION("""COMPUTED_VALUE"""),"Male")</f>
        <v>Male</v>
      </c>
      <c r="E299" s="8"/>
      <c r="F299" s="8"/>
    </row>
    <row r="300" spans="1:6" ht="12.75">
      <c r="A300" s="4">
        <v>299</v>
      </c>
      <c r="B300" s="8" t="str">
        <f ca="1">IFERROR(__xludf.DUMMYFUNCTION("""COMPUTED_VALUE"""),"20220117TXPYH")</f>
        <v>20220117TXPYH</v>
      </c>
      <c r="C300" s="8" t="str">
        <f ca="1">IFERROR(__xludf.DUMMYFUNCTION("""COMPUTED_VALUE"""),"Fatal")</f>
        <v>Fatal</v>
      </c>
      <c r="D300" s="8" t="str">
        <f ca="1">IFERROR(__xludf.DUMMYFUNCTION("""COMPUTED_VALUE"""),"Male")</f>
        <v>Male</v>
      </c>
      <c r="E300" s="8" t="str">
        <f ca="1">IFERROR(__xludf.DUMMYFUNCTION("""COMPUTED_VALUE"""),"No Relation")</f>
        <v>No Relation</v>
      </c>
      <c r="F300" s="8" t="str">
        <f ca="1">IFERROR(__xludf.DUMMYFUNCTION("""COMPUTED_VALUE"""),"Adult")</f>
        <v>Adult</v>
      </c>
    </row>
    <row r="301" spans="1:6" ht="12.75">
      <c r="A301" s="4">
        <v>300</v>
      </c>
      <c r="B301" s="8" t="str">
        <f ca="1">IFERROR(__xludf.DUMMYFUNCTION("""COMPUTED_VALUE"""),"20220117TXPYH")</f>
        <v>20220117TXPYH</v>
      </c>
      <c r="C301" s="8" t="str">
        <f ca="1">IFERROR(__xludf.DUMMYFUNCTION("""COMPUTED_VALUE"""),"Fatal")</f>
        <v>Fatal</v>
      </c>
      <c r="D301" s="8" t="str">
        <f ca="1">IFERROR(__xludf.DUMMYFUNCTION("""COMPUTED_VALUE"""),"Female")</f>
        <v>Female</v>
      </c>
      <c r="E301" s="8" t="str">
        <f ca="1">IFERROR(__xludf.DUMMYFUNCTION("""COMPUTED_VALUE"""),"No Relation")</f>
        <v>No Relation</v>
      </c>
      <c r="F301" s="8" t="str">
        <f ca="1">IFERROR(__xludf.DUMMYFUNCTION("""COMPUTED_VALUE"""),"Adult")</f>
        <v>Adult</v>
      </c>
    </row>
    <row r="302" spans="1:6" ht="12.75">
      <c r="A302" s="4">
        <v>301</v>
      </c>
      <c r="B302" s="8" t="str">
        <f ca="1">IFERROR(__xludf.DUMMYFUNCTION("""COMPUTED_VALUE"""),"20220106CAFLS")</f>
        <v>20220106CAFLS</v>
      </c>
      <c r="C302" s="8" t="str">
        <f ca="1">IFERROR(__xludf.DUMMYFUNCTION("""COMPUTED_VALUE"""),"Wounded")</f>
        <v>Wounded</v>
      </c>
      <c r="D302" s="8" t="str">
        <f ca="1">IFERROR(__xludf.DUMMYFUNCTION("""COMPUTED_VALUE"""),"Male")</f>
        <v>Male</v>
      </c>
      <c r="E302" s="8" t="str">
        <f ca="1">IFERROR(__xludf.DUMMYFUNCTION("""COMPUTED_VALUE"""),"Student")</f>
        <v>Student</v>
      </c>
      <c r="F302" s="8">
        <f ca="1">IFERROR(__xludf.DUMMYFUNCTION("""COMPUTED_VALUE"""),17)</f>
        <v>17</v>
      </c>
    </row>
    <row r="303" spans="1:6" ht="12.75">
      <c r="A303" s="4">
        <v>302</v>
      </c>
      <c r="B303" s="8" t="str">
        <f ca="1">IFERROR(__xludf.DUMMYFUNCTION("""COMPUTED_VALUE"""),"20220106CAFLS")</f>
        <v>20220106CAFLS</v>
      </c>
      <c r="C303" s="8" t="str">
        <f ca="1">IFERROR(__xludf.DUMMYFUNCTION("""COMPUTED_VALUE"""),"Wounded")</f>
        <v>Wounded</v>
      </c>
      <c r="D303" s="8" t="str">
        <f ca="1">IFERROR(__xludf.DUMMYFUNCTION("""COMPUTED_VALUE"""),"Male")</f>
        <v>Male</v>
      </c>
      <c r="E303" s="8" t="str">
        <f ca="1">IFERROR(__xludf.DUMMYFUNCTION("""COMPUTED_VALUE"""),"Student")</f>
        <v>Student</v>
      </c>
      <c r="F303" s="8">
        <f ca="1">IFERROR(__xludf.DUMMYFUNCTION("""COMPUTED_VALUE"""),17)</f>
        <v>17</v>
      </c>
    </row>
    <row r="304" spans="1:6" ht="12.75">
      <c r="A304" s="4">
        <v>303</v>
      </c>
      <c r="B304" s="8" t="str">
        <f ca="1">IFERROR(__xludf.DUMMYFUNCTION("""COMPUTED_VALUE"""),"20220104ILAUR")</f>
        <v>20220104ILAUR</v>
      </c>
      <c r="C304" s="8" t="str">
        <f ca="1">IFERROR(__xludf.DUMMYFUNCTION("""COMPUTED_VALUE"""),"Wounded")</f>
        <v>Wounded</v>
      </c>
      <c r="D304" s="8" t="str">
        <f ca="1">IFERROR(__xludf.DUMMYFUNCTION("""COMPUTED_VALUE"""),"Male")</f>
        <v>Male</v>
      </c>
      <c r="E304" s="8" t="str">
        <f ca="1">IFERROR(__xludf.DUMMYFUNCTION("""COMPUTED_VALUE"""),"Student")</f>
        <v>Student</v>
      </c>
      <c r="F304" s="8">
        <f ca="1">IFERROR(__xludf.DUMMYFUNCTION("""COMPUTED_VALUE"""),15)</f>
        <v>15</v>
      </c>
    </row>
    <row r="305" spans="1:6" ht="12.75">
      <c r="A305" s="4">
        <v>304</v>
      </c>
      <c r="B305" s="8" t="str">
        <f ca="1">IFERROR(__xludf.DUMMYFUNCTION("""COMPUTED_VALUE"""),"20220104ILAUR")</f>
        <v>20220104ILAUR</v>
      </c>
      <c r="C305" s="8" t="str">
        <f ca="1">IFERROR(__xludf.DUMMYFUNCTION("""COMPUTED_VALUE"""),"Wounded")</f>
        <v>Wounded</v>
      </c>
      <c r="D305" s="8" t="str">
        <f ca="1">IFERROR(__xludf.DUMMYFUNCTION("""COMPUTED_VALUE"""),"Female")</f>
        <v>Female</v>
      </c>
      <c r="E305" s="8" t="str">
        <f ca="1">IFERROR(__xludf.DUMMYFUNCTION("""COMPUTED_VALUE"""),"Student")</f>
        <v>Student</v>
      </c>
      <c r="F305" s="8">
        <f ca="1">IFERROR(__xludf.DUMMYFUNCTION("""COMPUTED_VALUE"""),17)</f>
        <v>17</v>
      </c>
    </row>
    <row r="306" spans="1:6" ht="12.75">
      <c r="A306" s="4">
        <v>305</v>
      </c>
      <c r="B306" s="8" t="str">
        <f ca="1">IFERROR(__xludf.DUMMYFUNCTION("""COMPUTED_VALUE"""),"20211229NCCAS")</f>
        <v>20211229NCCAS</v>
      </c>
      <c r="C306" s="8" t="str">
        <f ca="1">IFERROR(__xludf.DUMMYFUNCTION("""COMPUTED_VALUE"""),"Wounded")</f>
        <v>Wounded</v>
      </c>
      <c r="D306" s="8" t="str">
        <f ca="1">IFERROR(__xludf.DUMMYFUNCTION("""COMPUTED_VALUE"""),"Male")</f>
        <v>Male</v>
      </c>
      <c r="E306" s="8" t="str">
        <f ca="1">IFERROR(__xludf.DUMMYFUNCTION("""COMPUTED_VALUE"""),"Student")</f>
        <v>Student</v>
      </c>
      <c r="F306" s="8">
        <f ca="1">IFERROR(__xludf.DUMMYFUNCTION("""COMPUTED_VALUE"""),13)</f>
        <v>13</v>
      </c>
    </row>
    <row r="307" spans="1:6" ht="12.75">
      <c r="A307" s="4">
        <v>306</v>
      </c>
      <c r="B307" s="8" t="str">
        <f ca="1">IFERROR(__xludf.DUMMYFUNCTION("""COMPUTED_VALUE"""),"20211229NCCAS")</f>
        <v>20211229NCCAS</v>
      </c>
      <c r="C307" s="8" t="str">
        <f ca="1">IFERROR(__xludf.DUMMYFUNCTION("""COMPUTED_VALUE"""),"Wounded")</f>
        <v>Wounded</v>
      </c>
      <c r="D307" s="8" t="str">
        <f ca="1">IFERROR(__xludf.DUMMYFUNCTION("""COMPUTED_VALUE"""),"Male")</f>
        <v>Male</v>
      </c>
      <c r="E307" s="8" t="str">
        <f ca="1">IFERROR(__xludf.DUMMYFUNCTION("""COMPUTED_VALUE"""),"Student")</f>
        <v>Student</v>
      </c>
      <c r="F307" s="8">
        <f ca="1">IFERROR(__xludf.DUMMYFUNCTION("""COMPUTED_VALUE"""),14)</f>
        <v>14</v>
      </c>
    </row>
    <row r="308" spans="1:6" ht="12.75">
      <c r="A308" s="4">
        <v>307</v>
      </c>
      <c r="B308" s="8" t="str">
        <f ca="1">IFERROR(__xludf.DUMMYFUNCTION("""COMPUTED_VALUE"""),"20211214VAMEN")</f>
        <v>20211214VAMEN</v>
      </c>
      <c r="C308" s="8" t="str">
        <f ca="1">IFERROR(__xludf.DUMMYFUNCTION("""COMPUTED_VALUE"""),"Fatal")</f>
        <v>Fatal</v>
      </c>
      <c r="D308" s="8" t="str">
        <f ca="1">IFERROR(__xludf.DUMMYFUNCTION("""COMPUTED_VALUE"""),"Male")</f>
        <v>Male</v>
      </c>
      <c r="E308" s="8" t="str">
        <f ca="1">IFERROR(__xludf.DUMMYFUNCTION("""COMPUTED_VALUE"""),"Student")</f>
        <v>Student</v>
      </c>
      <c r="F308" s="8">
        <f ca="1">IFERROR(__xludf.DUMMYFUNCTION("""COMPUTED_VALUE"""),17)</f>
        <v>17</v>
      </c>
    </row>
    <row r="309" spans="1:6" ht="12.75">
      <c r="A309" s="4">
        <v>308</v>
      </c>
      <c r="B309" s="8" t="str">
        <f ca="1">IFERROR(__xludf.DUMMYFUNCTION("""COMPUTED_VALUE"""),"20211213NCWEC")</f>
        <v>20211213NCWEC</v>
      </c>
      <c r="C309" s="8" t="str">
        <f ca="1">IFERROR(__xludf.DUMMYFUNCTION("""COMPUTED_VALUE"""),"None")</f>
        <v>None</v>
      </c>
      <c r="D309" s="8" t="str">
        <f ca="1">IFERROR(__xludf.DUMMYFUNCTION("""COMPUTED_VALUE"""),"Male")</f>
        <v>Male</v>
      </c>
      <c r="E309" s="8" t="str">
        <f ca="1">IFERROR(__xludf.DUMMYFUNCTION("""COMPUTED_VALUE"""),"Student")</f>
        <v>Student</v>
      </c>
      <c r="F309" s="8" t="str">
        <f ca="1">IFERROR(__xludf.DUMMYFUNCTION("""COMPUTED_VALUE"""),"Teen")</f>
        <v>Teen</v>
      </c>
    </row>
    <row r="310" spans="1:6" ht="12.75">
      <c r="A310" s="4">
        <v>309</v>
      </c>
      <c r="B310" s="8" t="str">
        <f ca="1">IFERROR(__xludf.DUMMYFUNCTION("""COMPUTED_VALUE"""),"20211212NYSCR")</f>
        <v>20211212NYSCR</v>
      </c>
      <c r="C310" s="8" t="str">
        <f ca="1">IFERROR(__xludf.DUMMYFUNCTION("""COMPUTED_VALUE"""),"Fatal")</f>
        <v>Fatal</v>
      </c>
      <c r="D310" s="8" t="str">
        <f ca="1">IFERROR(__xludf.DUMMYFUNCTION("""COMPUTED_VALUE"""),"Male")</f>
        <v>Male</v>
      </c>
      <c r="E310" s="8" t="str">
        <f ca="1">IFERROR(__xludf.DUMMYFUNCTION("""COMPUTED_VALUE"""),"No Relation")</f>
        <v>No Relation</v>
      </c>
      <c r="F310" s="8">
        <f ca="1">IFERROR(__xludf.DUMMYFUNCTION("""COMPUTED_VALUE"""),25)</f>
        <v>25</v>
      </c>
    </row>
    <row r="311" spans="1:6" ht="12.75">
      <c r="A311" s="4">
        <v>310</v>
      </c>
      <c r="B311" s="8" t="str">
        <f ca="1">IFERROR(__xludf.DUMMYFUNCTION("""COMPUTED_VALUE"""),"20211211FLEDL")</f>
        <v>20211211FLEDL</v>
      </c>
      <c r="C311" s="8" t="str">
        <f ca="1">IFERROR(__xludf.DUMMYFUNCTION("""COMPUTED_VALUE"""),"Wounded")</f>
        <v>Wounded</v>
      </c>
      <c r="D311" s="8" t="str">
        <f ca="1">IFERROR(__xludf.DUMMYFUNCTION("""COMPUTED_VALUE"""),"Male")</f>
        <v>Male</v>
      </c>
      <c r="E311" s="8" t="str">
        <f ca="1">IFERROR(__xludf.DUMMYFUNCTION("""COMPUTED_VALUE"""),"Nonstudent Using Athletic Facilities/Attending Game")</f>
        <v>Nonstudent Using Athletic Facilities/Attending Game</v>
      </c>
      <c r="F311" s="8" t="str">
        <f ca="1">IFERROR(__xludf.DUMMYFUNCTION("""COMPUTED_VALUE"""),"Adult")</f>
        <v>Adult</v>
      </c>
    </row>
    <row r="312" spans="1:6" ht="12.75">
      <c r="A312" s="4">
        <v>311</v>
      </c>
      <c r="B312" s="8" t="str">
        <f ca="1">IFERROR(__xludf.DUMMYFUNCTION("""COMPUTED_VALUE"""),"20211208MOEWK")</f>
        <v>20211208MOEWK</v>
      </c>
      <c r="C312" s="8" t="str">
        <f ca="1">IFERROR(__xludf.DUMMYFUNCTION("""COMPUTED_VALUE"""),"Wounded")</f>
        <v>Wounded</v>
      </c>
      <c r="D312" s="8" t="str">
        <f ca="1">IFERROR(__xludf.DUMMYFUNCTION("""COMPUTED_VALUE"""),"Male")</f>
        <v>Male</v>
      </c>
      <c r="E312" s="8" t="str">
        <f ca="1">IFERROR(__xludf.DUMMYFUNCTION("""COMPUTED_VALUE"""),"Nonstudent Using Athletic Facilities/Attending Game")</f>
        <v>Nonstudent Using Athletic Facilities/Attending Game</v>
      </c>
      <c r="F312" s="8" t="str">
        <f ca="1">IFERROR(__xludf.DUMMYFUNCTION("""COMPUTED_VALUE"""),"Teen")</f>
        <v>Teen</v>
      </c>
    </row>
    <row r="313" spans="1:6" ht="12.75">
      <c r="A313" s="4">
        <v>312</v>
      </c>
      <c r="B313" s="8" t="str">
        <f ca="1">IFERROR(__xludf.DUMMYFUNCTION("""COMPUTED_VALUE"""),"20211208MOEWK")</f>
        <v>20211208MOEWK</v>
      </c>
      <c r="C313" s="8" t="str">
        <f ca="1">IFERROR(__xludf.DUMMYFUNCTION("""COMPUTED_VALUE"""),"Wounded")</f>
        <v>Wounded</v>
      </c>
      <c r="D313" s="8" t="str">
        <f ca="1">IFERROR(__xludf.DUMMYFUNCTION("""COMPUTED_VALUE"""),"Male")</f>
        <v>Male</v>
      </c>
      <c r="E313" s="8" t="str">
        <f ca="1">IFERROR(__xludf.DUMMYFUNCTION("""COMPUTED_VALUE"""),"Nonstudent Using Athletic Facilities/Attending Game")</f>
        <v>Nonstudent Using Athletic Facilities/Attending Game</v>
      </c>
      <c r="F313" s="8" t="str">
        <f ca="1">IFERROR(__xludf.DUMMYFUNCTION("""COMPUTED_VALUE"""),"Teen")</f>
        <v>Teen</v>
      </c>
    </row>
    <row r="314" spans="1:6" ht="12.75">
      <c r="A314" s="4">
        <v>313</v>
      </c>
      <c r="B314" s="8" t="str">
        <f ca="1">IFERROR(__xludf.DUMMYFUNCTION("""COMPUTED_VALUE"""),"20211208KYSTL")</f>
        <v>20211208KYSTL</v>
      </c>
      <c r="C314" s="8" t="str">
        <f ca="1">IFERROR(__xludf.DUMMYFUNCTION("""COMPUTED_VALUE"""),"None")</f>
        <v>None</v>
      </c>
      <c r="D314" s="8"/>
      <c r="E314" s="8" t="str">
        <f ca="1">IFERROR(__xludf.DUMMYFUNCTION("""COMPUTED_VALUE"""),"No Relation")</f>
        <v>No Relation</v>
      </c>
      <c r="F314" s="8" t="str">
        <f ca="1">IFERROR(__xludf.DUMMYFUNCTION("""COMPUTED_VALUE"""),"Adult")</f>
        <v>Adult</v>
      </c>
    </row>
    <row r="315" spans="1:6" ht="12.75">
      <c r="A315" s="4">
        <v>314</v>
      </c>
      <c r="B315" s="8" t="str">
        <f ca="1">IFERROR(__xludf.DUMMYFUNCTION("""COMPUTED_VALUE"""),"20211207ILHAC")</f>
        <v>20211207ILHAC</v>
      </c>
      <c r="C315" s="8" t="str">
        <f ca="1">IFERROR(__xludf.DUMMYFUNCTION("""COMPUTED_VALUE"""),"Fatal")</f>
        <v>Fatal</v>
      </c>
      <c r="D315" s="8" t="str">
        <f ca="1">IFERROR(__xludf.DUMMYFUNCTION("""COMPUTED_VALUE"""),"Male")</f>
        <v>Male</v>
      </c>
      <c r="E315" s="8" t="str">
        <f ca="1">IFERROR(__xludf.DUMMYFUNCTION("""COMPUTED_VALUE"""),"No Relation")</f>
        <v>No Relation</v>
      </c>
      <c r="F315" s="8">
        <f ca="1">IFERROR(__xludf.DUMMYFUNCTION("""COMPUTED_VALUE"""),71)</f>
        <v>71</v>
      </c>
    </row>
    <row r="316" spans="1:6" ht="12.75">
      <c r="A316" s="4">
        <v>315</v>
      </c>
      <c r="B316" s="8" t="str">
        <f ca="1">IFERROR(__xludf.DUMMYFUNCTION("""COMPUTED_VALUE"""),"20211206NYSUS")</f>
        <v>20211206NYSUS</v>
      </c>
      <c r="C316" s="8" t="str">
        <f ca="1">IFERROR(__xludf.DUMMYFUNCTION("""COMPUTED_VALUE"""),"Wounded")</f>
        <v>Wounded</v>
      </c>
      <c r="D316" s="8" t="str">
        <f ca="1">IFERROR(__xludf.DUMMYFUNCTION("""COMPUTED_VALUE"""),"Male")</f>
        <v>Male</v>
      </c>
      <c r="E316" s="8" t="str">
        <f ca="1">IFERROR(__xludf.DUMMYFUNCTION("""COMPUTED_VALUE"""),"Student")</f>
        <v>Student</v>
      </c>
      <c r="F316" s="8">
        <f ca="1">IFERROR(__xludf.DUMMYFUNCTION("""COMPUTED_VALUE"""),16)</f>
        <v>16</v>
      </c>
    </row>
    <row r="317" spans="1:6" ht="12.75">
      <c r="A317" s="4">
        <v>316</v>
      </c>
      <c r="B317" s="8" t="str">
        <f ca="1">IFERROR(__xludf.DUMMYFUNCTION("""COMPUTED_VALUE"""),"20211206CAWIW")</f>
        <v>20211206CAWIW</v>
      </c>
      <c r="C317" s="8" t="str">
        <f ca="1">IFERROR(__xludf.DUMMYFUNCTION("""COMPUTED_VALUE"""),"Fatal")</f>
        <v>Fatal</v>
      </c>
      <c r="D317" s="8" t="str">
        <f ca="1">IFERROR(__xludf.DUMMYFUNCTION("""COMPUTED_VALUE"""),"Male")</f>
        <v>Male</v>
      </c>
      <c r="E317" s="8"/>
      <c r="F317" s="8">
        <f ca="1">IFERROR(__xludf.DUMMYFUNCTION("""COMPUTED_VALUE"""),13)</f>
        <v>13</v>
      </c>
    </row>
    <row r="318" spans="1:6" ht="12.75">
      <c r="A318" s="4">
        <v>317</v>
      </c>
      <c r="B318" s="8" t="str">
        <f ca="1">IFERROR(__xludf.DUMMYFUNCTION("""COMPUTED_VALUE"""),"20211206CAWIW")</f>
        <v>20211206CAWIW</v>
      </c>
      <c r="C318" s="8" t="str">
        <f ca="1">IFERROR(__xludf.DUMMYFUNCTION("""COMPUTED_VALUE"""),"Wounded")</f>
        <v>Wounded</v>
      </c>
      <c r="D318" s="8" t="str">
        <f ca="1">IFERROR(__xludf.DUMMYFUNCTION("""COMPUTED_VALUE"""),"Female")</f>
        <v>Female</v>
      </c>
      <c r="E318" s="8"/>
      <c r="F318" s="8">
        <f ca="1">IFERROR(__xludf.DUMMYFUNCTION("""COMPUTED_VALUE"""),30)</f>
        <v>30</v>
      </c>
    </row>
    <row r="319" spans="1:6" ht="12.75">
      <c r="A319" s="4">
        <v>318</v>
      </c>
      <c r="B319" s="8" t="str">
        <f ca="1">IFERROR(__xludf.DUMMYFUNCTION("""COMPUTED_VALUE"""),"20211206CAWIW")</f>
        <v>20211206CAWIW</v>
      </c>
      <c r="C319" s="8" t="str">
        <f ca="1">IFERROR(__xludf.DUMMYFUNCTION("""COMPUTED_VALUE"""),"Wounded")</f>
        <v>Wounded</v>
      </c>
      <c r="D319" s="8" t="str">
        <f ca="1">IFERROR(__xludf.DUMMYFUNCTION("""COMPUTED_VALUE"""),"Female")</f>
        <v>Female</v>
      </c>
      <c r="E319" s="8" t="str">
        <f ca="1">IFERROR(__xludf.DUMMYFUNCTION("""COMPUTED_VALUE"""),"Student")</f>
        <v>Student</v>
      </c>
      <c r="F319" s="8">
        <f ca="1">IFERROR(__xludf.DUMMYFUNCTION("""COMPUTED_VALUE"""),9)</f>
        <v>9</v>
      </c>
    </row>
    <row r="320" spans="1:6" ht="12.75">
      <c r="A320" s="4">
        <v>319</v>
      </c>
      <c r="B320" s="8" t="str">
        <f ca="1">IFERROR(__xludf.DUMMYFUNCTION("""COMPUTED_VALUE"""),"20211203ARBLB")</f>
        <v>20211203ARBLB</v>
      </c>
      <c r="C320" s="8" t="str">
        <f ca="1">IFERROR(__xludf.DUMMYFUNCTION("""COMPUTED_VALUE"""),"None")</f>
        <v>None</v>
      </c>
      <c r="D320" s="8" t="str">
        <f ca="1">IFERROR(__xludf.DUMMYFUNCTION("""COMPUTED_VALUE"""),"Male")</f>
        <v>Male</v>
      </c>
      <c r="E320" s="8" t="str">
        <f ca="1">IFERROR(__xludf.DUMMYFUNCTION("""COMPUTED_VALUE"""),"No Relation")</f>
        <v>No Relation</v>
      </c>
      <c r="F320" s="8" t="str">
        <f ca="1">IFERROR(__xludf.DUMMYFUNCTION("""COMPUTED_VALUE"""),"Adult")</f>
        <v>Adult</v>
      </c>
    </row>
    <row r="321" spans="1:6" ht="12.75">
      <c r="A321" s="4">
        <v>320</v>
      </c>
      <c r="B321" s="8" t="str">
        <f ca="1">IFERROR(__xludf.DUMMYFUNCTION("""COMPUTED_VALUE"""),"20211201TXSAP")</f>
        <v>20211201TXSAP</v>
      </c>
      <c r="C321" s="8" t="str">
        <f ca="1">IFERROR(__xludf.DUMMYFUNCTION("""COMPUTED_VALUE"""),"None")</f>
        <v>None</v>
      </c>
      <c r="D321" s="8" t="str">
        <f ca="1">IFERROR(__xludf.DUMMYFUNCTION("""COMPUTED_VALUE"""),"Male")</f>
        <v>Male</v>
      </c>
      <c r="E321" s="8" t="str">
        <f ca="1">IFERROR(__xludf.DUMMYFUNCTION("""COMPUTED_VALUE"""),"Student")</f>
        <v>Student</v>
      </c>
      <c r="F321" s="8" t="str">
        <f ca="1">IFERROR(__xludf.DUMMYFUNCTION("""COMPUTED_VALUE"""),"Teen")</f>
        <v>Teen</v>
      </c>
    </row>
    <row r="322" spans="1:6" ht="12.75">
      <c r="A322" s="4">
        <v>321</v>
      </c>
      <c r="B322" s="8" t="str">
        <f ca="1">IFERROR(__xludf.DUMMYFUNCTION("""COMPUTED_VALUE"""),"20211130TNHUH")</f>
        <v>20211130TNHUH</v>
      </c>
      <c r="C322" s="8" t="str">
        <f ca="1">IFERROR(__xludf.DUMMYFUNCTION("""COMPUTED_VALUE"""),"Fatal")</f>
        <v>Fatal</v>
      </c>
      <c r="D322" s="8" t="str">
        <f ca="1">IFERROR(__xludf.DUMMYFUNCTION("""COMPUTED_VALUE"""),"Male")</f>
        <v>Male</v>
      </c>
      <c r="E322" s="8" t="str">
        <f ca="1">IFERROR(__xludf.DUMMYFUNCTION("""COMPUTED_VALUE"""),"Nonstudent Using Athletic Facilities/Attending Game")</f>
        <v>Nonstudent Using Athletic Facilities/Attending Game</v>
      </c>
      <c r="F322" s="8">
        <f ca="1">IFERROR(__xludf.DUMMYFUNCTION("""COMPUTED_VALUE"""),21)</f>
        <v>21</v>
      </c>
    </row>
    <row r="323" spans="1:6" ht="12.75">
      <c r="A323" s="4">
        <v>322</v>
      </c>
      <c r="B323" s="8" t="str">
        <f ca="1">IFERROR(__xludf.DUMMYFUNCTION("""COMPUTED_VALUE"""),"20211130TNHUH")</f>
        <v>20211130TNHUH</v>
      </c>
      <c r="C323" s="8" t="str">
        <f ca="1">IFERROR(__xludf.DUMMYFUNCTION("""COMPUTED_VALUE"""),"Wounded")</f>
        <v>Wounded</v>
      </c>
      <c r="D323" s="8" t="str">
        <f ca="1">IFERROR(__xludf.DUMMYFUNCTION("""COMPUTED_VALUE"""),"Male")</f>
        <v>Male</v>
      </c>
      <c r="E323" s="8" t="str">
        <f ca="1">IFERROR(__xludf.DUMMYFUNCTION("""COMPUTED_VALUE"""),"Nonstudent Using Athletic Facilities/Attending Game")</f>
        <v>Nonstudent Using Athletic Facilities/Attending Game</v>
      </c>
      <c r="F323" s="8">
        <f ca="1">IFERROR(__xludf.DUMMYFUNCTION("""COMPUTED_VALUE"""),18)</f>
        <v>18</v>
      </c>
    </row>
    <row r="324" spans="1:6" ht="12.75">
      <c r="A324" s="4">
        <v>323</v>
      </c>
      <c r="B324" s="8" t="str">
        <f ca="1">IFERROR(__xludf.DUMMYFUNCTION("""COMPUTED_VALUE"""),"20211130TNHUH")</f>
        <v>20211130TNHUH</v>
      </c>
      <c r="C324" s="8" t="str">
        <f ca="1">IFERROR(__xludf.DUMMYFUNCTION("""COMPUTED_VALUE"""),"Wounded")</f>
        <v>Wounded</v>
      </c>
      <c r="D324" s="8" t="str">
        <f ca="1">IFERROR(__xludf.DUMMYFUNCTION("""COMPUTED_VALUE"""),"Male")</f>
        <v>Male</v>
      </c>
      <c r="E324" s="8" t="str">
        <f ca="1">IFERROR(__xludf.DUMMYFUNCTION("""COMPUTED_VALUE"""),"Nonstudent Using Athletic Facilities/Attending Game")</f>
        <v>Nonstudent Using Athletic Facilities/Attending Game</v>
      </c>
      <c r="F324" s="8" t="str">
        <f ca="1">IFERROR(__xludf.DUMMYFUNCTION("""COMPUTED_VALUE"""),"Adult")</f>
        <v>Adult</v>
      </c>
    </row>
    <row r="325" spans="1:6" ht="12.75">
      <c r="A325" s="4">
        <v>324</v>
      </c>
      <c r="B325" s="8" t="str">
        <f ca="1">IFERROR(__xludf.DUMMYFUNCTION("""COMPUTED_VALUE"""),"20211130MIOXO")</f>
        <v>20211130MIOXO</v>
      </c>
      <c r="C325" s="8" t="str">
        <f ca="1">IFERROR(__xludf.DUMMYFUNCTION("""COMPUTED_VALUE"""),"Fatal")</f>
        <v>Fatal</v>
      </c>
      <c r="D325" s="8" t="str">
        <f ca="1">IFERROR(__xludf.DUMMYFUNCTION("""COMPUTED_VALUE"""),"Male")</f>
        <v>Male</v>
      </c>
      <c r="E325" s="8" t="str">
        <f ca="1">IFERROR(__xludf.DUMMYFUNCTION("""COMPUTED_VALUE"""),"Student")</f>
        <v>Student</v>
      </c>
      <c r="F325" s="8">
        <f ca="1">IFERROR(__xludf.DUMMYFUNCTION("""COMPUTED_VALUE"""),17)</f>
        <v>17</v>
      </c>
    </row>
    <row r="326" spans="1:6" ht="12.75">
      <c r="A326" s="4">
        <v>325</v>
      </c>
      <c r="B326" s="8" t="str">
        <f ca="1">IFERROR(__xludf.DUMMYFUNCTION("""COMPUTED_VALUE"""),"20211130MIOXO")</f>
        <v>20211130MIOXO</v>
      </c>
      <c r="C326" s="8" t="str">
        <f ca="1">IFERROR(__xludf.DUMMYFUNCTION("""COMPUTED_VALUE"""),"Wounded")</f>
        <v>Wounded</v>
      </c>
      <c r="D326" s="8" t="str">
        <f ca="1">IFERROR(__xludf.DUMMYFUNCTION("""COMPUTED_VALUE"""),"Male")</f>
        <v>Male</v>
      </c>
      <c r="E326" s="8" t="str">
        <f ca="1">IFERROR(__xludf.DUMMYFUNCTION("""COMPUTED_VALUE"""),"Student")</f>
        <v>Student</v>
      </c>
      <c r="F326" s="8">
        <f ca="1">IFERROR(__xludf.DUMMYFUNCTION("""COMPUTED_VALUE"""),14)</f>
        <v>14</v>
      </c>
    </row>
    <row r="327" spans="1:6" ht="12.75">
      <c r="A327" s="4">
        <v>326</v>
      </c>
      <c r="B327" s="8" t="str">
        <f ca="1">IFERROR(__xludf.DUMMYFUNCTION("""COMPUTED_VALUE"""),"20211130MIOXO")</f>
        <v>20211130MIOXO</v>
      </c>
      <c r="C327" s="8" t="str">
        <f ca="1">IFERROR(__xludf.DUMMYFUNCTION("""COMPUTED_VALUE"""),"Wounded")</f>
        <v>Wounded</v>
      </c>
      <c r="D327" s="8" t="str">
        <f ca="1">IFERROR(__xludf.DUMMYFUNCTION("""COMPUTED_VALUE"""),"Male")</f>
        <v>Male</v>
      </c>
      <c r="E327" s="8" t="str">
        <f ca="1">IFERROR(__xludf.DUMMYFUNCTION("""COMPUTED_VALUE"""),"Teacher")</f>
        <v>Teacher</v>
      </c>
      <c r="F327" s="8">
        <f ca="1">IFERROR(__xludf.DUMMYFUNCTION("""COMPUTED_VALUE"""),47)</f>
        <v>47</v>
      </c>
    </row>
    <row r="328" spans="1:6" ht="12.75">
      <c r="A328" s="4">
        <v>327</v>
      </c>
      <c r="B328" s="8" t="str">
        <f ca="1">IFERROR(__xludf.DUMMYFUNCTION("""COMPUTED_VALUE"""),"20211130MIOXO")</f>
        <v>20211130MIOXO</v>
      </c>
      <c r="C328" s="8" t="str">
        <f ca="1">IFERROR(__xludf.DUMMYFUNCTION("""COMPUTED_VALUE"""),"Wounded")</f>
        <v>Wounded</v>
      </c>
      <c r="D328" s="8" t="str">
        <f ca="1">IFERROR(__xludf.DUMMYFUNCTION("""COMPUTED_VALUE"""),"Male")</f>
        <v>Male</v>
      </c>
      <c r="E328" s="8" t="str">
        <f ca="1">IFERROR(__xludf.DUMMYFUNCTION("""COMPUTED_VALUE"""),"Student")</f>
        <v>Student</v>
      </c>
      <c r="F328" s="8">
        <f ca="1">IFERROR(__xludf.DUMMYFUNCTION("""COMPUTED_VALUE"""),14)</f>
        <v>14</v>
      </c>
    </row>
    <row r="329" spans="1:6" ht="12.75">
      <c r="A329" s="4">
        <v>328</v>
      </c>
      <c r="B329" s="8" t="str">
        <f ca="1">IFERROR(__xludf.DUMMYFUNCTION("""COMPUTED_VALUE"""),"20211130MIOXO")</f>
        <v>20211130MIOXO</v>
      </c>
      <c r="C329" s="8" t="str">
        <f ca="1">IFERROR(__xludf.DUMMYFUNCTION("""COMPUTED_VALUE"""),"Fatal")</f>
        <v>Fatal</v>
      </c>
      <c r="D329" s="8" t="str">
        <f ca="1">IFERROR(__xludf.DUMMYFUNCTION("""COMPUTED_VALUE"""),"Female")</f>
        <v>Female</v>
      </c>
      <c r="E329" s="8" t="str">
        <f ca="1">IFERROR(__xludf.DUMMYFUNCTION("""COMPUTED_VALUE"""),"Student")</f>
        <v>Student</v>
      </c>
      <c r="F329" s="8">
        <f ca="1">IFERROR(__xludf.DUMMYFUNCTION("""COMPUTED_VALUE"""),14)</f>
        <v>14</v>
      </c>
    </row>
    <row r="330" spans="1:6" ht="12.75">
      <c r="A330" s="4">
        <v>329</v>
      </c>
      <c r="B330" s="8" t="str">
        <f ca="1">IFERROR(__xludf.DUMMYFUNCTION("""COMPUTED_VALUE"""),"20211130MIOXO")</f>
        <v>20211130MIOXO</v>
      </c>
      <c r="C330" s="8" t="str">
        <f ca="1">IFERROR(__xludf.DUMMYFUNCTION("""COMPUTED_VALUE"""),"Wounded")</f>
        <v>Wounded</v>
      </c>
      <c r="D330" s="8" t="str">
        <f ca="1">IFERROR(__xludf.DUMMYFUNCTION("""COMPUTED_VALUE"""),"Female")</f>
        <v>Female</v>
      </c>
      <c r="E330" s="8" t="str">
        <f ca="1">IFERROR(__xludf.DUMMYFUNCTION("""COMPUTED_VALUE"""),"Student")</f>
        <v>Student</v>
      </c>
      <c r="F330" s="8">
        <f ca="1">IFERROR(__xludf.DUMMYFUNCTION("""COMPUTED_VALUE"""),17)</f>
        <v>17</v>
      </c>
    </row>
    <row r="331" spans="1:6" ht="12.75">
      <c r="A331" s="4">
        <v>330</v>
      </c>
      <c r="B331" s="8" t="str">
        <f ca="1">IFERROR(__xludf.DUMMYFUNCTION("""COMPUTED_VALUE"""),"20211130MIOXO")</f>
        <v>20211130MIOXO</v>
      </c>
      <c r="C331" s="8" t="str">
        <f ca="1">IFERROR(__xludf.DUMMYFUNCTION("""COMPUTED_VALUE"""),"Fatal")</f>
        <v>Fatal</v>
      </c>
      <c r="D331" s="8" t="str">
        <f ca="1">IFERROR(__xludf.DUMMYFUNCTION("""COMPUTED_VALUE"""),"Female")</f>
        <v>Female</v>
      </c>
      <c r="E331" s="8" t="str">
        <f ca="1">IFERROR(__xludf.DUMMYFUNCTION("""COMPUTED_VALUE"""),"Student")</f>
        <v>Student</v>
      </c>
      <c r="F331" s="8">
        <f ca="1">IFERROR(__xludf.DUMMYFUNCTION("""COMPUTED_VALUE"""),17)</f>
        <v>17</v>
      </c>
    </row>
    <row r="332" spans="1:6" ht="12.75">
      <c r="A332" s="4">
        <v>331</v>
      </c>
      <c r="B332" s="8" t="str">
        <f ca="1">IFERROR(__xludf.DUMMYFUNCTION("""COMPUTED_VALUE"""),"20211130MIOXO")</f>
        <v>20211130MIOXO</v>
      </c>
      <c r="C332" s="8" t="str">
        <f ca="1">IFERROR(__xludf.DUMMYFUNCTION("""COMPUTED_VALUE"""),"Wounded")</f>
        <v>Wounded</v>
      </c>
      <c r="D332" s="8" t="str">
        <f ca="1">IFERROR(__xludf.DUMMYFUNCTION("""COMPUTED_VALUE"""),"Male")</f>
        <v>Male</v>
      </c>
      <c r="E332" s="8" t="str">
        <f ca="1">IFERROR(__xludf.DUMMYFUNCTION("""COMPUTED_VALUE"""),"Student")</f>
        <v>Student</v>
      </c>
      <c r="F332" s="8">
        <f ca="1">IFERROR(__xludf.DUMMYFUNCTION("""COMPUTED_VALUE"""),15)</f>
        <v>15</v>
      </c>
    </row>
    <row r="333" spans="1:6" ht="12.75">
      <c r="A333" s="4">
        <v>332</v>
      </c>
      <c r="B333" s="8" t="str">
        <f ca="1">IFERROR(__xludf.DUMMYFUNCTION("""COMPUTED_VALUE"""),"20211130MIOXO")</f>
        <v>20211130MIOXO</v>
      </c>
      <c r="C333" s="8" t="str">
        <f ca="1">IFERROR(__xludf.DUMMYFUNCTION("""COMPUTED_VALUE"""),"Fatal")</f>
        <v>Fatal</v>
      </c>
      <c r="D333" s="8" t="str">
        <f ca="1">IFERROR(__xludf.DUMMYFUNCTION("""COMPUTED_VALUE"""),"Male")</f>
        <v>Male</v>
      </c>
      <c r="E333" s="8" t="str">
        <f ca="1">IFERROR(__xludf.DUMMYFUNCTION("""COMPUTED_VALUE"""),"Student")</f>
        <v>Student</v>
      </c>
      <c r="F333" s="8">
        <f ca="1">IFERROR(__xludf.DUMMYFUNCTION("""COMPUTED_VALUE"""),16)</f>
        <v>16</v>
      </c>
    </row>
    <row r="334" spans="1:6" ht="12.75">
      <c r="A334" s="4">
        <v>333</v>
      </c>
      <c r="B334" s="8" t="str">
        <f ca="1">IFERROR(__xludf.DUMMYFUNCTION("""COMPUTED_VALUE"""),"20211130MIOXO")</f>
        <v>20211130MIOXO</v>
      </c>
      <c r="C334" s="8" t="str">
        <f ca="1">IFERROR(__xludf.DUMMYFUNCTION("""COMPUTED_VALUE"""),"Wounded")</f>
        <v>Wounded</v>
      </c>
      <c r="D334" s="8" t="str">
        <f ca="1">IFERROR(__xludf.DUMMYFUNCTION("""COMPUTED_VALUE"""),"Male")</f>
        <v>Male</v>
      </c>
      <c r="E334" s="8" t="str">
        <f ca="1">IFERROR(__xludf.DUMMYFUNCTION("""COMPUTED_VALUE"""),"Student")</f>
        <v>Student</v>
      </c>
      <c r="F334" s="8">
        <f ca="1">IFERROR(__xludf.DUMMYFUNCTION("""COMPUTED_VALUE"""),17)</f>
        <v>17</v>
      </c>
    </row>
    <row r="335" spans="1:6" ht="12.75">
      <c r="A335" s="4">
        <v>334</v>
      </c>
      <c r="B335" s="8" t="str">
        <f ca="1">IFERROR(__xludf.DUMMYFUNCTION("""COMPUTED_VALUE"""),"20211130MIOXO")</f>
        <v>20211130MIOXO</v>
      </c>
      <c r="C335" s="8" t="str">
        <f ca="1">IFERROR(__xludf.DUMMYFUNCTION("""COMPUTED_VALUE"""),"Wounded")</f>
        <v>Wounded</v>
      </c>
      <c r="D335" s="8" t="str">
        <f ca="1">IFERROR(__xludf.DUMMYFUNCTION("""COMPUTED_VALUE"""),"Female")</f>
        <v>Female</v>
      </c>
      <c r="E335" s="8" t="str">
        <f ca="1">IFERROR(__xludf.DUMMYFUNCTION("""COMPUTED_VALUE"""),"Student")</f>
        <v>Student</v>
      </c>
      <c r="F335" s="8">
        <f ca="1">IFERROR(__xludf.DUMMYFUNCTION("""COMPUTED_VALUE"""),14)</f>
        <v>14</v>
      </c>
    </row>
    <row r="336" spans="1:6" ht="12.75">
      <c r="A336" s="4">
        <v>335</v>
      </c>
      <c r="B336" s="8" t="str">
        <f ca="1">IFERROR(__xludf.DUMMYFUNCTION("""COMPUTED_VALUE"""),"20211129AZCHP")</f>
        <v>20211129AZCHP</v>
      </c>
      <c r="C336" s="8" t="str">
        <f ca="1">IFERROR(__xludf.DUMMYFUNCTION("""COMPUTED_VALUE"""),"Wounded")</f>
        <v>Wounded</v>
      </c>
      <c r="D336" s="8" t="str">
        <f ca="1">IFERROR(__xludf.DUMMYFUNCTION("""COMPUTED_VALUE"""),"Male")</f>
        <v>Male</v>
      </c>
      <c r="E336" s="8" t="str">
        <f ca="1">IFERROR(__xludf.DUMMYFUNCTION("""COMPUTED_VALUE"""),"Student")</f>
        <v>Student</v>
      </c>
      <c r="F336" s="8">
        <f ca="1">IFERROR(__xludf.DUMMYFUNCTION("""COMPUTED_VALUE"""),16)</f>
        <v>16</v>
      </c>
    </row>
    <row r="337" spans="1:6" ht="12.75">
      <c r="A337" s="4">
        <v>336</v>
      </c>
      <c r="B337" s="8" t="str">
        <f ca="1">IFERROR(__xludf.DUMMYFUNCTION("""COMPUTED_VALUE"""),"20211126CAWES")</f>
        <v>20211126CAWES</v>
      </c>
      <c r="C337" s="8" t="str">
        <f ca="1">IFERROR(__xludf.DUMMYFUNCTION("""COMPUTED_VALUE"""),"Wounded")</f>
        <v>Wounded</v>
      </c>
      <c r="D337" s="8" t="str">
        <f ca="1">IFERROR(__xludf.DUMMYFUNCTION("""COMPUTED_VALUE"""),"Male")</f>
        <v>Male</v>
      </c>
      <c r="E337" s="8" t="str">
        <f ca="1">IFERROR(__xludf.DUMMYFUNCTION("""COMPUTED_VALUE"""),"Nonstudent Using Athletic Facilities/Attending Game")</f>
        <v>Nonstudent Using Athletic Facilities/Attending Game</v>
      </c>
      <c r="F337" s="8" t="str">
        <f ca="1">IFERROR(__xludf.DUMMYFUNCTION("""COMPUTED_VALUE"""),"Adult")</f>
        <v>Adult</v>
      </c>
    </row>
    <row r="338" spans="1:6" ht="12.75">
      <c r="A338" s="4">
        <v>337</v>
      </c>
      <c r="B338" s="8" t="str">
        <f ca="1">IFERROR(__xludf.DUMMYFUNCTION("""COMPUTED_VALUE"""),"20211126CAWES")</f>
        <v>20211126CAWES</v>
      </c>
      <c r="C338" s="8" t="str">
        <f ca="1">IFERROR(__xludf.DUMMYFUNCTION("""COMPUTED_VALUE"""),"Wounded")</f>
        <v>Wounded</v>
      </c>
      <c r="D338" s="8" t="str">
        <f ca="1">IFERROR(__xludf.DUMMYFUNCTION("""COMPUTED_VALUE"""),"Male")</f>
        <v>Male</v>
      </c>
      <c r="E338" s="8" t="str">
        <f ca="1">IFERROR(__xludf.DUMMYFUNCTION("""COMPUTED_VALUE"""),"Nonstudent Using Athletic Facilities/Attending Game")</f>
        <v>Nonstudent Using Athletic Facilities/Attending Game</v>
      </c>
      <c r="F338" s="8" t="str">
        <f ca="1">IFERROR(__xludf.DUMMYFUNCTION("""COMPUTED_VALUE"""),"Adult")</f>
        <v>Adult</v>
      </c>
    </row>
    <row r="339" spans="1:6" ht="12.75">
      <c r="A339" s="4">
        <v>338</v>
      </c>
      <c r="B339" s="8" t="str">
        <f ca="1">IFERROR(__xludf.DUMMYFUNCTION("""COMPUTED_VALUE"""),"20211119MDGIB")</f>
        <v>20211119MDGIB</v>
      </c>
      <c r="C339" s="8" t="str">
        <f ca="1">IFERROR(__xludf.DUMMYFUNCTION("""COMPUTED_VALUE"""),"Fatal")</f>
        <v>Fatal</v>
      </c>
      <c r="D339" s="8" t="str">
        <f ca="1">IFERROR(__xludf.DUMMYFUNCTION("""COMPUTED_VALUE"""),"Female")</f>
        <v>Female</v>
      </c>
      <c r="E339" s="8"/>
      <c r="F339" s="8">
        <f ca="1">IFERROR(__xludf.DUMMYFUNCTION("""COMPUTED_VALUE"""),13)</f>
        <v>13</v>
      </c>
    </row>
    <row r="340" spans="1:6" ht="12.75">
      <c r="A340" s="4">
        <v>339</v>
      </c>
      <c r="B340" s="8" t="str">
        <f ca="1">IFERROR(__xludf.DUMMYFUNCTION("""COMPUTED_VALUE"""),"20211119COHIA")</f>
        <v>20211119COHIA</v>
      </c>
      <c r="C340" s="8" t="str">
        <f ca="1">IFERROR(__xludf.DUMMYFUNCTION("""COMPUTED_VALUE"""),"Wounded")</f>
        <v>Wounded</v>
      </c>
      <c r="D340" s="8" t="str">
        <f ca="1">IFERROR(__xludf.DUMMYFUNCTION("""COMPUTED_VALUE"""),"Male")</f>
        <v>Male</v>
      </c>
      <c r="E340" s="8" t="str">
        <f ca="1">IFERROR(__xludf.DUMMYFUNCTION("""COMPUTED_VALUE"""),"Student")</f>
        <v>Student</v>
      </c>
      <c r="F340" s="8" t="str">
        <f ca="1">IFERROR(__xludf.DUMMYFUNCTION("""COMPUTED_VALUE"""),"Teen")</f>
        <v>Teen</v>
      </c>
    </row>
    <row r="341" spans="1:6" ht="12.75">
      <c r="A341" s="4">
        <v>340</v>
      </c>
      <c r="B341" s="8" t="str">
        <f ca="1">IFERROR(__xludf.DUMMYFUNCTION("""COMPUTED_VALUE"""),"20211119COHIA")</f>
        <v>20211119COHIA</v>
      </c>
      <c r="C341" s="8" t="str">
        <f ca="1">IFERROR(__xludf.DUMMYFUNCTION("""COMPUTED_VALUE"""),"Wounded")</f>
        <v>Wounded</v>
      </c>
      <c r="D341" s="8" t="str">
        <f ca="1">IFERROR(__xludf.DUMMYFUNCTION("""COMPUTED_VALUE"""),"Male")</f>
        <v>Male</v>
      </c>
      <c r="E341" s="8" t="str">
        <f ca="1">IFERROR(__xludf.DUMMYFUNCTION("""COMPUTED_VALUE"""),"Student")</f>
        <v>Student</v>
      </c>
      <c r="F341" s="8" t="str">
        <f ca="1">IFERROR(__xludf.DUMMYFUNCTION("""COMPUTED_VALUE"""),"Teen")</f>
        <v>Teen</v>
      </c>
    </row>
    <row r="342" spans="1:6" ht="12.75">
      <c r="A342" s="4">
        <v>341</v>
      </c>
      <c r="B342" s="8" t="str">
        <f ca="1">IFERROR(__xludf.DUMMYFUNCTION("""COMPUTED_VALUE"""),"20211119COHIA")</f>
        <v>20211119COHIA</v>
      </c>
      <c r="C342" s="8" t="str">
        <f ca="1">IFERROR(__xludf.DUMMYFUNCTION("""COMPUTED_VALUE"""),"Wounded")</f>
        <v>Wounded</v>
      </c>
      <c r="D342" s="8" t="str">
        <f ca="1">IFERROR(__xludf.DUMMYFUNCTION("""COMPUTED_VALUE"""),"Male")</f>
        <v>Male</v>
      </c>
      <c r="E342" s="8" t="str">
        <f ca="1">IFERROR(__xludf.DUMMYFUNCTION("""COMPUTED_VALUE"""),"Student")</f>
        <v>Student</v>
      </c>
      <c r="F342" s="8" t="str">
        <f ca="1">IFERROR(__xludf.DUMMYFUNCTION("""COMPUTED_VALUE"""),"Teen")</f>
        <v>Teen</v>
      </c>
    </row>
    <row r="343" spans="1:6" ht="12.75">
      <c r="A343" s="4">
        <v>342</v>
      </c>
      <c r="B343" s="8" t="str">
        <f ca="1">IFERROR(__xludf.DUMMYFUNCTION("""COMPUTED_VALUE"""),"20211108NYTHB")</f>
        <v>20211108NYTHB</v>
      </c>
      <c r="C343" s="8" t="str">
        <f ca="1">IFERROR(__xludf.DUMMYFUNCTION("""COMPUTED_VALUE"""),"Wounded")</f>
        <v>Wounded</v>
      </c>
      <c r="D343" s="8" t="str">
        <f ca="1">IFERROR(__xludf.DUMMYFUNCTION("""COMPUTED_VALUE"""),"Male")</f>
        <v>Male</v>
      </c>
      <c r="E343" s="8" t="str">
        <f ca="1">IFERROR(__xludf.DUMMYFUNCTION("""COMPUTED_VALUE"""),"Student")</f>
        <v>Student</v>
      </c>
      <c r="F343" s="8">
        <f ca="1">IFERROR(__xludf.DUMMYFUNCTION("""COMPUTED_VALUE"""),17)</f>
        <v>17</v>
      </c>
    </row>
    <row r="344" spans="1:6" ht="12.75">
      <c r="A344" s="4">
        <v>343</v>
      </c>
      <c r="B344" s="8" t="str">
        <f ca="1">IFERROR(__xludf.DUMMYFUNCTION("""COMPUTED_VALUE"""),"20211102NMHIH")</f>
        <v>20211102NMHIH</v>
      </c>
      <c r="C344" s="8" t="str">
        <f ca="1">IFERROR(__xludf.DUMMYFUNCTION("""COMPUTED_VALUE"""),"Wounded")</f>
        <v>Wounded</v>
      </c>
      <c r="D344" s="8" t="str">
        <f ca="1">IFERROR(__xludf.DUMMYFUNCTION("""COMPUTED_VALUE"""),"Male")</f>
        <v>Male</v>
      </c>
      <c r="E344" s="8" t="str">
        <f ca="1">IFERROR(__xludf.DUMMYFUNCTION("""COMPUTED_VALUE"""),"Student")</f>
        <v>Student</v>
      </c>
      <c r="F344" s="8" t="str">
        <f ca="1">IFERROR(__xludf.DUMMYFUNCTION("""COMPUTED_VALUE"""),"Child")</f>
        <v>Child</v>
      </c>
    </row>
    <row r="345" spans="1:6" ht="12.75">
      <c r="A345" s="4">
        <v>344</v>
      </c>
      <c r="B345" s="8" t="str">
        <f ca="1">IFERROR(__xludf.DUMMYFUNCTION("""COMPUTED_VALUE"""),"20211102NMHIH")</f>
        <v>20211102NMHIH</v>
      </c>
      <c r="C345" s="8" t="str">
        <f ca="1">IFERROR(__xludf.DUMMYFUNCTION("""COMPUTED_VALUE"""),"Wounded")</f>
        <v>Wounded</v>
      </c>
      <c r="D345" s="8"/>
      <c r="E345" s="8" t="str">
        <f ca="1">IFERROR(__xludf.DUMMYFUNCTION("""COMPUTED_VALUE"""),"Student")</f>
        <v>Student</v>
      </c>
      <c r="F345" s="8" t="str">
        <f ca="1">IFERROR(__xludf.DUMMYFUNCTION("""COMPUTED_VALUE"""),"Child")</f>
        <v>Child</v>
      </c>
    </row>
    <row r="346" spans="1:6" ht="12.75">
      <c r="A346" s="4">
        <v>345</v>
      </c>
      <c r="B346" s="8" t="str">
        <f ca="1">IFERROR(__xludf.DUMMYFUNCTION("""COMPUTED_VALUE"""),"20211102NMHIH")</f>
        <v>20211102NMHIH</v>
      </c>
      <c r="C346" s="8" t="str">
        <f ca="1">IFERROR(__xludf.DUMMYFUNCTION("""COMPUTED_VALUE"""),"Wounded")</f>
        <v>Wounded</v>
      </c>
      <c r="D346" s="8"/>
      <c r="E346" s="8" t="str">
        <f ca="1">IFERROR(__xludf.DUMMYFUNCTION("""COMPUTED_VALUE"""),"Student")</f>
        <v>Student</v>
      </c>
      <c r="F346" s="8" t="str">
        <f ca="1">IFERROR(__xludf.DUMMYFUNCTION("""COMPUTED_VALUE"""),"Child")</f>
        <v>Child</v>
      </c>
    </row>
    <row r="347" spans="1:6" ht="12.75">
      <c r="A347" s="4">
        <v>346</v>
      </c>
      <c r="B347" s="8" t="str">
        <f ca="1">IFERROR(__xludf.DUMMYFUNCTION("""COMPUTED_VALUE"""),"20211102NMHIH")</f>
        <v>20211102NMHIH</v>
      </c>
      <c r="C347" s="8" t="str">
        <f ca="1">IFERROR(__xludf.DUMMYFUNCTION("""COMPUTED_VALUE"""),"None")</f>
        <v>None</v>
      </c>
      <c r="D347" s="8"/>
      <c r="E347" s="8" t="str">
        <f ca="1">IFERROR(__xludf.DUMMYFUNCTION("""COMPUTED_VALUE"""),"Teacher")</f>
        <v>Teacher</v>
      </c>
      <c r="F347" s="8" t="str">
        <f ca="1">IFERROR(__xludf.DUMMYFUNCTION("""COMPUTED_VALUE"""),"Adult")</f>
        <v>Adult</v>
      </c>
    </row>
    <row r="348" spans="1:6" ht="12.75">
      <c r="A348" s="4">
        <v>347</v>
      </c>
      <c r="B348" s="8" t="str">
        <f ca="1">IFERROR(__xludf.DUMMYFUNCTION("""COMPUTED_VALUE"""),"20211030PASTM")</f>
        <v>20211030PASTM</v>
      </c>
      <c r="C348" s="8" t="str">
        <f ca="1">IFERROR(__xludf.DUMMYFUNCTION("""COMPUTED_VALUE"""),"Wounded")</f>
        <v>Wounded</v>
      </c>
      <c r="D348" s="8" t="str">
        <f ca="1">IFERROR(__xludf.DUMMYFUNCTION("""COMPUTED_VALUE"""),"Male")</f>
        <v>Male</v>
      </c>
      <c r="E348" s="8" t="str">
        <f ca="1">IFERROR(__xludf.DUMMYFUNCTION("""COMPUTED_VALUE"""),"Nonstudent Using Athletic Facilities/Attending Game")</f>
        <v>Nonstudent Using Athletic Facilities/Attending Game</v>
      </c>
      <c r="F348" s="8" t="str">
        <f ca="1">IFERROR(__xludf.DUMMYFUNCTION("""COMPUTED_VALUE"""),"Adult")</f>
        <v>Adult</v>
      </c>
    </row>
    <row r="349" spans="1:6" ht="12.75">
      <c r="A349" s="4">
        <v>348</v>
      </c>
      <c r="B349" s="8" t="str">
        <f ca="1">IFERROR(__xludf.DUMMYFUNCTION("""COMPUTED_VALUE"""),"20211021NYPSB")</f>
        <v>20211021NYPSB</v>
      </c>
      <c r="C349" s="8" t="str">
        <f ca="1">IFERROR(__xludf.DUMMYFUNCTION("""COMPUTED_VALUE"""),"Wounded")</f>
        <v>Wounded</v>
      </c>
      <c r="D349" s="8" t="str">
        <f ca="1">IFERROR(__xludf.DUMMYFUNCTION("""COMPUTED_VALUE"""),"Male")</f>
        <v>Male</v>
      </c>
      <c r="E349" s="8" t="str">
        <f ca="1">IFERROR(__xludf.DUMMYFUNCTION("""COMPUTED_VALUE"""),"No Relation")</f>
        <v>No Relation</v>
      </c>
      <c r="F349" s="8">
        <f ca="1">IFERROR(__xludf.DUMMYFUNCTION("""COMPUTED_VALUE"""),25)</f>
        <v>25</v>
      </c>
    </row>
    <row r="350" spans="1:6" ht="12.75">
      <c r="A350" s="4">
        <v>349</v>
      </c>
      <c r="B350" s="8" t="str">
        <f ca="1">IFERROR(__xludf.DUMMYFUNCTION("""COMPUTED_VALUE"""),"20211021GABES")</f>
        <v>20211021GABES</v>
      </c>
      <c r="C350" s="8" t="str">
        <f ca="1">IFERROR(__xludf.DUMMYFUNCTION("""COMPUTED_VALUE"""),"Minor Injuries")</f>
        <v>Minor Injuries</v>
      </c>
      <c r="D350" s="8"/>
      <c r="E350" s="8"/>
      <c r="F350" s="8"/>
    </row>
    <row r="351" spans="1:6" ht="12.75">
      <c r="A351" s="4">
        <v>350</v>
      </c>
      <c r="B351" s="8" t="str">
        <f ca="1">IFERROR(__xludf.DUMMYFUNCTION("""COMPUTED_VALUE"""),"20211018PALIP")</f>
        <v>20211018PALIP</v>
      </c>
      <c r="C351" s="8" t="str">
        <f ca="1">IFERROR(__xludf.DUMMYFUNCTION("""COMPUTED_VALUE"""),"Wounded")</f>
        <v>Wounded</v>
      </c>
      <c r="D351" s="8" t="str">
        <f ca="1">IFERROR(__xludf.DUMMYFUNCTION("""COMPUTED_VALUE"""),"Male")</f>
        <v>Male</v>
      </c>
      <c r="E351" s="8" t="str">
        <f ca="1">IFERROR(__xludf.DUMMYFUNCTION("""COMPUTED_VALUE"""),"Student")</f>
        <v>Student</v>
      </c>
      <c r="F351" s="8">
        <f ca="1">IFERROR(__xludf.DUMMYFUNCTION("""COMPUTED_VALUE"""),16)</f>
        <v>16</v>
      </c>
    </row>
    <row r="352" spans="1:6" ht="12.75">
      <c r="A352" s="4">
        <v>351</v>
      </c>
      <c r="B352" s="8" t="str">
        <f ca="1">IFERROR(__xludf.DUMMYFUNCTION("""COMPUTED_VALUE"""),"20211018PALIP")</f>
        <v>20211018PALIP</v>
      </c>
      <c r="C352" s="8" t="str">
        <f ca="1">IFERROR(__xludf.DUMMYFUNCTION("""COMPUTED_VALUE"""),"Wounded")</f>
        <v>Wounded</v>
      </c>
      <c r="D352" s="8" t="str">
        <f ca="1">IFERROR(__xludf.DUMMYFUNCTION("""COMPUTED_VALUE"""),"Male")</f>
        <v>Male</v>
      </c>
      <c r="E352" s="8" t="str">
        <f ca="1">IFERROR(__xludf.DUMMYFUNCTION("""COMPUTED_VALUE"""),"No Relation")</f>
        <v>No Relation</v>
      </c>
      <c r="F352" s="8">
        <f ca="1">IFERROR(__xludf.DUMMYFUNCTION("""COMPUTED_VALUE"""),66)</f>
        <v>66</v>
      </c>
    </row>
    <row r="353" spans="1:6" ht="12.75">
      <c r="A353" s="4">
        <v>352</v>
      </c>
      <c r="B353" s="8" t="str">
        <f ca="1">IFERROR(__xludf.DUMMYFUNCTION("""COMPUTED_VALUE"""),"20211015CAKEF")</f>
        <v>20211015CAKEF</v>
      </c>
      <c r="C353" s="8" t="str">
        <f ca="1">IFERROR(__xludf.DUMMYFUNCTION("""COMPUTED_VALUE"""),"Wounded")</f>
        <v>Wounded</v>
      </c>
      <c r="D353" s="8"/>
      <c r="E353" s="8"/>
      <c r="F353" s="8"/>
    </row>
    <row r="354" spans="1:6" ht="12.75">
      <c r="A354" s="4">
        <v>353</v>
      </c>
      <c r="B354" s="8" t="str">
        <f ca="1">IFERROR(__xludf.DUMMYFUNCTION("""COMPUTED_VALUE"""),"20211015ALWIM")</f>
        <v>20211015ALWIM</v>
      </c>
      <c r="C354" s="8" t="str">
        <f ca="1">IFERROR(__xludf.DUMMYFUNCTION("""COMPUTED_VALUE"""),"Wounded")</f>
        <v>Wounded</v>
      </c>
      <c r="D354" s="8" t="str">
        <f ca="1">IFERROR(__xludf.DUMMYFUNCTION("""COMPUTED_VALUE"""),"Male")</f>
        <v>Male</v>
      </c>
      <c r="E354" s="8"/>
      <c r="F354" s="8"/>
    </row>
    <row r="355" spans="1:6" ht="12.75">
      <c r="A355" s="4">
        <v>354</v>
      </c>
      <c r="B355" s="8" t="str">
        <f ca="1">IFERROR(__xludf.DUMMYFUNCTION("""COMPUTED_VALUE"""),"20211015ALWIM")</f>
        <v>20211015ALWIM</v>
      </c>
      <c r="C355" s="8" t="str">
        <f ca="1">IFERROR(__xludf.DUMMYFUNCTION("""COMPUTED_VALUE"""),"Wounded")</f>
        <v>Wounded</v>
      </c>
      <c r="D355" s="8" t="str">
        <f ca="1">IFERROR(__xludf.DUMMYFUNCTION("""COMPUTED_VALUE"""),"Male")</f>
        <v>Male</v>
      </c>
      <c r="E355" s="8"/>
      <c r="F355" s="8"/>
    </row>
    <row r="356" spans="1:6" ht="12.75">
      <c r="A356" s="4">
        <v>355</v>
      </c>
      <c r="B356" s="8" t="str">
        <f ca="1">IFERROR(__xludf.DUMMYFUNCTION("""COMPUTED_VALUE"""),"20211015ALWIM")</f>
        <v>20211015ALWIM</v>
      </c>
      <c r="C356" s="8" t="str">
        <f ca="1">IFERROR(__xludf.DUMMYFUNCTION("""COMPUTED_VALUE"""),"Wounded")</f>
        <v>Wounded</v>
      </c>
      <c r="D356" s="8" t="str">
        <f ca="1">IFERROR(__xludf.DUMMYFUNCTION("""COMPUTED_VALUE"""),"Female")</f>
        <v>Female</v>
      </c>
      <c r="E356" s="8"/>
      <c r="F356" s="8"/>
    </row>
    <row r="357" spans="1:6" ht="12.75">
      <c r="A357" s="4">
        <v>356</v>
      </c>
      <c r="B357" s="8" t="str">
        <f ca="1">IFERROR(__xludf.DUMMYFUNCTION("""COMPUTED_VALUE"""),"20211015ALWIM")</f>
        <v>20211015ALWIM</v>
      </c>
      <c r="C357" s="8" t="str">
        <f ca="1">IFERROR(__xludf.DUMMYFUNCTION("""COMPUTED_VALUE"""),"Wounded")</f>
        <v>Wounded</v>
      </c>
      <c r="D357" s="8" t="str">
        <f ca="1">IFERROR(__xludf.DUMMYFUNCTION("""COMPUTED_VALUE"""),"Male")</f>
        <v>Male</v>
      </c>
      <c r="E357" s="8"/>
      <c r="F357" s="8"/>
    </row>
    <row r="358" spans="1:6" ht="12.75">
      <c r="A358" s="4">
        <v>357</v>
      </c>
      <c r="B358" s="8" t="str">
        <f ca="1">IFERROR(__xludf.DUMMYFUNCTION("""COMPUTED_VALUE"""),"20211014MEREP")</f>
        <v>20211014MEREP</v>
      </c>
      <c r="C358" s="8" t="str">
        <f ca="1">IFERROR(__xludf.DUMMYFUNCTION("""COMPUTED_VALUE"""),"Fatal")</f>
        <v>Fatal</v>
      </c>
      <c r="D358" s="8"/>
      <c r="E358" s="8" t="str">
        <f ca="1">IFERROR(__xludf.DUMMYFUNCTION("""COMPUTED_VALUE"""),"No Relation")</f>
        <v>No Relation</v>
      </c>
      <c r="F358" s="8"/>
    </row>
    <row r="359" spans="1:6" ht="12.75">
      <c r="A359" s="4">
        <v>358</v>
      </c>
      <c r="B359" s="8" t="str">
        <f ca="1">IFERROR(__xludf.DUMMYFUNCTION("""COMPUTED_VALUE"""),"20211013PACHD")</f>
        <v>20211013PACHD</v>
      </c>
      <c r="C359" s="8" t="str">
        <f ca="1">IFERROR(__xludf.DUMMYFUNCTION("""COMPUTED_VALUE"""),"Minor Injuries")</f>
        <v>Minor Injuries</v>
      </c>
      <c r="D359" s="8"/>
      <c r="E359" s="8" t="str">
        <f ca="1">IFERROR(__xludf.DUMMYFUNCTION("""COMPUTED_VALUE"""),"Student")</f>
        <v>Student</v>
      </c>
      <c r="F359" s="8" t="str">
        <f ca="1">IFERROR(__xludf.DUMMYFUNCTION("""COMPUTED_VALUE"""),"Child")</f>
        <v>Child</v>
      </c>
    </row>
    <row r="360" spans="1:6" ht="12.75">
      <c r="A360" s="4">
        <v>359</v>
      </c>
      <c r="B360" s="8" t="str">
        <f ca="1">IFERROR(__xludf.DUMMYFUNCTION("""COMPUTED_VALUE"""),"20211013PACHD")</f>
        <v>20211013PACHD</v>
      </c>
      <c r="C360" s="8" t="str">
        <f ca="1">IFERROR(__xludf.DUMMYFUNCTION("""COMPUTED_VALUE"""),"Minor Injuries")</f>
        <v>Minor Injuries</v>
      </c>
      <c r="D360" s="8"/>
      <c r="E360" s="8" t="str">
        <f ca="1">IFERROR(__xludf.DUMMYFUNCTION("""COMPUTED_VALUE"""),"Student")</f>
        <v>Student</v>
      </c>
      <c r="F360" s="8" t="str">
        <f ca="1">IFERROR(__xludf.DUMMYFUNCTION("""COMPUTED_VALUE"""),"Child")</f>
        <v>Child</v>
      </c>
    </row>
    <row r="361" spans="1:6" ht="12.75">
      <c r="A361" s="4">
        <v>360</v>
      </c>
      <c r="B361" s="8" t="str">
        <f ca="1">IFERROR(__xludf.DUMMYFUNCTION("""COMPUTED_VALUE"""),"20211013PACHD")</f>
        <v>20211013PACHD</v>
      </c>
      <c r="C361" s="8" t="str">
        <f ca="1">IFERROR(__xludf.DUMMYFUNCTION("""COMPUTED_VALUE"""),"Minor Injuries")</f>
        <v>Minor Injuries</v>
      </c>
      <c r="D361" s="8"/>
      <c r="E361" s="8" t="str">
        <f ca="1">IFERROR(__xludf.DUMMYFUNCTION("""COMPUTED_VALUE"""),"Student")</f>
        <v>Student</v>
      </c>
      <c r="F361" s="8" t="str">
        <f ca="1">IFERROR(__xludf.DUMMYFUNCTION("""COMPUTED_VALUE"""),"Child")</f>
        <v>Child</v>
      </c>
    </row>
    <row r="362" spans="1:6" ht="12.75">
      <c r="A362" s="4">
        <v>361</v>
      </c>
      <c r="B362" s="8" t="str">
        <f ca="1">IFERROR(__xludf.DUMMYFUNCTION("""COMPUTED_VALUE"""),"20211013PACHD")</f>
        <v>20211013PACHD</v>
      </c>
      <c r="C362" s="8" t="str">
        <f ca="1">IFERROR(__xludf.DUMMYFUNCTION("""COMPUTED_VALUE"""),"Minor Injuries")</f>
        <v>Minor Injuries</v>
      </c>
      <c r="D362" s="8"/>
      <c r="E362" s="8" t="str">
        <f ca="1">IFERROR(__xludf.DUMMYFUNCTION("""COMPUTED_VALUE"""),"Student")</f>
        <v>Student</v>
      </c>
      <c r="F362" s="8" t="str">
        <f ca="1">IFERROR(__xludf.DUMMYFUNCTION("""COMPUTED_VALUE"""),"Child")</f>
        <v>Child</v>
      </c>
    </row>
    <row r="363" spans="1:6" ht="12.75">
      <c r="A363" s="4">
        <v>362</v>
      </c>
      <c r="B363" s="8" t="str">
        <f ca="1">IFERROR(__xludf.DUMMYFUNCTION("""COMPUTED_VALUE"""),"20211012MIELK")</f>
        <v>20211012MIELK</v>
      </c>
      <c r="C363" s="8" t="str">
        <f ca="1">IFERROR(__xludf.DUMMYFUNCTION("""COMPUTED_VALUE"""),"Wounded")</f>
        <v>Wounded</v>
      </c>
      <c r="D363" s="8" t="str">
        <f ca="1">IFERROR(__xludf.DUMMYFUNCTION("""COMPUTED_VALUE"""),"Male")</f>
        <v>Male</v>
      </c>
      <c r="E363" s="8" t="str">
        <f ca="1">IFERROR(__xludf.DUMMYFUNCTION("""COMPUTED_VALUE"""),"No Relation")</f>
        <v>No Relation</v>
      </c>
      <c r="F363" s="8">
        <f ca="1">IFERROR(__xludf.DUMMYFUNCTION("""COMPUTED_VALUE"""),15)</f>
        <v>15</v>
      </c>
    </row>
    <row r="364" spans="1:6" ht="12.75">
      <c r="A364" s="4">
        <v>363</v>
      </c>
      <c r="B364" s="8" t="str">
        <f ca="1">IFERROR(__xludf.DUMMYFUNCTION("""COMPUTED_VALUE"""),"20211012MIELK")</f>
        <v>20211012MIELK</v>
      </c>
      <c r="C364" s="8" t="str">
        <f ca="1">IFERROR(__xludf.DUMMYFUNCTION("""COMPUTED_VALUE"""),"Wounded")</f>
        <v>Wounded</v>
      </c>
      <c r="D364" s="8" t="str">
        <f ca="1">IFERROR(__xludf.DUMMYFUNCTION("""COMPUTED_VALUE"""),"Male")</f>
        <v>Male</v>
      </c>
      <c r="E364" s="8" t="str">
        <f ca="1">IFERROR(__xludf.DUMMYFUNCTION("""COMPUTED_VALUE"""),"No Relation")</f>
        <v>No Relation</v>
      </c>
      <c r="F364" s="8">
        <f ca="1">IFERROR(__xludf.DUMMYFUNCTION("""COMPUTED_VALUE"""),17)</f>
        <v>17</v>
      </c>
    </row>
    <row r="365" spans="1:6" ht="12.75">
      <c r="A365" s="4">
        <v>364</v>
      </c>
      <c r="B365" s="8" t="str">
        <f ca="1">IFERROR(__xludf.DUMMYFUNCTION("""COMPUTED_VALUE"""),"20211012ILWEC")</f>
        <v>20211012ILWEC</v>
      </c>
      <c r="C365" s="8" t="str">
        <f ca="1">IFERROR(__xludf.DUMMYFUNCTION("""COMPUTED_VALUE"""),"Wounded")</f>
        <v>Wounded</v>
      </c>
      <c r="D365" s="8" t="str">
        <f ca="1">IFERROR(__xludf.DUMMYFUNCTION("""COMPUTED_VALUE"""),"Female")</f>
        <v>Female</v>
      </c>
      <c r="E365" s="8" t="str">
        <f ca="1">IFERROR(__xludf.DUMMYFUNCTION("""COMPUTED_VALUE"""),"Student")</f>
        <v>Student</v>
      </c>
      <c r="F365" s="8">
        <f ca="1">IFERROR(__xludf.DUMMYFUNCTION("""COMPUTED_VALUE"""),14)</f>
        <v>14</v>
      </c>
    </row>
    <row r="366" spans="1:6" ht="12.75">
      <c r="A366" s="4">
        <v>365</v>
      </c>
      <c r="B366" s="8" t="str">
        <f ca="1">IFERROR(__xludf.DUMMYFUNCTION("""COMPUTED_VALUE"""),"20211012ILWEC")</f>
        <v>20211012ILWEC</v>
      </c>
      <c r="C366" s="8" t="str">
        <f ca="1">IFERROR(__xludf.DUMMYFUNCTION("""COMPUTED_VALUE"""),"Wounded")</f>
        <v>Wounded</v>
      </c>
      <c r="D366" s="8" t="str">
        <f ca="1">IFERROR(__xludf.DUMMYFUNCTION("""COMPUTED_VALUE"""),"Male")</f>
        <v>Male</v>
      </c>
      <c r="E366" s="8" t="str">
        <f ca="1">IFERROR(__xludf.DUMMYFUNCTION("""COMPUTED_VALUE"""),"Security Guard")</f>
        <v>Security Guard</v>
      </c>
      <c r="F366" s="8">
        <f ca="1">IFERROR(__xludf.DUMMYFUNCTION("""COMPUTED_VALUE"""),46)</f>
        <v>46</v>
      </c>
    </row>
    <row r="367" spans="1:6" ht="12.75">
      <c r="A367" s="4">
        <v>366</v>
      </c>
      <c r="B367" s="8" t="str">
        <f ca="1">IFERROR(__xludf.DUMMYFUNCTION("""COMPUTED_VALUE"""),"20211011ORROP")</f>
        <v>20211011ORROP</v>
      </c>
      <c r="C367" s="8" t="str">
        <f ca="1">IFERROR(__xludf.DUMMYFUNCTION("""COMPUTED_VALUE"""),"Wounded")</f>
        <v>Wounded</v>
      </c>
      <c r="D367" s="8" t="str">
        <f ca="1">IFERROR(__xludf.DUMMYFUNCTION("""COMPUTED_VALUE"""),"Male")</f>
        <v>Male</v>
      </c>
      <c r="E367" s="8" t="str">
        <f ca="1">IFERROR(__xludf.DUMMYFUNCTION("""COMPUTED_VALUE"""),"Student")</f>
        <v>Student</v>
      </c>
      <c r="F367" s="8" t="str">
        <f ca="1">IFERROR(__xludf.DUMMYFUNCTION("""COMPUTED_VALUE"""),"Teen")</f>
        <v>Teen</v>
      </c>
    </row>
    <row r="368" spans="1:6" ht="12.75">
      <c r="A368" s="4">
        <v>367</v>
      </c>
      <c r="B368" s="8" t="str">
        <f ca="1">IFERROR(__xludf.DUMMYFUNCTION("""COMPUTED_VALUE"""),"20211007TXEAW")</f>
        <v>20211007TXEAW</v>
      </c>
      <c r="C368" s="8" t="str">
        <f ca="1">IFERROR(__xludf.DUMMYFUNCTION("""COMPUTED_VALUE"""),"Wounded")</f>
        <v>Wounded</v>
      </c>
      <c r="D368" s="8" t="str">
        <f ca="1">IFERROR(__xludf.DUMMYFUNCTION("""COMPUTED_VALUE"""),"Female")</f>
        <v>Female</v>
      </c>
      <c r="E368" s="8" t="str">
        <f ca="1">IFERROR(__xludf.DUMMYFUNCTION("""COMPUTED_VALUE"""),"Student")</f>
        <v>Student</v>
      </c>
      <c r="F368" s="8" t="str">
        <f ca="1">IFERROR(__xludf.DUMMYFUNCTION("""COMPUTED_VALUE"""),"Teen")</f>
        <v>Teen</v>
      </c>
    </row>
    <row r="369" spans="1:6" ht="12.75">
      <c r="A369" s="4">
        <v>368</v>
      </c>
      <c r="B369" s="8" t="str">
        <f ca="1">IFERROR(__xludf.DUMMYFUNCTION("""COMPUTED_VALUE"""),"20211007DCWAW")</f>
        <v>20211007DCWAW</v>
      </c>
      <c r="C369" s="8" t="str">
        <f ca="1">IFERROR(__xludf.DUMMYFUNCTION("""COMPUTED_VALUE"""),"Fatal")</f>
        <v>Fatal</v>
      </c>
      <c r="D369" s="8" t="str">
        <f ca="1">IFERROR(__xludf.DUMMYFUNCTION("""COMPUTED_VALUE"""),"Male")</f>
        <v>Male</v>
      </c>
      <c r="E369" s="8" t="str">
        <f ca="1">IFERROR(__xludf.DUMMYFUNCTION("""COMPUTED_VALUE"""),"Nonstudent Using Athletic Facilities/Attending Game")</f>
        <v>Nonstudent Using Athletic Facilities/Attending Game</v>
      </c>
      <c r="F369" s="8">
        <f ca="1">IFERROR(__xludf.DUMMYFUNCTION("""COMPUTED_VALUE"""),26)</f>
        <v>26</v>
      </c>
    </row>
    <row r="370" spans="1:6" ht="12.75">
      <c r="A370" s="4">
        <v>369</v>
      </c>
      <c r="B370" s="8" t="str">
        <f ca="1">IFERROR(__xludf.DUMMYFUNCTION("""COMPUTED_VALUE"""),"20211006TXTIA")</f>
        <v>20211006TXTIA</v>
      </c>
      <c r="C370" s="8" t="str">
        <f ca="1">IFERROR(__xludf.DUMMYFUNCTION("""COMPUTED_VALUE"""),"Wounded")</f>
        <v>Wounded</v>
      </c>
      <c r="D370" s="8" t="str">
        <f ca="1">IFERROR(__xludf.DUMMYFUNCTION("""COMPUTED_VALUE"""),"Female")</f>
        <v>Female</v>
      </c>
      <c r="E370" s="8" t="str">
        <f ca="1">IFERROR(__xludf.DUMMYFUNCTION("""COMPUTED_VALUE"""),"Student")</f>
        <v>Student</v>
      </c>
      <c r="F370" s="8" t="str">
        <f ca="1">IFERROR(__xludf.DUMMYFUNCTION("""COMPUTED_VALUE"""),"Teen")</f>
        <v>Teen</v>
      </c>
    </row>
    <row r="371" spans="1:6" ht="12.75">
      <c r="A371" s="4">
        <v>370</v>
      </c>
      <c r="B371" s="8" t="str">
        <f ca="1">IFERROR(__xludf.DUMMYFUNCTION("""COMPUTED_VALUE"""),"20211006TXTIA")</f>
        <v>20211006TXTIA</v>
      </c>
      <c r="C371" s="8" t="str">
        <f ca="1">IFERROR(__xludf.DUMMYFUNCTION("""COMPUTED_VALUE"""),"Wounded")</f>
        <v>Wounded</v>
      </c>
      <c r="D371" s="8" t="str">
        <f ca="1">IFERROR(__xludf.DUMMYFUNCTION("""COMPUTED_VALUE"""),"Male")</f>
        <v>Male</v>
      </c>
      <c r="E371" s="8" t="str">
        <f ca="1">IFERROR(__xludf.DUMMYFUNCTION("""COMPUTED_VALUE"""),"Teacher")</f>
        <v>Teacher</v>
      </c>
      <c r="F371" s="8">
        <f ca="1">IFERROR(__xludf.DUMMYFUNCTION("""COMPUTED_VALUE"""),25)</f>
        <v>25</v>
      </c>
    </row>
    <row r="372" spans="1:6" ht="12.75">
      <c r="A372" s="4">
        <v>371</v>
      </c>
      <c r="B372" s="8" t="str">
        <f ca="1">IFERROR(__xludf.DUMMYFUNCTION("""COMPUTED_VALUE"""),"20211006TXTIA")</f>
        <v>20211006TXTIA</v>
      </c>
      <c r="C372" s="8" t="str">
        <f ca="1">IFERROR(__xludf.DUMMYFUNCTION("""COMPUTED_VALUE"""),"Minor Injuries")</f>
        <v>Minor Injuries</v>
      </c>
      <c r="D372" s="8"/>
      <c r="E372" s="8" t="str">
        <f ca="1">IFERROR(__xludf.DUMMYFUNCTION("""COMPUTED_VALUE"""),"Student")</f>
        <v>Student</v>
      </c>
      <c r="F372" s="8" t="str">
        <f ca="1">IFERROR(__xludf.DUMMYFUNCTION("""COMPUTED_VALUE"""),"Teen")</f>
        <v>Teen</v>
      </c>
    </row>
    <row r="373" spans="1:6" ht="12.75">
      <c r="A373" s="4">
        <v>372</v>
      </c>
      <c r="B373" s="8" t="str">
        <f ca="1">IFERROR(__xludf.DUMMYFUNCTION("""COMPUTED_VALUE"""),"20211006TXTIA")</f>
        <v>20211006TXTIA</v>
      </c>
      <c r="C373" s="8" t="str">
        <f ca="1">IFERROR(__xludf.DUMMYFUNCTION("""COMPUTED_VALUE"""),"Wounded")</f>
        <v>Wounded</v>
      </c>
      <c r="D373" s="8" t="str">
        <f ca="1">IFERROR(__xludf.DUMMYFUNCTION("""COMPUTED_VALUE"""),"Male")</f>
        <v>Male</v>
      </c>
      <c r="E373" s="8" t="str">
        <f ca="1">IFERROR(__xludf.DUMMYFUNCTION("""COMPUTED_VALUE"""),"Student")</f>
        <v>Student</v>
      </c>
      <c r="F373" s="8">
        <f ca="1">IFERROR(__xludf.DUMMYFUNCTION("""COMPUTED_VALUE"""),15)</f>
        <v>15</v>
      </c>
    </row>
    <row r="374" spans="1:6" ht="12.75">
      <c r="A374" s="4">
        <v>373</v>
      </c>
      <c r="B374" s="8" t="str">
        <f ca="1">IFERROR(__xludf.DUMMYFUNCTION("""COMPUTED_VALUE"""),"20211004PASCP")</f>
        <v>20211004PASCP</v>
      </c>
      <c r="C374" s="8" t="str">
        <f ca="1">IFERROR(__xludf.DUMMYFUNCTION("""COMPUTED_VALUE"""),"Wounded")</f>
        <v>Wounded</v>
      </c>
      <c r="D374" s="8"/>
      <c r="E374" s="8" t="str">
        <f ca="1">IFERROR(__xludf.DUMMYFUNCTION("""COMPUTED_VALUE"""),"Police Officer/SRO")</f>
        <v>Police Officer/SRO</v>
      </c>
      <c r="F374" s="8" t="str">
        <f ca="1">IFERROR(__xludf.DUMMYFUNCTION("""COMPUTED_VALUE"""),"Adult")</f>
        <v>Adult</v>
      </c>
    </row>
    <row r="375" spans="1:6" ht="12.75">
      <c r="A375" s="4">
        <v>374</v>
      </c>
      <c r="B375" s="8" t="str">
        <f ca="1">IFERROR(__xludf.DUMMYFUNCTION("""COMPUTED_VALUE"""),"20211004PASCP")</f>
        <v>20211004PASCP</v>
      </c>
      <c r="C375" s="8" t="str">
        <f ca="1">IFERROR(__xludf.DUMMYFUNCTION("""COMPUTED_VALUE"""),"Wounded")</f>
        <v>Wounded</v>
      </c>
      <c r="D375" s="8"/>
      <c r="E375" s="8" t="str">
        <f ca="1">IFERROR(__xludf.DUMMYFUNCTION("""COMPUTED_VALUE"""),"Police Officer/SRO")</f>
        <v>Police Officer/SRO</v>
      </c>
      <c r="F375" s="8" t="str">
        <f ca="1">IFERROR(__xludf.DUMMYFUNCTION("""COMPUTED_VALUE"""),"Adult")</f>
        <v>Adult</v>
      </c>
    </row>
    <row r="376" spans="1:6" ht="12.75">
      <c r="A376" s="4">
        <v>375</v>
      </c>
      <c r="B376" s="8" t="str">
        <f ca="1">IFERROR(__xludf.DUMMYFUNCTION("""COMPUTED_VALUE"""),"20211004OHWOT")</f>
        <v>20211004OHWOT</v>
      </c>
      <c r="C376" s="8" t="str">
        <f ca="1">IFERROR(__xludf.DUMMYFUNCTION("""COMPUTED_VALUE"""),"Wounded")</f>
        <v>Wounded</v>
      </c>
      <c r="D376" s="8" t="str">
        <f ca="1">IFERROR(__xludf.DUMMYFUNCTION("""COMPUTED_VALUE"""),"Male")</f>
        <v>Male</v>
      </c>
      <c r="E376" s="8" t="str">
        <f ca="1">IFERROR(__xludf.DUMMYFUNCTION("""COMPUTED_VALUE"""),"Student")</f>
        <v>Student</v>
      </c>
      <c r="F376" s="8">
        <f ca="1">IFERROR(__xludf.DUMMYFUNCTION("""COMPUTED_VALUE"""),17)</f>
        <v>17</v>
      </c>
    </row>
    <row r="377" spans="1:6" ht="12.75">
      <c r="A377" s="4">
        <v>376</v>
      </c>
      <c r="B377" s="8" t="str">
        <f ca="1">IFERROR(__xludf.DUMMYFUNCTION("""COMPUTED_VALUE"""),"20211001TXYEH")</f>
        <v>20211001TXYEH</v>
      </c>
      <c r="C377" s="8" t="str">
        <f ca="1">IFERROR(__xludf.DUMMYFUNCTION("""COMPUTED_VALUE"""),"Wounded")</f>
        <v>Wounded</v>
      </c>
      <c r="D377" s="8" t="str">
        <f ca="1">IFERROR(__xludf.DUMMYFUNCTION("""COMPUTED_VALUE"""),"Male")</f>
        <v>Male</v>
      </c>
      <c r="E377" s="8" t="str">
        <f ca="1">IFERROR(__xludf.DUMMYFUNCTION("""COMPUTED_VALUE"""),"Principal/Vice-Principal")</f>
        <v>Principal/Vice-Principal</v>
      </c>
      <c r="F377" s="8" t="str">
        <f ca="1">IFERROR(__xludf.DUMMYFUNCTION("""COMPUTED_VALUE"""),"Adult")</f>
        <v>Adult</v>
      </c>
    </row>
    <row r="378" spans="1:6" ht="12.75">
      <c r="A378" s="4">
        <v>377</v>
      </c>
      <c r="B378" s="8" t="str">
        <f ca="1">IFERROR(__xludf.DUMMYFUNCTION("""COMPUTED_VALUE"""),"20211001NCSEF")</f>
        <v>20211001NCSEF</v>
      </c>
      <c r="C378" s="8" t="str">
        <f ca="1">IFERROR(__xludf.DUMMYFUNCTION("""COMPUTED_VALUE"""),"Wounded")</f>
        <v>Wounded</v>
      </c>
      <c r="D378" s="8" t="str">
        <f ca="1">IFERROR(__xludf.DUMMYFUNCTION("""COMPUTED_VALUE"""),"Male")</f>
        <v>Male</v>
      </c>
      <c r="E378" s="8" t="str">
        <f ca="1">IFERROR(__xludf.DUMMYFUNCTION("""COMPUTED_VALUE"""),"Nonstudent Using Athletic Facilities/Attending Game")</f>
        <v>Nonstudent Using Athletic Facilities/Attending Game</v>
      </c>
      <c r="F378" s="8">
        <f ca="1">IFERROR(__xludf.DUMMYFUNCTION("""COMPUTED_VALUE"""),18)</f>
        <v>18</v>
      </c>
    </row>
    <row r="379" spans="1:6" ht="12.75">
      <c r="A379" s="4">
        <v>378</v>
      </c>
      <c r="B379" s="8" t="str">
        <f ca="1">IFERROR(__xludf.DUMMYFUNCTION("""COMPUTED_VALUE"""),"20211001NCSEF")</f>
        <v>20211001NCSEF</v>
      </c>
      <c r="C379" s="8" t="str">
        <f ca="1">IFERROR(__xludf.DUMMYFUNCTION("""COMPUTED_VALUE"""),"Wounded")</f>
        <v>Wounded</v>
      </c>
      <c r="D379" s="8" t="str">
        <f ca="1">IFERROR(__xludf.DUMMYFUNCTION("""COMPUTED_VALUE"""),"Male")</f>
        <v>Male</v>
      </c>
      <c r="E379" s="8" t="str">
        <f ca="1">IFERROR(__xludf.DUMMYFUNCTION("""COMPUTED_VALUE"""),"Nonstudent Using Athletic Facilities/Attending Game")</f>
        <v>Nonstudent Using Athletic Facilities/Attending Game</v>
      </c>
      <c r="F379" s="8">
        <f ca="1">IFERROR(__xludf.DUMMYFUNCTION("""COMPUTED_VALUE"""),19)</f>
        <v>19</v>
      </c>
    </row>
    <row r="380" spans="1:6" ht="12.75">
      <c r="A380" s="4">
        <v>379</v>
      </c>
      <c r="B380" s="8" t="str">
        <f ca="1">IFERROR(__xludf.DUMMYFUNCTION("""COMPUTED_VALUE"""),"20211001NCNOD")</f>
        <v>20211001NCNOD</v>
      </c>
      <c r="C380" s="8" t="str">
        <f ca="1">IFERROR(__xludf.DUMMYFUNCTION("""COMPUTED_VALUE"""),"Wounded")</f>
        <v>Wounded</v>
      </c>
      <c r="D380" s="8" t="str">
        <f ca="1">IFERROR(__xludf.DUMMYFUNCTION("""COMPUTED_VALUE"""),"Male")</f>
        <v>Male</v>
      </c>
      <c r="E380" s="8" t="str">
        <f ca="1">IFERROR(__xludf.DUMMYFUNCTION("""COMPUTED_VALUE"""),"Student")</f>
        <v>Student</v>
      </c>
      <c r="F380" s="8">
        <f ca="1">IFERROR(__xludf.DUMMYFUNCTION("""COMPUTED_VALUE"""),17)</f>
        <v>17</v>
      </c>
    </row>
    <row r="381" spans="1:6" ht="12.75">
      <c r="A381" s="4">
        <v>380</v>
      </c>
      <c r="B381" s="8" t="str">
        <f ca="1">IFERROR(__xludf.DUMMYFUNCTION("""COMPUTED_VALUE"""),"20211001INBEI")</f>
        <v>20211001INBEI</v>
      </c>
      <c r="C381" s="8" t="str">
        <f ca="1">IFERROR(__xludf.DUMMYFUNCTION("""COMPUTED_VALUE"""),"Wounded")</f>
        <v>Wounded</v>
      </c>
      <c r="D381" s="8" t="str">
        <f ca="1">IFERROR(__xludf.DUMMYFUNCTION("""COMPUTED_VALUE"""),"Male")</f>
        <v>Male</v>
      </c>
      <c r="E381" s="8" t="str">
        <f ca="1">IFERROR(__xludf.DUMMYFUNCTION("""COMPUTED_VALUE"""),"Nonstudent Using Athletic Facilities/Attending Game")</f>
        <v>Nonstudent Using Athletic Facilities/Attending Game</v>
      </c>
      <c r="F381" s="8">
        <f ca="1">IFERROR(__xludf.DUMMYFUNCTION("""COMPUTED_VALUE"""),16)</f>
        <v>16</v>
      </c>
    </row>
    <row r="382" spans="1:6" ht="12.75">
      <c r="A382" s="4">
        <v>381</v>
      </c>
      <c r="B382" s="8" t="str">
        <f ca="1">IFERROR(__xludf.DUMMYFUNCTION("""COMPUTED_VALUE"""),"20210930TNCUM")</f>
        <v>20210930TNCUM</v>
      </c>
      <c r="C382" s="8" t="str">
        <f ca="1">IFERROR(__xludf.DUMMYFUNCTION("""COMPUTED_VALUE"""),"Wounded")</f>
        <v>Wounded</v>
      </c>
      <c r="D382" s="8" t="str">
        <f ca="1">IFERROR(__xludf.DUMMYFUNCTION("""COMPUTED_VALUE"""),"Male")</f>
        <v>Male</v>
      </c>
      <c r="E382" s="8" t="str">
        <f ca="1">IFERROR(__xludf.DUMMYFUNCTION("""COMPUTED_VALUE"""),"Student")</f>
        <v>Student</v>
      </c>
      <c r="F382" s="8">
        <f ca="1">IFERROR(__xludf.DUMMYFUNCTION("""COMPUTED_VALUE"""),13)</f>
        <v>13</v>
      </c>
    </row>
    <row r="383" spans="1:6" ht="12.75">
      <c r="A383" s="4">
        <v>382</v>
      </c>
      <c r="B383" s="8" t="str">
        <f ca="1">IFERROR(__xludf.DUMMYFUNCTION("""COMPUTED_VALUE"""),"20210930MSNEN")</f>
        <v>20210930MSNEN</v>
      </c>
      <c r="C383" s="8" t="str">
        <f ca="1">IFERROR(__xludf.DUMMYFUNCTION("""COMPUTED_VALUE"""),"Wounded")</f>
        <v>Wounded</v>
      </c>
      <c r="D383" s="8" t="str">
        <f ca="1">IFERROR(__xludf.DUMMYFUNCTION("""COMPUTED_VALUE"""),"Male")</f>
        <v>Male</v>
      </c>
      <c r="E383" s="8" t="str">
        <f ca="1">IFERROR(__xludf.DUMMYFUNCTION("""COMPUTED_VALUE"""),"Student")</f>
        <v>Student</v>
      </c>
      <c r="F383" s="8">
        <f ca="1">IFERROR(__xludf.DUMMYFUNCTION("""COMPUTED_VALUE"""),6)</f>
        <v>6</v>
      </c>
    </row>
    <row r="384" spans="1:6" ht="12.75">
      <c r="A384" s="4">
        <v>383</v>
      </c>
      <c r="B384" s="8" t="str">
        <f ca="1">IFERROR(__xludf.DUMMYFUNCTION("""COMPUTED_VALUE"""),"20210928MESOS")</f>
        <v>20210928MESOS</v>
      </c>
      <c r="C384" s="8" t="str">
        <f ca="1">IFERROR(__xludf.DUMMYFUNCTION("""COMPUTED_VALUE"""),"Wounded")</f>
        <v>Wounded</v>
      </c>
      <c r="D384" s="8" t="str">
        <f ca="1">IFERROR(__xludf.DUMMYFUNCTION("""COMPUTED_VALUE"""),"Male")</f>
        <v>Male</v>
      </c>
      <c r="E384" s="8" t="str">
        <f ca="1">IFERROR(__xludf.DUMMYFUNCTION("""COMPUTED_VALUE"""),"Student")</f>
        <v>Student</v>
      </c>
      <c r="F384" s="8" t="str">
        <f ca="1">IFERROR(__xludf.DUMMYFUNCTION("""COMPUTED_VALUE"""),"Teen")</f>
        <v>Teen</v>
      </c>
    </row>
    <row r="385" spans="1:6" ht="12.75">
      <c r="A385" s="4">
        <v>384</v>
      </c>
      <c r="B385" s="8" t="str">
        <f ca="1">IFERROR(__xludf.DUMMYFUNCTION("""COMPUTED_VALUE"""),"20210927ILCAC")</f>
        <v>20210927ILCAC</v>
      </c>
      <c r="C385" s="8" t="str">
        <f ca="1">IFERROR(__xludf.DUMMYFUNCTION("""COMPUTED_VALUE"""),"Minor Injuries")</f>
        <v>Minor Injuries</v>
      </c>
      <c r="D385" s="8"/>
      <c r="E385" s="8" t="str">
        <f ca="1">IFERROR(__xludf.DUMMYFUNCTION("""COMPUTED_VALUE"""),"Student")</f>
        <v>Student</v>
      </c>
      <c r="F385" s="8" t="str">
        <f ca="1">IFERROR(__xludf.DUMMYFUNCTION("""COMPUTED_VALUE"""),"Child")</f>
        <v>Child</v>
      </c>
    </row>
    <row r="386" spans="1:6" ht="12.75">
      <c r="A386" s="4">
        <v>385</v>
      </c>
      <c r="B386" s="8" t="str">
        <f ca="1">IFERROR(__xludf.DUMMYFUNCTION("""COMPUTED_VALUE"""),"20210927ILCAC")</f>
        <v>20210927ILCAC</v>
      </c>
      <c r="C386" s="8" t="str">
        <f ca="1">IFERROR(__xludf.DUMMYFUNCTION("""COMPUTED_VALUE"""),"Minor Injuries")</f>
        <v>Minor Injuries</v>
      </c>
      <c r="D386" s="8"/>
      <c r="E386" s="8" t="str">
        <f ca="1">IFERROR(__xludf.DUMMYFUNCTION("""COMPUTED_VALUE"""),"Student")</f>
        <v>Student</v>
      </c>
      <c r="F386" s="8" t="str">
        <f ca="1">IFERROR(__xludf.DUMMYFUNCTION("""COMPUTED_VALUE"""),"Child")</f>
        <v>Child</v>
      </c>
    </row>
    <row r="387" spans="1:6" ht="12.75">
      <c r="A387" s="4">
        <v>386</v>
      </c>
      <c r="B387" s="8" t="str">
        <f ca="1">IFERROR(__xludf.DUMMYFUNCTION("""COMPUTED_VALUE"""),"20210927ILCAC")</f>
        <v>20210927ILCAC</v>
      </c>
      <c r="C387" s="8" t="str">
        <f ca="1">IFERROR(__xludf.DUMMYFUNCTION("""COMPUTED_VALUE"""),"Minor Injuries")</f>
        <v>Minor Injuries</v>
      </c>
      <c r="D387" s="8"/>
      <c r="E387" s="8" t="str">
        <f ca="1">IFERROR(__xludf.DUMMYFUNCTION("""COMPUTED_VALUE"""),"Student")</f>
        <v>Student</v>
      </c>
      <c r="F387" s="8" t="str">
        <f ca="1">IFERROR(__xludf.DUMMYFUNCTION("""COMPUTED_VALUE"""),"Child")</f>
        <v>Child</v>
      </c>
    </row>
    <row r="388" spans="1:6" ht="12.75">
      <c r="A388" s="4">
        <v>387</v>
      </c>
      <c r="B388" s="8" t="str">
        <f ca="1">IFERROR(__xludf.DUMMYFUNCTION("""COMPUTED_VALUE"""),"20210924MDWIB")</f>
        <v>20210924MDWIB</v>
      </c>
      <c r="C388" s="8" t="str">
        <f ca="1">IFERROR(__xludf.DUMMYFUNCTION("""COMPUTED_VALUE"""),"Wounded")</f>
        <v>Wounded</v>
      </c>
      <c r="D388" s="8" t="str">
        <f ca="1">IFERROR(__xludf.DUMMYFUNCTION("""COMPUTED_VALUE"""),"Male")</f>
        <v>Male</v>
      </c>
      <c r="E388" s="8" t="str">
        <f ca="1">IFERROR(__xludf.DUMMYFUNCTION("""COMPUTED_VALUE"""),"No Relation")</f>
        <v>No Relation</v>
      </c>
      <c r="F388" s="8">
        <f ca="1">IFERROR(__xludf.DUMMYFUNCTION("""COMPUTED_VALUE"""),18)</f>
        <v>18</v>
      </c>
    </row>
    <row r="389" spans="1:6" ht="12.75">
      <c r="A389" s="4">
        <v>388</v>
      </c>
      <c r="B389" s="8" t="str">
        <f ca="1">IFERROR(__xludf.DUMMYFUNCTION("""COMPUTED_VALUE"""),"20210924ALFAF")</f>
        <v>20210924ALFAF</v>
      </c>
      <c r="C389" s="8" t="str">
        <f ca="1">IFERROR(__xludf.DUMMYFUNCTION("""COMPUTED_VALUE"""),"Wounded")</f>
        <v>Wounded</v>
      </c>
      <c r="D389" s="8" t="str">
        <f ca="1">IFERROR(__xludf.DUMMYFUNCTION("""COMPUTED_VALUE"""),"Male")</f>
        <v>Male</v>
      </c>
      <c r="E389" s="8" t="str">
        <f ca="1">IFERROR(__xludf.DUMMYFUNCTION("""COMPUTED_VALUE"""),"Nonstudent Using Athletic Facilities/Attending Game")</f>
        <v>Nonstudent Using Athletic Facilities/Attending Game</v>
      </c>
      <c r="F389" s="8" t="str">
        <f ca="1">IFERROR(__xludf.DUMMYFUNCTION("""COMPUTED_VALUE"""),"Adult")</f>
        <v>Adult</v>
      </c>
    </row>
    <row r="390" spans="1:6" ht="12.75">
      <c r="A390" s="4">
        <v>389</v>
      </c>
      <c r="B390" s="8" t="str">
        <f ca="1">IFERROR(__xludf.DUMMYFUNCTION("""COMPUTED_VALUE"""),"20210922NYSOB")</f>
        <v>20210922NYSOB</v>
      </c>
      <c r="C390" s="8" t="str">
        <f ca="1">IFERROR(__xludf.DUMMYFUNCTION("""COMPUTED_VALUE"""),"Wounded")</f>
        <v>Wounded</v>
      </c>
      <c r="D390" s="8" t="str">
        <f ca="1">IFERROR(__xludf.DUMMYFUNCTION("""COMPUTED_VALUE"""),"Male")</f>
        <v>Male</v>
      </c>
      <c r="E390" s="8" t="str">
        <f ca="1">IFERROR(__xludf.DUMMYFUNCTION("""COMPUTED_VALUE"""),"Student")</f>
        <v>Student</v>
      </c>
      <c r="F390" s="8">
        <f ca="1">IFERROR(__xludf.DUMMYFUNCTION("""COMPUTED_VALUE"""),17)</f>
        <v>17</v>
      </c>
    </row>
    <row r="391" spans="1:6" ht="12.75">
      <c r="A391" s="4">
        <v>390</v>
      </c>
      <c r="B391" s="8" t="str">
        <f ca="1">IFERROR(__xludf.DUMMYFUNCTION("""COMPUTED_VALUE"""),"20210921PAVAP")</f>
        <v>20210921PAVAP</v>
      </c>
      <c r="C391" s="8" t="str">
        <f ca="1">IFERROR(__xludf.DUMMYFUNCTION("""COMPUTED_VALUE"""),"Wounded")</f>
        <v>Wounded</v>
      </c>
      <c r="D391" s="8" t="str">
        <f ca="1">IFERROR(__xludf.DUMMYFUNCTION("""COMPUTED_VALUE"""),"Male")</f>
        <v>Male</v>
      </c>
      <c r="E391" s="8" t="str">
        <f ca="1">IFERROR(__xludf.DUMMYFUNCTION("""COMPUTED_VALUE"""),"Student")</f>
        <v>Student</v>
      </c>
      <c r="F391" s="8">
        <f ca="1">IFERROR(__xludf.DUMMYFUNCTION("""COMPUTED_VALUE"""),15)</f>
        <v>15</v>
      </c>
    </row>
    <row r="392" spans="1:6" ht="12.75">
      <c r="A392" s="4">
        <v>391</v>
      </c>
      <c r="B392" s="8" t="str">
        <f ca="1">IFERROR(__xludf.DUMMYFUNCTION("""COMPUTED_VALUE"""),"20210921KSEAW")</f>
        <v>20210921KSEAW</v>
      </c>
      <c r="C392" s="8" t="str">
        <f ca="1">IFERROR(__xludf.DUMMYFUNCTION("""COMPUTED_VALUE"""),"Wounded")</f>
        <v>Wounded</v>
      </c>
      <c r="D392" s="8" t="str">
        <f ca="1">IFERROR(__xludf.DUMMYFUNCTION("""COMPUTED_VALUE"""),"Male")</f>
        <v>Male</v>
      </c>
      <c r="E392" s="8" t="str">
        <f ca="1">IFERROR(__xludf.DUMMYFUNCTION("""COMPUTED_VALUE"""),"Student")</f>
        <v>Student</v>
      </c>
      <c r="F392" s="8">
        <f ca="1">IFERROR(__xludf.DUMMYFUNCTION("""COMPUTED_VALUE"""),15)</f>
        <v>15</v>
      </c>
    </row>
    <row r="393" spans="1:6" ht="12.75">
      <c r="A393" s="4">
        <v>392</v>
      </c>
      <c r="B393" s="8" t="str">
        <f ca="1">IFERROR(__xludf.DUMMYFUNCTION("""COMPUTED_VALUE"""),"20210921KSEAW")</f>
        <v>20210921KSEAW</v>
      </c>
      <c r="C393" s="8" t="str">
        <f ca="1">IFERROR(__xludf.DUMMYFUNCTION("""COMPUTED_VALUE"""),"Wounded")</f>
        <v>Wounded</v>
      </c>
      <c r="D393" s="8" t="str">
        <f ca="1">IFERROR(__xludf.DUMMYFUNCTION("""COMPUTED_VALUE"""),"Male")</f>
        <v>Male</v>
      </c>
      <c r="E393" s="8" t="str">
        <f ca="1">IFERROR(__xludf.DUMMYFUNCTION("""COMPUTED_VALUE"""),"Student")</f>
        <v>Student</v>
      </c>
      <c r="F393" s="8">
        <f ca="1">IFERROR(__xludf.DUMMYFUNCTION("""COMPUTED_VALUE"""),17)</f>
        <v>17</v>
      </c>
    </row>
    <row r="394" spans="1:6" ht="12.75">
      <c r="A394" s="4">
        <v>393</v>
      </c>
      <c r="B394" s="8" t="str">
        <f ca="1">IFERROR(__xludf.DUMMYFUNCTION("""COMPUTED_VALUE"""),"20210921KSEAW")</f>
        <v>20210921KSEAW</v>
      </c>
      <c r="C394" s="8" t="str">
        <f ca="1">IFERROR(__xludf.DUMMYFUNCTION("""COMPUTED_VALUE"""),"Wounded")</f>
        <v>Wounded</v>
      </c>
      <c r="D394" s="8" t="str">
        <f ca="1">IFERROR(__xludf.DUMMYFUNCTION("""COMPUTED_VALUE"""),"Male")</f>
        <v>Male</v>
      </c>
      <c r="E394" s="8" t="str">
        <f ca="1">IFERROR(__xludf.DUMMYFUNCTION("""COMPUTED_VALUE"""),"Student")</f>
        <v>Student</v>
      </c>
      <c r="F394" s="8">
        <f ca="1">IFERROR(__xludf.DUMMYFUNCTION("""COMPUTED_VALUE"""),15)</f>
        <v>15</v>
      </c>
    </row>
    <row r="395" spans="1:6" ht="12.75">
      <c r="A395" s="4">
        <v>394</v>
      </c>
      <c r="B395" s="8" t="str">
        <f ca="1">IFERROR(__xludf.DUMMYFUNCTION("""COMPUTED_VALUE"""),"20210920VAHEN")</f>
        <v>20210920VAHEN</v>
      </c>
      <c r="C395" s="8" t="str">
        <f ca="1">IFERROR(__xludf.DUMMYFUNCTION("""COMPUTED_VALUE"""),"Wounded")</f>
        <v>Wounded</v>
      </c>
      <c r="D395" s="8" t="str">
        <f ca="1">IFERROR(__xludf.DUMMYFUNCTION("""COMPUTED_VALUE"""),"Male")</f>
        <v>Male</v>
      </c>
      <c r="E395" s="8" t="str">
        <f ca="1">IFERROR(__xludf.DUMMYFUNCTION("""COMPUTED_VALUE"""),"Student")</f>
        <v>Student</v>
      </c>
      <c r="F395" s="8">
        <f ca="1">IFERROR(__xludf.DUMMYFUNCTION("""COMPUTED_VALUE"""),17)</f>
        <v>17</v>
      </c>
    </row>
    <row r="396" spans="1:6" ht="12.75">
      <c r="A396" s="4">
        <v>395</v>
      </c>
      <c r="B396" s="8" t="str">
        <f ca="1">IFERROR(__xludf.DUMMYFUNCTION("""COMPUTED_VALUE"""),"20210920VAHEN")</f>
        <v>20210920VAHEN</v>
      </c>
      <c r="C396" s="8" t="str">
        <f ca="1">IFERROR(__xludf.DUMMYFUNCTION("""COMPUTED_VALUE"""),"Wounded")</f>
        <v>Wounded</v>
      </c>
      <c r="D396" s="8" t="str">
        <f ca="1">IFERROR(__xludf.DUMMYFUNCTION("""COMPUTED_VALUE"""),"Female")</f>
        <v>Female</v>
      </c>
      <c r="E396" s="8" t="str">
        <f ca="1">IFERROR(__xludf.DUMMYFUNCTION("""COMPUTED_VALUE"""),"Student")</f>
        <v>Student</v>
      </c>
      <c r="F396" s="8">
        <f ca="1">IFERROR(__xludf.DUMMYFUNCTION("""COMPUTED_VALUE"""),17)</f>
        <v>17</v>
      </c>
    </row>
    <row r="397" spans="1:6" ht="12.75">
      <c r="A397" s="4">
        <v>396</v>
      </c>
      <c r="B397" s="8" t="str">
        <f ca="1">IFERROR(__xludf.DUMMYFUNCTION("""COMPUTED_VALUE"""),"20210920OHEAC")</f>
        <v>20210920OHEAC</v>
      </c>
      <c r="C397" s="8" t="str">
        <f ca="1">IFERROR(__xludf.DUMMYFUNCTION("""COMPUTED_VALUE"""),"Wounded")</f>
        <v>Wounded</v>
      </c>
      <c r="D397" s="8" t="str">
        <f ca="1">IFERROR(__xludf.DUMMYFUNCTION("""COMPUTED_VALUE"""),"Male")</f>
        <v>Male</v>
      </c>
      <c r="E397" s="8" t="str">
        <f ca="1">IFERROR(__xludf.DUMMYFUNCTION("""COMPUTED_VALUE"""),"No Relation")</f>
        <v>No Relation</v>
      </c>
      <c r="F397" s="8">
        <f ca="1">IFERROR(__xludf.DUMMYFUNCTION("""COMPUTED_VALUE"""),14)</f>
        <v>14</v>
      </c>
    </row>
    <row r="398" spans="1:6" ht="12.75">
      <c r="A398" s="4">
        <v>397</v>
      </c>
      <c r="B398" s="8" t="str">
        <f ca="1">IFERROR(__xludf.DUMMYFUNCTION("""COMPUTED_VALUE"""),"20210920OHEAC")</f>
        <v>20210920OHEAC</v>
      </c>
      <c r="C398" s="8" t="str">
        <f ca="1">IFERROR(__xludf.DUMMYFUNCTION("""COMPUTED_VALUE"""),"Wounded")</f>
        <v>Wounded</v>
      </c>
      <c r="D398" s="8" t="str">
        <f ca="1">IFERROR(__xludf.DUMMYFUNCTION("""COMPUTED_VALUE"""),"Male")</f>
        <v>Male</v>
      </c>
      <c r="E398" s="8" t="str">
        <f ca="1">IFERROR(__xludf.DUMMYFUNCTION("""COMPUTED_VALUE"""),"No Relation")</f>
        <v>No Relation</v>
      </c>
      <c r="F398" s="8">
        <f ca="1">IFERROR(__xludf.DUMMYFUNCTION("""COMPUTED_VALUE"""),15)</f>
        <v>15</v>
      </c>
    </row>
    <row r="399" spans="1:6" ht="12.75">
      <c r="A399" s="4">
        <v>398</v>
      </c>
      <c r="B399" s="8" t="str">
        <f ca="1">IFERROR(__xludf.DUMMYFUNCTION("""COMPUTED_VALUE"""),"20210920OHEAC")</f>
        <v>20210920OHEAC</v>
      </c>
      <c r="C399" s="8" t="str">
        <f ca="1">IFERROR(__xludf.DUMMYFUNCTION("""COMPUTED_VALUE"""),"Wounded")</f>
        <v>Wounded</v>
      </c>
      <c r="D399" s="8" t="str">
        <f ca="1">IFERROR(__xludf.DUMMYFUNCTION("""COMPUTED_VALUE"""),"Male")</f>
        <v>Male</v>
      </c>
      <c r="E399" s="8" t="str">
        <f ca="1">IFERROR(__xludf.DUMMYFUNCTION("""COMPUTED_VALUE"""),"No Relation")</f>
        <v>No Relation</v>
      </c>
      <c r="F399" s="8">
        <f ca="1">IFERROR(__xludf.DUMMYFUNCTION("""COMPUTED_VALUE"""),19)</f>
        <v>19</v>
      </c>
    </row>
    <row r="400" spans="1:6" ht="12.75">
      <c r="A400" s="4">
        <v>399</v>
      </c>
      <c r="B400" s="8" t="str">
        <f ca="1">IFERROR(__xludf.DUMMYFUNCTION("""COMPUTED_VALUE"""),"20210918COWIC")</f>
        <v>20210918COWIC</v>
      </c>
      <c r="C400" s="8" t="str">
        <f ca="1">IFERROR(__xludf.DUMMYFUNCTION("""COMPUTED_VALUE"""),"Wounded")</f>
        <v>Wounded</v>
      </c>
      <c r="D400" s="8"/>
      <c r="E400" s="8" t="str">
        <f ca="1">IFERROR(__xludf.DUMMYFUNCTION("""COMPUTED_VALUE"""),"Student")</f>
        <v>Student</v>
      </c>
      <c r="F400" s="8" t="str">
        <f ca="1">IFERROR(__xludf.DUMMYFUNCTION("""COMPUTED_VALUE"""),"Teen")</f>
        <v>Teen</v>
      </c>
    </row>
    <row r="401" spans="1:6" ht="12.75">
      <c r="A401" s="4">
        <v>400</v>
      </c>
      <c r="B401" s="8" t="str">
        <f ca="1">IFERROR(__xludf.DUMMYFUNCTION("""COMPUTED_VALUE"""),"20210918COWIC")</f>
        <v>20210918COWIC</v>
      </c>
      <c r="C401" s="8" t="str">
        <f ca="1">IFERROR(__xludf.DUMMYFUNCTION("""COMPUTED_VALUE"""),"Wounded")</f>
        <v>Wounded</v>
      </c>
      <c r="D401" s="8"/>
      <c r="E401" s="8" t="str">
        <f ca="1">IFERROR(__xludf.DUMMYFUNCTION("""COMPUTED_VALUE"""),"Student")</f>
        <v>Student</v>
      </c>
      <c r="F401" s="8" t="str">
        <f ca="1">IFERROR(__xludf.DUMMYFUNCTION("""COMPUTED_VALUE"""),"Teen")</f>
        <v>Teen</v>
      </c>
    </row>
    <row r="402" spans="1:6" ht="12.75">
      <c r="A402" s="4">
        <v>401</v>
      </c>
      <c r="B402" s="8" t="str">
        <f ca="1">IFERROR(__xludf.DUMMYFUNCTION("""COMPUTED_VALUE"""),"20210918COWIC")</f>
        <v>20210918COWIC</v>
      </c>
      <c r="C402" s="8" t="str">
        <f ca="1">IFERROR(__xludf.DUMMYFUNCTION("""COMPUTED_VALUE"""),"Wounded")</f>
        <v>Wounded</v>
      </c>
      <c r="D402" s="8"/>
      <c r="E402" s="8" t="str">
        <f ca="1">IFERROR(__xludf.DUMMYFUNCTION("""COMPUTED_VALUE"""),"Nonstudent Using Athletic Facilities/Attending Game")</f>
        <v>Nonstudent Using Athletic Facilities/Attending Game</v>
      </c>
      <c r="F402" s="8" t="str">
        <f ca="1">IFERROR(__xludf.DUMMYFUNCTION("""COMPUTED_VALUE"""),"Adult")</f>
        <v>Adult</v>
      </c>
    </row>
    <row r="403" spans="1:6" ht="12.75">
      <c r="A403" s="4">
        <v>402</v>
      </c>
      <c r="B403" s="8" t="str">
        <f ca="1">IFERROR(__xludf.DUMMYFUNCTION("""COMPUTED_VALUE"""),"20210917VAHEH")</f>
        <v>20210917VAHEH</v>
      </c>
      <c r="C403" s="8" t="str">
        <f ca="1">IFERROR(__xludf.DUMMYFUNCTION("""COMPUTED_VALUE"""),"Minor Injuries")</f>
        <v>Minor Injuries</v>
      </c>
      <c r="D403" s="8" t="str">
        <f ca="1">IFERROR(__xludf.DUMMYFUNCTION("""COMPUTED_VALUE"""),"Male")</f>
        <v>Male</v>
      </c>
      <c r="E403" s="8" t="str">
        <f ca="1">IFERROR(__xludf.DUMMYFUNCTION("""COMPUTED_VALUE"""),"Student")</f>
        <v>Student</v>
      </c>
      <c r="F403" s="8" t="str">
        <f ca="1">IFERROR(__xludf.DUMMYFUNCTION("""COMPUTED_VALUE"""),"Teen")</f>
        <v>Teen</v>
      </c>
    </row>
    <row r="404" spans="1:6" ht="12.75">
      <c r="A404" s="4">
        <v>403</v>
      </c>
      <c r="B404" s="8" t="str">
        <f ca="1">IFERROR(__xludf.DUMMYFUNCTION("""COMPUTED_VALUE"""),"20210917TNAUK")</f>
        <v>20210917TNAUK</v>
      </c>
      <c r="C404" s="8" t="str">
        <f ca="1">IFERROR(__xludf.DUMMYFUNCTION("""COMPUTED_VALUE"""),"Wounded")</f>
        <v>Wounded</v>
      </c>
      <c r="D404" s="8" t="str">
        <f ca="1">IFERROR(__xludf.DUMMYFUNCTION("""COMPUTED_VALUE"""),"Male")</f>
        <v>Male</v>
      </c>
      <c r="E404" s="8"/>
      <c r="F404" s="8" t="str">
        <f ca="1">IFERROR(__xludf.DUMMYFUNCTION("""COMPUTED_VALUE"""),"Teen")</f>
        <v>Teen</v>
      </c>
    </row>
    <row r="405" spans="1:6" ht="12.75">
      <c r="A405" s="4">
        <v>404</v>
      </c>
      <c r="B405" s="8" t="str">
        <f ca="1">IFERROR(__xludf.DUMMYFUNCTION("""COMPUTED_VALUE"""),"20210917PAWEP")</f>
        <v>20210917PAWEP</v>
      </c>
      <c r="C405" s="8" t="str">
        <f ca="1">IFERROR(__xludf.DUMMYFUNCTION("""COMPUTED_VALUE"""),"Wounded")</f>
        <v>Wounded</v>
      </c>
      <c r="D405" s="8"/>
      <c r="E405" s="8" t="str">
        <f ca="1">IFERROR(__xludf.DUMMYFUNCTION("""COMPUTED_VALUE"""),"Student")</f>
        <v>Student</v>
      </c>
      <c r="F405" s="8">
        <f ca="1">IFERROR(__xludf.DUMMYFUNCTION("""COMPUTED_VALUE"""),16)</f>
        <v>16</v>
      </c>
    </row>
    <row r="406" spans="1:6" ht="12.75">
      <c r="A406" s="4">
        <v>405</v>
      </c>
      <c r="B406" s="8" t="str">
        <f ca="1">IFERROR(__xludf.DUMMYFUNCTION("""COMPUTED_VALUE"""),"20210917PAWEP")</f>
        <v>20210917PAWEP</v>
      </c>
      <c r="C406" s="8" t="str">
        <f ca="1">IFERROR(__xludf.DUMMYFUNCTION("""COMPUTED_VALUE"""),"Wounded")</f>
        <v>Wounded</v>
      </c>
      <c r="D406" s="8"/>
      <c r="E406" s="8" t="str">
        <f ca="1">IFERROR(__xludf.DUMMYFUNCTION("""COMPUTED_VALUE"""),"Student")</f>
        <v>Student</v>
      </c>
      <c r="F406" s="8">
        <f ca="1">IFERROR(__xludf.DUMMYFUNCTION("""COMPUTED_VALUE"""),14)</f>
        <v>14</v>
      </c>
    </row>
    <row r="407" spans="1:6" ht="12.75">
      <c r="A407" s="4">
        <v>406</v>
      </c>
      <c r="B407" s="8" t="str">
        <f ca="1">IFERROR(__xludf.DUMMYFUNCTION("""COMPUTED_VALUE"""),"20210915VASPS")</f>
        <v>20210915VASPS</v>
      </c>
      <c r="C407" s="8" t="str">
        <f ca="1">IFERROR(__xludf.DUMMYFUNCTION("""COMPUTED_VALUE"""),"None")</f>
        <v>None</v>
      </c>
      <c r="D407" s="8"/>
      <c r="E407" s="8" t="str">
        <f ca="1">IFERROR(__xludf.DUMMYFUNCTION("""COMPUTED_VALUE"""),"Student")</f>
        <v>Student</v>
      </c>
      <c r="F407" s="8" t="str">
        <f ca="1">IFERROR(__xludf.DUMMYFUNCTION("""COMPUTED_VALUE"""),"Child")</f>
        <v>Child</v>
      </c>
    </row>
    <row r="408" spans="1:6" ht="12.75">
      <c r="A408" s="4">
        <v>407</v>
      </c>
      <c r="B408" s="8" t="str">
        <f ca="1">IFERROR(__xludf.DUMMYFUNCTION("""COMPUTED_VALUE"""),"20210915VASPS")</f>
        <v>20210915VASPS</v>
      </c>
      <c r="C408" s="8" t="str">
        <f ca="1">IFERROR(__xludf.DUMMYFUNCTION("""COMPUTED_VALUE"""),"None")</f>
        <v>None</v>
      </c>
      <c r="D408" s="8"/>
      <c r="E408" s="8" t="str">
        <f ca="1">IFERROR(__xludf.DUMMYFUNCTION("""COMPUTED_VALUE"""),"Student")</f>
        <v>Student</v>
      </c>
      <c r="F408" s="8" t="str">
        <f ca="1">IFERROR(__xludf.DUMMYFUNCTION("""COMPUTED_VALUE"""),"Child")</f>
        <v>Child</v>
      </c>
    </row>
    <row r="409" spans="1:6" ht="12.75">
      <c r="A409" s="4">
        <v>408</v>
      </c>
      <c r="B409" s="8" t="str">
        <f ca="1">IFERROR(__xludf.DUMMYFUNCTION("""COMPUTED_VALUE"""),"20210915VASPS")</f>
        <v>20210915VASPS</v>
      </c>
      <c r="C409" s="8" t="str">
        <f ca="1">IFERROR(__xludf.DUMMYFUNCTION("""COMPUTED_VALUE"""),"None")</f>
        <v>None</v>
      </c>
      <c r="D409" s="8"/>
      <c r="E409" s="8" t="str">
        <f ca="1">IFERROR(__xludf.DUMMYFUNCTION("""COMPUTED_VALUE"""),"Student")</f>
        <v>Student</v>
      </c>
      <c r="F409" s="8" t="str">
        <f ca="1">IFERROR(__xludf.DUMMYFUNCTION("""COMPUTED_VALUE"""),"Child")</f>
        <v>Child</v>
      </c>
    </row>
    <row r="410" spans="1:6" ht="12.75">
      <c r="A410" s="4">
        <v>409</v>
      </c>
      <c r="B410" s="8" t="str">
        <f ca="1">IFERROR(__xludf.DUMMYFUNCTION("""COMPUTED_VALUE"""),"20210915KYMAL")</f>
        <v>20210915KYMAL</v>
      </c>
      <c r="C410" s="8" t="str">
        <f ca="1">IFERROR(__xludf.DUMMYFUNCTION("""COMPUTED_VALUE"""),"Wounded")</f>
        <v>Wounded</v>
      </c>
      <c r="D410" s="8" t="str">
        <f ca="1">IFERROR(__xludf.DUMMYFUNCTION("""COMPUTED_VALUE"""),"Male")</f>
        <v>Male</v>
      </c>
      <c r="E410" s="8" t="str">
        <f ca="1">IFERROR(__xludf.DUMMYFUNCTION("""COMPUTED_VALUE"""),"No Relation")</f>
        <v>No Relation</v>
      </c>
      <c r="F410" s="8" t="str">
        <f ca="1">IFERROR(__xludf.DUMMYFUNCTION("""COMPUTED_VALUE"""),"Adult")</f>
        <v>Adult</v>
      </c>
    </row>
    <row r="411" spans="1:6" ht="12.75">
      <c r="A411" s="4">
        <v>410</v>
      </c>
      <c r="B411" s="8" t="str">
        <f ca="1">IFERROR(__xludf.DUMMYFUNCTION("""COMPUTED_VALUE"""),"20210913SCEDC")</f>
        <v>20210913SCEDC</v>
      </c>
      <c r="C411" s="8" t="str">
        <f ca="1">IFERROR(__xludf.DUMMYFUNCTION("""COMPUTED_VALUE"""),"Wounded")</f>
        <v>Wounded</v>
      </c>
      <c r="D411" s="8" t="str">
        <f ca="1">IFERROR(__xludf.DUMMYFUNCTION("""COMPUTED_VALUE"""),"Male")</f>
        <v>Male</v>
      </c>
      <c r="E411" s="8" t="str">
        <f ca="1">IFERROR(__xludf.DUMMYFUNCTION("""COMPUTED_VALUE"""),"Parent")</f>
        <v>Parent</v>
      </c>
      <c r="F411" s="8" t="str">
        <f ca="1">IFERROR(__xludf.DUMMYFUNCTION("""COMPUTED_VALUE"""),"Adult")</f>
        <v>Adult</v>
      </c>
    </row>
    <row r="412" spans="1:6" ht="12.75">
      <c r="A412" s="4">
        <v>411</v>
      </c>
      <c r="B412" s="8" t="str">
        <f ca="1">IFERROR(__xludf.DUMMYFUNCTION("""COMPUTED_VALUE"""),"20210909ILCHC")</f>
        <v>20210909ILCHC</v>
      </c>
      <c r="C412" s="8" t="str">
        <f ca="1">IFERROR(__xludf.DUMMYFUNCTION("""COMPUTED_VALUE"""),"Wounded")</f>
        <v>Wounded</v>
      </c>
      <c r="D412" s="8" t="str">
        <f ca="1">IFERROR(__xludf.DUMMYFUNCTION("""COMPUTED_VALUE"""),"Male")</f>
        <v>Male</v>
      </c>
      <c r="E412" s="8" t="str">
        <f ca="1">IFERROR(__xludf.DUMMYFUNCTION("""COMPUTED_VALUE"""),"No Relation")</f>
        <v>No Relation</v>
      </c>
      <c r="F412" s="8">
        <f ca="1">IFERROR(__xludf.DUMMYFUNCTION("""COMPUTED_VALUE"""),34)</f>
        <v>34</v>
      </c>
    </row>
    <row r="413" spans="1:6" ht="12.75">
      <c r="A413" s="4">
        <v>412</v>
      </c>
      <c r="B413" s="8" t="str">
        <f ca="1">IFERROR(__xludf.DUMMYFUNCTION("""COMPUTED_VALUE"""),"20210908MNPRB")</f>
        <v>20210908MNPRB</v>
      </c>
      <c r="C413" s="8" t="str">
        <f ca="1">IFERROR(__xludf.DUMMYFUNCTION("""COMPUTED_VALUE"""),"Wounded")</f>
        <v>Wounded</v>
      </c>
      <c r="D413" s="8" t="str">
        <f ca="1">IFERROR(__xludf.DUMMYFUNCTION("""COMPUTED_VALUE"""),"Male")</f>
        <v>Male</v>
      </c>
      <c r="E413" s="8" t="str">
        <f ca="1">IFERROR(__xludf.DUMMYFUNCTION("""COMPUTED_VALUE"""),"No Relation")</f>
        <v>No Relation</v>
      </c>
      <c r="F413" s="8" t="str">
        <f ca="1">IFERROR(__xludf.DUMMYFUNCTION("""COMPUTED_VALUE"""),"Adult")</f>
        <v>Adult</v>
      </c>
    </row>
    <row r="414" spans="1:6" ht="12.75">
      <c r="A414" s="4">
        <v>413</v>
      </c>
      <c r="B414" s="8" t="str">
        <f ca="1">IFERROR(__xludf.DUMMYFUNCTION("""COMPUTED_VALUE"""),"20210903CABUB")</f>
        <v>20210903CABUB</v>
      </c>
      <c r="C414" s="8" t="str">
        <f ca="1">IFERROR(__xludf.DUMMYFUNCTION("""COMPUTED_VALUE"""),"None")</f>
        <v>None</v>
      </c>
      <c r="D414" s="8" t="str">
        <f ca="1">IFERROR(__xludf.DUMMYFUNCTION("""COMPUTED_VALUE"""),"Female")</f>
        <v>Female</v>
      </c>
      <c r="E414" s="8" t="str">
        <f ca="1">IFERROR(__xludf.DUMMYFUNCTION("""COMPUTED_VALUE"""),"Bus Driver")</f>
        <v>Bus Driver</v>
      </c>
      <c r="F414" s="8" t="str">
        <f ca="1">IFERROR(__xludf.DUMMYFUNCTION("""COMPUTED_VALUE"""),"Adult")</f>
        <v>Adult</v>
      </c>
    </row>
    <row r="415" spans="1:6" ht="12.75">
      <c r="A415" s="4">
        <v>414</v>
      </c>
      <c r="B415" s="8" t="str">
        <f ca="1">IFERROR(__xludf.DUMMYFUNCTION("""COMPUTED_VALUE"""),"20210903CABUB")</f>
        <v>20210903CABUB</v>
      </c>
      <c r="C415" s="8" t="str">
        <f ca="1">IFERROR(__xludf.DUMMYFUNCTION("""COMPUTED_VALUE"""),"None")</f>
        <v>None</v>
      </c>
      <c r="D415" s="8"/>
      <c r="E415" s="8" t="str">
        <f ca="1">IFERROR(__xludf.DUMMYFUNCTION("""COMPUTED_VALUE"""),"Student")</f>
        <v>Student</v>
      </c>
      <c r="F415" s="8"/>
    </row>
    <row r="416" spans="1:6" ht="12.75">
      <c r="A416" s="4">
        <v>415</v>
      </c>
      <c r="B416" s="8" t="str">
        <f ca="1">IFERROR(__xludf.DUMMYFUNCTION("""COMPUTED_VALUE"""),"20210902INWEG")</f>
        <v>20210902INWEG</v>
      </c>
      <c r="C416" s="8" t="str">
        <f ca="1">IFERROR(__xludf.DUMMYFUNCTION("""COMPUTED_VALUE"""),"Wounded")</f>
        <v>Wounded</v>
      </c>
      <c r="D416" s="8" t="str">
        <f ca="1">IFERROR(__xludf.DUMMYFUNCTION("""COMPUTED_VALUE"""),"Male")</f>
        <v>Male</v>
      </c>
      <c r="E416" s="8" t="str">
        <f ca="1">IFERROR(__xludf.DUMMYFUNCTION("""COMPUTED_VALUE"""),"Student")</f>
        <v>Student</v>
      </c>
      <c r="F416" s="8" t="str">
        <f ca="1">IFERROR(__xludf.DUMMYFUNCTION("""COMPUTED_VALUE"""),"Teen")</f>
        <v>Teen</v>
      </c>
    </row>
    <row r="417" spans="1:6" ht="12.75">
      <c r="A417" s="4">
        <v>416</v>
      </c>
      <c r="B417" s="8" t="str">
        <f ca="1">IFERROR(__xludf.DUMMYFUNCTION("""COMPUTED_VALUE"""),"20210902CASAL")</f>
        <v>20210902CASAL</v>
      </c>
      <c r="C417" s="8" t="str">
        <f ca="1">IFERROR(__xludf.DUMMYFUNCTION("""COMPUTED_VALUE"""),"Wounded")</f>
        <v>Wounded</v>
      </c>
      <c r="D417" s="8" t="str">
        <f ca="1">IFERROR(__xludf.DUMMYFUNCTION("""COMPUTED_VALUE"""),"Male")</f>
        <v>Male</v>
      </c>
      <c r="E417" s="8" t="str">
        <f ca="1">IFERROR(__xludf.DUMMYFUNCTION("""COMPUTED_VALUE"""),"Student")</f>
        <v>Student</v>
      </c>
      <c r="F417" s="8" t="str">
        <f ca="1">IFERROR(__xludf.DUMMYFUNCTION("""COMPUTED_VALUE"""),"Teen")</f>
        <v>Teen</v>
      </c>
    </row>
    <row r="418" spans="1:6" ht="12.75">
      <c r="A418" s="4">
        <v>417</v>
      </c>
      <c r="B418" s="8" t="str">
        <f ca="1">IFERROR(__xludf.DUMMYFUNCTION("""COMPUTED_VALUE"""),"20210902CASAL")</f>
        <v>20210902CASAL</v>
      </c>
      <c r="C418" s="8" t="str">
        <f ca="1">IFERROR(__xludf.DUMMYFUNCTION("""COMPUTED_VALUE"""),"Wounded")</f>
        <v>Wounded</v>
      </c>
      <c r="D418" s="8" t="str">
        <f ca="1">IFERROR(__xludf.DUMMYFUNCTION("""COMPUTED_VALUE"""),"Male")</f>
        <v>Male</v>
      </c>
      <c r="E418" s="8" t="str">
        <f ca="1">IFERROR(__xludf.DUMMYFUNCTION("""COMPUTED_VALUE"""),"Student")</f>
        <v>Student</v>
      </c>
      <c r="F418" s="8">
        <f ca="1">IFERROR(__xludf.DUMMYFUNCTION("""COMPUTED_VALUE"""),17)</f>
        <v>17</v>
      </c>
    </row>
    <row r="419" spans="1:6" ht="12.75">
      <c r="A419" s="4">
        <v>418</v>
      </c>
      <c r="B419" s="8" t="str">
        <f ca="1">IFERROR(__xludf.DUMMYFUNCTION("""COMPUTED_VALUE"""),"20210902CASAL")</f>
        <v>20210902CASAL</v>
      </c>
      <c r="C419" s="8" t="str">
        <f ca="1">IFERROR(__xludf.DUMMYFUNCTION("""COMPUTED_VALUE"""),"Wounded")</f>
        <v>Wounded</v>
      </c>
      <c r="D419" s="8" t="str">
        <f ca="1">IFERROR(__xludf.DUMMYFUNCTION("""COMPUTED_VALUE"""),"Male")</f>
        <v>Male</v>
      </c>
      <c r="E419" s="8" t="str">
        <f ca="1">IFERROR(__xludf.DUMMYFUNCTION("""COMPUTED_VALUE"""),"Student")</f>
        <v>Student</v>
      </c>
      <c r="F419" s="8" t="str">
        <f ca="1">IFERROR(__xludf.DUMMYFUNCTION("""COMPUTED_VALUE"""),"Teen")</f>
        <v>Teen</v>
      </c>
    </row>
    <row r="420" spans="1:6" ht="12.75">
      <c r="A420" s="4">
        <v>419</v>
      </c>
      <c r="B420" s="8" t="str">
        <f ca="1">IFERROR(__xludf.DUMMYFUNCTION("""COMPUTED_VALUE"""),"20210902CASAL")</f>
        <v>20210902CASAL</v>
      </c>
      <c r="C420" s="8" t="str">
        <f ca="1">IFERROR(__xludf.DUMMYFUNCTION("""COMPUTED_VALUE"""),"Wounded")</f>
        <v>Wounded</v>
      </c>
      <c r="D420" s="8" t="str">
        <f ca="1">IFERROR(__xludf.DUMMYFUNCTION("""COMPUTED_VALUE"""),"Male")</f>
        <v>Male</v>
      </c>
      <c r="E420" s="8" t="str">
        <f ca="1">IFERROR(__xludf.DUMMYFUNCTION("""COMPUTED_VALUE"""),"Student")</f>
        <v>Student</v>
      </c>
      <c r="F420" s="8" t="str">
        <f ca="1">IFERROR(__xludf.DUMMYFUNCTION("""COMPUTED_VALUE"""),"Teen")</f>
        <v>Teen</v>
      </c>
    </row>
    <row r="421" spans="1:6" ht="12.75">
      <c r="A421" s="4">
        <v>420</v>
      </c>
      <c r="B421" s="8" t="str">
        <f ca="1">IFERROR(__xludf.DUMMYFUNCTION("""COMPUTED_VALUE"""),"20210902CASAL")</f>
        <v>20210902CASAL</v>
      </c>
      <c r="C421" s="8" t="str">
        <f ca="1">IFERROR(__xludf.DUMMYFUNCTION("""COMPUTED_VALUE"""),"Wounded")</f>
        <v>Wounded</v>
      </c>
      <c r="D421" s="8" t="str">
        <f ca="1">IFERROR(__xludf.DUMMYFUNCTION("""COMPUTED_VALUE"""),"Male")</f>
        <v>Male</v>
      </c>
      <c r="E421" s="8" t="str">
        <f ca="1">IFERROR(__xludf.DUMMYFUNCTION("""COMPUTED_VALUE"""),"Student")</f>
        <v>Student</v>
      </c>
      <c r="F421" s="8">
        <f ca="1">IFERROR(__xludf.DUMMYFUNCTION("""COMPUTED_VALUE"""),17)</f>
        <v>17</v>
      </c>
    </row>
    <row r="422" spans="1:6" ht="12.75">
      <c r="A422" s="4">
        <v>421</v>
      </c>
      <c r="B422" s="8" t="str">
        <f ca="1">IFERROR(__xludf.DUMMYFUNCTION("""COMPUTED_VALUE"""),"20210902CASAL")</f>
        <v>20210902CASAL</v>
      </c>
      <c r="C422" s="8" t="str">
        <f ca="1">IFERROR(__xludf.DUMMYFUNCTION("""COMPUTED_VALUE"""),"Wounded")</f>
        <v>Wounded</v>
      </c>
      <c r="D422" s="8" t="str">
        <f ca="1">IFERROR(__xludf.DUMMYFUNCTION("""COMPUTED_VALUE"""),"Male")</f>
        <v>Male</v>
      </c>
      <c r="E422" s="8" t="str">
        <f ca="1">IFERROR(__xludf.DUMMYFUNCTION("""COMPUTED_VALUE"""),"Student")</f>
        <v>Student</v>
      </c>
      <c r="F422" s="8" t="str">
        <f ca="1">IFERROR(__xludf.DUMMYFUNCTION("""COMPUTED_VALUE"""),"Teen")</f>
        <v>Teen</v>
      </c>
    </row>
    <row r="423" spans="1:6" ht="12.75">
      <c r="A423" s="4">
        <v>422</v>
      </c>
      <c r="B423" s="8" t="str">
        <f ca="1">IFERROR(__xludf.DUMMYFUNCTION("""COMPUTED_VALUE"""),"20210901NCMTW")</f>
        <v>20210901NCMTW</v>
      </c>
      <c r="C423" s="8" t="str">
        <f ca="1">IFERROR(__xludf.DUMMYFUNCTION("""COMPUTED_VALUE"""),"Fatal")</f>
        <v>Fatal</v>
      </c>
      <c r="D423" s="8" t="str">
        <f ca="1">IFERROR(__xludf.DUMMYFUNCTION("""COMPUTED_VALUE"""),"Male")</f>
        <v>Male</v>
      </c>
      <c r="E423" s="8" t="str">
        <f ca="1">IFERROR(__xludf.DUMMYFUNCTION("""COMPUTED_VALUE"""),"Student")</f>
        <v>Student</v>
      </c>
      <c r="F423" s="8">
        <f ca="1">IFERROR(__xludf.DUMMYFUNCTION("""COMPUTED_VALUE"""),15)</f>
        <v>15</v>
      </c>
    </row>
    <row r="424" spans="1:6" ht="12.75">
      <c r="A424" s="4">
        <v>423</v>
      </c>
      <c r="B424" s="8" t="str">
        <f ca="1">IFERROR(__xludf.DUMMYFUNCTION("""COMPUTED_VALUE"""),"20210901ILFRC")</f>
        <v>20210901ILFRC</v>
      </c>
      <c r="C424" s="8" t="str">
        <f ca="1">IFERROR(__xludf.DUMMYFUNCTION("""COMPUTED_VALUE"""),"Fatal")</f>
        <v>Fatal</v>
      </c>
      <c r="D424" s="8" t="str">
        <f ca="1">IFERROR(__xludf.DUMMYFUNCTION("""COMPUTED_VALUE"""),"Male")</f>
        <v>Male</v>
      </c>
      <c r="E424" s="8" t="str">
        <f ca="1">IFERROR(__xludf.DUMMYFUNCTION("""COMPUTED_VALUE"""),"No Relation")</f>
        <v>No Relation</v>
      </c>
      <c r="F424" s="8">
        <f ca="1">IFERROR(__xludf.DUMMYFUNCTION("""COMPUTED_VALUE"""),41)</f>
        <v>41</v>
      </c>
    </row>
    <row r="425" spans="1:6" ht="12.75">
      <c r="A425" s="4">
        <v>424</v>
      </c>
      <c r="B425" s="8" t="str">
        <f ca="1">IFERROR(__xludf.DUMMYFUNCTION("""COMPUTED_VALUE"""),"20210830NJWEN")</f>
        <v>20210830NJWEN</v>
      </c>
      <c r="C425" s="8" t="str">
        <f ca="1">IFERROR(__xludf.DUMMYFUNCTION("""COMPUTED_VALUE"""),"Fatal")</f>
        <v>Fatal</v>
      </c>
      <c r="D425" s="8" t="str">
        <f ca="1">IFERROR(__xludf.DUMMYFUNCTION("""COMPUTED_VALUE"""),"Male")</f>
        <v>Male</v>
      </c>
      <c r="E425" s="8" t="str">
        <f ca="1">IFERROR(__xludf.DUMMYFUNCTION("""COMPUTED_VALUE"""),"Student")</f>
        <v>Student</v>
      </c>
      <c r="F425" s="8" t="str">
        <f ca="1">IFERROR(__xludf.DUMMYFUNCTION("""COMPUTED_VALUE"""),"Teen")</f>
        <v>Teen</v>
      </c>
    </row>
    <row r="426" spans="1:6" ht="12.75">
      <c r="A426" s="4">
        <v>425</v>
      </c>
      <c r="B426" s="8" t="str">
        <f ca="1">IFERROR(__xludf.DUMMYFUNCTION("""COMPUTED_VALUE"""),"20210830NCNEW")</f>
        <v>20210830NCNEW</v>
      </c>
      <c r="C426" s="8" t="str">
        <f ca="1">IFERROR(__xludf.DUMMYFUNCTION("""COMPUTED_VALUE"""),"Wounded")</f>
        <v>Wounded</v>
      </c>
      <c r="D426" s="8" t="str">
        <f ca="1">IFERROR(__xludf.DUMMYFUNCTION("""COMPUTED_VALUE"""),"Male")</f>
        <v>Male</v>
      </c>
      <c r="E426" s="8" t="str">
        <f ca="1">IFERROR(__xludf.DUMMYFUNCTION("""COMPUTED_VALUE"""),"Student")</f>
        <v>Student</v>
      </c>
      <c r="F426" s="8" t="str">
        <f ca="1">IFERROR(__xludf.DUMMYFUNCTION("""COMPUTED_VALUE"""),"Teen")</f>
        <v>Teen</v>
      </c>
    </row>
    <row r="427" spans="1:6" ht="12.75">
      <c r="A427" s="4">
        <v>426</v>
      </c>
      <c r="B427" s="8" t="str">
        <f ca="1">IFERROR(__xludf.DUMMYFUNCTION("""COMPUTED_VALUE"""),"20210830FLOKW")</f>
        <v>20210830FLOKW</v>
      </c>
      <c r="C427" s="8" t="str">
        <f ca="1">IFERROR(__xludf.DUMMYFUNCTION("""COMPUTED_VALUE"""),"Minor Injuries")</f>
        <v>Minor Injuries</v>
      </c>
      <c r="D427" s="8" t="str">
        <f ca="1">IFERROR(__xludf.DUMMYFUNCTION("""COMPUTED_VALUE"""),"Female")</f>
        <v>Female</v>
      </c>
      <c r="E427" s="8" t="str">
        <f ca="1">IFERROR(__xludf.DUMMYFUNCTION("""COMPUTED_VALUE"""),"Student")</f>
        <v>Student</v>
      </c>
      <c r="F427" s="8" t="str">
        <f ca="1">IFERROR(__xludf.DUMMYFUNCTION("""COMPUTED_VALUE"""),"Teen")</f>
        <v>Teen</v>
      </c>
    </row>
    <row r="428" spans="1:6" ht="12.75">
      <c r="A428" s="4">
        <v>427</v>
      </c>
      <c r="B428" s="8" t="str">
        <f ca="1">IFERROR(__xludf.DUMMYFUNCTION("""COMPUTED_VALUE"""),"20210827VAFRW")</f>
        <v>20210827VAFRW</v>
      </c>
      <c r="C428" s="8" t="str">
        <f ca="1">IFERROR(__xludf.DUMMYFUNCTION("""COMPUTED_VALUE"""),"Wounded")</f>
        <v>Wounded</v>
      </c>
      <c r="D428" s="8" t="str">
        <f ca="1">IFERROR(__xludf.DUMMYFUNCTION("""COMPUTED_VALUE"""),"Male")</f>
        <v>Male</v>
      </c>
      <c r="E428" s="8" t="str">
        <f ca="1">IFERROR(__xludf.DUMMYFUNCTION("""COMPUTED_VALUE"""),"Student")</f>
        <v>Student</v>
      </c>
      <c r="F428" s="8">
        <f ca="1">IFERROR(__xludf.DUMMYFUNCTION("""COMPUTED_VALUE"""),15)</f>
        <v>15</v>
      </c>
    </row>
    <row r="429" spans="1:6" ht="12.75">
      <c r="A429" s="4">
        <v>428</v>
      </c>
      <c r="B429" s="8" t="str">
        <f ca="1">IFERROR(__xludf.DUMMYFUNCTION("""COMPUTED_VALUE"""),"20210827VAFRW")</f>
        <v>20210827VAFRW</v>
      </c>
      <c r="C429" s="8" t="str">
        <f ca="1">IFERROR(__xludf.DUMMYFUNCTION("""COMPUTED_VALUE"""),"Wounded")</f>
        <v>Wounded</v>
      </c>
      <c r="D429" s="8" t="str">
        <f ca="1">IFERROR(__xludf.DUMMYFUNCTION("""COMPUTED_VALUE"""),"Female")</f>
        <v>Female</v>
      </c>
      <c r="E429" s="8" t="str">
        <f ca="1">IFERROR(__xludf.DUMMYFUNCTION("""COMPUTED_VALUE"""),"Student")</f>
        <v>Student</v>
      </c>
      <c r="F429" s="8">
        <f ca="1">IFERROR(__xludf.DUMMYFUNCTION("""COMPUTED_VALUE"""),14)</f>
        <v>14</v>
      </c>
    </row>
    <row r="430" spans="1:6" ht="12.75">
      <c r="A430" s="4">
        <v>429</v>
      </c>
      <c r="B430" s="8" t="str">
        <f ca="1">IFERROR(__xludf.DUMMYFUNCTION("""COMPUTED_VALUE"""),"20210827PAACS")</f>
        <v>20210827PAACS</v>
      </c>
      <c r="C430" s="8" t="str">
        <f ca="1">IFERROR(__xludf.DUMMYFUNCTION("""COMPUTED_VALUE"""),"Wounded")</f>
        <v>Wounded</v>
      </c>
      <c r="D430" s="8"/>
      <c r="E430" s="8" t="str">
        <f ca="1">IFERROR(__xludf.DUMMYFUNCTION("""COMPUTED_VALUE"""),"Nonstudent Using Athletic Facilities/Attending Game")</f>
        <v>Nonstudent Using Athletic Facilities/Attending Game</v>
      </c>
      <c r="F430" s="8" t="str">
        <f ca="1">IFERROR(__xludf.DUMMYFUNCTION("""COMPUTED_VALUE"""),"Adult")</f>
        <v>Adult</v>
      </c>
    </row>
    <row r="431" spans="1:6" ht="12.75">
      <c r="A431" s="4">
        <v>430</v>
      </c>
      <c r="B431" s="8" t="str">
        <f ca="1">IFERROR(__xludf.DUMMYFUNCTION("""COMPUTED_VALUE"""),"20210827PAACS")</f>
        <v>20210827PAACS</v>
      </c>
      <c r="C431" s="8" t="str">
        <f ca="1">IFERROR(__xludf.DUMMYFUNCTION("""COMPUTED_VALUE"""),"Fatal")</f>
        <v>Fatal</v>
      </c>
      <c r="D431" s="8" t="str">
        <f ca="1">IFERROR(__xludf.DUMMYFUNCTION("""COMPUTED_VALUE"""),"Female")</f>
        <v>Female</v>
      </c>
      <c r="E431" s="8" t="str">
        <f ca="1">IFERROR(__xludf.DUMMYFUNCTION("""COMPUTED_VALUE"""),"Nonstudent Using Athletic Facilities/Attending Game")</f>
        <v>Nonstudent Using Athletic Facilities/Attending Game</v>
      </c>
      <c r="F431" s="8">
        <f ca="1">IFERROR(__xludf.DUMMYFUNCTION("""COMPUTED_VALUE"""),8)</f>
        <v>8</v>
      </c>
    </row>
    <row r="432" spans="1:6" ht="12.75">
      <c r="A432" s="4">
        <v>431</v>
      </c>
      <c r="B432" s="8" t="str">
        <f ca="1">IFERROR(__xludf.DUMMYFUNCTION("""COMPUTED_VALUE"""),"20210827PAACS")</f>
        <v>20210827PAACS</v>
      </c>
      <c r="C432" s="8" t="str">
        <f ca="1">IFERROR(__xludf.DUMMYFUNCTION("""COMPUTED_VALUE"""),"Wounded")</f>
        <v>Wounded</v>
      </c>
      <c r="D432" s="8"/>
      <c r="E432" s="8" t="str">
        <f ca="1">IFERROR(__xludf.DUMMYFUNCTION("""COMPUTED_VALUE"""),"Student")</f>
        <v>Student</v>
      </c>
      <c r="F432" s="8" t="str">
        <f ca="1">IFERROR(__xludf.DUMMYFUNCTION("""COMPUTED_VALUE"""),"Teen")</f>
        <v>Teen</v>
      </c>
    </row>
    <row r="433" spans="1:6" ht="12.75">
      <c r="A433" s="4">
        <v>432</v>
      </c>
      <c r="B433" s="8" t="str">
        <f ca="1">IFERROR(__xludf.DUMMYFUNCTION("""COMPUTED_VALUE"""),"20210827PAACS")</f>
        <v>20210827PAACS</v>
      </c>
      <c r="C433" s="8" t="str">
        <f ca="1">IFERROR(__xludf.DUMMYFUNCTION("""COMPUTED_VALUE"""),"Wounded")</f>
        <v>Wounded</v>
      </c>
      <c r="D433" s="8"/>
      <c r="E433" s="8" t="str">
        <f ca="1">IFERROR(__xludf.DUMMYFUNCTION("""COMPUTED_VALUE"""),"Student")</f>
        <v>Student</v>
      </c>
      <c r="F433" s="8" t="str">
        <f ca="1">IFERROR(__xludf.DUMMYFUNCTION("""COMPUTED_VALUE"""),"Teen")</f>
        <v>Teen</v>
      </c>
    </row>
    <row r="434" spans="1:6" ht="12.75">
      <c r="A434" s="4">
        <v>433</v>
      </c>
      <c r="B434" s="8" t="str">
        <f ca="1">IFERROR(__xludf.DUMMYFUNCTION("""COMPUTED_VALUE"""),"20210827PAACS")</f>
        <v>20210827PAACS</v>
      </c>
      <c r="C434" s="8" t="str">
        <f ca="1">IFERROR(__xludf.DUMMYFUNCTION("""COMPUTED_VALUE"""),"Wounded")</f>
        <v>Wounded</v>
      </c>
      <c r="D434" s="8"/>
      <c r="E434" s="8" t="str">
        <f ca="1">IFERROR(__xludf.DUMMYFUNCTION("""COMPUTED_VALUE"""),"Nonstudent Using Athletic Facilities/Attending Game")</f>
        <v>Nonstudent Using Athletic Facilities/Attending Game</v>
      </c>
      <c r="F434" s="8" t="str">
        <f ca="1">IFERROR(__xludf.DUMMYFUNCTION("""COMPUTED_VALUE"""),"Adult")</f>
        <v>Adult</v>
      </c>
    </row>
    <row r="435" spans="1:6" ht="12.75">
      <c r="A435" s="4">
        <v>434</v>
      </c>
      <c r="B435" s="8" t="str">
        <f ca="1">IFERROR(__xludf.DUMMYFUNCTION("""COMPUTED_VALUE"""),"20210827KYAPO")</f>
        <v>20210827KYAPO</v>
      </c>
      <c r="C435" s="8" t="str">
        <f ca="1">IFERROR(__xludf.DUMMYFUNCTION("""COMPUTED_VALUE"""),"Wounded")</f>
        <v>Wounded</v>
      </c>
      <c r="D435" s="8" t="str">
        <f ca="1">IFERROR(__xludf.DUMMYFUNCTION("""COMPUTED_VALUE"""),"Male")</f>
        <v>Male</v>
      </c>
      <c r="E435" s="8" t="str">
        <f ca="1">IFERROR(__xludf.DUMMYFUNCTION("""COMPUTED_VALUE"""),"Nonstudent Using Athletic Facilities/Attending Game")</f>
        <v>Nonstudent Using Athletic Facilities/Attending Game</v>
      </c>
      <c r="F435" s="8" t="str">
        <f ca="1">IFERROR(__xludf.DUMMYFUNCTION("""COMPUTED_VALUE"""),"Adult")</f>
        <v>Adult</v>
      </c>
    </row>
    <row r="436" spans="1:6" ht="12.75">
      <c r="A436" s="4">
        <v>435</v>
      </c>
      <c r="B436" s="8" t="str">
        <f ca="1">IFERROR(__xludf.DUMMYFUNCTION("""COMPUTED_VALUE"""),"20210827INHAH")</f>
        <v>20210827INHAH</v>
      </c>
      <c r="C436" s="8" t="str">
        <f ca="1">IFERROR(__xludf.DUMMYFUNCTION("""COMPUTED_VALUE"""),"Wounded")</f>
        <v>Wounded</v>
      </c>
      <c r="D436" s="8"/>
      <c r="E436" s="8" t="str">
        <f ca="1">IFERROR(__xludf.DUMMYFUNCTION("""COMPUTED_VALUE"""),"Student")</f>
        <v>Student</v>
      </c>
      <c r="F436" s="8" t="str">
        <f ca="1">IFERROR(__xludf.DUMMYFUNCTION("""COMPUTED_VALUE"""),"Teen")</f>
        <v>Teen</v>
      </c>
    </row>
    <row r="437" spans="1:6" ht="12.75">
      <c r="A437" s="4">
        <v>436</v>
      </c>
      <c r="B437" s="8" t="str">
        <f ca="1">IFERROR(__xludf.DUMMYFUNCTION("""COMPUTED_VALUE"""),"20210827INHAH")</f>
        <v>20210827INHAH</v>
      </c>
      <c r="C437" s="8" t="str">
        <f ca="1">IFERROR(__xludf.DUMMYFUNCTION("""COMPUTED_VALUE"""),"Wounded")</f>
        <v>Wounded</v>
      </c>
      <c r="D437" s="8"/>
      <c r="E437" s="8" t="str">
        <f ca="1">IFERROR(__xludf.DUMMYFUNCTION("""COMPUTED_VALUE"""),"Student")</f>
        <v>Student</v>
      </c>
      <c r="F437" s="8" t="str">
        <f ca="1">IFERROR(__xludf.DUMMYFUNCTION("""COMPUTED_VALUE"""),"Teen")</f>
        <v>Teen</v>
      </c>
    </row>
    <row r="438" spans="1:6" ht="12.75">
      <c r="A438" s="4">
        <v>437</v>
      </c>
      <c r="B438" s="8" t="str">
        <f ca="1">IFERROR(__xludf.DUMMYFUNCTION("""COMPUTED_VALUE"""),"20210822ILWER")</f>
        <v>20210822ILWER</v>
      </c>
      <c r="C438" s="8" t="str">
        <f ca="1">IFERROR(__xludf.DUMMYFUNCTION("""COMPUTED_VALUE"""),"Wounded")</f>
        <v>Wounded</v>
      </c>
      <c r="D438" s="8" t="str">
        <f ca="1">IFERROR(__xludf.DUMMYFUNCTION("""COMPUTED_VALUE"""),"Male")</f>
        <v>Male</v>
      </c>
      <c r="E438" s="8" t="str">
        <f ca="1">IFERROR(__xludf.DUMMYFUNCTION("""COMPUTED_VALUE"""),"Student")</f>
        <v>Student</v>
      </c>
      <c r="F438" s="8">
        <f ca="1">IFERROR(__xludf.DUMMYFUNCTION("""COMPUTED_VALUE"""),13)</f>
        <v>13</v>
      </c>
    </row>
    <row r="439" spans="1:6" ht="12.75">
      <c r="A439" s="4">
        <v>438</v>
      </c>
      <c r="B439" s="8" t="str">
        <f ca="1">IFERROR(__xludf.DUMMYFUNCTION("""COMPUTED_VALUE"""),"20210820NEMIO")</f>
        <v>20210820NEMIO</v>
      </c>
      <c r="C439" s="8" t="str">
        <f ca="1">IFERROR(__xludf.DUMMYFUNCTION("""COMPUTED_VALUE"""),"Wounded")</f>
        <v>Wounded</v>
      </c>
      <c r="D439" s="8" t="str">
        <f ca="1">IFERROR(__xludf.DUMMYFUNCTION("""COMPUTED_VALUE"""),"Male")</f>
        <v>Male</v>
      </c>
      <c r="E439" s="8" t="str">
        <f ca="1">IFERROR(__xludf.DUMMYFUNCTION("""COMPUTED_VALUE"""),"No Relation")</f>
        <v>No Relation</v>
      </c>
      <c r="F439" s="8">
        <f ca="1">IFERROR(__xludf.DUMMYFUNCTION("""COMPUTED_VALUE"""),24)</f>
        <v>24</v>
      </c>
    </row>
    <row r="440" spans="1:6" ht="12.75">
      <c r="A440" s="4">
        <v>439</v>
      </c>
      <c r="B440" s="8" t="str">
        <f ca="1">IFERROR(__xludf.DUMMYFUNCTION("""COMPUTED_VALUE"""),"20210820NEMIO")</f>
        <v>20210820NEMIO</v>
      </c>
      <c r="C440" s="8" t="str">
        <f ca="1">IFERROR(__xludf.DUMMYFUNCTION("""COMPUTED_VALUE"""),"Wounded")</f>
        <v>Wounded</v>
      </c>
      <c r="D440" s="8" t="str">
        <f ca="1">IFERROR(__xludf.DUMMYFUNCTION("""COMPUTED_VALUE"""),"Female")</f>
        <v>Female</v>
      </c>
      <c r="E440" s="8" t="str">
        <f ca="1">IFERROR(__xludf.DUMMYFUNCTION("""COMPUTED_VALUE"""),"No Relation")</f>
        <v>No Relation</v>
      </c>
      <c r="F440" s="8">
        <f ca="1">IFERROR(__xludf.DUMMYFUNCTION("""COMPUTED_VALUE"""),29)</f>
        <v>29</v>
      </c>
    </row>
    <row r="441" spans="1:6" ht="12.75">
      <c r="A441" s="4">
        <v>440</v>
      </c>
      <c r="B441" s="8" t="str">
        <f ca="1">IFERROR(__xludf.DUMMYFUNCTION("""COMPUTED_VALUE"""),"20210820CACEF")</f>
        <v>20210820CACEF</v>
      </c>
      <c r="C441" s="8" t="str">
        <f ca="1">IFERROR(__xludf.DUMMYFUNCTION("""COMPUTED_VALUE"""),"Wounded")</f>
        <v>Wounded</v>
      </c>
      <c r="D441" s="8" t="str">
        <f ca="1">IFERROR(__xludf.DUMMYFUNCTION("""COMPUTED_VALUE"""),"Male")</f>
        <v>Male</v>
      </c>
      <c r="E441" s="8" t="str">
        <f ca="1">IFERROR(__xludf.DUMMYFUNCTION("""COMPUTED_VALUE"""),"Nonstudent Using Athletic Facilities/Attending Game")</f>
        <v>Nonstudent Using Athletic Facilities/Attending Game</v>
      </c>
      <c r="F441" s="8">
        <f ca="1">IFERROR(__xludf.DUMMYFUNCTION("""COMPUTED_VALUE"""),19)</f>
        <v>19</v>
      </c>
    </row>
    <row r="442" spans="1:6" ht="12.75">
      <c r="A442" s="4">
        <v>441</v>
      </c>
      <c r="B442" s="8" t="str">
        <f ca="1">IFERROR(__xludf.DUMMYFUNCTION("""COMPUTED_VALUE"""),"20210818SCORO")</f>
        <v>20210818SCORO</v>
      </c>
      <c r="C442" s="8" t="str">
        <f ca="1">IFERROR(__xludf.DUMMYFUNCTION("""COMPUTED_VALUE"""),"Wounded")</f>
        <v>Wounded</v>
      </c>
      <c r="D442" s="8"/>
      <c r="E442" s="8" t="str">
        <f ca="1">IFERROR(__xludf.DUMMYFUNCTION("""COMPUTED_VALUE"""),"Student")</f>
        <v>Student</v>
      </c>
      <c r="F442" s="8" t="str">
        <f ca="1">IFERROR(__xludf.DUMMYFUNCTION("""COMPUTED_VALUE"""),"Teen")</f>
        <v>Teen</v>
      </c>
    </row>
    <row r="443" spans="1:6" ht="12.75">
      <c r="A443" s="4">
        <v>442</v>
      </c>
      <c r="B443" s="8" t="str">
        <f ca="1">IFERROR(__xludf.DUMMYFUNCTION("""COMPUTED_VALUE"""),"20210818SCORO")</f>
        <v>20210818SCORO</v>
      </c>
      <c r="C443" s="8" t="str">
        <f ca="1">IFERROR(__xludf.DUMMYFUNCTION("""COMPUTED_VALUE"""),"Wounded")</f>
        <v>Wounded</v>
      </c>
      <c r="D443" s="8"/>
      <c r="E443" s="8" t="str">
        <f ca="1">IFERROR(__xludf.DUMMYFUNCTION("""COMPUTED_VALUE"""),"Student")</f>
        <v>Student</v>
      </c>
      <c r="F443" s="8" t="str">
        <f ca="1">IFERROR(__xludf.DUMMYFUNCTION("""COMPUTED_VALUE"""),"Teen")</f>
        <v>Teen</v>
      </c>
    </row>
    <row r="444" spans="1:6" ht="12.75">
      <c r="A444" s="4">
        <v>443</v>
      </c>
      <c r="B444" s="8" t="str">
        <f ca="1">IFERROR(__xludf.DUMMYFUNCTION("""COMPUTED_VALUE"""),"20210818SCORO")</f>
        <v>20210818SCORO</v>
      </c>
      <c r="C444" s="8" t="str">
        <f ca="1">IFERROR(__xludf.DUMMYFUNCTION("""COMPUTED_VALUE"""),"Wounded")</f>
        <v>Wounded</v>
      </c>
      <c r="D444" s="8"/>
      <c r="E444" s="8" t="str">
        <f ca="1">IFERROR(__xludf.DUMMYFUNCTION("""COMPUTED_VALUE"""),"Student")</f>
        <v>Student</v>
      </c>
      <c r="F444" s="8" t="str">
        <f ca="1">IFERROR(__xludf.DUMMYFUNCTION("""COMPUTED_VALUE"""),"Teen")</f>
        <v>Teen</v>
      </c>
    </row>
    <row r="445" spans="1:6" ht="12.75">
      <c r="A445" s="4">
        <v>444</v>
      </c>
      <c r="B445" s="8" t="str">
        <f ca="1">IFERROR(__xludf.DUMMYFUNCTION("""COMPUTED_VALUE"""),"20210817COYED")</f>
        <v>20210817COYED</v>
      </c>
      <c r="C445" s="8" t="str">
        <f ca="1">IFERROR(__xludf.DUMMYFUNCTION("""COMPUTED_VALUE"""),"Fatal")</f>
        <v>Fatal</v>
      </c>
      <c r="D445" s="8" t="str">
        <f ca="1">IFERROR(__xludf.DUMMYFUNCTION("""COMPUTED_VALUE"""),"Male")</f>
        <v>Male</v>
      </c>
      <c r="E445" s="8" t="str">
        <f ca="1">IFERROR(__xludf.DUMMYFUNCTION("""COMPUTED_VALUE"""),"Student")</f>
        <v>Student</v>
      </c>
      <c r="F445" s="8">
        <f ca="1">IFERROR(__xludf.DUMMYFUNCTION("""COMPUTED_VALUE"""),18)</f>
        <v>18</v>
      </c>
    </row>
    <row r="446" spans="1:6" ht="12.75">
      <c r="A446" s="4">
        <v>445</v>
      </c>
      <c r="B446" s="8" t="str">
        <f ca="1">IFERROR(__xludf.DUMMYFUNCTION("""COMPUTED_VALUE"""),"20210814ILMAC")</f>
        <v>20210814ILMAC</v>
      </c>
      <c r="C446" s="8" t="str">
        <f ca="1">IFERROR(__xludf.DUMMYFUNCTION("""COMPUTED_VALUE"""),"Wounded")</f>
        <v>Wounded</v>
      </c>
      <c r="D446" s="8" t="str">
        <f ca="1">IFERROR(__xludf.DUMMYFUNCTION("""COMPUTED_VALUE"""),"Male")</f>
        <v>Male</v>
      </c>
      <c r="E446" s="8" t="str">
        <f ca="1">IFERROR(__xludf.DUMMYFUNCTION("""COMPUTED_VALUE"""),"No Relation")</f>
        <v>No Relation</v>
      </c>
      <c r="F446" s="8">
        <f ca="1">IFERROR(__xludf.DUMMYFUNCTION("""COMPUTED_VALUE"""),15)</f>
        <v>15</v>
      </c>
    </row>
    <row r="447" spans="1:6" ht="12.75">
      <c r="A447" s="4">
        <v>446</v>
      </c>
      <c r="B447" s="8" t="str">
        <f ca="1">IFERROR(__xludf.DUMMYFUNCTION("""COMPUTED_VALUE"""),"20210813NMWAA")</f>
        <v>20210813NMWAA</v>
      </c>
      <c r="C447" s="8" t="str">
        <f ca="1">IFERROR(__xludf.DUMMYFUNCTION("""COMPUTED_VALUE"""),"Fatal")</f>
        <v>Fatal</v>
      </c>
      <c r="D447" s="8" t="str">
        <f ca="1">IFERROR(__xludf.DUMMYFUNCTION("""COMPUTED_VALUE"""),"Male")</f>
        <v>Male</v>
      </c>
      <c r="E447" s="8" t="str">
        <f ca="1">IFERROR(__xludf.DUMMYFUNCTION("""COMPUTED_VALUE"""),"Student")</f>
        <v>Student</v>
      </c>
      <c r="F447" s="8">
        <f ca="1">IFERROR(__xludf.DUMMYFUNCTION("""COMPUTED_VALUE"""),13)</f>
        <v>13</v>
      </c>
    </row>
    <row r="448" spans="1:6" ht="12.75">
      <c r="A448" s="4">
        <v>447</v>
      </c>
      <c r="B448" s="8" t="str">
        <f ca="1">IFERROR(__xludf.DUMMYFUNCTION("""COMPUTED_VALUE"""),"20210812GALIL")</f>
        <v>20210812GALIL</v>
      </c>
      <c r="C448" s="8" t="str">
        <f ca="1">IFERROR(__xludf.DUMMYFUNCTION("""COMPUTED_VALUE"""),"Wounded")</f>
        <v>Wounded</v>
      </c>
      <c r="D448" s="8" t="str">
        <f ca="1">IFERROR(__xludf.DUMMYFUNCTION("""COMPUTED_VALUE"""),"Male")</f>
        <v>Male</v>
      </c>
      <c r="E448" s="8"/>
      <c r="F448" s="8" t="str">
        <f ca="1">IFERROR(__xludf.DUMMYFUNCTION("""COMPUTED_VALUE"""),"Adult")</f>
        <v>Adult</v>
      </c>
    </row>
    <row r="449" spans="1:6" ht="12.75">
      <c r="A449" s="4">
        <v>448</v>
      </c>
      <c r="B449" s="8" t="str">
        <f ca="1">IFERROR(__xludf.DUMMYFUNCTION("""COMPUTED_VALUE"""),"20210811COMAC")</f>
        <v>20210811COMAC</v>
      </c>
      <c r="C449" s="8" t="str">
        <f ca="1">IFERROR(__xludf.DUMMYFUNCTION("""COMPUTED_VALUE"""),"Wounded")</f>
        <v>Wounded</v>
      </c>
      <c r="D449" s="8" t="str">
        <f ca="1">IFERROR(__xludf.DUMMYFUNCTION("""COMPUTED_VALUE"""),"Male")</f>
        <v>Male</v>
      </c>
      <c r="E449" s="8" t="str">
        <f ca="1">IFERROR(__xludf.DUMMYFUNCTION("""COMPUTED_VALUE"""),"No Relation")</f>
        <v>No Relation</v>
      </c>
      <c r="F449" s="8" t="str">
        <f ca="1">IFERROR(__xludf.DUMMYFUNCTION("""COMPUTED_VALUE"""),"Adult")</f>
        <v>Adult</v>
      </c>
    </row>
    <row r="450" spans="1:6" ht="12.75">
      <c r="A450" s="4">
        <v>449</v>
      </c>
      <c r="B450" s="8" t="str">
        <f ca="1">IFERROR(__xludf.DUMMYFUNCTION("""COMPUTED_VALUE"""),"20210810OHEAC")</f>
        <v>20210810OHEAC</v>
      </c>
      <c r="C450" s="8" t="str">
        <f ca="1">IFERROR(__xludf.DUMMYFUNCTION("""COMPUTED_VALUE"""),"Wounded")</f>
        <v>Wounded</v>
      </c>
      <c r="D450" s="8" t="str">
        <f ca="1">IFERROR(__xludf.DUMMYFUNCTION("""COMPUTED_VALUE"""),"Male")</f>
        <v>Male</v>
      </c>
      <c r="E450" s="8" t="str">
        <f ca="1">IFERROR(__xludf.DUMMYFUNCTION("""COMPUTED_VALUE"""),"Former Student")</f>
        <v>Former Student</v>
      </c>
      <c r="F450" s="8">
        <f ca="1">IFERROR(__xludf.DUMMYFUNCTION("""COMPUTED_VALUE"""),15)</f>
        <v>15</v>
      </c>
    </row>
    <row r="451" spans="1:6" ht="12.75">
      <c r="A451" s="4">
        <v>450</v>
      </c>
      <c r="B451" s="8" t="str">
        <f ca="1">IFERROR(__xludf.DUMMYFUNCTION("""COMPUTED_VALUE"""),"20210807ORGIP")</f>
        <v>20210807ORGIP</v>
      </c>
      <c r="C451" s="8" t="str">
        <f ca="1">IFERROR(__xludf.DUMMYFUNCTION("""COMPUTED_VALUE"""),"Fatal")</f>
        <v>Fatal</v>
      </c>
      <c r="D451" s="8" t="str">
        <f ca="1">IFERROR(__xludf.DUMMYFUNCTION("""COMPUTED_VALUE"""),"Male")</f>
        <v>Male</v>
      </c>
      <c r="E451" s="8" t="str">
        <f ca="1">IFERROR(__xludf.DUMMYFUNCTION("""COMPUTED_VALUE"""),"No Relation")</f>
        <v>No Relation</v>
      </c>
      <c r="F451" s="8" t="str">
        <f ca="1">IFERROR(__xludf.DUMMYFUNCTION("""COMPUTED_VALUE"""),"Adult")</f>
        <v>Adult</v>
      </c>
    </row>
    <row r="452" spans="1:6" ht="12.75">
      <c r="A452" s="4">
        <v>451</v>
      </c>
      <c r="B452" s="8" t="str">
        <f ca="1">IFERROR(__xludf.DUMMYFUNCTION("""COMPUTED_VALUE"""),"20210806LASTH")</f>
        <v>20210806LASTH</v>
      </c>
      <c r="C452" s="8" t="str">
        <f ca="1">IFERROR(__xludf.DUMMYFUNCTION("""COMPUTED_VALUE"""),"Wounded")</f>
        <v>Wounded</v>
      </c>
      <c r="D452" s="8" t="str">
        <f ca="1">IFERROR(__xludf.DUMMYFUNCTION("""COMPUTED_VALUE"""),"Female")</f>
        <v>Female</v>
      </c>
      <c r="E452" s="8" t="str">
        <f ca="1">IFERROR(__xludf.DUMMYFUNCTION("""COMPUTED_VALUE"""),"Parent")</f>
        <v>Parent</v>
      </c>
      <c r="F452" s="8">
        <f ca="1">IFERROR(__xludf.DUMMYFUNCTION("""COMPUTED_VALUE"""),60)</f>
        <v>60</v>
      </c>
    </row>
    <row r="453" spans="1:6" ht="12.75">
      <c r="A453" s="4">
        <v>452</v>
      </c>
      <c r="B453" s="8" t="str">
        <f ca="1">IFERROR(__xludf.DUMMYFUNCTION("""COMPUTED_VALUE"""),"20210804ALBUM")</f>
        <v>20210804ALBUM</v>
      </c>
      <c r="C453" s="8" t="str">
        <f ca="1">IFERROR(__xludf.DUMMYFUNCTION("""COMPUTED_VALUE"""),"Wounded")</f>
        <v>Wounded</v>
      </c>
      <c r="D453" s="8" t="str">
        <f ca="1">IFERROR(__xludf.DUMMYFUNCTION("""COMPUTED_VALUE"""),"Male")</f>
        <v>Male</v>
      </c>
      <c r="E453" s="8"/>
      <c r="F453" s="8" t="str">
        <f ca="1">IFERROR(__xludf.DUMMYFUNCTION("""COMPUTED_VALUE"""),"Teen")</f>
        <v>Teen</v>
      </c>
    </row>
    <row r="454" spans="1:6" ht="12.75">
      <c r="A454" s="4">
        <v>453</v>
      </c>
      <c r="B454" s="8" t="str">
        <f ca="1">IFERROR(__xludf.DUMMYFUNCTION("""COMPUTED_VALUE"""),"20210804ALBUM")</f>
        <v>20210804ALBUM</v>
      </c>
      <c r="C454" s="8" t="str">
        <f ca="1">IFERROR(__xludf.DUMMYFUNCTION("""COMPUTED_VALUE"""),"Wounded")</f>
        <v>Wounded</v>
      </c>
      <c r="D454" s="8" t="str">
        <f ca="1">IFERROR(__xludf.DUMMYFUNCTION("""COMPUTED_VALUE"""),"Male")</f>
        <v>Male</v>
      </c>
      <c r="E454" s="8"/>
      <c r="F454" s="8" t="str">
        <f ca="1">IFERROR(__xludf.DUMMYFUNCTION("""COMPUTED_VALUE"""),"Teen")</f>
        <v>Teen</v>
      </c>
    </row>
    <row r="455" spans="1:6" ht="12.75">
      <c r="A455" s="4">
        <v>454</v>
      </c>
      <c r="B455" s="8" t="str">
        <f ca="1">IFERROR(__xludf.DUMMYFUNCTION("""COMPUTED_VALUE"""),"20210727WATYS")</f>
        <v>20210727WATYS</v>
      </c>
      <c r="C455" s="8" t="str">
        <f ca="1">IFERROR(__xludf.DUMMYFUNCTION("""COMPUTED_VALUE"""),"Fatal")</f>
        <v>Fatal</v>
      </c>
      <c r="D455" s="8" t="str">
        <f ca="1">IFERROR(__xludf.DUMMYFUNCTION("""COMPUTED_VALUE"""),"Male")</f>
        <v>Male</v>
      </c>
      <c r="E455" s="8" t="str">
        <f ca="1">IFERROR(__xludf.DUMMYFUNCTION("""COMPUTED_VALUE"""),"Nonstudent Using Athletic Facilities/Attending Game")</f>
        <v>Nonstudent Using Athletic Facilities/Attending Game</v>
      </c>
      <c r="F455" s="8" t="str">
        <f ca="1">IFERROR(__xludf.DUMMYFUNCTION("""COMPUTED_VALUE"""),"Adult")</f>
        <v>Adult</v>
      </c>
    </row>
    <row r="456" spans="1:6" ht="12.75">
      <c r="A456" s="4">
        <v>455</v>
      </c>
      <c r="B456" s="8" t="str">
        <f ca="1">IFERROR(__xludf.DUMMYFUNCTION("""COMPUTED_VALUE"""),"20210721ILTHC")</f>
        <v>20210721ILTHC</v>
      </c>
      <c r="C456" s="8" t="str">
        <f ca="1">IFERROR(__xludf.DUMMYFUNCTION("""COMPUTED_VALUE"""),"Wounded")</f>
        <v>Wounded</v>
      </c>
      <c r="D456" s="8" t="str">
        <f ca="1">IFERROR(__xludf.DUMMYFUNCTION("""COMPUTED_VALUE"""),"Male")</f>
        <v>Male</v>
      </c>
      <c r="E456" s="8" t="str">
        <f ca="1">IFERROR(__xludf.DUMMYFUNCTION("""COMPUTED_VALUE"""),"No Relation")</f>
        <v>No Relation</v>
      </c>
      <c r="F456" s="8">
        <f ca="1">IFERROR(__xludf.DUMMYFUNCTION("""COMPUTED_VALUE"""),22)</f>
        <v>22</v>
      </c>
    </row>
    <row r="457" spans="1:6" ht="12.75">
      <c r="A457" s="4">
        <v>456</v>
      </c>
      <c r="B457" s="8" t="str">
        <f ca="1">IFERROR(__xludf.DUMMYFUNCTION("""COMPUTED_VALUE"""),"20210721ILTHC")</f>
        <v>20210721ILTHC</v>
      </c>
      <c r="C457" s="8" t="str">
        <f ca="1">IFERROR(__xludf.DUMMYFUNCTION("""COMPUTED_VALUE"""),"Wounded")</f>
        <v>Wounded</v>
      </c>
      <c r="D457" s="8" t="str">
        <f ca="1">IFERROR(__xludf.DUMMYFUNCTION("""COMPUTED_VALUE"""),"Male")</f>
        <v>Male</v>
      </c>
      <c r="E457" s="8" t="str">
        <f ca="1">IFERROR(__xludf.DUMMYFUNCTION("""COMPUTED_VALUE"""),"No Relation")</f>
        <v>No Relation</v>
      </c>
      <c r="F457" s="8">
        <f ca="1">IFERROR(__xludf.DUMMYFUNCTION("""COMPUTED_VALUE"""),18)</f>
        <v>18</v>
      </c>
    </row>
    <row r="458" spans="1:6" ht="12.75">
      <c r="A458" s="4">
        <v>457</v>
      </c>
      <c r="B458" s="8" t="str">
        <f ca="1">IFERROR(__xludf.DUMMYFUNCTION("""COMPUTED_VALUE"""),"20210721ILTHC")</f>
        <v>20210721ILTHC</v>
      </c>
      <c r="C458" s="8" t="str">
        <f ca="1">IFERROR(__xludf.DUMMYFUNCTION("""COMPUTED_VALUE"""),"Wounded")</f>
        <v>Wounded</v>
      </c>
      <c r="D458" s="8" t="str">
        <f ca="1">IFERROR(__xludf.DUMMYFUNCTION("""COMPUTED_VALUE"""),"Male")</f>
        <v>Male</v>
      </c>
      <c r="E458" s="8" t="str">
        <f ca="1">IFERROR(__xludf.DUMMYFUNCTION("""COMPUTED_VALUE"""),"No Relation")</f>
        <v>No Relation</v>
      </c>
      <c r="F458" s="8">
        <f ca="1">IFERROR(__xludf.DUMMYFUNCTION("""COMPUTED_VALUE"""),15)</f>
        <v>15</v>
      </c>
    </row>
    <row r="459" spans="1:6" ht="12.75">
      <c r="A459" s="4">
        <v>458</v>
      </c>
      <c r="B459" s="8" t="str">
        <f ca="1">IFERROR(__xludf.DUMMYFUNCTION("""COMPUTED_VALUE"""),"20210721ILTHC")</f>
        <v>20210721ILTHC</v>
      </c>
      <c r="C459" s="8" t="str">
        <f ca="1">IFERROR(__xludf.DUMMYFUNCTION("""COMPUTED_VALUE"""),"Wounded")</f>
        <v>Wounded</v>
      </c>
      <c r="D459" s="8" t="str">
        <f ca="1">IFERROR(__xludf.DUMMYFUNCTION("""COMPUTED_VALUE"""),"Male")</f>
        <v>Male</v>
      </c>
      <c r="E459" s="8" t="str">
        <f ca="1">IFERROR(__xludf.DUMMYFUNCTION("""COMPUTED_VALUE"""),"No Relation")</f>
        <v>No Relation</v>
      </c>
      <c r="F459" s="8">
        <f ca="1">IFERROR(__xludf.DUMMYFUNCTION("""COMPUTED_VALUE"""),17)</f>
        <v>17</v>
      </c>
    </row>
    <row r="460" spans="1:6" ht="12.75">
      <c r="A460" s="4">
        <v>459</v>
      </c>
      <c r="B460" s="8" t="str">
        <f ca="1">IFERROR(__xludf.DUMMYFUNCTION("""COMPUTED_VALUE"""),"20210721ILTHC")</f>
        <v>20210721ILTHC</v>
      </c>
      <c r="C460" s="8" t="str">
        <f ca="1">IFERROR(__xludf.DUMMYFUNCTION("""COMPUTED_VALUE"""),"Wounded")</f>
        <v>Wounded</v>
      </c>
      <c r="D460" s="8" t="str">
        <f ca="1">IFERROR(__xludf.DUMMYFUNCTION("""COMPUTED_VALUE"""),"Male")</f>
        <v>Male</v>
      </c>
      <c r="E460" s="8" t="str">
        <f ca="1">IFERROR(__xludf.DUMMYFUNCTION("""COMPUTED_VALUE"""),"No Relation")</f>
        <v>No Relation</v>
      </c>
      <c r="F460" s="8">
        <f ca="1">IFERROR(__xludf.DUMMYFUNCTION("""COMPUTED_VALUE"""),14)</f>
        <v>14</v>
      </c>
    </row>
    <row r="461" spans="1:6" ht="12.75">
      <c r="A461" s="4">
        <v>460</v>
      </c>
      <c r="B461" s="8" t="str">
        <f ca="1">IFERROR(__xludf.DUMMYFUNCTION("""COMPUTED_VALUE"""),"20210719TXCAC")</f>
        <v>20210719TXCAC</v>
      </c>
      <c r="C461" s="8" t="str">
        <f ca="1">IFERROR(__xludf.DUMMYFUNCTION("""COMPUTED_VALUE"""),"Minor Injuries")</f>
        <v>Minor Injuries</v>
      </c>
      <c r="D461" s="8" t="str">
        <f ca="1">IFERROR(__xludf.DUMMYFUNCTION("""COMPUTED_VALUE"""),"Female")</f>
        <v>Female</v>
      </c>
      <c r="E461" s="8" t="str">
        <f ca="1">IFERROR(__xludf.DUMMYFUNCTION("""COMPUTED_VALUE"""),"Student")</f>
        <v>Student</v>
      </c>
      <c r="F461" s="8">
        <f ca="1">IFERROR(__xludf.DUMMYFUNCTION("""COMPUTED_VALUE"""),17)</f>
        <v>17</v>
      </c>
    </row>
    <row r="462" spans="1:6" ht="12.75">
      <c r="A462" s="4">
        <v>461</v>
      </c>
      <c r="B462" s="8" t="str">
        <f ca="1">IFERROR(__xludf.DUMMYFUNCTION("""COMPUTED_VALUE"""),"20210719TXCAC")</f>
        <v>20210719TXCAC</v>
      </c>
      <c r="C462" s="8" t="str">
        <f ca="1">IFERROR(__xludf.DUMMYFUNCTION("""COMPUTED_VALUE"""),"Minor Injuries")</f>
        <v>Minor Injuries</v>
      </c>
      <c r="D462" s="8" t="str">
        <f ca="1">IFERROR(__xludf.DUMMYFUNCTION("""COMPUTED_VALUE"""),"Male")</f>
        <v>Male</v>
      </c>
      <c r="E462" s="8" t="str">
        <f ca="1">IFERROR(__xludf.DUMMYFUNCTION("""COMPUTED_VALUE"""),"Student")</f>
        <v>Student</v>
      </c>
      <c r="F462" s="8">
        <f ca="1">IFERROR(__xludf.DUMMYFUNCTION("""COMPUTED_VALUE"""),17)</f>
        <v>17</v>
      </c>
    </row>
    <row r="463" spans="1:6" ht="12.75">
      <c r="A463" s="4">
        <v>462</v>
      </c>
      <c r="B463" s="8" t="str">
        <f ca="1">IFERROR(__xludf.DUMMYFUNCTION("""COMPUTED_VALUE"""),"20210708ILBEC")</f>
        <v>20210708ILBEC</v>
      </c>
      <c r="C463" s="8" t="str">
        <f ca="1">IFERROR(__xludf.DUMMYFUNCTION("""COMPUTED_VALUE"""),"Wounded")</f>
        <v>Wounded</v>
      </c>
      <c r="D463" s="8" t="str">
        <f ca="1">IFERROR(__xludf.DUMMYFUNCTION("""COMPUTED_VALUE"""),"Female")</f>
        <v>Female</v>
      </c>
      <c r="E463" s="8" t="str">
        <f ca="1">IFERROR(__xludf.DUMMYFUNCTION("""COMPUTED_VALUE"""),"No Relation")</f>
        <v>No Relation</v>
      </c>
      <c r="F463" s="8">
        <f ca="1">IFERROR(__xludf.DUMMYFUNCTION("""COMPUTED_VALUE"""),34)</f>
        <v>34</v>
      </c>
    </row>
    <row r="464" spans="1:6" ht="12.75">
      <c r="A464" s="4">
        <v>463</v>
      </c>
      <c r="B464" s="8" t="str">
        <f ca="1">IFERROR(__xludf.DUMMYFUNCTION("""COMPUTED_VALUE"""),"20210708ILBEC")</f>
        <v>20210708ILBEC</v>
      </c>
      <c r="C464" s="8" t="str">
        <f ca="1">IFERROR(__xludf.DUMMYFUNCTION("""COMPUTED_VALUE"""),"Wounded")</f>
        <v>Wounded</v>
      </c>
      <c r="D464" s="8" t="str">
        <f ca="1">IFERROR(__xludf.DUMMYFUNCTION("""COMPUTED_VALUE"""),"Male")</f>
        <v>Male</v>
      </c>
      <c r="E464" s="8" t="str">
        <f ca="1">IFERROR(__xludf.DUMMYFUNCTION("""COMPUTED_VALUE"""),"Student")</f>
        <v>Student</v>
      </c>
      <c r="F464" s="8">
        <f ca="1">IFERROR(__xludf.DUMMYFUNCTION("""COMPUTED_VALUE"""),16)</f>
        <v>16</v>
      </c>
    </row>
    <row r="465" spans="1:6" ht="12.75">
      <c r="A465" s="4">
        <v>464</v>
      </c>
      <c r="B465" s="8" t="str">
        <f ca="1">IFERROR(__xludf.DUMMYFUNCTION("""COMPUTED_VALUE"""),"20210704NYDRR")</f>
        <v>20210704NYDRR</v>
      </c>
      <c r="C465" s="8" t="str">
        <f ca="1">IFERROR(__xludf.DUMMYFUNCTION("""COMPUTED_VALUE"""),"Fatal")</f>
        <v>Fatal</v>
      </c>
      <c r="D465" s="8" t="str">
        <f ca="1">IFERROR(__xludf.DUMMYFUNCTION("""COMPUTED_VALUE"""),"Male")</f>
        <v>Male</v>
      </c>
      <c r="E465" s="8"/>
      <c r="F465" s="8">
        <f ca="1">IFERROR(__xludf.DUMMYFUNCTION("""COMPUTED_VALUE"""),16)</f>
        <v>16</v>
      </c>
    </row>
    <row r="466" spans="1:6" ht="12.75">
      <c r="A466" s="4">
        <v>465</v>
      </c>
      <c r="B466" s="8" t="str">
        <f ca="1">IFERROR(__xludf.DUMMYFUNCTION("""COMPUTED_VALUE"""),"20210628CASLF")</f>
        <v>20210628CASLF</v>
      </c>
      <c r="C466" s="8" t="str">
        <f ca="1">IFERROR(__xludf.DUMMYFUNCTION("""COMPUTED_VALUE"""),"Wounded")</f>
        <v>Wounded</v>
      </c>
      <c r="D466" s="8" t="str">
        <f ca="1">IFERROR(__xludf.DUMMYFUNCTION("""COMPUTED_VALUE"""),"Male")</f>
        <v>Male</v>
      </c>
      <c r="E466" s="8" t="str">
        <f ca="1">IFERROR(__xludf.DUMMYFUNCTION("""COMPUTED_VALUE"""),"No Relation")</f>
        <v>No Relation</v>
      </c>
      <c r="F466" s="8" t="str">
        <f ca="1">IFERROR(__xludf.DUMMYFUNCTION("""COMPUTED_VALUE"""),"Adult")</f>
        <v>Adult</v>
      </c>
    </row>
    <row r="467" spans="1:6" ht="12.75">
      <c r="A467" s="4">
        <v>466</v>
      </c>
      <c r="B467" s="8" t="str">
        <f ca="1">IFERROR(__xludf.DUMMYFUNCTION("""COMPUTED_VALUE"""),"20210624ILABR")</f>
        <v>20210624ILABR</v>
      </c>
      <c r="C467" s="8" t="str">
        <f ca="1">IFERROR(__xludf.DUMMYFUNCTION("""COMPUTED_VALUE"""),"Wounded")</f>
        <v>Wounded</v>
      </c>
      <c r="D467" s="8" t="str">
        <f ca="1">IFERROR(__xludf.DUMMYFUNCTION("""COMPUTED_VALUE"""),"Male")</f>
        <v>Male</v>
      </c>
      <c r="E467" s="8" t="str">
        <f ca="1">IFERROR(__xludf.DUMMYFUNCTION("""COMPUTED_VALUE"""),"No Relation")</f>
        <v>No Relation</v>
      </c>
      <c r="F467" s="8" t="str">
        <f ca="1">IFERROR(__xludf.DUMMYFUNCTION("""COMPUTED_VALUE"""),"Adult")</f>
        <v>Adult</v>
      </c>
    </row>
    <row r="468" spans="1:6" ht="12.75">
      <c r="A468" s="4">
        <v>467</v>
      </c>
      <c r="B468" s="8" t="str">
        <f ca="1">IFERROR(__xludf.DUMMYFUNCTION("""COMPUTED_VALUE"""),"20210620CAGRM")</f>
        <v>20210620CAGRM</v>
      </c>
      <c r="C468" s="8" t="str">
        <f ca="1">IFERROR(__xludf.DUMMYFUNCTION("""COMPUTED_VALUE"""),"Wounded")</f>
        <v>Wounded</v>
      </c>
      <c r="D468" s="8" t="str">
        <f ca="1">IFERROR(__xludf.DUMMYFUNCTION("""COMPUTED_VALUE"""),"Male")</f>
        <v>Male</v>
      </c>
      <c r="E468" s="8" t="str">
        <f ca="1">IFERROR(__xludf.DUMMYFUNCTION("""COMPUTED_VALUE"""),"No Relation")</f>
        <v>No Relation</v>
      </c>
      <c r="F468" s="8" t="str">
        <f ca="1">IFERROR(__xludf.DUMMYFUNCTION("""COMPUTED_VALUE"""),"Adult")</f>
        <v>Adult</v>
      </c>
    </row>
    <row r="469" spans="1:6" ht="12.75">
      <c r="A469" s="4">
        <v>468</v>
      </c>
      <c r="B469" s="8" t="str">
        <f ca="1">IFERROR(__xludf.DUMMYFUNCTION("""COMPUTED_VALUE"""),"20210614TXEAF")</f>
        <v>20210614TXEAF</v>
      </c>
      <c r="C469" s="8" t="str">
        <f ca="1">IFERROR(__xludf.DUMMYFUNCTION("""COMPUTED_VALUE"""),"Wounded")</f>
        <v>Wounded</v>
      </c>
      <c r="D469" s="8" t="str">
        <f ca="1">IFERROR(__xludf.DUMMYFUNCTION("""COMPUTED_VALUE"""),"Male")</f>
        <v>Male</v>
      </c>
      <c r="E469" s="8"/>
      <c r="F469" s="8" t="str">
        <f ca="1">IFERROR(__xludf.DUMMYFUNCTION("""COMPUTED_VALUE"""),"Adult")</f>
        <v>Adult</v>
      </c>
    </row>
    <row r="470" spans="1:6" ht="12.75">
      <c r="A470" s="4">
        <v>469</v>
      </c>
      <c r="B470" s="8" t="str">
        <f ca="1">IFERROR(__xludf.DUMMYFUNCTION("""COMPUTED_VALUE"""),"20210613PAWIP")</f>
        <v>20210613PAWIP</v>
      </c>
      <c r="C470" s="8" t="str">
        <f ca="1">IFERROR(__xludf.DUMMYFUNCTION("""COMPUTED_VALUE"""),"Fatal")</f>
        <v>Fatal</v>
      </c>
      <c r="D470" s="8" t="str">
        <f ca="1">IFERROR(__xludf.DUMMYFUNCTION("""COMPUTED_VALUE"""),"Male")</f>
        <v>Male</v>
      </c>
      <c r="E470" s="8" t="str">
        <f ca="1">IFERROR(__xludf.DUMMYFUNCTION("""COMPUTED_VALUE"""),"Nonstudent Using Athletic Facilities/Attending Game")</f>
        <v>Nonstudent Using Athletic Facilities/Attending Game</v>
      </c>
      <c r="F470" s="8" t="str">
        <f ca="1">IFERROR(__xludf.DUMMYFUNCTION("""COMPUTED_VALUE"""),"Adult")</f>
        <v>Adult</v>
      </c>
    </row>
    <row r="471" spans="1:6" ht="12.75">
      <c r="A471" s="4">
        <v>470</v>
      </c>
      <c r="B471" s="8" t="str">
        <f ca="1">IFERROR(__xludf.DUMMYFUNCTION("""COMPUTED_VALUE"""),"20210612MOMCF")</f>
        <v>20210612MOMCF</v>
      </c>
      <c r="C471" s="8" t="str">
        <f ca="1">IFERROR(__xludf.DUMMYFUNCTION("""COMPUTED_VALUE"""),"Fatal")</f>
        <v>Fatal</v>
      </c>
      <c r="D471" s="8" t="str">
        <f ca="1">IFERROR(__xludf.DUMMYFUNCTION("""COMPUTED_VALUE"""),"Male")</f>
        <v>Male</v>
      </c>
      <c r="E471" s="8" t="str">
        <f ca="1">IFERROR(__xludf.DUMMYFUNCTION("""COMPUTED_VALUE"""),"Student")</f>
        <v>Student</v>
      </c>
      <c r="F471" s="8">
        <f ca="1">IFERROR(__xludf.DUMMYFUNCTION("""COMPUTED_VALUE"""),18)</f>
        <v>18</v>
      </c>
    </row>
    <row r="472" spans="1:6" ht="12.75">
      <c r="A472" s="4">
        <v>471</v>
      </c>
      <c r="B472" s="8" t="str">
        <f ca="1">IFERROR(__xludf.DUMMYFUNCTION("""COMPUTED_VALUE"""),"20210609VAWIR")</f>
        <v>20210609VAWIR</v>
      </c>
      <c r="C472" s="8" t="str">
        <f ca="1">IFERROR(__xludf.DUMMYFUNCTION("""COMPUTED_VALUE"""),"Wounded")</f>
        <v>Wounded</v>
      </c>
      <c r="D472" s="8" t="str">
        <f ca="1">IFERROR(__xludf.DUMMYFUNCTION("""COMPUTED_VALUE"""),"Male")</f>
        <v>Male</v>
      </c>
      <c r="E472" s="8" t="str">
        <f ca="1">IFERROR(__xludf.DUMMYFUNCTION("""COMPUTED_VALUE"""),"Student")</f>
        <v>Student</v>
      </c>
      <c r="F472" s="8" t="str">
        <f ca="1">IFERROR(__xludf.DUMMYFUNCTION("""COMPUTED_VALUE"""),"Teen")</f>
        <v>Teen</v>
      </c>
    </row>
    <row r="473" spans="1:6" ht="12.75">
      <c r="A473" s="4">
        <v>472</v>
      </c>
      <c r="B473" s="8" t="str">
        <f ca="1">IFERROR(__xludf.DUMMYFUNCTION("""COMPUTED_VALUE"""),"20210609TXNOH")</f>
        <v>20210609TXNOH</v>
      </c>
      <c r="C473" s="8" t="str">
        <f ca="1">IFERROR(__xludf.DUMMYFUNCTION("""COMPUTED_VALUE"""),"Wounded")</f>
        <v>Wounded</v>
      </c>
      <c r="D473" s="8" t="str">
        <f ca="1">IFERROR(__xludf.DUMMYFUNCTION("""COMPUTED_VALUE"""),"Male")</f>
        <v>Male</v>
      </c>
      <c r="E473" s="8" t="str">
        <f ca="1">IFERROR(__xludf.DUMMYFUNCTION("""COMPUTED_VALUE"""),"Student")</f>
        <v>Student</v>
      </c>
      <c r="F473" s="8">
        <f ca="1">IFERROR(__xludf.DUMMYFUNCTION("""COMPUTED_VALUE"""),18)</f>
        <v>18</v>
      </c>
    </row>
    <row r="474" spans="1:6" ht="12.75">
      <c r="A474" s="4">
        <v>473</v>
      </c>
      <c r="B474" s="8" t="str">
        <f ca="1">IFERROR(__xludf.DUMMYFUNCTION("""COMPUTED_VALUE"""),"20210608KSHAK")</f>
        <v>20210608KSHAK</v>
      </c>
      <c r="C474" s="8" t="str">
        <f ca="1">IFERROR(__xludf.DUMMYFUNCTION("""COMPUTED_VALUE"""),"Fatal")</f>
        <v>Fatal</v>
      </c>
      <c r="D474" s="8" t="str">
        <f ca="1">IFERROR(__xludf.DUMMYFUNCTION("""COMPUTED_VALUE"""),"Male")</f>
        <v>Male</v>
      </c>
      <c r="E474" s="8" t="str">
        <f ca="1">IFERROR(__xludf.DUMMYFUNCTION("""COMPUTED_VALUE"""),"No Relation")</f>
        <v>No Relation</v>
      </c>
      <c r="F474" s="8">
        <f ca="1">IFERROR(__xludf.DUMMYFUNCTION("""COMPUTED_VALUE"""),15)</f>
        <v>15</v>
      </c>
    </row>
    <row r="475" spans="1:6" ht="12.75">
      <c r="A475" s="4">
        <v>474</v>
      </c>
      <c r="B475" s="8" t="str">
        <f ca="1">IFERROR(__xludf.DUMMYFUNCTION("""COMPUTED_VALUE"""),"20210607TXEAF")</f>
        <v>20210607TXEAF</v>
      </c>
      <c r="C475" s="8" t="str">
        <f ca="1">IFERROR(__xludf.DUMMYFUNCTION("""COMPUTED_VALUE"""),"Fatal")</f>
        <v>Fatal</v>
      </c>
      <c r="D475" s="8" t="str">
        <f ca="1">IFERROR(__xludf.DUMMYFUNCTION("""COMPUTED_VALUE"""),"Male")</f>
        <v>Male</v>
      </c>
      <c r="E475" s="8" t="str">
        <f ca="1">IFERROR(__xludf.DUMMYFUNCTION("""COMPUTED_VALUE"""),"Student")</f>
        <v>Student</v>
      </c>
      <c r="F475" s="8">
        <f ca="1">IFERROR(__xludf.DUMMYFUNCTION("""COMPUTED_VALUE"""),17)</f>
        <v>17</v>
      </c>
    </row>
    <row r="476" spans="1:6" ht="12.75">
      <c r="A476" s="4">
        <v>475</v>
      </c>
      <c r="B476" s="8" t="str">
        <f ca="1">IFERROR(__xludf.DUMMYFUNCTION("""COMPUTED_VALUE"""),"20210601ILLIC")</f>
        <v>20210601ILLIC</v>
      </c>
      <c r="C476" s="8" t="str">
        <f ca="1">IFERROR(__xludf.DUMMYFUNCTION("""COMPUTED_VALUE"""),"Wounded")</f>
        <v>Wounded</v>
      </c>
      <c r="D476" s="8" t="str">
        <f ca="1">IFERROR(__xludf.DUMMYFUNCTION("""COMPUTED_VALUE"""),"Male")</f>
        <v>Male</v>
      </c>
      <c r="E476" s="8"/>
      <c r="F476" s="8">
        <f ca="1">IFERROR(__xludf.DUMMYFUNCTION("""COMPUTED_VALUE"""),17)</f>
        <v>17</v>
      </c>
    </row>
    <row r="477" spans="1:6" ht="12.75">
      <c r="A477" s="4">
        <v>476</v>
      </c>
      <c r="B477" s="8" t="str">
        <f ca="1">IFERROR(__xludf.DUMMYFUNCTION("""COMPUTED_VALUE"""),"20210517TXBRE")</f>
        <v>20210517TXBRE</v>
      </c>
      <c r="C477" s="8" t="str">
        <f ca="1">IFERROR(__xludf.DUMMYFUNCTION("""COMPUTED_VALUE"""),"Minor Injuries")</f>
        <v>Minor Injuries</v>
      </c>
      <c r="D477" s="8" t="str">
        <f ca="1">IFERROR(__xludf.DUMMYFUNCTION("""COMPUTED_VALUE"""),"Female")</f>
        <v>Female</v>
      </c>
      <c r="E477" s="8" t="str">
        <f ca="1">IFERROR(__xludf.DUMMYFUNCTION("""COMPUTED_VALUE"""),"Student")</f>
        <v>Student</v>
      </c>
      <c r="F477" s="8">
        <f ca="1">IFERROR(__xludf.DUMMYFUNCTION("""COMPUTED_VALUE"""),13)</f>
        <v>13</v>
      </c>
    </row>
    <row r="478" spans="1:6" ht="12.75">
      <c r="A478" s="4">
        <v>477</v>
      </c>
      <c r="B478" s="8" t="str">
        <f ca="1">IFERROR(__xludf.DUMMYFUNCTION("""COMPUTED_VALUE"""),"20210517TXBRE")</f>
        <v>20210517TXBRE</v>
      </c>
      <c r="C478" s="8" t="str">
        <f ca="1">IFERROR(__xludf.DUMMYFUNCTION("""COMPUTED_VALUE"""),"Minor Injuries")</f>
        <v>Minor Injuries</v>
      </c>
      <c r="D478" s="8" t="str">
        <f ca="1">IFERROR(__xludf.DUMMYFUNCTION("""COMPUTED_VALUE"""),"Male")</f>
        <v>Male</v>
      </c>
      <c r="E478" s="8" t="str">
        <f ca="1">IFERROR(__xludf.DUMMYFUNCTION("""COMPUTED_VALUE"""),"Student")</f>
        <v>Student</v>
      </c>
      <c r="F478" s="8" t="str">
        <f ca="1">IFERROR(__xludf.DUMMYFUNCTION("""COMPUTED_VALUE"""),"Teen")</f>
        <v>Teen</v>
      </c>
    </row>
    <row r="479" spans="1:6" ht="12.75">
      <c r="A479" s="4">
        <v>478</v>
      </c>
      <c r="B479" s="8" t="str">
        <f ca="1">IFERROR(__xludf.DUMMYFUNCTION("""COMPUTED_VALUE"""),"20210517TNAUM")</f>
        <v>20210517TNAUM</v>
      </c>
      <c r="C479" s="8" t="str">
        <f ca="1">IFERROR(__xludf.DUMMYFUNCTION("""COMPUTED_VALUE"""),"Wounded")</f>
        <v>Wounded</v>
      </c>
      <c r="D479" s="8" t="str">
        <f ca="1">IFERROR(__xludf.DUMMYFUNCTION("""COMPUTED_VALUE"""),"Male")</f>
        <v>Male</v>
      </c>
      <c r="E479" s="8" t="str">
        <f ca="1">IFERROR(__xludf.DUMMYFUNCTION("""COMPUTED_VALUE"""),"No Relation")</f>
        <v>No Relation</v>
      </c>
      <c r="F479" s="8" t="str">
        <f ca="1">IFERROR(__xludf.DUMMYFUNCTION("""COMPUTED_VALUE"""),"Adult")</f>
        <v>Adult</v>
      </c>
    </row>
    <row r="480" spans="1:6" ht="12.75">
      <c r="A480" s="4">
        <v>479</v>
      </c>
      <c r="B480" s="8" t="str">
        <f ca="1">IFERROR(__xludf.DUMMYFUNCTION("""COMPUTED_VALUE"""),"20210514CASAS")</f>
        <v>20210514CASAS</v>
      </c>
      <c r="C480" s="8" t="str">
        <f ca="1">IFERROR(__xludf.DUMMYFUNCTION("""COMPUTED_VALUE"""),"Fatal")</f>
        <v>Fatal</v>
      </c>
      <c r="D480" s="8" t="str">
        <f ca="1">IFERROR(__xludf.DUMMYFUNCTION("""COMPUTED_VALUE"""),"Male")</f>
        <v>Male</v>
      </c>
      <c r="E480" s="8" t="str">
        <f ca="1">IFERROR(__xludf.DUMMYFUNCTION("""COMPUTED_VALUE"""),"No Relation")</f>
        <v>No Relation</v>
      </c>
      <c r="F480" s="8">
        <f ca="1">IFERROR(__xludf.DUMMYFUNCTION("""COMPUTED_VALUE"""),19)</f>
        <v>19</v>
      </c>
    </row>
    <row r="481" spans="1:6" ht="12.75">
      <c r="A481" s="4">
        <v>480</v>
      </c>
      <c r="B481" s="8" t="str">
        <f ca="1">IFERROR(__xludf.DUMMYFUNCTION("""COMPUTED_VALUE"""),"20210511NYPSB")</f>
        <v>20210511NYPSB</v>
      </c>
      <c r="C481" s="8" t="str">
        <f ca="1">IFERROR(__xludf.DUMMYFUNCTION("""COMPUTED_VALUE"""),"Wounded")</f>
        <v>Wounded</v>
      </c>
      <c r="D481" s="8" t="str">
        <f ca="1">IFERROR(__xludf.DUMMYFUNCTION("""COMPUTED_VALUE"""),"Male")</f>
        <v>Male</v>
      </c>
      <c r="E481" s="8" t="str">
        <f ca="1">IFERROR(__xludf.DUMMYFUNCTION("""COMPUTED_VALUE"""),"No Relation")</f>
        <v>No Relation</v>
      </c>
      <c r="F481" s="8">
        <f ca="1">IFERROR(__xludf.DUMMYFUNCTION("""COMPUTED_VALUE"""),16)</f>
        <v>16</v>
      </c>
    </row>
    <row r="482" spans="1:6" ht="12.75">
      <c r="A482" s="4">
        <v>481</v>
      </c>
      <c r="B482" s="8" t="str">
        <f ca="1">IFERROR(__xludf.DUMMYFUNCTION("""COMPUTED_VALUE"""),"20210506SCFOC")</f>
        <v>20210506SCFOC</v>
      </c>
      <c r="C482" s="8" t="str">
        <f ca="1">IFERROR(__xludf.DUMMYFUNCTION("""COMPUTED_VALUE"""),"None")</f>
        <v>None</v>
      </c>
      <c r="D482" s="8" t="str">
        <f ca="1">IFERROR(__xludf.DUMMYFUNCTION("""COMPUTED_VALUE"""),"Male")</f>
        <v>Male</v>
      </c>
      <c r="E482" s="8" t="str">
        <f ca="1">IFERROR(__xludf.DUMMYFUNCTION("""COMPUTED_VALUE"""),"Bus Driver")</f>
        <v>Bus Driver</v>
      </c>
      <c r="F482" s="8" t="str">
        <f ca="1">IFERROR(__xludf.DUMMYFUNCTION("""COMPUTED_VALUE"""),"Adult")</f>
        <v>Adult</v>
      </c>
    </row>
    <row r="483" spans="1:6" ht="12.75">
      <c r="A483" s="4">
        <v>482</v>
      </c>
      <c r="B483" s="8" t="str">
        <f ca="1">IFERROR(__xludf.DUMMYFUNCTION("""COMPUTED_VALUE"""),"20210506IDRIR")</f>
        <v>20210506IDRIR</v>
      </c>
      <c r="C483" s="8" t="str">
        <f ca="1">IFERROR(__xludf.DUMMYFUNCTION("""COMPUTED_VALUE"""),"Wounded")</f>
        <v>Wounded</v>
      </c>
      <c r="D483" s="8" t="str">
        <f ca="1">IFERROR(__xludf.DUMMYFUNCTION("""COMPUTED_VALUE"""),"Male")</f>
        <v>Male</v>
      </c>
      <c r="E483" s="8" t="str">
        <f ca="1">IFERROR(__xludf.DUMMYFUNCTION("""COMPUTED_VALUE"""),"Student")</f>
        <v>Student</v>
      </c>
      <c r="F483" s="8" t="str">
        <f ca="1">IFERROR(__xludf.DUMMYFUNCTION("""COMPUTED_VALUE"""),"Teen")</f>
        <v>Teen</v>
      </c>
    </row>
    <row r="484" spans="1:6" ht="12.75">
      <c r="A484" s="4">
        <v>483</v>
      </c>
      <c r="B484" s="8" t="str">
        <f ca="1">IFERROR(__xludf.DUMMYFUNCTION("""COMPUTED_VALUE"""),"20210506IDRIR")</f>
        <v>20210506IDRIR</v>
      </c>
      <c r="C484" s="8" t="str">
        <f ca="1">IFERROR(__xludf.DUMMYFUNCTION("""COMPUTED_VALUE"""),"Wounded")</f>
        <v>Wounded</v>
      </c>
      <c r="D484" s="8" t="str">
        <f ca="1">IFERROR(__xludf.DUMMYFUNCTION("""COMPUTED_VALUE"""),"Female")</f>
        <v>Female</v>
      </c>
      <c r="E484" s="8" t="str">
        <f ca="1">IFERROR(__xludf.DUMMYFUNCTION("""COMPUTED_VALUE"""),"Student")</f>
        <v>Student</v>
      </c>
      <c r="F484" s="8">
        <f ca="1">IFERROR(__xludf.DUMMYFUNCTION("""COMPUTED_VALUE"""),11)</f>
        <v>11</v>
      </c>
    </row>
    <row r="485" spans="1:6" ht="12.75">
      <c r="A485" s="4">
        <v>484</v>
      </c>
      <c r="B485" s="8" t="str">
        <f ca="1">IFERROR(__xludf.DUMMYFUNCTION("""COMPUTED_VALUE"""),"20210506IDRIR")</f>
        <v>20210506IDRIR</v>
      </c>
      <c r="C485" s="8" t="str">
        <f ca="1">IFERROR(__xludf.DUMMYFUNCTION("""COMPUTED_VALUE"""),"Wounded")</f>
        <v>Wounded</v>
      </c>
      <c r="D485" s="8" t="str">
        <f ca="1">IFERROR(__xludf.DUMMYFUNCTION("""COMPUTED_VALUE"""),"Male")</f>
        <v>Male</v>
      </c>
      <c r="E485" s="8" t="str">
        <f ca="1">IFERROR(__xludf.DUMMYFUNCTION("""COMPUTED_VALUE"""),"Other Staff")</f>
        <v>Other Staff</v>
      </c>
      <c r="F485" s="8" t="str">
        <f ca="1">IFERROR(__xludf.DUMMYFUNCTION("""COMPUTED_VALUE"""),"Adult")</f>
        <v>Adult</v>
      </c>
    </row>
    <row r="486" spans="1:6" ht="12.75">
      <c r="A486" s="4">
        <v>485</v>
      </c>
      <c r="B486" s="8" t="str">
        <f ca="1">IFERROR(__xludf.DUMMYFUNCTION("""COMPUTED_VALUE"""),"20210505MICRC")</f>
        <v>20210505MICRC</v>
      </c>
      <c r="C486" s="8" t="str">
        <f ca="1">IFERROR(__xludf.DUMMYFUNCTION("""COMPUTED_VALUE"""),"Wounded")</f>
        <v>Wounded</v>
      </c>
      <c r="D486" s="8" t="str">
        <f ca="1">IFERROR(__xludf.DUMMYFUNCTION("""COMPUTED_VALUE"""),"Male")</f>
        <v>Male</v>
      </c>
      <c r="E486" s="8" t="str">
        <f ca="1">IFERROR(__xludf.DUMMYFUNCTION("""COMPUTED_VALUE"""),"No Relation")</f>
        <v>No Relation</v>
      </c>
      <c r="F486" s="8" t="str">
        <f ca="1">IFERROR(__xludf.DUMMYFUNCTION("""COMPUTED_VALUE"""),"Adult")</f>
        <v>Adult</v>
      </c>
    </row>
    <row r="487" spans="1:6" ht="12.75">
      <c r="A487" s="4">
        <v>486</v>
      </c>
      <c r="B487" s="8" t="str">
        <f ca="1">IFERROR(__xludf.DUMMYFUNCTION("""COMPUTED_VALUE"""),"20210502ILCHC")</f>
        <v>20210502ILCHC</v>
      </c>
      <c r="C487" s="8" t="str">
        <f ca="1">IFERROR(__xludf.DUMMYFUNCTION("""COMPUTED_VALUE"""),"Wounded")</f>
        <v>Wounded</v>
      </c>
      <c r="D487" s="8" t="str">
        <f ca="1">IFERROR(__xludf.DUMMYFUNCTION("""COMPUTED_VALUE"""),"Female")</f>
        <v>Female</v>
      </c>
      <c r="E487" s="8" t="str">
        <f ca="1">IFERROR(__xludf.DUMMYFUNCTION("""COMPUTED_VALUE"""),"No Relation")</f>
        <v>No Relation</v>
      </c>
      <c r="F487" s="8">
        <f ca="1">IFERROR(__xludf.DUMMYFUNCTION("""COMPUTED_VALUE"""),21)</f>
        <v>21</v>
      </c>
    </row>
    <row r="488" spans="1:6" ht="12.75">
      <c r="A488" s="4">
        <v>487</v>
      </c>
      <c r="B488" s="8" t="str">
        <f ca="1">IFERROR(__xludf.DUMMYFUNCTION("""COMPUTED_VALUE"""),"20210502ILCHC")</f>
        <v>20210502ILCHC</v>
      </c>
      <c r="C488" s="8" t="str">
        <f ca="1">IFERROR(__xludf.DUMMYFUNCTION("""COMPUTED_VALUE"""),"Wounded")</f>
        <v>Wounded</v>
      </c>
      <c r="D488" s="8" t="str">
        <f ca="1">IFERROR(__xludf.DUMMYFUNCTION("""COMPUTED_VALUE"""),"Male")</f>
        <v>Male</v>
      </c>
      <c r="E488" s="8" t="str">
        <f ca="1">IFERROR(__xludf.DUMMYFUNCTION("""COMPUTED_VALUE"""),"No Relation")</f>
        <v>No Relation</v>
      </c>
      <c r="F488" s="8">
        <f ca="1">IFERROR(__xludf.DUMMYFUNCTION("""COMPUTED_VALUE"""),29)</f>
        <v>29</v>
      </c>
    </row>
    <row r="489" spans="1:6" ht="12.75">
      <c r="A489" s="4">
        <v>488</v>
      </c>
      <c r="B489" s="8" t="str">
        <f ca="1">IFERROR(__xludf.DUMMYFUNCTION("""COMPUTED_VALUE"""),"20210502ILCHC")</f>
        <v>20210502ILCHC</v>
      </c>
      <c r="C489" s="8" t="str">
        <f ca="1">IFERROR(__xludf.DUMMYFUNCTION("""COMPUTED_VALUE"""),"Wounded")</f>
        <v>Wounded</v>
      </c>
      <c r="D489" s="8" t="str">
        <f ca="1">IFERROR(__xludf.DUMMYFUNCTION("""COMPUTED_VALUE"""),"Male")</f>
        <v>Male</v>
      </c>
      <c r="E489" s="8" t="str">
        <f ca="1">IFERROR(__xludf.DUMMYFUNCTION("""COMPUTED_VALUE"""),"No Relation")</f>
        <v>No Relation</v>
      </c>
      <c r="F489" s="8">
        <f ca="1">IFERROR(__xludf.DUMMYFUNCTION("""COMPUTED_VALUE"""),20)</f>
        <v>20</v>
      </c>
    </row>
    <row r="490" spans="1:6" ht="12.75">
      <c r="A490" s="4">
        <v>489</v>
      </c>
      <c r="B490" s="8" t="str">
        <f ca="1">IFERROR(__xludf.DUMMYFUNCTION("""COMPUTED_VALUE"""),"20210502ILCHC")</f>
        <v>20210502ILCHC</v>
      </c>
      <c r="C490" s="8" t="str">
        <f ca="1">IFERROR(__xludf.DUMMYFUNCTION("""COMPUTED_VALUE"""),"Wounded")</f>
        <v>Wounded</v>
      </c>
      <c r="D490" s="8" t="str">
        <f ca="1">IFERROR(__xludf.DUMMYFUNCTION("""COMPUTED_VALUE"""),"Female")</f>
        <v>Female</v>
      </c>
      <c r="E490" s="8" t="str">
        <f ca="1">IFERROR(__xludf.DUMMYFUNCTION("""COMPUTED_VALUE"""),"No Relation")</f>
        <v>No Relation</v>
      </c>
      <c r="F490" s="8">
        <f ca="1">IFERROR(__xludf.DUMMYFUNCTION("""COMPUTED_VALUE"""),32)</f>
        <v>32</v>
      </c>
    </row>
    <row r="491" spans="1:6" ht="12.75">
      <c r="A491" s="4">
        <v>490</v>
      </c>
      <c r="B491" s="8" t="str">
        <f ca="1">IFERROR(__xludf.DUMMYFUNCTION("""COMPUTED_VALUE"""),"20210502ILCHC")</f>
        <v>20210502ILCHC</v>
      </c>
      <c r="C491" s="8" t="str">
        <f ca="1">IFERROR(__xludf.DUMMYFUNCTION("""COMPUTED_VALUE"""),"Wounded")</f>
        <v>Wounded</v>
      </c>
      <c r="D491" s="8" t="str">
        <f ca="1">IFERROR(__xludf.DUMMYFUNCTION("""COMPUTED_VALUE"""),"Female")</f>
        <v>Female</v>
      </c>
      <c r="E491" s="8" t="str">
        <f ca="1">IFERROR(__xludf.DUMMYFUNCTION("""COMPUTED_VALUE"""),"No Relation")</f>
        <v>No Relation</v>
      </c>
      <c r="F491" s="8">
        <f ca="1">IFERROR(__xludf.DUMMYFUNCTION("""COMPUTED_VALUE"""),26)</f>
        <v>26</v>
      </c>
    </row>
    <row r="492" spans="1:6" ht="12.75">
      <c r="A492" s="4">
        <v>491</v>
      </c>
      <c r="B492" s="8" t="str">
        <f ca="1">IFERROR(__xludf.DUMMYFUNCTION("""COMPUTED_VALUE"""),"20210501MNBES")</f>
        <v>20210501MNBES</v>
      </c>
      <c r="C492" s="8" t="str">
        <f ca="1">IFERROR(__xludf.DUMMYFUNCTION("""COMPUTED_VALUE"""),"None")</f>
        <v>None</v>
      </c>
      <c r="D492" s="8" t="str">
        <f ca="1">IFERROR(__xludf.DUMMYFUNCTION("""COMPUTED_VALUE"""),"Male")</f>
        <v>Male</v>
      </c>
      <c r="E492" s="8" t="str">
        <f ca="1">IFERROR(__xludf.DUMMYFUNCTION("""COMPUTED_VALUE"""),"No Relation")</f>
        <v>No Relation</v>
      </c>
      <c r="F492" s="8" t="str">
        <f ca="1">IFERROR(__xludf.DUMMYFUNCTION("""COMPUTED_VALUE"""),"Adult")</f>
        <v>Adult</v>
      </c>
    </row>
    <row r="493" spans="1:6" ht="12.75">
      <c r="A493" s="4">
        <v>492</v>
      </c>
      <c r="B493" s="8" t="str">
        <f ca="1">IFERROR(__xludf.DUMMYFUNCTION("""COMPUTED_VALUE"""),"20210501MNBES")</f>
        <v>20210501MNBES</v>
      </c>
      <c r="C493" s="8" t="str">
        <f ca="1">IFERROR(__xludf.DUMMYFUNCTION("""COMPUTED_VALUE"""),"None")</f>
        <v>None</v>
      </c>
      <c r="D493" s="8" t="str">
        <f ca="1">IFERROR(__xludf.DUMMYFUNCTION("""COMPUTED_VALUE"""),"Male")</f>
        <v>Male</v>
      </c>
      <c r="E493" s="8" t="str">
        <f ca="1">IFERROR(__xludf.DUMMYFUNCTION("""COMPUTED_VALUE"""),"No Relation")</f>
        <v>No Relation</v>
      </c>
      <c r="F493" s="8" t="str">
        <f ca="1">IFERROR(__xludf.DUMMYFUNCTION("""COMPUTED_VALUE"""),"Adult")</f>
        <v>Adult</v>
      </c>
    </row>
    <row r="494" spans="1:6" ht="12.75">
      <c r="A494" s="4">
        <v>493</v>
      </c>
      <c r="B494" s="8" t="str">
        <f ca="1">IFERROR(__xludf.DUMMYFUNCTION("""COMPUTED_VALUE"""),"20210430INMAI")</f>
        <v>20210430INMAI</v>
      </c>
      <c r="C494" s="8" t="str">
        <f ca="1">IFERROR(__xludf.DUMMYFUNCTION("""COMPUTED_VALUE"""),"Wounded")</f>
        <v>Wounded</v>
      </c>
      <c r="D494" s="8" t="str">
        <f ca="1">IFERROR(__xludf.DUMMYFUNCTION("""COMPUTED_VALUE"""),"Female")</f>
        <v>Female</v>
      </c>
      <c r="E494" s="8" t="str">
        <f ca="1">IFERROR(__xludf.DUMMYFUNCTION("""COMPUTED_VALUE"""),"Parent")</f>
        <v>Parent</v>
      </c>
      <c r="F494" s="8" t="str">
        <f ca="1">IFERROR(__xludf.DUMMYFUNCTION("""COMPUTED_VALUE"""),"Adult")</f>
        <v>Adult</v>
      </c>
    </row>
    <row r="495" spans="1:6" ht="12.75">
      <c r="A495" s="4">
        <v>494</v>
      </c>
      <c r="B495" s="8" t="str">
        <f ca="1">IFERROR(__xludf.DUMMYFUNCTION("""COMPUTED_VALUE"""),"20210429NYURB")</f>
        <v>20210429NYURB</v>
      </c>
      <c r="C495" s="8" t="str">
        <f ca="1">IFERROR(__xludf.DUMMYFUNCTION("""COMPUTED_VALUE"""),"Fatal")</f>
        <v>Fatal</v>
      </c>
      <c r="D495" s="8" t="str">
        <f ca="1">IFERROR(__xludf.DUMMYFUNCTION("""COMPUTED_VALUE"""),"Male")</f>
        <v>Male</v>
      </c>
      <c r="E495" s="8" t="str">
        <f ca="1">IFERROR(__xludf.DUMMYFUNCTION("""COMPUTED_VALUE"""),"Student")</f>
        <v>Student</v>
      </c>
      <c r="F495" s="8">
        <f ca="1">IFERROR(__xludf.DUMMYFUNCTION("""COMPUTED_VALUE"""),17)</f>
        <v>17</v>
      </c>
    </row>
    <row r="496" spans="1:6" ht="12.75">
      <c r="A496" s="4">
        <v>495</v>
      </c>
      <c r="B496" s="8" t="str">
        <f ca="1">IFERROR(__xludf.DUMMYFUNCTION("""COMPUTED_VALUE"""),"20210429CAVIV")</f>
        <v>20210429CAVIV</v>
      </c>
      <c r="C496" s="8" t="str">
        <f ca="1">IFERROR(__xludf.DUMMYFUNCTION("""COMPUTED_VALUE"""),"Wounded")</f>
        <v>Wounded</v>
      </c>
      <c r="D496" s="8" t="str">
        <f ca="1">IFERROR(__xludf.DUMMYFUNCTION("""COMPUTED_VALUE"""),"Male")</f>
        <v>Male</v>
      </c>
      <c r="E496" s="8" t="str">
        <f ca="1">IFERROR(__xludf.DUMMYFUNCTION("""COMPUTED_VALUE"""),"Student")</f>
        <v>Student</v>
      </c>
      <c r="F496" s="8">
        <f ca="1">IFERROR(__xludf.DUMMYFUNCTION("""COMPUTED_VALUE"""),16)</f>
        <v>16</v>
      </c>
    </row>
    <row r="497" spans="1:6" ht="12.75">
      <c r="A497" s="4">
        <v>496</v>
      </c>
      <c r="B497" s="8" t="str">
        <f ca="1">IFERROR(__xludf.DUMMYFUNCTION("""COMPUTED_VALUE"""),"20210427DESMS")</f>
        <v>20210427DESMS</v>
      </c>
      <c r="C497" s="8" t="str">
        <f ca="1">IFERROR(__xludf.DUMMYFUNCTION("""COMPUTED_VALUE"""),"Fatal")</f>
        <v>Fatal</v>
      </c>
      <c r="D497" s="8" t="str">
        <f ca="1">IFERROR(__xludf.DUMMYFUNCTION("""COMPUTED_VALUE"""),"Female")</f>
        <v>Female</v>
      </c>
      <c r="E497" s="8" t="str">
        <f ca="1">IFERROR(__xludf.DUMMYFUNCTION("""COMPUTED_VALUE"""),"Parent")</f>
        <v>Parent</v>
      </c>
      <c r="F497" s="8">
        <f ca="1">IFERROR(__xludf.DUMMYFUNCTION("""COMPUTED_VALUE"""),38)</f>
        <v>38</v>
      </c>
    </row>
    <row r="498" spans="1:6" ht="12.75">
      <c r="A498" s="4">
        <v>497</v>
      </c>
      <c r="B498" s="8" t="str">
        <f ca="1">IFERROR(__xludf.DUMMYFUNCTION("""COMPUTED_VALUE"""),"20210420TXHAH")</f>
        <v>20210420TXHAH</v>
      </c>
      <c r="C498" s="8" t="str">
        <f ca="1">IFERROR(__xludf.DUMMYFUNCTION("""COMPUTED_VALUE"""),"Fatal")</f>
        <v>Fatal</v>
      </c>
      <c r="D498" s="8" t="str">
        <f ca="1">IFERROR(__xludf.DUMMYFUNCTION("""COMPUTED_VALUE"""),"Male")</f>
        <v>Male</v>
      </c>
      <c r="E498" s="8" t="str">
        <f ca="1">IFERROR(__xludf.DUMMYFUNCTION("""COMPUTED_VALUE"""),"No Relation")</f>
        <v>No Relation</v>
      </c>
      <c r="F498" s="8">
        <f ca="1">IFERROR(__xludf.DUMMYFUNCTION("""COMPUTED_VALUE"""),19)</f>
        <v>19</v>
      </c>
    </row>
    <row r="499" spans="1:6" ht="12.75">
      <c r="A499" s="4">
        <v>498</v>
      </c>
      <c r="B499" s="8" t="str">
        <f ca="1">IFERROR(__xludf.DUMMYFUNCTION("""COMPUTED_VALUE"""),"20210418OHWED")</f>
        <v>20210418OHWED</v>
      </c>
      <c r="C499" s="8" t="str">
        <f ca="1">IFERROR(__xludf.DUMMYFUNCTION("""COMPUTED_VALUE"""),"Fatal")</f>
        <v>Fatal</v>
      </c>
      <c r="D499" s="8" t="str">
        <f ca="1">IFERROR(__xludf.DUMMYFUNCTION("""COMPUTED_VALUE"""),"Male")</f>
        <v>Male</v>
      </c>
      <c r="E499" s="8" t="str">
        <f ca="1">IFERROR(__xludf.DUMMYFUNCTION("""COMPUTED_VALUE"""),"No Relation")</f>
        <v>No Relation</v>
      </c>
      <c r="F499" s="8">
        <f ca="1">IFERROR(__xludf.DUMMYFUNCTION("""COMPUTED_VALUE"""),16)</f>
        <v>16</v>
      </c>
    </row>
    <row r="500" spans="1:6" ht="12.75">
      <c r="A500" s="4">
        <v>499</v>
      </c>
      <c r="B500" s="8" t="str">
        <f ca="1">IFERROR(__xludf.DUMMYFUNCTION("""COMPUTED_VALUE"""),"20210418OHWED")</f>
        <v>20210418OHWED</v>
      </c>
      <c r="C500" s="8" t="str">
        <f ca="1">IFERROR(__xludf.DUMMYFUNCTION("""COMPUTED_VALUE"""),"Wounded")</f>
        <v>Wounded</v>
      </c>
      <c r="D500" s="8" t="str">
        <f ca="1">IFERROR(__xludf.DUMMYFUNCTION("""COMPUTED_VALUE"""),"Male")</f>
        <v>Male</v>
      </c>
      <c r="E500" s="8" t="str">
        <f ca="1">IFERROR(__xludf.DUMMYFUNCTION("""COMPUTED_VALUE"""),"No Relation")</f>
        <v>No Relation</v>
      </c>
      <c r="F500" s="8" t="str">
        <f ca="1">IFERROR(__xludf.DUMMYFUNCTION("""COMPUTED_VALUE"""),"Teen")</f>
        <v>Teen</v>
      </c>
    </row>
    <row r="501" spans="1:6" ht="12.75">
      <c r="A501" s="4">
        <v>500</v>
      </c>
      <c r="B501" s="8" t="str">
        <f ca="1">IFERROR(__xludf.DUMMYFUNCTION("""COMPUTED_VALUE"""),"20210413TNMAC")</f>
        <v>20210413TNMAC</v>
      </c>
      <c r="C501" s="8" t="str">
        <f ca="1">IFERROR(__xludf.DUMMYFUNCTION("""COMPUTED_VALUE"""),"None")</f>
        <v>None</v>
      </c>
      <c r="D501" s="8"/>
      <c r="E501" s="8" t="str">
        <f ca="1">IFERROR(__xludf.DUMMYFUNCTION("""COMPUTED_VALUE"""),"Bus Driver")</f>
        <v>Bus Driver</v>
      </c>
      <c r="F501" s="8" t="str">
        <f ca="1">IFERROR(__xludf.DUMMYFUNCTION("""COMPUTED_VALUE"""),"Adult")</f>
        <v>Adult</v>
      </c>
    </row>
    <row r="502" spans="1:6" ht="12.75">
      <c r="A502" s="4">
        <v>501</v>
      </c>
      <c r="B502" s="8" t="str">
        <f ca="1">IFERROR(__xludf.DUMMYFUNCTION("""COMPUTED_VALUE"""),"20210412TNAUK")</f>
        <v>20210412TNAUK</v>
      </c>
      <c r="C502" s="8" t="str">
        <f ca="1">IFERROR(__xludf.DUMMYFUNCTION("""COMPUTED_VALUE"""),"Wounded")</f>
        <v>Wounded</v>
      </c>
      <c r="D502" s="8" t="str">
        <f ca="1">IFERROR(__xludf.DUMMYFUNCTION("""COMPUTED_VALUE"""),"Male")</f>
        <v>Male</v>
      </c>
      <c r="E502" s="8" t="str">
        <f ca="1">IFERROR(__xludf.DUMMYFUNCTION("""COMPUTED_VALUE"""),"Police Officer/SRO")</f>
        <v>Police Officer/SRO</v>
      </c>
      <c r="F502" s="8" t="str">
        <f ca="1">IFERROR(__xludf.DUMMYFUNCTION("""COMPUTED_VALUE"""),"Adult")</f>
        <v>Adult</v>
      </c>
    </row>
    <row r="503" spans="1:6" ht="12.75">
      <c r="A503" s="4">
        <v>502</v>
      </c>
      <c r="B503" s="8" t="str">
        <f ca="1">IFERROR(__xludf.DUMMYFUNCTION("""COMPUTED_VALUE"""),"20210412CASAS")</f>
        <v>20210412CASAS</v>
      </c>
      <c r="C503" s="8" t="str">
        <f ca="1">IFERROR(__xludf.DUMMYFUNCTION("""COMPUTED_VALUE"""),"None")</f>
        <v>None</v>
      </c>
      <c r="D503" s="8" t="str">
        <f ca="1">IFERROR(__xludf.DUMMYFUNCTION("""COMPUTED_VALUE"""),"Female")</f>
        <v>Female</v>
      </c>
      <c r="E503" s="8" t="str">
        <f ca="1">IFERROR(__xludf.DUMMYFUNCTION("""COMPUTED_VALUE"""),"No Relation")</f>
        <v>No Relation</v>
      </c>
      <c r="F503" s="8">
        <f ca="1">IFERROR(__xludf.DUMMYFUNCTION("""COMPUTED_VALUE"""),33)</f>
        <v>33</v>
      </c>
    </row>
    <row r="504" spans="1:6" ht="12.75">
      <c r="A504" s="4">
        <v>503</v>
      </c>
      <c r="B504" s="8" t="str">
        <f ca="1">IFERROR(__xludf.DUMMYFUNCTION("""COMPUTED_VALUE"""),"20210411INBIH")</f>
        <v>20210411INBIH</v>
      </c>
      <c r="C504" s="8" t="str">
        <f ca="1">IFERROR(__xludf.DUMMYFUNCTION("""COMPUTED_VALUE"""),"Fatal")</f>
        <v>Fatal</v>
      </c>
      <c r="D504" s="8" t="str">
        <f ca="1">IFERROR(__xludf.DUMMYFUNCTION("""COMPUTED_VALUE"""),"Female")</f>
        <v>Female</v>
      </c>
      <c r="E504" s="8" t="str">
        <f ca="1">IFERROR(__xludf.DUMMYFUNCTION("""COMPUTED_VALUE"""),"No Relation")</f>
        <v>No Relation</v>
      </c>
      <c r="F504" s="8">
        <f ca="1">IFERROR(__xludf.DUMMYFUNCTION("""COMPUTED_VALUE"""),43)</f>
        <v>43</v>
      </c>
    </row>
    <row r="505" spans="1:6" ht="12.75">
      <c r="A505" s="4">
        <v>504</v>
      </c>
      <c r="B505" s="8" t="str">
        <f ca="1">IFERROR(__xludf.DUMMYFUNCTION("""COMPUTED_VALUE"""),"20210407ILPEP")</f>
        <v>20210407ILPEP</v>
      </c>
      <c r="C505" s="8" t="str">
        <f ca="1">IFERROR(__xludf.DUMMYFUNCTION("""COMPUTED_VALUE"""),"None")</f>
        <v>None</v>
      </c>
      <c r="D505" s="8" t="str">
        <f ca="1">IFERROR(__xludf.DUMMYFUNCTION("""COMPUTED_VALUE"""),"Male")</f>
        <v>Male</v>
      </c>
      <c r="E505" s="8" t="str">
        <f ca="1">IFERROR(__xludf.DUMMYFUNCTION("""COMPUTED_VALUE"""),"Student")</f>
        <v>Student</v>
      </c>
      <c r="F505" s="8">
        <f ca="1">IFERROR(__xludf.DUMMYFUNCTION("""COMPUTED_VALUE"""),16)</f>
        <v>16</v>
      </c>
    </row>
    <row r="506" spans="1:6" ht="12.75">
      <c r="A506" s="4">
        <v>505</v>
      </c>
      <c r="B506" s="8" t="str">
        <f ca="1">IFERROR(__xludf.DUMMYFUNCTION("""COMPUTED_VALUE"""),"20210401ALSES")</f>
        <v>20210401ALSES</v>
      </c>
      <c r="C506" s="8" t="str">
        <f ca="1">IFERROR(__xludf.DUMMYFUNCTION("""COMPUTED_VALUE"""),"None")</f>
        <v>None</v>
      </c>
      <c r="D506" s="8" t="str">
        <f ca="1">IFERROR(__xludf.DUMMYFUNCTION("""COMPUTED_VALUE"""),"Male")</f>
        <v>Male</v>
      </c>
      <c r="E506" s="8" t="str">
        <f ca="1">IFERROR(__xludf.DUMMYFUNCTION("""COMPUTED_VALUE"""),"Student")</f>
        <v>Student</v>
      </c>
      <c r="F506" s="8" t="str">
        <f ca="1">IFERROR(__xludf.DUMMYFUNCTION("""COMPUTED_VALUE"""),"Teen")</f>
        <v>Teen</v>
      </c>
    </row>
    <row r="507" spans="1:6" ht="12.75">
      <c r="A507" s="4">
        <v>506</v>
      </c>
      <c r="B507" s="8" t="str">
        <f ca="1">IFERROR(__xludf.DUMMYFUNCTION("""COMPUTED_VALUE"""),"20210327MAPEC")</f>
        <v>20210327MAPEC</v>
      </c>
      <c r="C507" s="8" t="str">
        <f ca="1">IFERROR(__xludf.DUMMYFUNCTION("""COMPUTED_VALUE"""),"Fatal")</f>
        <v>Fatal</v>
      </c>
      <c r="D507" s="8" t="str">
        <f ca="1">IFERROR(__xludf.DUMMYFUNCTION("""COMPUTED_VALUE"""),"Male")</f>
        <v>Male</v>
      </c>
      <c r="E507" s="8" t="str">
        <f ca="1">IFERROR(__xludf.DUMMYFUNCTION("""COMPUTED_VALUE"""),"Nonstudent Using Athletic Facilities/Attending Game")</f>
        <v>Nonstudent Using Athletic Facilities/Attending Game</v>
      </c>
      <c r="F507" s="8">
        <f ca="1">IFERROR(__xludf.DUMMYFUNCTION("""COMPUTED_VALUE"""),19)</f>
        <v>19</v>
      </c>
    </row>
    <row r="508" spans="1:6" ht="12.75">
      <c r="A508" s="4">
        <v>507</v>
      </c>
      <c r="B508" s="8" t="str">
        <f ca="1">IFERROR(__xludf.DUMMYFUNCTION("""COMPUTED_VALUE"""),"20210324ORFOS")</f>
        <v>20210324ORFOS</v>
      </c>
      <c r="C508" s="8" t="str">
        <f ca="1">IFERROR(__xludf.DUMMYFUNCTION("""COMPUTED_VALUE"""),"Fatal")</f>
        <v>Fatal</v>
      </c>
      <c r="D508" s="8" t="str">
        <f ca="1">IFERROR(__xludf.DUMMYFUNCTION("""COMPUTED_VALUE"""),"Male")</f>
        <v>Male</v>
      </c>
      <c r="E508" s="8" t="str">
        <f ca="1">IFERROR(__xludf.DUMMYFUNCTION("""COMPUTED_VALUE"""),"No Relation")</f>
        <v>No Relation</v>
      </c>
      <c r="F508" s="8">
        <f ca="1">IFERROR(__xludf.DUMMYFUNCTION("""COMPUTED_VALUE"""),17)</f>
        <v>17</v>
      </c>
    </row>
    <row r="509" spans="1:6" ht="12.75">
      <c r="A509" s="4">
        <v>508</v>
      </c>
      <c r="B509" s="8" t="str">
        <f ca="1">IFERROR(__xludf.DUMMYFUNCTION("""COMPUTED_VALUE"""),"20210324ORFOS")</f>
        <v>20210324ORFOS</v>
      </c>
      <c r="C509" s="8" t="str">
        <f ca="1">IFERROR(__xludf.DUMMYFUNCTION("""COMPUTED_VALUE"""),"Wounded")</f>
        <v>Wounded</v>
      </c>
      <c r="D509" s="8" t="str">
        <f ca="1">IFERROR(__xludf.DUMMYFUNCTION("""COMPUTED_VALUE"""),"Male")</f>
        <v>Male</v>
      </c>
      <c r="E509" s="8" t="str">
        <f ca="1">IFERROR(__xludf.DUMMYFUNCTION("""COMPUTED_VALUE"""),"No Relation")</f>
        <v>No Relation</v>
      </c>
      <c r="F509" s="8">
        <f ca="1">IFERROR(__xludf.DUMMYFUNCTION("""COMPUTED_VALUE"""),17)</f>
        <v>17</v>
      </c>
    </row>
    <row r="510" spans="1:6" ht="12.75">
      <c r="A510" s="4">
        <v>509</v>
      </c>
      <c r="B510" s="8" t="str">
        <f ca="1">IFERROR(__xludf.DUMMYFUNCTION("""COMPUTED_VALUE"""),"20210315INMEM")</f>
        <v>20210315INMEM</v>
      </c>
      <c r="C510" s="8" t="str">
        <f ca="1">IFERROR(__xludf.DUMMYFUNCTION("""COMPUTED_VALUE"""),"Fatal")</f>
        <v>Fatal</v>
      </c>
      <c r="D510" s="8" t="str">
        <f ca="1">IFERROR(__xludf.DUMMYFUNCTION("""COMPUTED_VALUE"""),"Male")</f>
        <v>Male</v>
      </c>
      <c r="E510" s="8" t="str">
        <f ca="1">IFERROR(__xludf.DUMMYFUNCTION("""COMPUTED_VALUE"""),"No Relation")</f>
        <v>No Relation</v>
      </c>
      <c r="F510" s="8">
        <f ca="1">IFERROR(__xludf.DUMMYFUNCTION("""COMPUTED_VALUE"""),18)</f>
        <v>18</v>
      </c>
    </row>
    <row r="511" spans="1:6" ht="12.75">
      <c r="A511" s="4">
        <v>510</v>
      </c>
      <c r="B511" s="8" t="str">
        <f ca="1">IFERROR(__xludf.DUMMYFUNCTION("""COMPUTED_VALUE"""),"20210315INMEM")</f>
        <v>20210315INMEM</v>
      </c>
      <c r="C511" s="8" t="str">
        <f ca="1">IFERROR(__xludf.DUMMYFUNCTION("""COMPUTED_VALUE"""),"Wounded")</f>
        <v>Wounded</v>
      </c>
      <c r="D511" s="8" t="str">
        <f ca="1">IFERROR(__xludf.DUMMYFUNCTION("""COMPUTED_VALUE"""),"Male")</f>
        <v>Male</v>
      </c>
      <c r="E511" s="8" t="str">
        <f ca="1">IFERROR(__xludf.DUMMYFUNCTION("""COMPUTED_VALUE"""),"No Relation")</f>
        <v>No Relation</v>
      </c>
      <c r="F511" s="8" t="str">
        <f ca="1">IFERROR(__xludf.DUMMYFUNCTION("""COMPUTED_VALUE"""),"Teen")</f>
        <v>Teen</v>
      </c>
    </row>
    <row r="512" spans="1:6" ht="12.75">
      <c r="A512" s="4">
        <v>511</v>
      </c>
      <c r="B512" s="8" t="str">
        <f ca="1">IFERROR(__xludf.DUMMYFUNCTION("""COMPUTED_VALUE"""),"20210313TXLEA")</f>
        <v>20210313TXLEA</v>
      </c>
      <c r="C512" s="8" t="str">
        <f ca="1">IFERROR(__xludf.DUMMYFUNCTION("""COMPUTED_VALUE"""),"Wounded")</f>
        <v>Wounded</v>
      </c>
      <c r="D512" s="8" t="str">
        <f ca="1">IFERROR(__xludf.DUMMYFUNCTION("""COMPUTED_VALUE"""),"Male")</f>
        <v>Male</v>
      </c>
      <c r="E512" s="8" t="str">
        <f ca="1">IFERROR(__xludf.DUMMYFUNCTION("""COMPUTED_VALUE"""),"Nonstudent Using Athletic Facilities/Attending Game")</f>
        <v>Nonstudent Using Athletic Facilities/Attending Game</v>
      </c>
      <c r="F512" s="8" t="str">
        <f ca="1">IFERROR(__xludf.DUMMYFUNCTION("""COMPUTED_VALUE"""),"Adult")</f>
        <v>Adult</v>
      </c>
    </row>
    <row r="513" spans="1:6" ht="12.75">
      <c r="A513" s="4">
        <v>512</v>
      </c>
      <c r="B513" s="8" t="str">
        <f ca="1">IFERROR(__xludf.DUMMYFUNCTION("""COMPUTED_VALUE"""),"20210311OHCIC")</f>
        <v>20210311OHCIC</v>
      </c>
      <c r="C513" s="8" t="str">
        <f ca="1">IFERROR(__xludf.DUMMYFUNCTION("""COMPUTED_VALUE"""),"Wounded")</f>
        <v>Wounded</v>
      </c>
      <c r="D513" s="8" t="str">
        <f ca="1">IFERROR(__xludf.DUMMYFUNCTION("""COMPUTED_VALUE"""),"Male")</f>
        <v>Male</v>
      </c>
      <c r="E513" s="8" t="str">
        <f ca="1">IFERROR(__xludf.DUMMYFUNCTION("""COMPUTED_VALUE"""),"No Relation")</f>
        <v>No Relation</v>
      </c>
      <c r="F513" s="8" t="str">
        <f ca="1">IFERROR(__xludf.DUMMYFUNCTION("""COMPUTED_VALUE"""),"Adult")</f>
        <v>Adult</v>
      </c>
    </row>
    <row r="514" spans="1:6" ht="12.75">
      <c r="A514" s="4">
        <v>513</v>
      </c>
      <c r="B514" s="8" t="str">
        <f ca="1">IFERROR(__xludf.DUMMYFUNCTION("""COMPUTED_VALUE"""),"20210308SCEDC")</f>
        <v>20210308SCEDC</v>
      </c>
      <c r="C514" s="8" t="str">
        <f ca="1">IFERROR(__xludf.DUMMYFUNCTION("""COMPUTED_VALUE"""),"Wounded")</f>
        <v>Wounded</v>
      </c>
      <c r="D514" s="8" t="str">
        <f ca="1">IFERROR(__xludf.DUMMYFUNCTION("""COMPUTED_VALUE"""),"Male")</f>
        <v>Male</v>
      </c>
      <c r="E514" s="8" t="str">
        <f ca="1">IFERROR(__xludf.DUMMYFUNCTION("""COMPUTED_VALUE"""),"Relative")</f>
        <v>Relative</v>
      </c>
      <c r="F514" s="8" t="str">
        <f ca="1">IFERROR(__xludf.DUMMYFUNCTION("""COMPUTED_VALUE"""),"Adult")</f>
        <v>Adult</v>
      </c>
    </row>
    <row r="515" spans="1:6" ht="12.75">
      <c r="A515" s="4">
        <v>514</v>
      </c>
      <c r="B515" s="8" t="str">
        <f ca="1">IFERROR(__xludf.DUMMYFUNCTION("""COMPUTED_VALUE"""),"20210301ARWAP")</f>
        <v>20210301ARWAP</v>
      </c>
      <c r="C515" s="8" t="str">
        <f ca="1">IFERROR(__xludf.DUMMYFUNCTION("""COMPUTED_VALUE"""),"Fatal")</f>
        <v>Fatal</v>
      </c>
      <c r="D515" s="8" t="str">
        <f ca="1">IFERROR(__xludf.DUMMYFUNCTION("""COMPUTED_VALUE"""),"Male")</f>
        <v>Male</v>
      </c>
      <c r="E515" s="8" t="str">
        <f ca="1">IFERROR(__xludf.DUMMYFUNCTION("""COMPUTED_VALUE"""),"Student")</f>
        <v>Student</v>
      </c>
      <c r="F515" s="8">
        <f ca="1">IFERROR(__xludf.DUMMYFUNCTION("""COMPUTED_VALUE"""),15)</f>
        <v>15</v>
      </c>
    </row>
    <row r="516" spans="1:6" ht="12.75">
      <c r="A516" s="4">
        <v>515</v>
      </c>
      <c r="B516" s="8" t="str">
        <f ca="1">IFERROR(__xludf.DUMMYFUNCTION("""COMPUTED_VALUE"""),"20210226LAGEN")</f>
        <v>20210226LAGEN</v>
      </c>
      <c r="C516" s="8" t="str">
        <f ca="1">IFERROR(__xludf.DUMMYFUNCTION("""COMPUTED_VALUE"""),"Fatal")</f>
        <v>Fatal</v>
      </c>
      <c r="D516" s="8" t="str">
        <f ca="1">IFERROR(__xludf.DUMMYFUNCTION("""COMPUTED_VALUE"""),"Male")</f>
        <v>Male</v>
      </c>
      <c r="E516" s="8" t="str">
        <f ca="1">IFERROR(__xludf.DUMMYFUNCTION("""COMPUTED_VALUE"""),"Police Officer/SRO")</f>
        <v>Police Officer/SRO</v>
      </c>
      <c r="F516" s="8">
        <f ca="1">IFERROR(__xludf.DUMMYFUNCTION("""COMPUTED_VALUE"""),38)</f>
        <v>38</v>
      </c>
    </row>
    <row r="517" spans="1:6" ht="12.75">
      <c r="A517" s="4">
        <v>516</v>
      </c>
      <c r="B517" s="8" t="str">
        <f ca="1">IFERROR(__xludf.DUMMYFUNCTION("""COMPUTED_VALUE"""),"20210224WAGAY")</f>
        <v>20210224WAGAY</v>
      </c>
      <c r="C517" s="8" t="str">
        <f ca="1">IFERROR(__xludf.DUMMYFUNCTION("""COMPUTED_VALUE"""),"Wounded")</f>
        <v>Wounded</v>
      </c>
      <c r="D517" s="8" t="str">
        <f ca="1">IFERROR(__xludf.DUMMYFUNCTION("""COMPUTED_VALUE"""),"Male")</f>
        <v>Male</v>
      </c>
      <c r="E517" s="8" t="str">
        <f ca="1">IFERROR(__xludf.DUMMYFUNCTION("""COMPUTED_VALUE"""),"No Relation")</f>
        <v>No Relation</v>
      </c>
      <c r="F517" s="8">
        <f ca="1">IFERROR(__xludf.DUMMYFUNCTION("""COMPUTED_VALUE"""),16)</f>
        <v>16</v>
      </c>
    </row>
    <row r="518" spans="1:6" ht="12.75">
      <c r="A518" s="4">
        <v>517</v>
      </c>
      <c r="B518" s="8" t="str">
        <f ca="1">IFERROR(__xludf.DUMMYFUNCTION("""COMPUTED_VALUE"""),"20210222CAHOV")</f>
        <v>20210222CAHOV</v>
      </c>
      <c r="C518" s="8" t="str">
        <f ca="1">IFERROR(__xludf.DUMMYFUNCTION("""COMPUTED_VALUE"""),"Wounded")</f>
        <v>Wounded</v>
      </c>
      <c r="D518" s="8" t="str">
        <f ca="1">IFERROR(__xludf.DUMMYFUNCTION("""COMPUTED_VALUE"""),"Male")</f>
        <v>Male</v>
      </c>
      <c r="E518" s="8" t="str">
        <f ca="1">IFERROR(__xludf.DUMMYFUNCTION("""COMPUTED_VALUE"""),"No Relation")</f>
        <v>No Relation</v>
      </c>
      <c r="F518" s="8" t="str">
        <f ca="1">IFERROR(__xludf.DUMMYFUNCTION("""COMPUTED_VALUE"""),"Adult")</f>
        <v>Adult</v>
      </c>
    </row>
    <row r="519" spans="1:6" ht="12.75">
      <c r="A519" s="4">
        <v>518</v>
      </c>
      <c r="B519" s="8" t="str">
        <f ca="1">IFERROR(__xludf.DUMMYFUNCTION("""COMPUTED_VALUE"""),"20210219ILLIR")</f>
        <v>20210219ILLIR</v>
      </c>
      <c r="C519" s="8" t="str">
        <f ca="1">IFERROR(__xludf.DUMMYFUNCTION("""COMPUTED_VALUE"""),"Fatal")</f>
        <v>Fatal</v>
      </c>
      <c r="D519" s="8" t="str">
        <f ca="1">IFERROR(__xludf.DUMMYFUNCTION("""COMPUTED_VALUE"""),"Male")</f>
        <v>Male</v>
      </c>
      <c r="E519" s="8" t="str">
        <f ca="1">IFERROR(__xludf.DUMMYFUNCTION("""COMPUTED_VALUE"""),"No Relation")</f>
        <v>No Relation</v>
      </c>
      <c r="F519" s="8">
        <f ca="1">IFERROR(__xludf.DUMMYFUNCTION("""COMPUTED_VALUE"""),30)</f>
        <v>30</v>
      </c>
    </row>
    <row r="520" spans="1:6" ht="12.75">
      <c r="A520" s="4">
        <v>519</v>
      </c>
      <c r="B520" s="8" t="str">
        <f ca="1">IFERROR(__xludf.DUMMYFUNCTION("""COMPUTED_VALUE"""),"20210214MNROM")</f>
        <v>20210214MNROM</v>
      </c>
      <c r="C520" s="8" t="str">
        <f ca="1">IFERROR(__xludf.DUMMYFUNCTION("""COMPUTED_VALUE"""),"Wounded")</f>
        <v>Wounded</v>
      </c>
      <c r="D520" s="8"/>
      <c r="E520" s="8" t="str">
        <f ca="1">IFERROR(__xludf.DUMMYFUNCTION("""COMPUTED_VALUE"""),"No Relation")</f>
        <v>No Relation</v>
      </c>
      <c r="F520" s="8" t="str">
        <f ca="1">IFERROR(__xludf.DUMMYFUNCTION("""COMPUTED_VALUE"""),"Adult")</f>
        <v>Adult</v>
      </c>
    </row>
    <row r="521" spans="1:6" ht="12.75">
      <c r="A521" s="4">
        <v>520</v>
      </c>
      <c r="B521" s="8" t="str">
        <f ca="1">IFERROR(__xludf.DUMMYFUNCTION("""COMPUTED_VALUE"""),"20210214MNROM")</f>
        <v>20210214MNROM</v>
      </c>
      <c r="C521" s="8" t="str">
        <f ca="1">IFERROR(__xludf.DUMMYFUNCTION("""COMPUTED_VALUE"""),"Fatal")</f>
        <v>Fatal</v>
      </c>
      <c r="D521" s="8" t="str">
        <f ca="1">IFERROR(__xludf.DUMMYFUNCTION("""COMPUTED_VALUE"""),"Male")</f>
        <v>Male</v>
      </c>
      <c r="E521" s="8" t="str">
        <f ca="1">IFERROR(__xludf.DUMMYFUNCTION("""COMPUTED_VALUE"""),"No Relation")</f>
        <v>No Relation</v>
      </c>
      <c r="F521" s="8">
        <f ca="1">IFERROR(__xludf.DUMMYFUNCTION("""COMPUTED_VALUE"""),53)</f>
        <v>53</v>
      </c>
    </row>
    <row r="522" spans="1:6" ht="12.75">
      <c r="A522" s="4">
        <v>521</v>
      </c>
      <c r="B522" s="8" t="str">
        <f ca="1">IFERROR(__xludf.DUMMYFUNCTION("""COMPUTED_VALUE"""),"20210214MNROM")</f>
        <v>20210214MNROM</v>
      </c>
      <c r="C522" s="8" t="str">
        <f ca="1">IFERROR(__xludf.DUMMYFUNCTION("""COMPUTED_VALUE"""),"Fatal")</f>
        <v>Fatal</v>
      </c>
      <c r="D522" s="8" t="str">
        <f ca="1">IFERROR(__xludf.DUMMYFUNCTION("""COMPUTED_VALUE"""),"Female")</f>
        <v>Female</v>
      </c>
      <c r="E522" s="8" t="str">
        <f ca="1">IFERROR(__xludf.DUMMYFUNCTION("""COMPUTED_VALUE"""),"No Relation")</f>
        <v>No Relation</v>
      </c>
      <c r="F522" s="8">
        <f ca="1">IFERROR(__xludf.DUMMYFUNCTION("""COMPUTED_VALUE"""),34)</f>
        <v>34</v>
      </c>
    </row>
    <row r="523" spans="1:6" ht="12.75">
      <c r="A523" s="4">
        <v>522</v>
      </c>
      <c r="B523" s="8" t="str">
        <f ca="1">IFERROR(__xludf.DUMMYFUNCTION("""COMPUTED_VALUE"""),"20210210TXFOF")</f>
        <v>20210210TXFOF</v>
      </c>
      <c r="C523" s="8" t="str">
        <f ca="1">IFERROR(__xludf.DUMMYFUNCTION("""COMPUTED_VALUE"""),"Fatal")</f>
        <v>Fatal</v>
      </c>
      <c r="D523" s="8" t="str">
        <f ca="1">IFERROR(__xludf.DUMMYFUNCTION("""COMPUTED_VALUE"""),"Male")</f>
        <v>Male</v>
      </c>
      <c r="E523" s="8" t="str">
        <f ca="1">IFERROR(__xludf.DUMMYFUNCTION("""COMPUTED_VALUE"""),"No Relation")</f>
        <v>No Relation</v>
      </c>
      <c r="F523" s="8" t="str">
        <f ca="1">IFERROR(__xludf.DUMMYFUNCTION("""COMPUTED_VALUE"""),"Adult")</f>
        <v>Adult</v>
      </c>
    </row>
    <row r="524" spans="1:6" ht="12.75">
      <c r="A524" s="4">
        <v>523</v>
      </c>
      <c r="B524" s="8" t="str">
        <f ca="1">IFERROR(__xludf.DUMMYFUNCTION("""COMPUTED_VALUE"""),"20210210NJSCP")</f>
        <v>20210210NJSCP</v>
      </c>
      <c r="C524" s="8" t="str">
        <f ca="1">IFERROR(__xludf.DUMMYFUNCTION("""COMPUTED_VALUE"""),"Fatal")</f>
        <v>Fatal</v>
      </c>
      <c r="D524" s="8" t="str">
        <f ca="1">IFERROR(__xludf.DUMMYFUNCTION("""COMPUTED_VALUE"""),"Female")</f>
        <v>Female</v>
      </c>
      <c r="E524" s="8" t="str">
        <f ca="1">IFERROR(__xludf.DUMMYFUNCTION("""COMPUTED_VALUE"""),"No Relation")</f>
        <v>No Relation</v>
      </c>
      <c r="F524" s="8">
        <f ca="1">IFERROR(__xludf.DUMMYFUNCTION("""COMPUTED_VALUE"""),41)</f>
        <v>41</v>
      </c>
    </row>
    <row r="525" spans="1:6" ht="12.75">
      <c r="A525" s="4">
        <v>524</v>
      </c>
      <c r="B525" s="8" t="str">
        <f ca="1">IFERROR(__xludf.DUMMYFUNCTION("""COMPUTED_VALUE"""),"20210210LASTS")</f>
        <v>20210210LASTS</v>
      </c>
      <c r="C525" s="8" t="str">
        <f ca="1">IFERROR(__xludf.DUMMYFUNCTION("""COMPUTED_VALUE"""),"Minor Injuries")</f>
        <v>Minor Injuries</v>
      </c>
      <c r="D525" s="8" t="str">
        <f ca="1">IFERROR(__xludf.DUMMYFUNCTION("""COMPUTED_VALUE"""),"Male")</f>
        <v>Male</v>
      </c>
      <c r="E525" s="8" t="str">
        <f ca="1">IFERROR(__xludf.DUMMYFUNCTION("""COMPUTED_VALUE"""),"Student")</f>
        <v>Student</v>
      </c>
      <c r="F525" s="8">
        <f ca="1">IFERROR(__xludf.DUMMYFUNCTION("""COMPUTED_VALUE"""),4)</f>
        <v>4</v>
      </c>
    </row>
    <row r="526" spans="1:6" ht="12.75">
      <c r="A526" s="4">
        <v>525</v>
      </c>
      <c r="B526" s="8" t="str">
        <f ca="1">IFERROR(__xludf.DUMMYFUNCTION("""COMPUTED_VALUE"""),"20210205MDBEM")</f>
        <v>20210205MDBEM</v>
      </c>
      <c r="C526" s="8" t="str">
        <f ca="1">IFERROR(__xludf.DUMMYFUNCTION("""COMPUTED_VALUE"""),"Wounded")</f>
        <v>Wounded</v>
      </c>
      <c r="D526" s="8" t="str">
        <f ca="1">IFERROR(__xludf.DUMMYFUNCTION("""COMPUTED_VALUE"""),"Male")</f>
        <v>Male</v>
      </c>
      <c r="E526" s="8" t="str">
        <f ca="1">IFERROR(__xludf.DUMMYFUNCTION("""COMPUTED_VALUE"""),"No Relation")</f>
        <v>No Relation</v>
      </c>
      <c r="F526" s="8" t="str">
        <f ca="1">IFERROR(__xludf.DUMMYFUNCTION("""COMPUTED_VALUE"""),"Adult")</f>
        <v>Adult</v>
      </c>
    </row>
    <row r="527" spans="1:6" ht="12.75">
      <c r="A527" s="4">
        <v>526</v>
      </c>
      <c r="B527" s="8" t="str">
        <f ca="1">IFERROR(__xludf.DUMMYFUNCTION("""COMPUTED_VALUE"""),"20210201MIMUD")</f>
        <v>20210201MIMUD</v>
      </c>
      <c r="C527" s="8" t="str">
        <f ca="1">IFERROR(__xludf.DUMMYFUNCTION("""COMPUTED_VALUE"""),"Wounded")</f>
        <v>Wounded</v>
      </c>
      <c r="D527" s="8"/>
      <c r="E527" s="8" t="str">
        <f ca="1">IFERROR(__xludf.DUMMYFUNCTION("""COMPUTED_VALUE"""),"Nonstudent Using Athletic Facilities/Attending Game")</f>
        <v>Nonstudent Using Athletic Facilities/Attending Game</v>
      </c>
      <c r="F527" s="8"/>
    </row>
    <row r="528" spans="1:6" ht="12.75">
      <c r="A528" s="4">
        <v>527</v>
      </c>
      <c r="B528" s="8" t="str">
        <f ca="1">IFERROR(__xludf.DUMMYFUNCTION("""COMPUTED_VALUE"""),"20210127FLHOH")</f>
        <v>20210127FLHOH</v>
      </c>
      <c r="C528" s="8" t="str">
        <f ca="1">IFERROR(__xludf.DUMMYFUNCTION("""COMPUTED_VALUE"""),"Minor Injuries")</f>
        <v>Minor Injuries</v>
      </c>
      <c r="D528" s="8"/>
      <c r="E528" s="8" t="str">
        <f ca="1">IFERROR(__xludf.DUMMYFUNCTION("""COMPUTED_VALUE"""),"Student")</f>
        <v>Student</v>
      </c>
      <c r="F528" s="8" t="str">
        <f ca="1">IFERROR(__xludf.DUMMYFUNCTION("""COMPUTED_VALUE"""),"Teen")</f>
        <v>Teen</v>
      </c>
    </row>
    <row r="529" spans="1:6" ht="12.75">
      <c r="A529" s="4">
        <v>528</v>
      </c>
      <c r="B529" s="8" t="str">
        <f ca="1">IFERROR(__xludf.DUMMYFUNCTION("""COMPUTED_VALUE"""),"20210121OHEAC")</f>
        <v>20210121OHEAC</v>
      </c>
      <c r="C529" s="8" t="str">
        <f ca="1">IFERROR(__xludf.DUMMYFUNCTION("""COMPUTED_VALUE"""),"Wounded")</f>
        <v>Wounded</v>
      </c>
      <c r="D529" s="8" t="str">
        <f ca="1">IFERROR(__xludf.DUMMYFUNCTION("""COMPUTED_VALUE"""),"Male")</f>
        <v>Male</v>
      </c>
      <c r="E529" s="8" t="str">
        <f ca="1">IFERROR(__xludf.DUMMYFUNCTION("""COMPUTED_VALUE"""),"No Relation")</f>
        <v>No Relation</v>
      </c>
      <c r="F529" s="8">
        <f ca="1">IFERROR(__xludf.DUMMYFUNCTION("""COMPUTED_VALUE"""),19)</f>
        <v>19</v>
      </c>
    </row>
    <row r="530" spans="1:6" ht="12.75">
      <c r="A530" s="4">
        <v>529</v>
      </c>
      <c r="B530" s="8" t="str">
        <f ca="1">IFERROR(__xludf.DUMMYFUNCTION("""COMPUTED_VALUE"""),"20210114MDHIW")</f>
        <v>20210114MDHIW</v>
      </c>
      <c r="C530" s="8" t="str">
        <f ca="1">IFERROR(__xludf.DUMMYFUNCTION("""COMPUTED_VALUE"""),"Fatal")</f>
        <v>Fatal</v>
      </c>
      <c r="D530" s="8" t="str">
        <f ca="1">IFERROR(__xludf.DUMMYFUNCTION("""COMPUTED_VALUE"""),"Male")</f>
        <v>Male</v>
      </c>
      <c r="E530" s="8" t="str">
        <f ca="1">IFERROR(__xludf.DUMMYFUNCTION("""COMPUTED_VALUE"""),"No Relation")</f>
        <v>No Relation</v>
      </c>
      <c r="F530" s="8">
        <f ca="1">IFERROR(__xludf.DUMMYFUNCTION("""COMPUTED_VALUE"""),21)</f>
        <v>21</v>
      </c>
    </row>
    <row r="531" spans="1:6" ht="12.75">
      <c r="A531" s="4">
        <v>530</v>
      </c>
      <c r="B531" s="8" t="str">
        <f ca="1">IFERROR(__xludf.DUMMYFUNCTION("""COMPUTED_VALUE"""),"20210110ILSOS")</f>
        <v>20210110ILSOS</v>
      </c>
      <c r="C531" s="8" t="str">
        <f ca="1">IFERROR(__xludf.DUMMYFUNCTION("""COMPUTED_VALUE"""),"Wounded")</f>
        <v>Wounded</v>
      </c>
      <c r="D531" s="8" t="str">
        <f ca="1">IFERROR(__xludf.DUMMYFUNCTION("""COMPUTED_VALUE"""),"Female")</f>
        <v>Female</v>
      </c>
      <c r="E531" s="8" t="str">
        <f ca="1">IFERROR(__xludf.DUMMYFUNCTION("""COMPUTED_VALUE"""),"Student")</f>
        <v>Student</v>
      </c>
      <c r="F531" s="8">
        <f ca="1">IFERROR(__xludf.DUMMYFUNCTION("""COMPUTED_VALUE"""),16)</f>
        <v>16</v>
      </c>
    </row>
    <row r="532" spans="1:6" ht="12.75">
      <c r="A532" s="4">
        <v>531</v>
      </c>
      <c r="B532" s="8" t="str">
        <f ca="1">IFERROR(__xludf.DUMMYFUNCTION("""COMPUTED_VALUE"""),"20210110ILSOS")</f>
        <v>20210110ILSOS</v>
      </c>
      <c r="C532" s="8" t="str">
        <f ca="1">IFERROR(__xludf.DUMMYFUNCTION("""COMPUTED_VALUE"""),"Wounded")</f>
        <v>Wounded</v>
      </c>
      <c r="D532" s="8" t="str">
        <f ca="1">IFERROR(__xludf.DUMMYFUNCTION("""COMPUTED_VALUE"""),"Female")</f>
        <v>Female</v>
      </c>
      <c r="E532" s="8" t="str">
        <f ca="1">IFERROR(__xludf.DUMMYFUNCTION("""COMPUTED_VALUE"""),"Relative")</f>
        <v>Relative</v>
      </c>
      <c r="F532" s="8">
        <f ca="1">IFERROR(__xludf.DUMMYFUNCTION("""COMPUTED_VALUE"""),20)</f>
        <v>20</v>
      </c>
    </row>
    <row r="533" spans="1:6" ht="12.75">
      <c r="A533" s="4">
        <v>532</v>
      </c>
      <c r="B533" s="8" t="str">
        <f ca="1">IFERROR(__xludf.DUMMYFUNCTION("""COMPUTED_VALUE"""),"20201229WAROS")</f>
        <v>20201229WAROS</v>
      </c>
      <c r="C533" s="8" t="str">
        <f ca="1">IFERROR(__xludf.DUMMYFUNCTION("""COMPUTED_VALUE"""),"Wounded")</f>
        <v>Wounded</v>
      </c>
      <c r="D533" s="8" t="str">
        <f ca="1">IFERROR(__xludf.DUMMYFUNCTION("""COMPUTED_VALUE"""),"Male")</f>
        <v>Male</v>
      </c>
      <c r="E533" s="8"/>
      <c r="F533" s="8" t="str">
        <f ca="1">IFERROR(__xludf.DUMMYFUNCTION("""COMPUTED_VALUE"""),"Teen")</f>
        <v>Teen</v>
      </c>
    </row>
    <row r="534" spans="1:6" ht="12.75">
      <c r="A534" s="4">
        <v>533</v>
      </c>
      <c r="B534" s="8" t="str">
        <f ca="1">IFERROR(__xludf.DUMMYFUNCTION("""COMPUTED_VALUE"""),"20201229WAROS")</f>
        <v>20201229WAROS</v>
      </c>
      <c r="C534" s="8" t="str">
        <f ca="1">IFERROR(__xludf.DUMMYFUNCTION("""COMPUTED_VALUE"""),"Wounded")</f>
        <v>Wounded</v>
      </c>
      <c r="D534" s="8" t="str">
        <f ca="1">IFERROR(__xludf.DUMMYFUNCTION("""COMPUTED_VALUE"""),"Male")</f>
        <v>Male</v>
      </c>
      <c r="E534" s="8"/>
      <c r="F534" s="8" t="str">
        <f ca="1">IFERROR(__xludf.DUMMYFUNCTION("""COMPUTED_VALUE"""),"Teen")</f>
        <v>Teen</v>
      </c>
    </row>
    <row r="535" spans="1:6" ht="12.75">
      <c r="A535" s="4">
        <v>534</v>
      </c>
      <c r="B535" s="8" t="str">
        <f ca="1">IFERROR(__xludf.DUMMYFUNCTION("""COMPUTED_VALUE"""),"20201216ILDUC")</f>
        <v>20201216ILDUC</v>
      </c>
      <c r="C535" s="8" t="str">
        <f ca="1">IFERROR(__xludf.DUMMYFUNCTION("""COMPUTED_VALUE"""),"Fatal")</f>
        <v>Fatal</v>
      </c>
      <c r="D535" s="8" t="str">
        <f ca="1">IFERROR(__xludf.DUMMYFUNCTION("""COMPUTED_VALUE"""),"Male")</f>
        <v>Male</v>
      </c>
      <c r="E535" s="8" t="str">
        <f ca="1">IFERROR(__xludf.DUMMYFUNCTION("""COMPUTED_VALUE"""),"No Relation")</f>
        <v>No Relation</v>
      </c>
      <c r="F535" s="8">
        <f ca="1">IFERROR(__xludf.DUMMYFUNCTION("""COMPUTED_VALUE"""),19)</f>
        <v>19</v>
      </c>
    </row>
    <row r="536" spans="1:6" ht="12.75">
      <c r="A536" s="4">
        <v>535</v>
      </c>
      <c r="B536" s="8" t="str">
        <f ca="1">IFERROR(__xludf.DUMMYFUNCTION("""COMPUTED_VALUE"""),"20201207ILEAC")</f>
        <v>20201207ILEAC</v>
      </c>
      <c r="C536" s="8" t="str">
        <f ca="1">IFERROR(__xludf.DUMMYFUNCTION("""COMPUTED_VALUE"""),"Fatal")</f>
        <v>Fatal</v>
      </c>
      <c r="D536" s="8" t="str">
        <f ca="1">IFERROR(__xludf.DUMMYFUNCTION("""COMPUTED_VALUE"""),"Male")</f>
        <v>Male</v>
      </c>
      <c r="E536" s="8" t="str">
        <f ca="1">IFERROR(__xludf.DUMMYFUNCTION("""COMPUTED_VALUE"""),"No Relation")</f>
        <v>No Relation</v>
      </c>
      <c r="F536" s="8">
        <f ca="1">IFERROR(__xludf.DUMMYFUNCTION("""COMPUTED_VALUE"""),21)</f>
        <v>21</v>
      </c>
    </row>
    <row r="537" spans="1:6" ht="12.75">
      <c r="A537" s="4">
        <v>536</v>
      </c>
      <c r="B537" s="8" t="str">
        <f ca="1">IFERROR(__xludf.DUMMYFUNCTION("""COMPUTED_VALUE"""),"20201125KSABG")</f>
        <v>20201125KSABG</v>
      </c>
      <c r="C537" s="8" t="str">
        <f ca="1">IFERROR(__xludf.DUMMYFUNCTION("""COMPUTED_VALUE"""),"Wounded")</f>
        <v>Wounded</v>
      </c>
      <c r="D537" s="8" t="str">
        <f ca="1">IFERROR(__xludf.DUMMYFUNCTION("""COMPUTED_VALUE"""),"Male")</f>
        <v>Male</v>
      </c>
      <c r="E537" s="8" t="str">
        <f ca="1">IFERROR(__xludf.DUMMYFUNCTION("""COMPUTED_VALUE"""),"No Relation")</f>
        <v>No Relation</v>
      </c>
      <c r="F537" s="8">
        <f ca="1">IFERROR(__xludf.DUMMYFUNCTION("""COMPUTED_VALUE"""),16)</f>
        <v>16</v>
      </c>
    </row>
    <row r="538" spans="1:6" ht="12.75">
      <c r="A538" s="4">
        <v>537</v>
      </c>
      <c r="B538" s="8" t="str">
        <f ca="1">IFERROR(__xludf.DUMMYFUNCTION("""COMPUTED_VALUE"""),"20201124NCHEH")</f>
        <v>20201124NCHEH</v>
      </c>
      <c r="C538" s="8" t="str">
        <f ca="1">IFERROR(__xludf.DUMMYFUNCTION("""COMPUTED_VALUE"""),"Wounded")</f>
        <v>Wounded</v>
      </c>
      <c r="D538" s="8" t="str">
        <f ca="1">IFERROR(__xludf.DUMMYFUNCTION("""COMPUTED_VALUE"""),"Female")</f>
        <v>Female</v>
      </c>
      <c r="E538" s="8" t="str">
        <f ca="1">IFERROR(__xludf.DUMMYFUNCTION("""COMPUTED_VALUE"""),"Student")</f>
        <v>Student</v>
      </c>
      <c r="F538" s="8">
        <f ca="1">IFERROR(__xludf.DUMMYFUNCTION("""COMPUTED_VALUE"""),12)</f>
        <v>12</v>
      </c>
    </row>
    <row r="539" spans="1:6" ht="12.75">
      <c r="A539" s="4">
        <v>538</v>
      </c>
      <c r="B539" s="8" t="str">
        <f ca="1">IFERROR(__xludf.DUMMYFUNCTION("""COMPUTED_VALUE"""),"20201116TNWIM")</f>
        <v>20201116TNWIM</v>
      </c>
      <c r="C539" s="8" t="str">
        <f ca="1">IFERROR(__xludf.DUMMYFUNCTION("""COMPUTED_VALUE"""),"None")</f>
        <v>None</v>
      </c>
      <c r="D539" s="8" t="str">
        <f ca="1">IFERROR(__xludf.DUMMYFUNCTION("""COMPUTED_VALUE"""),"Female")</f>
        <v>Female</v>
      </c>
      <c r="E539" s="8" t="str">
        <f ca="1">IFERROR(__xludf.DUMMYFUNCTION("""COMPUTED_VALUE"""),"No Relation")</f>
        <v>No Relation</v>
      </c>
      <c r="F539" s="8" t="str">
        <f ca="1">IFERROR(__xludf.DUMMYFUNCTION("""COMPUTED_VALUE"""),"Adult")</f>
        <v>Adult</v>
      </c>
    </row>
    <row r="540" spans="1:6" ht="12.75">
      <c r="A540" s="4">
        <v>539</v>
      </c>
      <c r="B540" s="8" t="str">
        <f ca="1">IFERROR(__xludf.DUMMYFUNCTION("""COMPUTED_VALUE"""),"20201113NCLIL")</f>
        <v>20201113NCLIL</v>
      </c>
      <c r="C540" s="8" t="str">
        <f ca="1">IFERROR(__xludf.DUMMYFUNCTION("""COMPUTED_VALUE"""),"Wounded")</f>
        <v>Wounded</v>
      </c>
      <c r="D540" s="8" t="str">
        <f ca="1">IFERROR(__xludf.DUMMYFUNCTION("""COMPUTED_VALUE"""),"Male")</f>
        <v>Male</v>
      </c>
      <c r="E540" s="8" t="str">
        <f ca="1">IFERROR(__xludf.DUMMYFUNCTION("""COMPUTED_VALUE"""),"Student")</f>
        <v>Student</v>
      </c>
      <c r="F540" s="8">
        <f ca="1">IFERROR(__xludf.DUMMYFUNCTION("""COMPUTED_VALUE"""),6)</f>
        <v>6</v>
      </c>
    </row>
    <row r="541" spans="1:6" ht="12.75">
      <c r="A541" s="4">
        <v>540</v>
      </c>
      <c r="B541" s="8" t="str">
        <f ca="1">IFERROR(__xludf.DUMMYFUNCTION("""COMPUTED_VALUE"""),"20201112PANAH")</f>
        <v>20201112PANAH</v>
      </c>
      <c r="C541" s="8" t="str">
        <f ca="1">IFERROR(__xludf.DUMMYFUNCTION("""COMPUTED_VALUE"""),"Fatal")</f>
        <v>Fatal</v>
      </c>
      <c r="D541" s="8" t="str">
        <f ca="1">IFERROR(__xludf.DUMMYFUNCTION("""COMPUTED_VALUE"""),"Male")</f>
        <v>Male</v>
      </c>
      <c r="E541" s="8" t="str">
        <f ca="1">IFERROR(__xludf.DUMMYFUNCTION("""COMPUTED_VALUE"""),"No Relation")</f>
        <v>No Relation</v>
      </c>
      <c r="F541" s="8">
        <f ca="1">IFERROR(__xludf.DUMMYFUNCTION("""COMPUTED_VALUE"""),17)</f>
        <v>17</v>
      </c>
    </row>
    <row r="542" spans="1:6" ht="12.75">
      <c r="A542" s="4">
        <v>541</v>
      </c>
      <c r="B542" s="8" t="str">
        <f ca="1">IFERROR(__xludf.DUMMYFUNCTION("""COMPUTED_VALUE"""),"20201112CACEU")</f>
        <v>20201112CACEU</v>
      </c>
      <c r="C542" s="8" t="str">
        <f ca="1">IFERROR(__xludf.DUMMYFUNCTION("""COMPUTED_VALUE"""),"Wounded")</f>
        <v>Wounded</v>
      </c>
      <c r="D542" s="8" t="str">
        <f ca="1">IFERROR(__xludf.DUMMYFUNCTION("""COMPUTED_VALUE"""),"Male")</f>
        <v>Male</v>
      </c>
      <c r="E542" s="8" t="str">
        <f ca="1">IFERROR(__xludf.DUMMYFUNCTION("""COMPUTED_VALUE"""),"No Relation")</f>
        <v>No Relation</v>
      </c>
      <c r="F542" s="8" t="str">
        <f ca="1">IFERROR(__xludf.DUMMYFUNCTION("""COMPUTED_VALUE"""),"Adult")</f>
        <v>Adult</v>
      </c>
    </row>
    <row r="543" spans="1:6" ht="12.75">
      <c r="A543" s="4">
        <v>542</v>
      </c>
      <c r="B543" s="8" t="str">
        <f ca="1">IFERROR(__xludf.DUMMYFUNCTION("""COMPUTED_VALUE"""),"20201109TXCOH")</f>
        <v>20201109TXCOH</v>
      </c>
      <c r="C543" s="8" t="str">
        <f ca="1">IFERROR(__xludf.DUMMYFUNCTION("""COMPUTED_VALUE"""),"Fatal")</f>
        <v>Fatal</v>
      </c>
      <c r="D543" s="8" t="str">
        <f ca="1">IFERROR(__xludf.DUMMYFUNCTION("""COMPUTED_VALUE"""),"Male")</f>
        <v>Male</v>
      </c>
      <c r="E543" s="8" t="str">
        <f ca="1">IFERROR(__xludf.DUMMYFUNCTION("""COMPUTED_VALUE"""),"No Relation")</f>
        <v>No Relation</v>
      </c>
      <c r="F543" s="8" t="str">
        <f ca="1">IFERROR(__xludf.DUMMYFUNCTION("""COMPUTED_VALUE"""),"Adult")</f>
        <v>Adult</v>
      </c>
    </row>
    <row r="544" spans="1:6" ht="12.75">
      <c r="A544" s="4">
        <v>543</v>
      </c>
      <c r="B544" s="8" t="str">
        <f ca="1">IFERROR(__xludf.DUMMYFUNCTION("""COMPUTED_VALUE"""),"20201029FLLAM")</f>
        <v>20201029FLLAM</v>
      </c>
      <c r="C544" s="8" t="str">
        <f ca="1">IFERROR(__xludf.DUMMYFUNCTION("""COMPUTED_VALUE"""),"Fatal")</f>
        <v>Fatal</v>
      </c>
      <c r="D544" s="8" t="str">
        <f ca="1">IFERROR(__xludf.DUMMYFUNCTION("""COMPUTED_VALUE"""),"Male")</f>
        <v>Male</v>
      </c>
      <c r="E544" s="8" t="str">
        <f ca="1">IFERROR(__xludf.DUMMYFUNCTION("""COMPUTED_VALUE"""),"No Relation")</f>
        <v>No Relation</v>
      </c>
      <c r="F544" s="8" t="str">
        <f ca="1">IFERROR(__xludf.DUMMYFUNCTION("""COMPUTED_VALUE"""),"Adult")</f>
        <v>Adult</v>
      </c>
    </row>
    <row r="545" spans="1:6" ht="12.75">
      <c r="A545" s="4">
        <v>544</v>
      </c>
      <c r="B545" s="8" t="str">
        <f ca="1">IFERROR(__xludf.DUMMYFUNCTION("""COMPUTED_VALUE"""),"20201029FLLAM")</f>
        <v>20201029FLLAM</v>
      </c>
      <c r="C545" s="8" t="str">
        <f ca="1">IFERROR(__xludf.DUMMYFUNCTION("""COMPUTED_VALUE"""),"Fatal")</f>
        <v>Fatal</v>
      </c>
      <c r="D545" s="8" t="str">
        <f ca="1">IFERROR(__xludf.DUMMYFUNCTION("""COMPUTED_VALUE"""),"Male")</f>
        <v>Male</v>
      </c>
      <c r="E545" s="8" t="str">
        <f ca="1">IFERROR(__xludf.DUMMYFUNCTION("""COMPUTED_VALUE"""),"No Relation")</f>
        <v>No Relation</v>
      </c>
      <c r="F545" s="8" t="str">
        <f ca="1">IFERROR(__xludf.DUMMYFUNCTION("""COMPUTED_VALUE"""),"Adult")</f>
        <v>Adult</v>
      </c>
    </row>
    <row r="546" spans="1:6" ht="12.75">
      <c r="A546" s="4">
        <v>545</v>
      </c>
      <c r="B546" s="8" t="str">
        <f ca="1">IFERROR(__xludf.DUMMYFUNCTION("""COMPUTED_VALUE"""),"20201026GARIR")</f>
        <v>20201026GARIR</v>
      </c>
      <c r="C546" s="8" t="str">
        <f ca="1">IFERROR(__xludf.DUMMYFUNCTION("""COMPUTED_VALUE"""),"Fatal")</f>
        <v>Fatal</v>
      </c>
      <c r="D546" s="8" t="str">
        <f ca="1">IFERROR(__xludf.DUMMYFUNCTION("""COMPUTED_VALUE"""),"Male")</f>
        <v>Male</v>
      </c>
      <c r="E546" s="8" t="str">
        <f ca="1">IFERROR(__xludf.DUMMYFUNCTION("""COMPUTED_VALUE"""),"No Relation")</f>
        <v>No Relation</v>
      </c>
      <c r="F546" s="8">
        <f ca="1">IFERROR(__xludf.DUMMYFUNCTION("""COMPUTED_VALUE"""),28)</f>
        <v>28</v>
      </c>
    </row>
    <row r="547" spans="1:6" ht="12.75">
      <c r="A547" s="4">
        <v>546</v>
      </c>
      <c r="B547" s="8" t="str">
        <f ca="1">IFERROR(__xludf.DUMMYFUNCTION("""COMPUTED_VALUE"""),"20201020ARJAP")</f>
        <v>20201020ARJAP</v>
      </c>
      <c r="C547" s="8" t="str">
        <f ca="1">IFERROR(__xludf.DUMMYFUNCTION("""COMPUTED_VALUE"""),"Fatal")</f>
        <v>Fatal</v>
      </c>
      <c r="D547" s="8" t="str">
        <f ca="1">IFERROR(__xludf.DUMMYFUNCTION("""COMPUTED_VALUE"""),"Male")</f>
        <v>Male</v>
      </c>
      <c r="E547" s="8"/>
      <c r="F547" s="8">
        <f ca="1">IFERROR(__xludf.DUMMYFUNCTION("""COMPUTED_VALUE"""),16)</f>
        <v>16</v>
      </c>
    </row>
    <row r="548" spans="1:6" ht="12.75">
      <c r="A548" s="4">
        <v>547</v>
      </c>
      <c r="B548" s="8" t="str">
        <f ca="1">IFERROR(__xludf.DUMMYFUNCTION("""COMPUTED_VALUE"""),"20201018KYSEL")</f>
        <v>20201018KYSEL</v>
      </c>
      <c r="C548" s="8" t="str">
        <f ca="1">IFERROR(__xludf.DUMMYFUNCTION("""COMPUTED_VALUE"""),"Wounded")</f>
        <v>Wounded</v>
      </c>
      <c r="D548" s="8"/>
      <c r="E548" s="8"/>
      <c r="F548" s="8" t="str">
        <f ca="1">IFERROR(__xludf.DUMMYFUNCTION("""COMPUTED_VALUE"""),"Teen")</f>
        <v>Teen</v>
      </c>
    </row>
    <row r="549" spans="1:6" ht="12.75">
      <c r="A549" s="4">
        <v>548</v>
      </c>
      <c r="B549" s="8" t="str">
        <f ca="1">IFERROR(__xludf.DUMMYFUNCTION("""COMPUTED_VALUE"""),"20201018KYSEL")</f>
        <v>20201018KYSEL</v>
      </c>
      <c r="C549" s="8" t="str">
        <f ca="1">IFERROR(__xludf.DUMMYFUNCTION("""COMPUTED_VALUE"""),"Wounded")</f>
        <v>Wounded</v>
      </c>
      <c r="D549" s="8"/>
      <c r="E549" s="8"/>
      <c r="F549" s="8" t="str">
        <f ca="1">IFERROR(__xludf.DUMMYFUNCTION("""COMPUTED_VALUE"""),"Teen")</f>
        <v>Teen</v>
      </c>
    </row>
    <row r="550" spans="1:6" ht="12.75">
      <c r="A550" s="4">
        <v>549</v>
      </c>
      <c r="B550" s="8" t="str">
        <f ca="1">IFERROR(__xludf.DUMMYFUNCTION("""COMPUTED_VALUE"""),"20201018KYSEL")</f>
        <v>20201018KYSEL</v>
      </c>
      <c r="C550" s="8" t="str">
        <f ca="1">IFERROR(__xludf.DUMMYFUNCTION("""COMPUTED_VALUE"""),"Wounded")</f>
        <v>Wounded</v>
      </c>
      <c r="D550" s="8"/>
      <c r="E550" s="8"/>
      <c r="F550" s="8" t="str">
        <f ca="1">IFERROR(__xludf.DUMMYFUNCTION("""COMPUTED_VALUE"""),"Teen")</f>
        <v>Teen</v>
      </c>
    </row>
    <row r="551" spans="1:6" ht="12.75">
      <c r="A551" s="4">
        <v>550</v>
      </c>
      <c r="B551" s="8" t="str">
        <f ca="1">IFERROR(__xludf.DUMMYFUNCTION("""COMPUTED_VALUE"""),"20201014WAWAS")</f>
        <v>20201014WAWAS</v>
      </c>
      <c r="C551" s="8" t="str">
        <f ca="1">IFERROR(__xludf.DUMMYFUNCTION("""COMPUTED_VALUE"""),"None")</f>
        <v>None</v>
      </c>
      <c r="D551" s="8" t="str">
        <f ca="1">IFERROR(__xludf.DUMMYFUNCTION("""COMPUTED_VALUE"""),"Male")</f>
        <v>Male</v>
      </c>
      <c r="E551" s="8" t="str">
        <f ca="1">IFERROR(__xludf.DUMMYFUNCTION("""COMPUTED_VALUE"""),"No Relation")</f>
        <v>No Relation</v>
      </c>
      <c r="F551" s="8" t="str">
        <f ca="1">IFERROR(__xludf.DUMMYFUNCTION("""COMPUTED_VALUE"""),"Adult")</f>
        <v>Adult</v>
      </c>
    </row>
    <row r="552" spans="1:6" ht="12.75">
      <c r="A552" s="4">
        <v>551</v>
      </c>
      <c r="B552" s="8" t="str">
        <f ca="1">IFERROR(__xludf.DUMMYFUNCTION("""COMPUTED_VALUE"""),"20201014PABRB")</f>
        <v>20201014PABRB</v>
      </c>
      <c r="C552" s="8" t="str">
        <f ca="1">IFERROR(__xludf.DUMMYFUNCTION("""COMPUTED_VALUE"""),"None")</f>
        <v>None</v>
      </c>
      <c r="D552" s="8" t="str">
        <f ca="1">IFERROR(__xludf.DUMMYFUNCTION("""COMPUTED_VALUE"""),"Male")</f>
        <v>Male</v>
      </c>
      <c r="E552" s="8" t="str">
        <f ca="1">IFERROR(__xludf.DUMMYFUNCTION("""COMPUTED_VALUE"""),"Bus Driver")</f>
        <v>Bus Driver</v>
      </c>
      <c r="F552" s="8" t="str">
        <f ca="1">IFERROR(__xludf.DUMMYFUNCTION("""COMPUTED_VALUE"""),"Adult")</f>
        <v>Adult</v>
      </c>
    </row>
    <row r="553" spans="1:6" ht="12.75">
      <c r="A553" s="4">
        <v>552</v>
      </c>
      <c r="B553" s="8" t="str">
        <f ca="1">IFERROR(__xludf.DUMMYFUNCTION("""COMPUTED_VALUE"""),"20201013RIRHP")</f>
        <v>20201013RIRHP</v>
      </c>
      <c r="C553" s="8" t="str">
        <f ca="1">IFERROR(__xludf.DUMMYFUNCTION("""COMPUTED_VALUE"""),"Fatal")</f>
        <v>Fatal</v>
      </c>
      <c r="D553" s="8" t="str">
        <f ca="1">IFERROR(__xludf.DUMMYFUNCTION("""COMPUTED_VALUE"""),"Male")</f>
        <v>Male</v>
      </c>
      <c r="E553" s="8" t="str">
        <f ca="1">IFERROR(__xludf.DUMMYFUNCTION("""COMPUTED_VALUE"""),"No Relation")</f>
        <v>No Relation</v>
      </c>
      <c r="F553" s="8">
        <f ca="1">IFERROR(__xludf.DUMMYFUNCTION("""COMPUTED_VALUE"""),19)</f>
        <v>19</v>
      </c>
    </row>
    <row r="554" spans="1:6" ht="12.75">
      <c r="A554" s="4">
        <v>553</v>
      </c>
      <c r="B554" s="8" t="str">
        <f ca="1">IFERROR(__xludf.DUMMYFUNCTION("""COMPUTED_VALUE"""),"20201013RIRHP")</f>
        <v>20201013RIRHP</v>
      </c>
      <c r="C554" s="8" t="str">
        <f ca="1">IFERROR(__xludf.DUMMYFUNCTION("""COMPUTED_VALUE"""),"Wounded")</f>
        <v>Wounded</v>
      </c>
      <c r="D554" s="8" t="str">
        <f ca="1">IFERROR(__xludf.DUMMYFUNCTION("""COMPUTED_VALUE"""),"Male")</f>
        <v>Male</v>
      </c>
      <c r="E554" s="8" t="str">
        <f ca="1">IFERROR(__xludf.DUMMYFUNCTION("""COMPUTED_VALUE"""),"No Relation")</f>
        <v>No Relation</v>
      </c>
      <c r="F554" s="8" t="str">
        <f ca="1">IFERROR(__xludf.DUMMYFUNCTION("""COMPUTED_VALUE"""),"Adult")</f>
        <v>Adult</v>
      </c>
    </row>
    <row r="555" spans="1:6" ht="12.75">
      <c r="A555" s="4">
        <v>554</v>
      </c>
      <c r="B555" s="8" t="str">
        <f ca="1">IFERROR(__xludf.DUMMYFUNCTION("""COMPUTED_VALUE"""),"20201013RIRHP")</f>
        <v>20201013RIRHP</v>
      </c>
      <c r="C555" s="8" t="str">
        <f ca="1">IFERROR(__xludf.DUMMYFUNCTION("""COMPUTED_VALUE"""),"Wounded")</f>
        <v>Wounded</v>
      </c>
      <c r="D555" s="8" t="str">
        <f ca="1">IFERROR(__xludf.DUMMYFUNCTION("""COMPUTED_VALUE"""),"Male")</f>
        <v>Male</v>
      </c>
      <c r="E555" s="8" t="str">
        <f ca="1">IFERROR(__xludf.DUMMYFUNCTION("""COMPUTED_VALUE"""),"No Relation")</f>
        <v>No Relation</v>
      </c>
      <c r="F555" s="8" t="str">
        <f ca="1">IFERROR(__xludf.DUMMYFUNCTION("""COMPUTED_VALUE"""),"Adult")</f>
        <v>Adult</v>
      </c>
    </row>
    <row r="556" spans="1:6" ht="12.75">
      <c r="A556" s="4">
        <v>555</v>
      </c>
      <c r="B556" s="8" t="str">
        <f ca="1">IFERROR(__xludf.DUMMYFUNCTION("""COMPUTED_VALUE"""),"20201012TXNOD")</f>
        <v>20201012TXNOD</v>
      </c>
      <c r="C556" s="8" t="str">
        <f ca="1">IFERROR(__xludf.DUMMYFUNCTION("""COMPUTED_VALUE"""),"None")</f>
        <v>None</v>
      </c>
      <c r="D556" s="8" t="str">
        <f ca="1">IFERROR(__xludf.DUMMYFUNCTION("""COMPUTED_VALUE"""),"Male")</f>
        <v>Male</v>
      </c>
      <c r="E556" s="8" t="str">
        <f ca="1">IFERROR(__xludf.DUMMYFUNCTION("""COMPUTED_VALUE"""),"No Relation")</f>
        <v>No Relation</v>
      </c>
      <c r="F556" s="8" t="str">
        <f ca="1">IFERROR(__xludf.DUMMYFUNCTION("""COMPUTED_VALUE"""),"Adult")</f>
        <v>Adult</v>
      </c>
    </row>
    <row r="557" spans="1:6" ht="12.75">
      <c r="A557" s="4">
        <v>556</v>
      </c>
      <c r="B557" s="8" t="str">
        <f ca="1">IFERROR(__xludf.DUMMYFUNCTION("""COMPUTED_VALUE"""),"20201009FLJEJ")</f>
        <v>20201009FLJEJ</v>
      </c>
      <c r="C557" s="8" t="str">
        <f ca="1">IFERROR(__xludf.DUMMYFUNCTION("""COMPUTED_VALUE"""),"Wounded")</f>
        <v>Wounded</v>
      </c>
      <c r="D557" s="8" t="str">
        <f ca="1">IFERROR(__xludf.DUMMYFUNCTION("""COMPUTED_VALUE"""),"Male")</f>
        <v>Male</v>
      </c>
      <c r="E557" s="8" t="str">
        <f ca="1">IFERROR(__xludf.DUMMYFUNCTION("""COMPUTED_VALUE"""),"Student")</f>
        <v>Student</v>
      </c>
      <c r="F557" s="8">
        <f ca="1">IFERROR(__xludf.DUMMYFUNCTION("""COMPUTED_VALUE"""),18)</f>
        <v>18</v>
      </c>
    </row>
    <row r="558" spans="1:6" ht="12.75">
      <c r="A558" s="4">
        <v>557</v>
      </c>
      <c r="B558" s="8" t="str">
        <f ca="1">IFERROR(__xludf.DUMMYFUNCTION("""COMPUTED_VALUE"""),"20201005OKSOM")</f>
        <v>20201005OKSOM</v>
      </c>
      <c r="C558" s="8" t="str">
        <f ca="1">IFERROR(__xludf.DUMMYFUNCTION("""COMPUTED_VALUE"""),"Minor Injuries")</f>
        <v>Minor Injuries</v>
      </c>
      <c r="D558" s="8"/>
      <c r="E558" s="8" t="str">
        <f ca="1">IFERROR(__xludf.DUMMYFUNCTION("""COMPUTED_VALUE"""),"Student")</f>
        <v>Student</v>
      </c>
      <c r="F558" s="8" t="str">
        <f ca="1">IFERROR(__xludf.DUMMYFUNCTION("""COMPUTED_VALUE"""),"Teen")</f>
        <v>Teen</v>
      </c>
    </row>
    <row r="559" spans="1:6" ht="12.75">
      <c r="A559" s="4">
        <v>558</v>
      </c>
      <c r="B559" s="8" t="str">
        <f ca="1">IFERROR(__xludf.DUMMYFUNCTION("""COMPUTED_VALUE"""),"20201005ARKIH")</f>
        <v>20201005ARKIH</v>
      </c>
      <c r="C559" s="8" t="str">
        <f ca="1">IFERROR(__xludf.DUMMYFUNCTION("""COMPUTED_VALUE"""),"Wounded")</f>
        <v>Wounded</v>
      </c>
      <c r="D559" s="8" t="str">
        <f ca="1">IFERROR(__xludf.DUMMYFUNCTION("""COMPUTED_VALUE"""),"Male")</f>
        <v>Male</v>
      </c>
      <c r="E559" s="8"/>
      <c r="F559" s="8" t="str">
        <f ca="1">IFERROR(__xludf.DUMMYFUNCTION("""COMPUTED_VALUE"""),"Adult")</f>
        <v>Adult</v>
      </c>
    </row>
    <row r="560" spans="1:6" ht="12.75">
      <c r="A560" s="4">
        <v>559</v>
      </c>
      <c r="B560" s="8" t="str">
        <f ca="1">IFERROR(__xludf.DUMMYFUNCTION("""COMPUTED_VALUE"""),"20201005ARKIH")</f>
        <v>20201005ARKIH</v>
      </c>
      <c r="C560" s="8" t="str">
        <f ca="1">IFERROR(__xludf.DUMMYFUNCTION("""COMPUTED_VALUE"""),"Fatal")</f>
        <v>Fatal</v>
      </c>
      <c r="D560" s="8" t="str">
        <f ca="1">IFERROR(__xludf.DUMMYFUNCTION("""COMPUTED_VALUE"""),"Male")</f>
        <v>Male</v>
      </c>
      <c r="E560" s="8"/>
      <c r="F560" s="8">
        <f ca="1">IFERROR(__xludf.DUMMYFUNCTION("""COMPUTED_VALUE"""),36)</f>
        <v>36</v>
      </c>
    </row>
    <row r="561" spans="1:6" ht="12.75">
      <c r="A561" s="4">
        <v>560</v>
      </c>
      <c r="B561" s="8" t="str">
        <f ca="1">IFERROR(__xludf.DUMMYFUNCTION("""COMPUTED_VALUE"""),"20200930CADYL")</f>
        <v>20200930CADYL</v>
      </c>
      <c r="C561" s="8" t="str">
        <f ca="1">IFERROR(__xludf.DUMMYFUNCTION("""COMPUTED_VALUE"""),"Wounded")</f>
        <v>Wounded</v>
      </c>
      <c r="D561" s="8" t="str">
        <f ca="1">IFERROR(__xludf.DUMMYFUNCTION("""COMPUTED_VALUE"""),"Male")</f>
        <v>Male</v>
      </c>
      <c r="E561" s="8" t="str">
        <f ca="1">IFERROR(__xludf.DUMMYFUNCTION("""COMPUTED_VALUE"""),"Student")</f>
        <v>Student</v>
      </c>
      <c r="F561" s="8">
        <f ca="1">IFERROR(__xludf.DUMMYFUNCTION("""COMPUTED_VALUE"""),18)</f>
        <v>18</v>
      </c>
    </row>
    <row r="562" spans="1:6" ht="12.75">
      <c r="A562" s="4">
        <v>561</v>
      </c>
      <c r="B562" s="8" t="str">
        <f ca="1">IFERROR(__xludf.DUMMYFUNCTION("""COMPUTED_VALUE"""),"20200930CADYL")</f>
        <v>20200930CADYL</v>
      </c>
      <c r="C562" s="8" t="str">
        <f ca="1">IFERROR(__xludf.DUMMYFUNCTION("""COMPUTED_VALUE"""),"Wounded")</f>
        <v>Wounded</v>
      </c>
      <c r="D562" s="8"/>
      <c r="E562" s="8" t="str">
        <f ca="1">IFERROR(__xludf.DUMMYFUNCTION("""COMPUTED_VALUE"""),"No Relation")</f>
        <v>No Relation</v>
      </c>
      <c r="F562" s="8" t="str">
        <f ca="1">IFERROR(__xludf.DUMMYFUNCTION("""COMPUTED_VALUE"""),"Adult")</f>
        <v>Adult</v>
      </c>
    </row>
    <row r="563" spans="1:6" ht="12.75">
      <c r="A563" s="4">
        <v>562</v>
      </c>
      <c r="B563" s="8" t="str">
        <f ca="1">IFERROR(__xludf.DUMMYFUNCTION("""COMPUTED_VALUE"""),"20200928CTEAN")</f>
        <v>20200928CTEAN</v>
      </c>
      <c r="C563" s="8" t="str">
        <f ca="1">IFERROR(__xludf.DUMMYFUNCTION("""COMPUTED_VALUE"""),"Wounded")</f>
        <v>Wounded</v>
      </c>
      <c r="D563" s="8" t="str">
        <f ca="1">IFERROR(__xludf.DUMMYFUNCTION("""COMPUTED_VALUE"""),"Male")</f>
        <v>Male</v>
      </c>
      <c r="E563" s="8" t="str">
        <f ca="1">IFERROR(__xludf.DUMMYFUNCTION("""COMPUTED_VALUE"""),"No Relation")</f>
        <v>No Relation</v>
      </c>
      <c r="F563" s="8">
        <f ca="1">IFERROR(__xludf.DUMMYFUNCTION("""COMPUTED_VALUE"""),18)</f>
        <v>18</v>
      </c>
    </row>
    <row r="564" spans="1:6" ht="12.75">
      <c r="A564" s="4">
        <v>563</v>
      </c>
      <c r="B564" s="8" t="str">
        <f ca="1">IFERROR(__xludf.DUMMYFUNCTION("""COMPUTED_VALUE"""),"20200925NJHAH")</f>
        <v>20200925NJHAH</v>
      </c>
      <c r="C564" s="8" t="str">
        <f ca="1">IFERROR(__xludf.DUMMYFUNCTION("""COMPUTED_VALUE"""),"Wounded")</f>
        <v>Wounded</v>
      </c>
      <c r="D564" s="8" t="str">
        <f ca="1">IFERROR(__xludf.DUMMYFUNCTION("""COMPUTED_VALUE"""),"Male")</f>
        <v>Male</v>
      </c>
      <c r="E564" s="8" t="str">
        <f ca="1">IFERROR(__xludf.DUMMYFUNCTION("""COMPUTED_VALUE"""),"No Relation")</f>
        <v>No Relation</v>
      </c>
      <c r="F564" s="8">
        <f ca="1">IFERROR(__xludf.DUMMYFUNCTION("""COMPUTED_VALUE"""),41)</f>
        <v>41</v>
      </c>
    </row>
    <row r="565" spans="1:6" ht="12.75">
      <c r="A565" s="4">
        <v>564</v>
      </c>
      <c r="B565" s="8" t="str">
        <f ca="1">IFERROR(__xludf.DUMMYFUNCTION("""COMPUTED_VALUE"""),"20200923PAWIW")</f>
        <v>20200923PAWIW</v>
      </c>
      <c r="C565" s="8" t="str">
        <f ca="1">IFERROR(__xludf.DUMMYFUNCTION("""COMPUTED_VALUE"""),"None")</f>
        <v>None</v>
      </c>
      <c r="D565" s="8" t="str">
        <f ca="1">IFERROR(__xludf.DUMMYFUNCTION("""COMPUTED_VALUE"""),"Male")</f>
        <v>Male</v>
      </c>
      <c r="E565" s="8"/>
      <c r="F565" s="8"/>
    </row>
    <row r="566" spans="1:6" ht="12.75">
      <c r="A566" s="4">
        <v>565</v>
      </c>
      <c r="B566" s="8" t="str">
        <f ca="1">IFERROR(__xludf.DUMMYFUNCTION("""COMPUTED_VALUE"""),"20200923FLHIJ")</f>
        <v>20200923FLHIJ</v>
      </c>
      <c r="C566" s="8" t="str">
        <f ca="1">IFERROR(__xludf.DUMMYFUNCTION("""COMPUTED_VALUE"""),"None")</f>
        <v>None</v>
      </c>
      <c r="D566" s="8"/>
      <c r="E566" s="8"/>
      <c r="F566" s="8"/>
    </row>
    <row r="567" spans="1:6" ht="12.75">
      <c r="A567" s="4">
        <v>566</v>
      </c>
      <c r="B567" s="8" t="str">
        <f ca="1">IFERROR(__xludf.DUMMYFUNCTION("""COMPUTED_VALUE"""),"20200918KYWIL")</f>
        <v>20200918KYWIL</v>
      </c>
      <c r="C567" s="8" t="str">
        <f ca="1">IFERROR(__xludf.DUMMYFUNCTION("""COMPUTED_VALUE"""),"Wounded")</f>
        <v>Wounded</v>
      </c>
      <c r="D567" s="8" t="str">
        <f ca="1">IFERROR(__xludf.DUMMYFUNCTION("""COMPUTED_VALUE"""),"Male")</f>
        <v>Male</v>
      </c>
      <c r="E567" s="8" t="str">
        <f ca="1">IFERROR(__xludf.DUMMYFUNCTION("""COMPUTED_VALUE"""),"Nonstudent Using Athletic Facilities/Attending Game")</f>
        <v>Nonstudent Using Athletic Facilities/Attending Game</v>
      </c>
      <c r="F567" s="8" t="str">
        <f ca="1">IFERROR(__xludf.DUMMYFUNCTION("""COMPUTED_VALUE"""),"Adult")</f>
        <v>Adult</v>
      </c>
    </row>
    <row r="568" spans="1:6" ht="12.75">
      <c r="A568" s="4">
        <v>567</v>
      </c>
      <c r="B568" s="8" t="str">
        <f ca="1">IFERROR(__xludf.DUMMYFUNCTION("""COMPUTED_VALUE"""),"20200917ORDRP")</f>
        <v>20200917ORDRP</v>
      </c>
      <c r="C568" s="8" t="str">
        <f ca="1">IFERROR(__xludf.DUMMYFUNCTION("""COMPUTED_VALUE"""),"Wounded")</f>
        <v>Wounded</v>
      </c>
      <c r="D568" s="8"/>
      <c r="E568" s="8" t="str">
        <f ca="1">IFERROR(__xludf.DUMMYFUNCTION("""COMPUTED_VALUE"""),"No Relation")</f>
        <v>No Relation</v>
      </c>
      <c r="F568" s="8" t="str">
        <f ca="1">IFERROR(__xludf.DUMMYFUNCTION("""COMPUTED_VALUE"""),"Adult")</f>
        <v>Adult</v>
      </c>
    </row>
    <row r="569" spans="1:6" ht="12.75">
      <c r="A569" s="4">
        <v>568</v>
      </c>
      <c r="B569" s="8" t="str">
        <f ca="1">IFERROR(__xludf.DUMMYFUNCTION("""COMPUTED_VALUE"""),"20200917OHELA")</f>
        <v>20200917OHELA</v>
      </c>
      <c r="C569" s="8" t="str">
        <f ca="1">IFERROR(__xludf.DUMMYFUNCTION("""COMPUTED_VALUE"""),"Wounded")</f>
        <v>Wounded</v>
      </c>
      <c r="D569" s="8" t="str">
        <f ca="1">IFERROR(__xludf.DUMMYFUNCTION("""COMPUTED_VALUE"""),"Male")</f>
        <v>Male</v>
      </c>
      <c r="E569" s="8" t="str">
        <f ca="1">IFERROR(__xludf.DUMMYFUNCTION("""COMPUTED_VALUE"""),"Nonstudent Using Athletic Facilities/Attending Game")</f>
        <v>Nonstudent Using Athletic Facilities/Attending Game</v>
      </c>
      <c r="F569" s="8">
        <f ca="1">IFERROR(__xludf.DUMMYFUNCTION("""COMPUTED_VALUE"""),19)</f>
        <v>19</v>
      </c>
    </row>
    <row r="570" spans="1:6" ht="12.75">
      <c r="A570" s="4">
        <v>569</v>
      </c>
      <c r="B570" s="8" t="str">
        <f ca="1">IFERROR(__xludf.DUMMYFUNCTION("""COMPUTED_VALUE"""),"20200917OHELA")</f>
        <v>20200917OHELA</v>
      </c>
      <c r="C570" s="8" t="str">
        <f ca="1">IFERROR(__xludf.DUMMYFUNCTION("""COMPUTED_VALUE"""),"Wounded")</f>
        <v>Wounded</v>
      </c>
      <c r="D570" s="8" t="str">
        <f ca="1">IFERROR(__xludf.DUMMYFUNCTION("""COMPUTED_VALUE"""),"Female")</f>
        <v>Female</v>
      </c>
      <c r="E570" s="8" t="str">
        <f ca="1">IFERROR(__xludf.DUMMYFUNCTION("""COMPUTED_VALUE"""),"Nonstudent Using Athletic Facilities/Attending Game")</f>
        <v>Nonstudent Using Athletic Facilities/Attending Game</v>
      </c>
      <c r="F570" s="8">
        <f ca="1">IFERROR(__xludf.DUMMYFUNCTION("""COMPUTED_VALUE"""),40)</f>
        <v>40</v>
      </c>
    </row>
    <row r="571" spans="1:6" ht="12.75">
      <c r="A571" s="4">
        <v>570</v>
      </c>
      <c r="B571" s="8" t="str">
        <f ca="1">IFERROR(__xludf.DUMMYFUNCTION("""COMPUTED_VALUE"""),"20200916WAARG")</f>
        <v>20200916WAARG</v>
      </c>
      <c r="C571" s="8" t="str">
        <f ca="1">IFERROR(__xludf.DUMMYFUNCTION("""COMPUTED_VALUE"""),"Wounded")</f>
        <v>Wounded</v>
      </c>
      <c r="D571" s="8" t="str">
        <f ca="1">IFERROR(__xludf.DUMMYFUNCTION("""COMPUTED_VALUE"""),"Male")</f>
        <v>Male</v>
      </c>
      <c r="E571" s="8" t="str">
        <f ca="1">IFERROR(__xludf.DUMMYFUNCTION("""COMPUTED_VALUE"""),"No Relation")</f>
        <v>No Relation</v>
      </c>
      <c r="F571" s="8" t="str">
        <f ca="1">IFERROR(__xludf.DUMMYFUNCTION("""COMPUTED_VALUE"""),"Adult")</f>
        <v>Adult</v>
      </c>
    </row>
    <row r="572" spans="1:6" ht="12.75">
      <c r="A572" s="4">
        <v>571</v>
      </c>
      <c r="B572" s="8" t="str">
        <f ca="1">IFERROR(__xludf.DUMMYFUNCTION("""COMPUTED_VALUE"""),"20200916CASOS")</f>
        <v>20200916CASOS</v>
      </c>
      <c r="C572" s="8" t="str">
        <f ca="1">IFERROR(__xludf.DUMMYFUNCTION("""COMPUTED_VALUE"""),"Fatal")</f>
        <v>Fatal</v>
      </c>
      <c r="D572" s="8" t="str">
        <f ca="1">IFERROR(__xludf.DUMMYFUNCTION("""COMPUTED_VALUE"""),"Male")</f>
        <v>Male</v>
      </c>
      <c r="E572" s="8"/>
      <c r="F572" s="8">
        <f ca="1">IFERROR(__xludf.DUMMYFUNCTION("""COMPUTED_VALUE"""),17)</f>
        <v>17</v>
      </c>
    </row>
    <row r="573" spans="1:6" ht="12.75">
      <c r="A573" s="4">
        <v>572</v>
      </c>
      <c r="B573" s="8" t="str">
        <f ca="1">IFERROR(__xludf.DUMMYFUNCTION("""COMPUTED_VALUE"""),"20200910ILPEP")</f>
        <v>20200910ILPEP</v>
      </c>
      <c r="C573" s="8" t="str">
        <f ca="1">IFERROR(__xludf.DUMMYFUNCTION("""COMPUTED_VALUE"""),"None")</f>
        <v>None</v>
      </c>
      <c r="D573" s="8"/>
      <c r="E573" s="8" t="str">
        <f ca="1">IFERROR(__xludf.DUMMYFUNCTION("""COMPUTED_VALUE"""),"Student")</f>
        <v>Student</v>
      </c>
      <c r="F573" s="8"/>
    </row>
    <row r="574" spans="1:6" ht="12.75">
      <c r="A574" s="4">
        <v>573</v>
      </c>
      <c r="B574" s="8" t="str">
        <f ca="1">IFERROR(__xludf.DUMMYFUNCTION("""COMPUTED_VALUE"""),"20200909TXSOH")</f>
        <v>20200909TXSOH</v>
      </c>
      <c r="C574" s="8" t="str">
        <f ca="1">IFERROR(__xludf.DUMMYFUNCTION("""COMPUTED_VALUE"""),"Wounded")</f>
        <v>Wounded</v>
      </c>
      <c r="D574" s="8" t="str">
        <f ca="1">IFERROR(__xludf.DUMMYFUNCTION("""COMPUTED_VALUE"""),"Male")</f>
        <v>Male</v>
      </c>
      <c r="E574" s="8" t="str">
        <f ca="1">IFERROR(__xludf.DUMMYFUNCTION("""COMPUTED_VALUE"""),"No Relation")</f>
        <v>No Relation</v>
      </c>
      <c r="F574" s="8">
        <f ca="1">IFERROR(__xludf.DUMMYFUNCTION("""COMPUTED_VALUE"""),18)</f>
        <v>18</v>
      </c>
    </row>
    <row r="575" spans="1:6" ht="12.75">
      <c r="A575" s="4">
        <v>574</v>
      </c>
      <c r="B575" s="8" t="str">
        <f ca="1">IFERROR(__xludf.DUMMYFUNCTION("""COMPUTED_VALUE"""),"20200909PAWEW")</f>
        <v>20200909PAWEW</v>
      </c>
      <c r="C575" s="8" t="str">
        <f ca="1">IFERROR(__xludf.DUMMYFUNCTION("""COMPUTED_VALUE"""),"None")</f>
        <v>None</v>
      </c>
      <c r="D575" s="8" t="str">
        <f ca="1">IFERROR(__xludf.DUMMYFUNCTION("""COMPUTED_VALUE"""),"Male")</f>
        <v>Male</v>
      </c>
      <c r="E575" s="8" t="str">
        <f ca="1">IFERROR(__xludf.DUMMYFUNCTION("""COMPUTED_VALUE"""),"No Relation")</f>
        <v>No Relation</v>
      </c>
      <c r="F575" s="8" t="str">
        <f ca="1">IFERROR(__xludf.DUMMYFUNCTION("""COMPUTED_VALUE"""),"Adult")</f>
        <v>Adult</v>
      </c>
    </row>
    <row r="576" spans="1:6" ht="12.75">
      <c r="A576" s="4">
        <v>575</v>
      </c>
      <c r="B576" s="8" t="str">
        <f ca="1">IFERROR(__xludf.DUMMYFUNCTION("""COMPUTED_VALUE"""),"20200904FLLOJ")</f>
        <v>20200904FLLOJ</v>
      </c>
      <c r="C576" s="8" t="str">
        <f ca="1">IFERROR(__xludf.DUMMYFUNCTION("""COMPUTED_VALUE"""),"Wounded")</f>
        <v>Wounded</v>
      </c>
      <c r="D576" s="8" t="str">
        <f ca="1">IFERROR(__xludf.DUMMYFUNCTION("""COMPUTED_VALUE"""),"Male")</f>
        <v>Male</v>
      </c>
      <c r="E576" s="8" t="str">
        <f ca="1">IFERROR(__xludf.DUMMYFUNCTION("""COMPUTED_VALUE"""),"No Relation")</f>
        <v>No Relation</v>
      </c>
      <c r="F576" s="8">
        <f ca="1">IFERROR(__xludf.DUMMYFUNCTION("""COMPUTED_VALUE"""),27)</f>
        <v>27</v>
      </c>
    </row>
    <row r="577" spans="1:6" ht="12.75">
      <c r="A577" s="4">
        <v>576</v>
      </c>
      <c r="B577" s="8" t="str">
        <f ca="1">IFERROR(__xludf.DUMMYFUNCTION("""COMPUTED_VALUE"""),"20200903GADOA")</f>
        <v>20200903GADOA</v>
      </c>
      <c r="C577" s="8" t="str">
        <f ca="1">IFERROR(__xludf.DUMMYFUNCTION("""COMPUTED_VALUE"""),"Fatal")</f>
        <v>Fatal</v>
      </c>
      <c r="D577" s="8" t="str">
        <f ca="1">IFERROR(__xludf.DUMMYFUNCTION("""COMPUTED_VALUE"""),"Male")</f>
        <v>Male</v>
      </c>
      <c r="E577" s="8" t="str">
        <f ca="1">IFERROR(__xludf.DUMMYFUNCTION("""COMPUTED_VALUE"""),"No Relation")</f>
        <v>No Relation</v>
      </c>
      <c r="F577" s="8">
        <f ca="1">IFERROR(__xludf.DUMMYFUNCTION("""COMPUTED_VALUE"""),18)</f>
        <v>18</v>
      </c>
    </row>
    <row r="578" spans="1:6" ht="12.75">
      <c r="A578" s="4">
        <v>577</v>
      </c>
      <c r="B578" s="8" t="str">
        <f ca="1">IFERROR(__xludf.DUMMYFUNCTION("""COMPUTED_VALUE"""),"20200830TXLOD")</f>
        <v>20200830TXLOD</v>
      </c>
      <c r="C578" s="8" t="str">
        <f ca="1">IFERROR(__xludf.DUMMYFUNCTION("""COMPUTED_VALUE"""),"Fatal")</f>
        <v>Fatal</v>
      </c>
      <c r="D578" s="8" t="str">
        <f ca="1">IFERROR(__xludf.DUMMYFUNCTION("""COMPUTED_VALUE"""),"Male")</f>
        <v>Male</v>
      </c>
      <c r="E578" s="8" t="str">
        <f ca="1">IFERROR(__xludf.DUMMYFUNCTION("""COMPUTED_VALUE"""),"No Relation")</f>
        <v>No Relation</v>
      </c>
      <c r="F578" s="8">
        <f ca="1">IFERROR(__xludf.DUMMYFUNCTION("""COMPUTED_VALUE"""),27)</f>
        <v>27</v>
      </c>
    </row>
    <row r="579" spans="1:6" ht="12.75">
      <c r="A579" s="4">
        <v>578</v>
      </c>
      <c r="B579" s="8" t="str">
        <f ca="1">IFERROR(__xludf.DUMMYFUNCTION("""COMPUTED_VALUE"""),"20200825MOWEC")</f>
        <v>20200825MOWEC</v>
      </c>
      <c r="C579" s="8" t="str">
        <f ca="1">IFERROR(__xludf.DUMMYFUNCTION("""COMPUTED_VALUE"""),"Wounded")</f>
        <v>Wounded</v>
      </c>
      <c r="D579" s="8" t="str">
        <f ca="1">IFERROR(__xludf.DUMMYFUNCTION("""COMPUTED_VALUE"""),"Male")</f>
        <v>Male</v>
      </c>
      <c r="E579" s="8" t="str">
        <f ca="1">IFERROR(__xludf.DUMMYFUNCTION("""COMPUTED_VALUE"""),"No Relation")</f>
        <v>No Relation</v>
      </c>
      <c r="F579" s="8" t="str">
        <f ca="1">IFERROR(__xludf.DUMMYFUNCTION("""COMPUTED_VALUE"""),"Adult")</f>
        <v>Adult</v>
      </c>
    </row>
    <row r="580" spans="1:6" ht="12.75">
      <c r="A580" s="4">
        <v>579</v>
      </c>
      <c r="B580" s="8" t="str">
        <f ca="1">IFERROR(__xludf.DUMMYFUNCTION("""COMPUTED_VALUE"""),"20200817MIABG")</f>
        <v>20200817MIABG</v>
      </c>
      <c r="C580" s="8" t="str">
        <f ca="1">IFERROR(__xludf.DUMMYFUNCTION("""COMPUTED_VALUE"""),"Wounded")</f>
        <v>Wounded</v>
      </c>
      <c r="D580" s="8" t="str">
        <f ca="1">IFERROR(__xludf.DUMMYFUNCTION("""COMPUTED_VALUE"""),"Male")</f>
        <v>Male</v>
      </c>
      <c r="E580" s="8" t="str">
        <f ca="1">IFERROR(__xludf.DUMMYFUNCTION("""COMPUTED_VALUE"""),"No Relation")</f>
        <v>No Relation</v>
      </c>
      <c r="F580" s="8" t="str">
        <f ca="1">IFERROR(__xludf.DUMMYFUNCTION("""COMPUTED_VALUE"""),"Adult")</f>
        <v>Adult</v>
      </c>
    </row>
    <row r="581" spans="1:6" ht="12.75">
      <c r="A581" s="4">
        <v>580</v>
      </c>
      <c r="B581" s="8" t="str">
        <f ca="1">IFERROR(__xludf.DUMMYFUNCTION("""COMPUTED_VALUE"""),"20200804PAKEP")</f>
        <v>20200804PAKEP</v>
      </c>
      <c r="C581" s="8" t="str">
        <f ca="1">IFERROR(__xludf.DUMMYFUNCTION("""COMPUTED_VALUE"""),"Fatal")</f>
        <v>Fatal</v>
      </c>
      <c r="D581" s="8" t="str">
        <f ca="1">IFERROR(__xludf.DUMMYFUNCTION("""COMPUTED_VALUE"""),"Male")</f>
        <v>Male</v>
      </c>
      <c r="E581" s="8" t="str">
        <f ca="1">IFERROR(__xludf.DUMMYFUNCTION("""COMPUTED_VALUE"""),"No Relation")</f>
        <v>No Relation</v>
      </c>
      <c r="F581" s="8">
        <f ca="1">IFERROR(__xludf.DUMMYFUNCTION("""COMPUTED_VALUE"""),26)</f>
        <v>26</v>
      </c>
    </row>
    <row r="582" spans="1:6" ht="12.75">
      <c r="A582" s="4">
        <v>581</v>
      </c>
      <c r="B582" s="8" t="str">
        <f ca="1">IFERROR(__xludf.DUMMYFUNCTION("""COMPUTED_VALUE"""),"20200721SCBRO")</f>
        <v>20200721SCBRO</v>
      </c>
      <c r="C582" s="8" t="str">
        <f ca="1">IFERROR(__xludf.DUMMYFUNCTION("""COMPUTED_VALUE"""),"Fatal")</f>
        <v>Fatal</v>
      </c>
      <c r="D582" s="8" t="str">
        <f ca="1">IFERROR(__xludf.DUMMYFUNCTION("""COMPUTED_VALUE"""),"Male")</f>
        <v>Male</v>
      </c>
      <c r="E582" s="8" t="str">
        <f ca="1">IFERROR(__xludf.DUMMYFUNCTION("""COMPUTED_VALUE"""),"Nonstudent Using Athletic Facilities/Attending Game")</f>
        <v>Nonstudent Using Athletic Facilities/Attending Game</v>
      </c>
      <c r="F582" s="8">
        <f ca="1">IFERROR(__xludf.DUMMYFUNCTION("""COMPUTED_VALUE"""),28)</f>
        <v>28</v>
      </c>
    </row>
    <row r="583" spans="1:6" ht="12.75">
      <c r="A583" s="4">
        <v>582</v>
      </c>
      <c r="B583" s="8" t="str">
        <f ca="1">IFERROR(__xludf.DUMMYFUNCTION("""COMPUTED_VALUE"""),"20200714MIWID")</f>
        <v>20200714MIWID</v>
      </c>
      <c r="C583" s="8" t="str">
        <f ca="1">IFERROR(__xludf.DUMMYFUNCTION("""COMPUTED_VALUE"""),"None")</f>
        <v>None</v>
      </c>
      <c r="D583" s="8"/>
      <c r="E583" s="8"/>
      <c r="F583" s="8"/>
    </row>
    <row r="584" spans="1:6" ht="12.75">
      <c r="A584" s="4">
        <v>583</v>
      </c>
      <c r="B584" s="8" t="str">
        <f ca="1">IFERROR(__xludf.DUMMYFUNCTION("""COMPUTED_VALUE"""),"20200704INLAM")</f>
        <v>20200704INLAM</v>
      </c>
      <c r="C584" s="8" t="str">
        <f ca="1">IFERROR(__xludf.DUMMYFUNCTION("""COMPUTED_VALUE"""),"Fatal")</f>
        <v>Fatal</v>
      </c>
      <c r="D584" s="8" t="str">
        <f ca="1">IFERROR(__xludf.DUMMYFUNCTION("""COMPUTED_VALUE"""),"Male")</f>
        <v>Male</v>
      </c>
      <c r="E584" s="8" t="str">
        <f ca="1">IFERROR(__xludf.DUMMYFUNCTION("""COMPUTED_VALUE"""),"No Relation")</f>
        <v>No Relation</v>
      </c>
      <c r="F584" s="8"/>
    </row>
    <row r="585" spans="1:6" ht="12.75">
      <c r="A585" s="4">
        <v>584</v>
      </c>
      <c r="B585" s="8" t="str">
        <f ca="1">IFERROR(__xludf.DUMMYFUNCTION("""COMPUTED_VALUE"""),"20200701ILFRP")</f>
        <v>20200701ILFRP</v>
      </c>
      <c r="C585" s="8" t="str">
        <f ca="1">IFERROR(__xludf.DUMMYFUNCTION("""COMPUTED_VALUE"""),"None")</f>
        <v>None</v>
      </c>
      <c r="D585" s="8"/>
      <c r="E585" s="8"/>
      <c r="F585" s="8"/>
    </row>
    <row r="586" spans="1:6" ht="12.75">
      <c r="A586" s="4">
        <v>585</v>
      </c>
      <c r="B586" s="8" t="str">
        <f ca="1">IFERROR(__xludf.DUMMYFUNCTION("""COMPUTED_VALUE"""),"20200618INJOI")</f>
        <v>20200618INJOI</v>
      </c>
      <c r="C586" s="8" t="str">
        <f ca="1">IFERROR(__xludf.DUMMYFUNCTION("""COMPUTED_VALUE"""),"Fatal")</f>
        <v>Fatal</v>
      </c>
      <c r="D586" s="8" t="str">
        <f ca="1">IFERROR(__xludf.DUMMYFUNCTION("""COMPUTED_VALUE"""),"Male")</f>
        <v>Male</v>
      </c>
      <c r="E586" s="8" t="str">
        <f ca="1">IFERROR(__xludf.DUMMYFUNCTION("""COMPUTED_VALUE"""),"No Relation")</f>
        <v>No Relation</v>
      </c>
      <c r="F586" s="8">
        <f ca="1">IFERROR(__xludf.DUMMYFUNCTION("""COMPUTED_VALUE"""),37)</f>
        <v>37</v>
      </c>
    </row>
    <row r="587" spans="1:6" ht="12.75">
      <c r="A587" s="4">
        <v>586</v>
      </c>
      <c r="B587" s="8" t="str">
        <f ca="1">IFERROR(__xludf.DUMMYFUNCTION("""COMPUTED_VALUE"""),"20200616FLTOM")</f>
        <v>20200616FLTOM</v>
      </c>
      <c r="C587" s="8" t="str">
        <f ca="1">IFERROR(__xludf.DUMMYFUNCTION("""COMPUTED_VALUE"""),"Fatal")</f>
        <v>Fatal</v>
      </c>
      <c r="D587" s="8" t="str">
        <f ca="1">IFERROR(__xludf.DUMMYFUNCTION("""COMPUTED_VALUE"""),"Male")</f>
        <v>Male</v>
      </c>
      <c r="E587" s="8" t="str">
        <f ca="1">IFERROR(__xludf.DUMMYFUNCTION("""COMPUTED_VALUE"""),"No Relation")</f>
        <v>No Relation</v>
      </c>
      <c r="F587" s="8" t="str">
        <f ca="1">IFERROR(__xludf.DUMMYFUNCTION("""COMPUTED_VALUE"""),"Adult")</f>
        <v>Adult</v>
      </c>
    </row>
    <row r="588" spans="1:6" ht="12.75">
      <c r="A588" s="4">
        <v>587</v>
      </c>
      <c r="B588" s="8" t="str">
        <f ca="1">IFERROR(__xludf.DUMMYFUNCTION("""COMPUTED_VALUE"""),"20200616FLTOM")</f>
        <v>20200616FLTOM</v>
      </c>
      <c r="C588" s="8" t="str">
        <f ca="1">IFERROR(__xludf.DUMMYFUNCTION("""COMPUTED_VALUE"""),"Wounded")</f>
        <v>Wounded</v>
      </c>
      <c r="D588" s="8" t="str">
        <f ca="1">IFERROR(__xludf.DUMMYFUNCTION("""COMPUTED_VALUE"""),"Male")</f>
        <v>Male</v>
      </c>
      <c r="E588" s="8" t="str">
        <f ca="1">IFERROR(__xludf.DUMMYFUNCTION("""COMPUTED_VALUE"""),"No Relation")</f>
        <v>No Relation</v>
      </c>
      <c r="F588" s="8" t="str">
        <f ca="1">IFERROR(__xludf.DUMMYFUNCTION("""COMPUTED_VALUE"""),"Adult")</f>
        <v>Adult</v>
      </c>
    </row>
    <row r="589" spans="1:6" ht="12.75">
      <c r="A589" s="4">
        <v>588</v>
      </c>
      <c r="B589" s="8" t="str">
        <f ca="1">IFERROR(__xludf.DUMMYFUNCTION("""COMPUTED_VALUE"""),"20200603IAGAD")</f>
        <v>20200603IAGAD</v>
      </c>
      <c r="C589" s="8" t="str">
        <f ca="1">IFERROR(__xludf.DUMMYFUNCTION("""COMPUTED_VALUE"""),"Wounded")</f>
        <v>Wounded</v>
      </c>
      <c r="D589" s="8" t="str">
        <f ca="1">IFERROR(__xludf.DUMMYFUNCTION("""COMPUTED_VALUE"""),"Male")</f>
        <v>Male</v>
      </c>
      <c r="E589" s="8" t="str">
        <f ca="1">IFERROR(__xludf.DUMMYFUNCTION("""COMPUTED_VALUE"""),"No Relation")</f>
        <v>No Relation</v>
      </c>
      <c r="F589" s="8">
        <f ca="1">IFERROR(__xludf.DUMMYFUNCTION("""COMPUTED_VALUE"""),18)</f>
        <v>18</v>
      </c>
    </row>
    <row r="590" spans="1:6" ht="12.75">
      <c r="A590" s="4">
        <v>589</v>
      </c>
      <c r="B590" s="8" t="str">
        <f ca="1">IFERROR(__xludf.DUMMYFUNCTION("""COMPUTED_VALUE"""),"20200527OHLUC")</f>
        <v>20200527OHLUC</v>
      </c>
      <c r="C590" s="8" t="str">
        <f ca="1">IFERROR(__xludf.DUMMYFUNCTION("""COMPUTED_VALUE"""),"None")</f>
        <v>None</v>
      </c>
      <c r="D590" s="8"/>
      <c r="E590" s="8"/>
      <c r="F590" s="8"/>
    </row>
    <row r="591" spans="1:6" ht="12.75">
      <c r="A591" s="4">
        <v>590</v>
      </c>
      <c r="B591" s="8" t="str">
        <f ca="1">IFERROR(__xludf.DUMMYFUNCTION("""COMPUTED_VALUE"""),"20200525ALORM")</f>
        <v>20200525ALORM</v>
      </c>
      <c r="C591" s="8" t="str">
        <f ca="1">IFERROR(__xludf.DUMMYFUNCTION("""COMPUTED_VALUE"""),"Wounded")</f>
        <v>Wounded</v>
      </c>
      <c r="D591" s="8" t="str">
        <f ca="1">IFERROR(__xludf.DUMMYFUNCTION("""COMPUTED_VALUE"""),"Male")</f>
        <v>Male</v>
      </c>
      <c r="E591" s="8" t="str">
        <f ca="1">IFERROR(__xludf.DUMMYFUNCTION("""COMPUTED_VALUE"""),"No Relation")</f>
        <v>No Relation</v>
      </c>
      <c r="F591" s="8" t="str">
        <f ca="1">IFERROR(__xludf.DUMMYFUNCTION("""COMPUTED_VALUE"""),"Adult")</f>
        <v>Adult</v>
      </c>
    </row>
    <row r="592" spans="1:6" ht="12.75">
      <c r="A592" s="4">
        <v>591</v>
      </c>
      <c r="B592" s="8" t="str">
        <f ca="1">IFERROR(__xludf.DUMMYFUNCTION("""COMPUTED_VALUE"""),"20200525ALORM")</f>
        <v>20200525ALORM</v>
      </c>
      <c r="C592" s="8" t="str">
        <f ca="1">IFERROR(__xludf.DUMMYFUNCTION("""COMPUTED_VALUE"""),"Wounded")</f>
        <v>Wounded</v>
      </c>
      <c r="D592" s="8" t="str">
        <f ca="1">IFERROR(__xludf.DUMMYFUNCTION("""COMPUTED_VALUE"""),"Male")</f>
        <v>Male</v>
      </c>
      <c r="E592" s="8" t="str">
        <f ca="1">IFERROR(__xludf.DUMMYFUNCTION("""COMPUTED_VALUE"""),"No Relation")</f>
        <v>No Relation</v>
      </c>
      <c r="F592" s="8" t="str">
        <f ca="1">IFERROR(__xludf.DUMMYFUNCTION("""COMPUTED_VALUE"""),"Adult")</f>
        <v>Adult</v>
      </c>
    </row>
    <row r="593" spans="1:6" ht="12.75">
      <c r="A593" s="4">
        <v>592</v>
      </c>
      <c r="B593" s="8" t="str">
        <f ca="1">IFERROR(__xludf.DUMMYFUNCTION("""COMPUTED_VALUE"""),"20200525ALORM")</f>
        <v>20200525ALORM</v>
      </c>
      <c r="C593" s="8" t="str">
        <f ca="1">IFERROR(__xludf.DUMMYFUNCTION("""COMPUTED_VALUE"""),"Wounded")</f>
        <v>Wounded</v>
      </c>
      <c r="D593" s="8" t="str">
        <f ca="1">IFERROR(__xludf.DUMMYFUNCTION("""COMPUTED_VALUE"""),"Male")</f>
        <v>Male</v>
      </c>
      <c r="E593" s="8" t="str">
        <f ca="1">IFERROR(__xludf.DUMMYFUNCTION("""COMPUTED_VALUE"""),"No Relation")</f>
        <v>No Relation</v>
      </c>
      <c r="F593" s="8" t="str">
        <f ca="1">IFERROR(__xludf.DUMMYFUNCTION("""COMPUTED_VALUE"""),"Adult")</f>
        <v>Adult</v>
      </c>
    </row>
    <row r="594" spans="1:6" ht="12.75">
      <c r="A594" s="4">
        <v>593</v>
      </c>
      <c r="B594" s="8" t="str">
        <f ca="1">IFERROR(__xludf.DUMMYFUNCTION("""COMPUTED_VALUE"""),"20200522OHMIC")</f>
        <v>20200522OHMIC</v>
      </c>
      <c r="C594" s="8" t="str">
        <f ca="1">IFERROR(__xludf.DUMMYFUNCTION("""COMPUTED_VALUE"""),"Fatal")</f>
        <v>Fatal</v>
      </c>
      <c r="D594" s="8" t="str">
        <f ca="1">IFERROR(__xludf.DUMMYFUNCTION("""COMPUTED_VALUE"""),"Male")</f>
        <v>Male</v>
      </c>
      <c r="E594" s="8" t="str">
        <f ca="1">IFERROR(__xludf.DUMMYFUNCTION("""COMPUTED_VALUE"""),"No Relation")</f>
        <v>No Relation</v>
      </c>
      <c r="F594" s="8">
        <f ca="1">IFERROR(__xludf.DUMMYFUNCTION("""COMPUTED_VALUE"""),34)</f>
        <v>34</v>
      </c>
    </row>
    <row r="595" spans="1:6" ht="12.75">
      <c r="A595" s="4">
        <v>594</v>
      </c>
      <c r="B595" s="8" t="str">
        <f ca="1">IFERROR(__xludf.DUMMYFUNCTION("""COMPUTED_VALUE"""),"20200519VAWEM")</f>
        <v>20200519VAWEM</v>
      </c>
      <c r="C595" s="8" t="str">
        <f ca="1">IFERROR(__xludf.DUMMYFUNCTION("""COMPUTED_VALUE"""),"None")</f>
        <v>None</v>
      </c>
      <c r="D595" s="8"/>
      <c r="E595" s="8"/>
      <c r="F595" s="8"/>
    </row>
    <row r="596" spans="1:6" ht="12.75">
      <c r="A596" s="4">
        <v>595</v>
      </c>
      <c r="B596" s="8" t="str">
        <f ca="1">IFERROR(__xludf.DUMMYFUNCTION("""COMPUTED_VALUE"""),"20200515NCSTC")</f>
        <v>20200515NCSTC</v>
      </c>
      <c r="C596" s="8" t="str">
        <f ca="1">IFERROR(__xludf.DUMMYFUNCTION("""COMPUTED_VALUE"""),"None")</f>
        <v>None</v>
      </c>
      <c r="D596" s="8"/>
      <c r="E596" s="8"/>
      <c r="F596" s="8"/>
    </row>
    <row r="597" spans="1:6" ht="12.75">
      <c r="A597" s="4">
        <v>596</v>
      </c>
      <c r="B597" s="8" t="str">
        <f ca="1">IFERROR(__xludf.DUMMYFUNCTION("""COMPUTED_VALUE"""),"20200505CAGOV")</f>
        <v>20200505CAGOV</v>
      </c>
      <c r="C597" s="8" t="str">
        <f ca="1">IFERROR(__xludf.DUMMYFUNCTION("""COMPUTED_VALUE"""),"Fatal")</f>
        <v>Fatal</v>
      </c>
      <c r="D597" s="8" t="str">
        <f ca="1">IFERROR(__xludf.DUMMYFUNCTION("""COMPUTED_VALUE"""),"Male")</f>
        <v>Male</v>
      </c>
      <c r="E597" s="8" t="str">
        <f ca="1">IFERROR(__xludf.DUMMYFUNCTION("""COMPUTED_VALUE"""),"No Relation")</f>
        <v>No Relation</v>
      </c>
      <c r="F597" s="8">
        <f ca="1">IFERROR(__xludf.DUMMYFUNCTION("""COMPUTED_VALUE"""),19)</f>
        <v>19</v>
      </c>
    </row>
    <row r="598" spans="1:6" ht="12.75">
      <c r="A598" s="4">
        <v>597</v>
      </c>
      <c r="B598" s="8" t="str">
        <f ca="1">IFERROR(__xludf.DUMMYFUNCTION("""COMPUTED_VALUE"""),"20200505CAGOV")</f>
        <v>20200505CAGOV</v>
      </c>
      <c r="C598" s="8" t="str">
        <f ca="1">IFERROR(__xludf.DUMMYFUNCTION("""COMPUTED_VALUE"""),"Fatal")</f>
        <v>Fatal</v>
      </c>
      <c r="D598" s="8" t="str">
        <f ca="1">IFERROR(__xludf.DUMMYFUNCTION("""COMPUTED_VALUE"""),"Male")</f>
        <v>Male</v>
      </c>
      <c r="E598" s="8" t="str">
        <f ca="1">IFERROR(__xludf.DUMMYFUNCTION("""COMPUTED_VALUE"""),"No Relation")</f>
        <v>No Relation</v>
      </c>
      <c r="F598" s="8">
        <f ca="1">IFERROR(__xludf.DUMMYFUNCTION("""COMPUTED_VALUE"""),19)</f>
        <v>19</v>
      </c>
    </row>
    <row r="599" spans="1:6" ht="12.75">
      <c r="A599" s="4">
        <v>598</v>
      </c>
      <c r="B599" s="8" t="str">
        <f ca="1">IFERROR(__xludf.DUMMYFUNCTION("""COMPUTED_VALUE"""),"20200505CAGOV")</f>
        <v>20200505CAGOV</v>
      </c>
      <c r="C599" s="8" t="str">
        <f ca="1">IFERROR(__xludf.DUMMYFUNCTION("""COMPUTED_VALUE"""),"Fatal")</f>
        <v>Fatal</v>
      </c>
      <c r="D599" s="8" t="str">
        <f ca="1">IFERROR(__xludf.DUMMYFUNCTION("""COMPUTED_VALUE"""),"Male")</f>
        <v>Male</v>
      </c>
      <c r="E599" s="8" t="str">
        <f ca="1">IFERROR(__xludf.DUMMYFUNCTION("""COMPUTED_VALUE"""),"No Relation")</f>
        <v>No Relation</v>
      </c>
      <c r="F599" s="8">
        <f ca="1">IFERROR(__xludf.DUMMYFUNCTION("""COMPUTED_VALUE"""),18)</f>
        <v>18</v>
      </c>
    </row>
    <row r="600" spans="1:6" ht="12.75">
      <c r="A600" s="4">
        <v>599</v>
      </c>
      <c r="B600" s="8" t="str">
        <f ca="1">IFERROR(__xludf.DUMMYFUNCTION("""COMPUTED_VALUE"""),"20200413NEMOO")</f>
        <v>20200413NEMOO</v>
      </c>
      <c r="C600" s="8" t="str">
        <f ca="1">IFERROR(__xludf.DUMMYFUNCTION("""COMPUTED_VALUE"""),"Wounded")</f>
        <v>Wounded</v>
      </c>
      <c r="D600" s="8" t="str">
        <f ca="1">IFERROR(__xludf.DUMMYFUNCTION("""COMPUTED_VALUE"""),"Male")</f>
        <v>Male</v>
      </c>
      <c r="E600" s="8" t="str">
        <f ca="1">IFERROR(__xludf.DUMMYFUNCTION("""COMPUTED_VALUE"""),"No Relation")</f>
        <v>No Relation</v>
      </c>
      <c r="F600" s="8">
        <f ca="1">IFERROR(__xludf.DUMMYFUNCTION("""COMPUTED_VALUE"""),18)</f>
        <v>18</v>
      </c>
    </row>
    <row r="601" spans="1:6" ht="12.75">
      <c r="A601" s="4">
        <v>600</v>
      </c>
      <c r="B601" s="8" t="str">
        <f ca="1">IFERROR(__xludf.DUMMYFUNCTION("""COMPUTED_VALUE"""),"20200330GANAS")</f>
        <v>20200330GANAS</v>
      </c>
      <c r="C601" s="8" t="str">
        <f ca="1">IFERROR(__xludf.DUMMYFUNCTION("""COMPUTED_VALUE"""),"Wounded")</f>
        <v>Wounded</v>
      </c>
      <c r="D601" s="8"/>
      <c r="E601" s="8" t="str">
        <f ca="1">IFERROR(__xludf.DUMMYFUNCTION("""COMPUTED_VALUE"""),"No Relation")</f>
        <v>No Relation</v>
      </c>
      <c r="F601" s="8"/>
    </row>
    <row r="602" spans="1:6" ht="12.75">
      <c r="A602" s="4">
        <v>601</v>
      </c>
      <c r="B602" s="8" t="str">
        <f ca="1">IFERROR(__xludf.DUMMYFUNCTION("""COMPUTED_VALUE"""),"20200330GANAS")</f>
        <v>20200330GANAS</v>
      </c>
      <c r="C602" s="8" t="str">
        <f ca="1">IFERROR(__xludf.DUMMYFUNCTION("""COMPUTED_VALUE"""),"Wounded")</f>
        <v>Wounded</v>
      </c>
      <c r="D602" s="8"/>
      <c r="E602" s="8" t="str">
        <f ca="1">IFERROR(__xludf.DUMMYFUNCTION("""COMPUTED_VALUE"""),"No Relation")</f>
        <v>No Relation</v>
      </c>
      <c r="F602" s="8"/>
    </row>
    <row r="603" spans="1:6" ht="12.75">
      <c r="A603" s="4">
        <v>602</v>
      </c>
      <c r="B603" s="8" t="str">
        <f ca="1">IFERROR(__xludf.DUMMYFUNCTION("""COMPUTED_VALUE"""),"20200330GANAS")</f>
        <v>20200330GANAS</v>
      </c>
      <c r="C603" s="8" t="str">
        <f ca="1">IFERROR(__xludf.DUMMYFUNCTION("""COMPUTED_VALUE"""),"Wounded")</f>
        <v>Wounded</v>
      </c>
      <c r="D603" s="8"/>
      <c r="E603" s="8" t="str">
        <f ca="1">IFERROR(__xludf.DUMMYFUNCTION("""COMPUTED_VALUE"""),"No Relation")</f>
        <v>No Relation</v>
      </c>
      <c r="F603" s="8"/>
    </row>
    <row r="604" spans="1:6" ht="12.75">
      <c r="A604" s="4">
        <v>603</v>
      </c>
      <c r="B604" s="8" t="str">
        <f ca="1">IFERROR(__xludf.DUMMYFUNCTION("""COMPUTED_VALUE"""),"20200324LAROM")</f>
        <v>20200324LAROM</v>
      </c>
      <c r="C604" s="8" t="str">
        <f ca="1">IFERROR(__xludf.DUMMYFUNCTION("""COMPUTED_VALUE"""),"Wounded")</f>
        <v>Wounded</v>
      </c>
      <c r="D604" s="8" t="str">
        <f ca="1">IFERROR(__xludf.DUMMYFUNCTION("""COMPUTED_VALUE"""),"Male")</f>
        <v>Male</v>
      </c>
      <c r="E604" s="8"/>
      <c r="F604" s="8"/>
    </row>
    <row r="605" spans="1:6" ht="12.75">
      <c r="A605" s="4">
        <v>604</v>
      </c>
      <c r="B605" s="8" t="str">
        <f ca="1">IFERROR(__xludf.DUMMYFUNCTION("""COMPUTED_VALUE"""),"20200318LABOS")</f>
        <v>20200318LABOS</v>
      </c>
      <c r="C605" s="8" t="str">
        <f ca="1">IFERROR(__xludf.DUMMYFUNCTION("""COMPUTED_VALUE"""),"Wounded")</f>
        <v>Wounded</v>
      </c>
      <c r="D605" s="8" t="str">
        <f ca="1">IFERROR(__xludf.DUMMYFUNCTION("""COMPUTED_VALUE"""),"Male")</f>
        <v>Male</v>
      </c>
      <c r="E605" s="8" t="str">
        <f ca="1">IFERROR(__xludf.DUMMYFUNCTION("""COMPUTED_VALUE"""),"Student")</f>
        <v>Student</v>
      </c>
      <c r="F605" s="8">
        <f ca="1">IFERROR(__xludf.DUMMYFUNCTION("""COMPUTED_VALUE"""),15)</f>
        <v>15</v>
      </c>
    </row>
    <row r="606" spans="1:6" ht="12.75">
      <c r="A606" s="4">
        <v>605</v>
      </c>
      <c r="B606" s="8" t="str">
        <f ca="1">IFERROR(__xludf.DUMMYFUNCTION("""COMPUTED_VALUE"""),"20200315TXATH")</f>
        <v>20200315TXATH</v>
      </c>
      <c r="C606" s="8" t="str">
        <f ca="1">IFERROR(__xludf.DUMMYFUNCTION("""COMPUTED_VALUE"""),"Fatal")</f>
        <v>Fatal</v>
      </c>
      <c r="D606" s="8" t="str">
        <f ca="1">IFERROR(__xludf.DUMMYFUNCTION("""COMPUTED_VALUE"""),"Male")</f>
        <v>Male</v>
      </c>
      <c r="E606" s="8" t="str">
        <f ca="1">IFERROR(__xludf.DUMMYFUNCTION("""COMPUTED_VALUE"""),"Former Teacher")</f>
        <v>Former Teacher</v>
      </c>
      <c r="F606" s="8">
        <f ca="1">IFERROR(__xludf.DUMMYFUNCTION("""COMPUTED_VALUE"""),19)</f>
        <v>19</v>
      </c>
    </row>
    <row r="607" spans="1:6" ht="12.75">
      <c r="A607" s="4">
        <v>606</v>
      </c>
      <c r="B607" s="8" t="str">
        <f ca="1">IFERROR(__xludf.DUMMYFUNCTION("""COMPUTED_VALUE"""),"20200313TNPIR")</f>
        <v>20200313TNPIR</v>
      </c>
      <c r="C607" s="8" t="str">
        <f ca="1">IFERROR(__xludf.DUMMYFUNCTION("""COMPUTED_VALUE"""),"None")</f>
        <v>None</v>
      </c>
      <c r="D607" s="8"/>
      <c r="E607" s="8"/>
      <c r="F607" s="8"/>
    </row>
    <row r="608" spans="1:6" ht="12.75">
      <c r="A608" s="4">
        <v>607</v>
      </c>
      <c r="B608" s="8" t="str">
        <f ca="1">IFERROR(__xludf.DUMMYFUNCTION("""COMPUTED_VALUE"""),"20200310PASHN")</f>
        <v>20200310PASHN</v>
      </c>
      <c r="C608" s="8" t="str">
        <f ca="1">IFERROR(__xludf.DUMMYFUNCTION("""COMPUTED_VALUE"""),"None")</f>
        <v>None</v>
      </c>
      <c r="D608" s="8"/>
      <c r="E608" s="8"/>
      <c r="F608" s="8"/>
    </row>
    <row r="609" spans="1:6" ht="12.75">
      <c r="A609" s="4">
        <v>608</v>
      </c>
      <c r="B609" s="8" t="str">
        <f ca="1">IFERROR(__xludf.DUMMYFUNCTION("""COMPUTED_VALUE"""),"20200305FLSAW")</f>
        <v>20200305FLSAW</v>
      </c>
      <c r="C609" s="8" t="str">
        <f ca="1">IFERROR(__xludf.DUMMYFUNCTION("""COMPUTED_VALUE"""),"Wounded")</f>
        <v>Wounded</v>
      </c>
      <c r="D609" s="8" t="str">
        <f ca="1">IFERROR(__xludf.DUMMYFUNCTION("""COMPUTED_VALUE"""),"Male")</f>
        <v>Male</v>
      </c>
      <c r="E609" s="8" t="str">
        <f ca="1">IFERROR(__xludf.DUMMYFUNCTION("""COMPUTED_VALUE"""),"Police Officer/SRO")</f>
        <v>Police Officer/SRO</v>
      </c>
      <c r="F609" s="8"/>
    </row>
    <row r="610" spans="1:6" ht="12.75">
      <c r="A610" s="4">
        <v>609</v>
      </c>
      <c r="B610" s="8" t="str">
        <f ca="1">IFERROR(__xludf.DUMMYFUNCTION("""COMPUTED_VALUE"""),"20200302TXNOF")</f>
        <v>20200302TXNOF</v>
      </c>
      <c r="C610" s="8" t="str">
        <f ca="1">IFERROR(__xludf.DUMMYFUNCTION("""COMPUTED_VALUE"""),"None")</f>
        <v>None</v>
      </c>
      <c r="D610" s="8"/>
      <c r="E610" s="8"/>
      <c r="F610" s="8"/>
    </row>
    <row r="611" spans="1:6" ht="12.75">
      <c r="A611" s="4">
        <v>610</v>
      </c>
      <c r="B611" s="8" t="str">
        <f ca="1">IFERROR(__xludf.DUMMYFUNCTION("""COMPUTED_VALUE"""),"20200221NMCEA")</f>
        <v>20200221NMCEA</v>
      </c>
      <c r="C611" s="8" t="str">
        <f ca="1">IFERROR(__xludf.DUMMYFUNCTION("""COMPUTED_VALUE"""),"None")</f>
        <v>None</v>
      </c>
      <c r="D611" s="8"/>
      <c r="E611" s="8"/>
      <c r="F611" s="8"/>
    </row>
    <row r="612" spans="1:6" ht="12.75">
      <c r="A612" s="4">
        <v>611</v>
      </c>
      <c r="B612" s="8" t="str">
        <f ca="1">IFERROR(__xludf.DUMMYFUNCTION("""COMPUTED_VALUE"""),"20200215DCDUW")</f>
        <v>20200215DCDUW</v>
      </c>
      <c r="C612" s="8" t="str">
        <f ca="1">IFERROR(__xludf.DUMMYFUNCTION("""COMPUTED_VALUE"""),"Fatal")</f>
        <v>Fatal</v>
      </c>
      <c r="D612" s="8" t="str">
        <f ca="1">IFERROR(__xludf.DUMMYFUNCTION("""COMPUTED_VALUE"""),"Male")</f>
        <v>Male</v>
      </c>
      <c r="E612" s="8" t="str">
        <f ca="1">IFERROR(__xludf.DUMMYFUNCTION("""COMPUTED_VALUE"""),"Nonstudent Using Athletic Facilities/Attending Game")</f>
        <v>Nonstudent Using Athletic Facilities/Attending Game</v>
      </c>
      <c r="F612" s="8">
        <f ca="1">IFERROR(__xludf.DUMMYFUNCTION("""COMPUTED_VALUE"""),34)</f>
        <v>34</v>
      </c>
    </row>
    <row r="613" spans="1:6" ht="12.75">
      <c r="A613" s="4">
        <v>612</v>
      </c>
      <c r="B613" s="8" t="str">
        <f ca="1">IFERROR(__xludf.DUMMYFUNCTION("""COMPUTED_VALUE"""),"20200212MOJOF")</f>
        <v>20200212MOJOF</v>
      </c>
      <c r="C613" s="8" t="str">
        <f ca="1">IFERROR(__xludf.DUMMYFUNCTION("""COMPUTED_VALUE"""),"None")</f>
        <v>None</v>
      </c>
      <c r="D613" s="8"/>
      <c r="E613" s="8"/>
      <c r="F613" s="8"/>
    </row>
    <row r="614" spans="1:6" ht="12.75">
      <c r="A614" s="4">
        <v>613</v>
      </c>
      <c r="B614" s="8" t="str">
        <f ca="1">IFERROR(__xludf.DUMMYFUNCTION("""COMPUTED_VALUE"""),"20200205NHSEC")</f>
        <v>20200205NHSEC</v>
      </c>
      <c r="C614" s="8" t="str">
        <f ca="1">IFERROR(__xludf.DUMMYFUNCTION("""COMPUTED_VALUE"""),"None")</f>
        <v>None</v>
      </c>
      <c r="D614" s="8" t="str">
        <f ca="1">IFERROR(__xludf.DUMMYFUNCTION("""COMPUTED_VALUE"""),"Male")</f>
        <v>Male</v>
      </c>
      <c r="E614" s="8" t="str">
        <f ca="1">IFERROR(__xludf.DUMMYFUNCTION("""COMPUTED_VALUE"""),"Student")</f>
        <v>Student</v>
      </c>
      <c r="F614" s="8">
        <f ca="1">IFERROR(__xludf.DUMMYFUNCTION("""COMPUTED_VALUE"""),17)</f>
        <v>17</v>
      </c>
    </row>
    <row r="615" spans="1:6" ht="12.75">
      <c r="A615" s="4">
        <v>614</v>
      </c>
      <c r="B615" s="8" t="str">
        <f ca="1">IFERROR(__xludf.DUMMYFUNCTION("""COMPUTED_VALUE"""),"20200205NHSEC")</f>
        <v>20200205NHSEC</v>
      </c>
      <c r="C615" s="8" t="str">
        <f ca="1">IFERROR(__xludf.DUMMYFUNCTION("""COMPUTED_VALUE"""),"None")</f>
        <v>None</v>
      </c>
      <c r="D615" s="8" t="str">
        <f ca="1">IFERROR(__xludf.DUMMYFUNCTION("""COMPUTED_VALUE"""),"Female")</f>
        <v>Female</v>
      </c>
      <c r="E615" s="8" t="str">
        <f ca="1">IFERROR(__xludf.DUMMYFUNCTION("""COMPUTED_VALUE"""),"Teacher")</f>
        <v>Teacher</v>
      </c>
      <c r="F615" s="8" t="str">
        <f ca="1">IFERROR(__xludf.DUMMYFUNCTION("""COMPUTED_VALUE"""),"Adult")</f>
        <v>Adult</v>
      </c>
    </row>
    <row r="616" spans="1:6" ht="12.75">
      <c r="A616" s="4">
        <v>615</v>
      </c>
      <c r="B616" s="8" t="str">
        <f ca="1">IFERROR(__xludf.DUMMYFUNCTION("""COMPUTED_VALUE"""),"20200204LABEA")</f>
        <v>20200204LABEA</v>
      </c>
      <c r="C616" s="8" t="str">
        <f ca="1">IFERROR(__xludf.DUMMYFUNCTION("""COMPUTED_VALUE"""),"None")</f>
        <v>None</v>
      </c>
      <c r="D616" s="8"/>
      <c r="E616" s="8"/>
      <c r="F616" s="8"/>
    </row>
    <row r="617" spans="1:6" ht="12.75">
      <c r="A617" s="4">
        <v>616</v>
      </c>
      <c r="B617" s="8" t="str">
        <f ca="1">IFERROR(__xludf.DUMMYFUNCTION("""COMPUTED_VALUE"""),"20200203FLGEJ")</f>
        <v>20200203FLGEJ</v>
      </c>
      <c r="C617" s="8" t="str">
        <f ca="1">IFERROR(__xludf.DUMMYFUNCTION("""COMPUTED_VALUE"""),"Wounded")</f>
        <v>Wounded</v>
      </c>
      <c r="D617" s="8" t="str">
        <f ca="1">IFERROR(__xludf.DUMMYFUNCTION("""COMPUTED_VALUE"""),"Male")</f>
        <v>Male</v>
      </c>
      <c r="E617" s="8" t="str">
        <f ca="1">IFERROR(__xludf.DUMMYFUNCTION("""COMPUTED_VALUE"""),"No Relation")</f>
        <v>No Relation</v>
      </c>
      <c r="F617" s="8" t="str">
        <f ca="1">IFERROR(__xludf.DUMMYFUNCTION("""COMPUTED_VALUE"""),"Adult")</f>
        <v>Adult</v>
      </c>
    </row>
    <row r="618" spans="1:6" ht="12.75">
      <c r="A618" s="4">
        <v>617</v>
      </c>
      <c r="B618" s="8" t="str">
        <f ca="1">IFERROR(__xludf.DUMMYFUNCTION("""COMPUTED_VALUE"""),"20200201TXHIH")</f>
        <v>20200201TXHIH</v>
      </c>
      <c r="C618" s="8" t="str">
        <f ca="1">IFERROR(__xludf.DUMMYFUNCTION("""COMPUTED_VALUE"""),"Wounded")</f>
        <v>Wounded</v>
      </c>
      <c r="D618" s="8" t="str">
        <f ca="1">IFERROR(__xludf.DUMMYFUNCTION("""COMPUTED_VALUE"""),"Male")</f>
        <v>Male</v>
      </c>
      <c r="E618" s="8" t="str">
        <f ca="1">IFERROR(__xludf.DUMMYFUNCTION("""COMPUTED_VALUE"""),"No Relation")</f>
        <v>No Relation</v>
      </c>
      <c r="F618" s="8" t="str">
        <f ca="1">IFERROR(__xludf.DUMMYFUNCTION("""COMPUTED_VALUE"""),"Adult")</f>
        <v>Adult</v>
      </c>
    </row>
    <row r="619" spans="1:6" ht="12.75">
      <c r="A619" s="4">
        <v>618</v>
      </c>
      <c r="B619" s="8" t="str">
        <f ca="1">IFERROR(__xludf.DUMMYFUNCTION("""COMPUTED_VALUE"""),"20200131CADEA")</f>
        <v>20200131CADEA</v>
      </c>
      <c r="C619" s="8" t="str">
        <f ca="1">IFERROR(__xludf.DUMMYFUNCTION("""COMPUTED_VALUE"""),"Fatal")</f>
        <v>Fatal</v>
      </c>
      <c r="D619" s="8" t="str">
        <f ca="1">IFERROR(__xludf.DUMMYFUNCTION("""COMPUTED_VALUE"""),"Male")</f>
        <v>Male</v>
      </c>
      <c r="E619" s="8" t="str">
        <f ca="1">IFERROR(__xludf.DUMMYFUNCTION("""COMPUTED_VALUE"""),"Student")</f>
        <v>Student</v>
      </c>
      <c r="F619" s="8">
        <f ca="1">IFERROR(__xludf.DUMMYFUNCTION("""COMPUTED_VALUE"""),16)</f>
        <v>16</v>
      </c>
    </row>
    <row r="620" spans="1:6" ht="12.75">
      <c r="A620" s="4">
        <v>619</v>
      </c>
      <c r="B620" s="8" t="str">
        <f ca="1">IFERROR(__xludf.DUMMYFUNCTION("""COMPUTED_VALUE"""),"20200128TXLUL")</f>
        <v>20200128TXLUL</v>
      </c>
      <c r="C620" s="8" t="str">
        <f ca="1">IFERROR(__xludf.DUMMYFUNCTION("""COMPUTED_VALUE"""),"Wounded")</f>
        <v>Wounded</v>
      </c>
      <c r="D620" s="8" t="str">
        <f ca="1">IFERROR(__xludf.DUMMYFUNCTION("""COMPUTED_VALUE"""),"Male")</f>
        <v>Male</v>
      </c>
      <c r="E620" s="8" t="str">
        <f ca="1">IFERROR(__xludf.DUMMYFUNCTION("""COMPUTED_VALUE"""),"Student")</f>
        <v>Student</v>
      </c>
      <c r="F620" s="8">
        <f ca="1">IFERROR(__xludf.DUMMYFUNCTION("""COMPUTED_VALUE"""),17)</f>
        <v>17</v>
      </c>
    </row>
    <row r="621" spans="1:6" ht="12.75">
      <c r="A621" s="4">
        <v>620</v>
      </c>
      <c r="B621" s="8" t="str">
        <f ca="1">IFERROR(__xludf.DUMMYFUNCTION("""COMPUTED_VALUE"""),"20200128TNWHM")</f>
        <v>20200128TNWHM</v>
      </c>
      <c r="C621" s="8" t="str">
        <f ca="1">IFERROR(__xludf.DUMMYFUNCTION("""COMPUTED_VALUE"""),"Wounded")</f>
        <v>Wounded</v>
      </c>
      <c r="D621" s="8" t="str">
        <f ca="1">IFERROR(__xludf.DUMMYFUNCTION("""COMPUTED_VALUE"""),"Male")</f>
        <v>Male</v>
      </c>
      <c r="E621" s="8"/>
      <c r="F621" s="8"/>
    </row>
    <row r="622" spans="1:6" ht="12.75">
      <c r="A622" s="4">
        <v>621</v>
      </c>
      <c r="B622" s="8" t="str">
        <f ca="1">IFERROR(__xludf.DUMMYFUNCTION("""COMPUTED_VALUE"""),"20200128NYMAQ")</f>
        <v>20200128NYMAQ</v>
      </c>
      <c r="C622" s="8" t="str">
        <f ca="1">IFERROR(__xludf.DUMMYFUNCTION("""COMPUTED_VALUE"""),"None")</f>
        <v>None</v>
      </c>
      <c r="D622" s="8" t="str">
        <f ca="1">IFERROR(__xludf.DUMMYFUNCTION("""COMPUTED_VALUE"""),"Male")</f>
        <v>Male</v>
      </c>
      <c r="E622" s="8" t="str">
        <f ca="1">IFERROR(__xludf.DUMMYFUNCTION("""COMPUTED_VALUE"""),"Student")</f>
        <v>Student</v>
      </c>
      <c r="F622" s="8">
        <f ca="1">IFERROR(__xludf.DUMMYFUNCTION("""COMPUTED_VALUE"""),16)</f>
        <v>16</v>
      </c>
    </row>
    <row r="623" spans="1:6" ht="12.75">
      <c r="A623" s="4">
        <v>622</v>
      </c>
      <c r="B623" s="8" t="str">
        <f ca="1">IFERROR(__xludf.DUMMYFUNCTION("""COMPUTED_VALUE"""),"20200127WAROY")</f>
        <v>20200127WAROY</v>
      </c>
      <c r="C623" s="8" t="str">
        <f ca="1">IFERROR(__xludf.DUMMYFUNCTION("""COMPUTED_VALUE"""),"None")</f>
        <v>None</v>
      </c>
      <c r="D623" s="8"/>
      <c r="E623" s="8"/>
      <c r="F623" s="8"/>
    </row>
    <row r="624" spans="1:6" ht="12.75">
      <c r="A624" s="4">
        <v>623</v>
      </c>
      <c r="B624" s="8" t="str">
        <f ca="1">IFERROR(__xludf.DUMMYFUNCTION("""COMPUTED_VALUE"""),"20200123CAOXO")</f>
        <v>20200123CAOXO</v>
      </c>
      <c r="C624" s="8" t="str">
        <f ca="1">IFERROR(__xludf.DUMMYFUNCTION("""COMPUTED_VALUE"""),"Wounded")</f>
        <v>Wounded</v>
      </c>
      <c r="D624" s="8" t="str">
        <f ca="1">IFERROR(__xludf.DUMMYFUNCTION("""COMPUTED_VALUE"""),"Female")</f>
        <v>Female</v>
      </c>
      <c r="E624" s="8" t="str">
        <f ca="1">IFERROR(__xludf.DUMMYFUNCTION("""COMPUTED_VALUE"""),"Student")</f>
        <v>Student</v>
      </c>
      <c r="F624" s="8">
        <f ca="1">IFERROR(__xludf.DUMMYFUNCTION("""COMPUTED_VALUE"""),9)</f>
        <v>9</v>
      </c>
    </row>
    <row r="625" spans="1:6" ht="12.75">
      <c r="A625" s="4">
        <v>624</v>
      </c>
      <c r="B625" s="8" t="str">
        <f ca="1">IFERROR(__xludf.DUMMYFUNCTION("""COMPUTED_VALUE"""),"20200121NEPAL")</f>
        <v>20200121NEPAL</v>
      </c>
      <c r="C625" s="8" t="str">
        <f ca="1">IFERROR(__xludf.DUMMYFUNCTION("""COMPUTED_VALUE"""),"None")</f>
        <v>None</v>
      </c>
      <c r="D625" s="8"/>
      <c r="E625" s="8"/>
      <c r="F625" s="8"/>
    </row>
    <row r="626" spans="1:6" ht="12.75">
      <c r="A626" s="4">
        <v>625</v>
      </c>
      <c r="B626" s="8" t="str">
        <f ca="1">IFERROR(__xludf.DUMMYFUNCTION("""COMPUTED_VALUE"""),"20200121ILLIC")</f>
        <v>20200121ILLIC</v>
      </c>
      <c r="C626" s="8" t="str">
        <f ca="1">IFERROR(__xludf.DUMMYFUNCTION("""COMPUTED_VALUE"""),"Wounded")</f>
        <v>Wounded</v>
      </c>
      <c r="D626" s="8" t="str">
        <f ca="1">IFERROR(__xludf.DUMMYFUNCTION("""COMPUTED_VALUE"""),"Male")</f>
        <v>Male</v>
      </c>
      <c r="E626" s="8" t="str">
        <f ca="1">IFERROR(__xludf.DUMMYFUNCTION("""COMPUTED_VALUE"""),"Student")</f>
        <v>Student</v>
      </c>
      <c r="F626" s="8">
        <f ca="1">IFERROR(__xludf.DUMMYFUNCTION("""COMPUTED_VALUE"""),17)</f>
        <v>17</v>
      </c>
    </row>
    <row r="627" spans="1:6" ht="12.75">
      <c r="A627" s="4">
        <v>626</v>
      </c>
      <c r="B627" s="8" t="str">
        <f ca="1">IFERROR(__xludf.DUMMYFUNCTION("""COMPUTED_VALUE"""),"20200119TXNOF")</f>
        <v>20200119TXNOF</v>
      </c>
      <c r="C627" s="8" t="str">
        <f ca="1">IFERROR(__xludf.DUMMYFUNCTION("""COMPUTED_VALUE"""),"Wounded")</f>
        <v>Wounded</v>
      </c>
      <c r="D627" s="8"/>
      <c r="E627" s="8" t="str">
        <f ca="1">IFERROR(__xludf.DUMMYFUNCTION("""COMPUTED_VALUE"""),"Nonstudent Using Athletic Facilities/Attending Game")</f>
        <v>Nonstudent Using Athletic Facilities/Attending Game</v>
      </c>
      <c r="F627" s="8" t="str">
        <f ca="1">IFERROR(__xludf.DUMMYFUNCTION("""COMPUTED_VALUE"""),"Adult")</f>
        <v>Adult</v>
      </c>
    </row>
    <row r="628" spans="1:6" ht="12.75">
      <c r="A628" s="4">
        <v>627</v>
      </c>
      <c r="B628" s="8" t="str">
        <f ca="1">IFERROR(__xludf.DUMMYFUNCTION("""COMPUTED_VALUE"""),"20200119TXNOF")</f>
        <v>20200119TXNOF</v>
      </c>
      <c r="C628" s="8" t="str">
        <f ca="1">IFERROR(__xludf.DUMMYFUNCTION("""COMPUTED_VALUE"""),"Wounded")</f>
        <v>Wounded</v>
      </c>
      <c r="D628" s="8"/>
      <c r="E628" s="8" t="str">
        <f ca="1">IFERROR(__xludf.DUMMYFUNCTION("""COMPUTED_VALUE"""),"Nonstudent Using Athletic Facilities/Attending Game")</f>
        <v>Nonstudent Using Athletic Facilities/Attending Game</v>
      </c>
      <c r="F628" s="8">
        <f ca="1">IFERROR(__xludf.DUMMYFUNCTION("""COMPUTED_VALUE"""),10)</f>
        <v>10</v>
      </c>
    </row>
    <row r="629" spans="1:6" ht="12.75">
      <c r="A629" s="4">
        <v>628</v>
      </c>
      <c r="B629" s="8" t="str">
        <f ca="1">IFERROR(__xludf.DUMMYFUNCTION("""COMPUTED_VALUE"""),"20200117SCCAS")</f>
        <v>20200117SCCAS</v>
      </c>
      <c r="C629" s="8" t="str">
        <f ca="1">IFERROR(__xludf.DUMMYFUNCTION("""COMPUTED_VALUE"""),"None")</f>
        <v>None</v>
      </c>
      <c r="D629" s="8" t="str">
        <f ca="1">IFERROR(__xludf.DUMMYFUNCTION("""COMPUTED_VALUE"""),"Male")</f>
        <v>Male</v>
      </c>
      <c r="E629" s="8" t="str">
        <f ca="1">IFERROR(__xludf.DUMMYFUNCTION("""COMPUTED_VALUE"""),"Student")</f>
        <v>Student</v>
      </c>
      <c r="F629" s="8">
        <f ca="1">IFERROR(__xludf.DUMMYFUNCTION("""COMPUTED_VALUE"""),16)</f>
        <v>16</v>
      </c>
    </row>
    <row r="630" spans="1:6" ht="12.75">
      <c r="A630" s="4">
        <v>629</v>
      </c>
      <c r="B630" s="8" t="str">
        <f ca="1">IFERROR(__xludf.DUMMYFUNCTION("""COMPUTED_VALUE"""),"20200117MITHH")</f>
        <v>20200117MITHH</v>
      </c>
      <c r="C630" s="8" t="str">
        <f ca="1">IFERROR(__xludf.DUMMYFUNCTION("""COMPUTED_VALUE"""),"Wounded")</f>
        <v>Wounded</v>
      </c>
      <c r="D630" s="8" t="str">
        <f ca="1">IFERROR(__xludf.DUMMYFUNCTION("""COMPUTED_VALUE"""),"Male")</f>
        <v>Male</v>
      </c>
      <c r="E630" s="8" t="str">
        <f ca="1">IFERROR(__xludf.DUMMYFUNCTION("""COMPUTED_VALUE"""),"Parent")</f>
        <v>Parent</v>
      </c>
      <c r="F630" s="8" t="str">
        <f ca="1">IFERROR(__xludf.DUMMYFUNCTION("""COMPUTED_VALUE"""),"Adult")</f>
        <v>Adult</v>
      </c>
    </row>
    <row r="631" spans="1:6" ht="12.75">
      <c r="A631" s="4">
        <v>630</v>
      </c>
      <c r="B631" s="8" t="str">
        <f ca="1">IFERROR(__xludf.DUMMYFUNCTION("""COMPUTED_VALUE"""),"20200114TXPOM")</f>
        <v>20200114TXPOM</v>
      </c>
      <c r="C631" s="8" t="str">
        <f ca="1">IFERROR(__xludf.DUMMYFUNCTION("""COMPUTED_VALUE"""),"None")</f>
        <v>None</v>
      </c>
      <c r="D631" s="8"/>
      <c r="E631" s="8"/>
      <c r="F631" s="8"/>
    </row>
    <row r="632" spans="1:6" ht="12.75">
      <c r="A632" s="4">
        <v>631</v>
      </c>
      <c r="B632" s="8" t="str">
        <f ca="1">IFERROR(__xludf.DUMMYFUNCTION("""COMPUTED_VALUE"""),"20200114TXBEH")</f>
        <v>20200114TXBEH</v>
      </c>
      <c r="C632" s="8" t="str">
        <f ca="1">IFERROR(__xludf.DUMMYFUNCTION("""COMPUTED_VALUE"""),"Fatal")</f>
        <v>Fatal</v>
      </c>
      <c r="D632" s="8" t="str">
        <f ca="1">IFERROR(__xludf.DUMMYFUNCTION("""COMPUTED_VALUE"""),"Male")</f>
        <v>Male</v>
      </c>
      <c r="E632" s="8" t="str">
        <f ca="1">IFERROR(__xludf.DUMMYFUNCTION("""COMPUTED_VALUE"""),"Student")</f>
        <v>Student</v>
      </c>
      <c r="F632" s="8">
        <f ca="1">IFERROR(__xludf.DUMMYFUNCTION("""COMPUTED_VALUE"""),19)</f>
        <v>19</v>
      </c>
    </row>
    <row r="633" spans="1:6" ht="12.75">
      <c r="A633" s="4">
        <v>632</v>
      </c>
      <c r="B633" s="8" t="str">
        <f ca="1">IFERROR(__xludf.DUMMYFUNCTION("""COMPUTED_VALUE"""),"20200111TXELD")</f>
        <v>20200111TXELD</v>
      </c>
      <c r="C633" s="8" t="str">
        <f ca="1">IFERROR(__xludf.DUMMYFUNCTION("""COMPUTED_VALUE"""),"Fatal")</f>
        <v>Fatal</v>
      </c>
      <c r="D633" s="8" t="str">
        <f ca="1">IFERROR(__xludf.DUMMYFUNCTION("""COMPUTED_VALUE"""),"Male")</f>
        <v>Male</v>
      </c>
      <c r="E633" s="8" t="str">
        <f ca="1">IFERROR(__xludf.DUMMYFUNCTION("""COMPUTED_VALUE"""),"Former Student")</f>
        <v>Former Student</v>
      </c>
      <c r="F633" s="8">
        <f ca="1">IFERROR(__xludf.DUMMYFUNCTION("""COMPUTED_VALUE"""),18)</f>
        <v>18</v>
      </c>
    </row>
    <row r="634" spans="1:6" ht="12.75">
      <c r="A634" s="4">
        <v>633</v>
      </c>
      <c r="B634" s="8" t="str">
        <f ca="1">IFERROR(__xludf.DUMMYFUNCTION("""COMPUTED_VALUE"""),"20200111TXELD")</f>
        <v>20200111TXELD</v>
      </c>
      <c r="C634" s="8" t="str">
        <f ca="1">IFERROR(__xludf.DUMMYFUNCTION("""COMPUTED_VALUE"""),"Wounded")</f>
        <v>Wounded</v>
      </c>
      <c r="D634" s="8" t="str">
        <f ca="1">IFERROR(__xludf.DUMMYFUNCTION("""COMPUTED_VALUE"""),"Male")</f>
        <v>Male</v>
      </c>
      <c r="E634" s="8" t="str">
        <f ca="1">IFERROR(__xludf.DUMMYFUNCTION("""COMPUTED_VALUE"""),"Police Officer/SRO")</f>
        <v>Police Officer/SRO</v>
      </c>
      <c r="F634" s="8" t="str">
        <f ca="1">IFERROR(__xludf.DUMMYFUNCTION("""COMPUTED_VALUE"""),"Officer")</f>
        <v>Officer</v>
      </c>
    </row>
    <row r="635" spans="1:6" ht="12.75">
      <c r="A635" s="4">
        <v>634</v>
      </c>
      <c r="B635" s="8" t="str">
        <f ca="1">IFERROR(__xludf.DUMMYFUNCTION("""COMPUTED_VALUE"""),"20200110MSMCJ")</f>
        <v>20200110MSMCJ</v>
      </c>
      <c r="C635" s="8" t="str">
        <f ca="1">IFERROR(__xludf.DUMMYFUNCTION("""COMPUTED_VALUE"""),"Wounded")</f>
        <v>Wounded</v>
      </c>
      <c r="D635" s="8" t="str">
        <f ca="1">IFERROR(__xludf.DUMMYFUNCTION("""COMPUTED_VALUE"""),"Male")</f>
        <v>Male</v>
      </c>
      <c r="E635" s="8" t="str">
        <f ca="1">IFERROR(__xludf.DUMMYFUNCTION("""COMPUTED_VALUE"""),"Student")</f>
        <v>Student</v>
      </c>
      <c r="F635" s="8" t="str">
        <f ca="1">IFERROR(__xludf.DUMMYFUNCTION("""COMPUTED_VALUE"""),"Teen")</f>
        <v>Teen</v>
      </c>
    </row>
    <row r="636" spans="1:6" ht="12.75">
      <c r="A636" s="4">
        <v>635</v>
      </c>
      <c r="B636" s="8" t="str">
        <f ca="1">IFERROR(__xludf.DUMMYFUNCTION("""COMPUTED_VALUE"""),"20200108FLGLB")</f>
        <v>20200108FLGLB</v>
      </c>
      <c r="C636" s="8" t="str">
        <f ca="1">IFERROR(__xludf.DUMMYFUNCTION("""COMPUTED_VALUE"""),"None")</f>
        <v>None</v>
      </c>
      <c r="D636" s="8"/>
      <c r="E636" s="8"/>
      <c r="F636" s="8"/>
    </row>
    <row r="637" spans="1:6" ht="12.75">
      <c r="A637" s="4">
        <v>636</v>
      </c>
      <c r="B637" s="8" t="str">
        <f ca="1">IFERROR(__xludf.DUMMYFUNCTION("""COMPUTED_VALUE"""),"20200107WASOK")</f>
        <v>20200107WASOK</v>
      </c>
      <c r="C637" s="8" t="str">
        <f ca="1">IFERROR(__xludf.DUMMYFUNCTION("""COMPUTED_VALUE"""),"None")</f>
        <v>None</v>
      </c>
      <c r="D637" s="8"/>
      <c r="E637" s="8"/>
      <c r="F637" s="8"/>
    </row>
    <row r="638" spans="1:6" ht="12.75">
      <c r="A638" s="4">
        <v>637</v>
      </c>
      <c r="B638" s="8" t="str">
        <f ca="1">IFERROR(__xludf.DUMMYFUNCTION("""COMPUTED_VALUE"""),"20191228MOMAS")</f>
        <v>20191228MOMAS</v>
      </c>
      <c r="C638" s="8" t="str">
        <f ca="1">IFERROR(__xludf.DUMMYFUNCTION("""COMPUTED_VALUE"""),"Fatal")</f>
        <v>Fatal</v>
      </c>
      <c r="D638" s="8" t="str">
        <f ca="1">IFERROR(__xludf.DUMMYFUNCTION("""COMPUTED_VALUE"""),"Male")</f>
        <v>Male</v>
      </c>
      <c r="E638" s="8" t="str">
        <f ca="1">IFERROR(__xludf.DUMMYFUNCTION("""COMPUTED_VALUE"""),"Student")</f>
        <v>Student</v>
      </c>
      <c r="F638" s="8">
        <f ca="1">IFERROR(__xludf.DUMMYFUNCTION("""COMPUTED_VALUE"""),13)</f>
        <v>13</v>
      </c>
    </row>
    <row r="639" spans="1:6" ht="12.75">
      <c r="A639" s="4">
        <v>638</v>
      </c>
      <c r="B639" s="8" t="str">
        <f ca="1">IFERROR(__xludf.DUMMYFUNCTION("""COMPUTED_VALUE"""),"20191221LAWES")</f>
        <v>20191221LAWES</v>
      </c>
      <c r="C639" s="8" t="str">
        <f ca="1">IFERROR(__xludf.DUMMYFUNCTION("""COMPUTED_VALUE"""),"Wounded")</f>
        <v>Wounded</v>
      </c>
      <c r="D639" s="8"/>
      <c r="E639" s="8" t="str">
        <f ca="1">IFERROR(__xludf.DUMMYFUNCTION("""COMPUTED_VALUE"""),"Nonstudent Using Athletic Facilities/Attending Game")</f>
        <v>Nonstudent Using Athletic Facilities/Attending Game</v>
      </c>
      <c r="F639" s="8" t="str">
        <f ca="1">IFERROR(__xludf.DUMMYFUNCTION("""COMPUTED_VALUE"""),"Adult")</f>
        <v>Adult</v>
      </c>
    </row>
    <row r="640" spans="1:6" ht="12.75">
      <c r="A640" s="4">
        <v>639</v>
      </c>
      <c r="B640" s="8" t="str">
        <f ca="1">IFERROR(__xludf.DUMMYFUNCTION("""COMPUTED_VALUE"""),"20191221LAWES")</f>
        <v>20191221LAWES</v>
      </c>
      <c r="C640" s="8" t="str">
        <f ca="1">IFERROR(__xludf.DUMMYFUNCTION("""COMPUTED_VALUE"""),"Wounded")</f>
        <v>Wounded</v>
      </c>
      <c r="D640" s="8"/>
      <c r="E640" s="8" t="str">
        <f ca="1">IFERROR(__xludf.DUMMYFUNCTION("""COMPUTED_VALUE"""),"Nonstudent Using Athletic Facilities/Attending Game")</f>
        <v>Nonstudent Using Athletic Facilities/Attending Game</v>
      </c>
      <c r="F640" s="8" t="str">
        <f ca="1">IFERROR(__xludf.DUMMYFUNCTION("""COMPUTED_VALUE"""),"Adult")</f>
        <v>Adult</v>
      </c>
    </row>
    <row r="641" spans="1:6" ht="12.75">
      <c r="A641" s="4">
        <v>640</v>
      </c>
      <c r="B641" s="8" t="str">
        <f ca="1">IFERROR(__xludf.DUMMYFUNCTION("""COMPUTED_VALUE"""),"20191221LAWES")</f>
        <v>20191221LAWES</v>
      </c>
      <c r="C641" s="8" t="str">
        <f ca="1">IFERROR(__xludf.DUMMYFUNCTION("""COMPUTED_VALUE"""),"Wounded")</f>
        <v>Wounded</v>
      </c>
      <c r="D641" s="8"/>
      <c r="E641" s="8" t="str">
        <f ca="1">IFERROR(__xludf.DUMMYFUNCTION("""COMPUTED_VALUE"""),"Nonstudent Using Athletic Facilities/Attending Game")</f>
        <v>Nonstudent Using Athletic Facilities/Attending Game</v>
      </c>
      <c r="F641" s="8" t="str">
        <f ca="1">IFERROR(__xludf.DUMMYFUNCTION("""COMPUTED_VALUE"""),"Adult")</f>
        <v>Adult</v>
      </c>
    </row>
    <row r="642" spans="1:6" ht="12.75">
      <c r="A642" s="4">
        <v>641</v>
      </c>
      <c r="B642" s="8" t="str">
        <f ca="1">IFERROR(__xludf.DUMMYFUNCTION("""COMPUTED_VALUE"""),"20191221LAWES")</f>
        <v>20191221LAWES</v>
      </c>
      <c r="C642" s="8" t="str">
        <f ca="1">IFERROR(__xludf.DUMMYFUNCTION("""COMPUTED_VALUE"""),"Wounded")</f>
        <v>Wounded</v>
      </c>
      <c r="D642" s="8"/>
      <c r="E642" s="8" t="str">
        <f ca="1">IFERROR(__xludf.DUMMYFUNCTION("""COMPUTED_VALUE"""),"Nonstudent Using Athletic Facilities/Attending Game")</f>
        <v>Nonstudent Using Athletic Facilities/Attending Game</v>
      </c>
      <c r="F642" s="8" t="str">
        <f ca="1">IFERROR(__xludf.DUMMYFUNCTION("""COMPUTED_VALUE"""),"Adult")</f>
        <v>Adult</v>
      </c>
    </row>
    <row r="643" spans="1:6" ht="12.75">
      <c r="A643" s="4">
        <v>642</v>
      </c>
      <c r="B643" s="8" t="str">
        <f ca="1">IFERROR(__xludf.DUMMYFUNCTION("""COMPUTED_VALUE"""),"20191219FLLEN")</f>
        <v>20191219FLLEN</v>
      </c>
      <c r="C643" s="8" t="str">
        <f ca="1">IFERROR(__xludf.DUMMYFUNCTION("""COMPUTED_VALUE"""),"Fatal")</f>
        <v>Fatal</v>
      </c>
      <c r="D643" s="8" t="str">
        <f ca="1">IFERROR(__xludf.DUMMYFUNCTION("""COMPUTED_VALUE"""),"Female")</f>
        <v>Female</v>
      </c>
      <c r="E643" s="8" t="str">
        <f ca="1">IFERROR(__xludf.DUMMYFUNCTION("""COMPUTED_VALUE"""),"Student")</f>
        <v>Student</v>
      </c>
      <c r="F643" s="8" t="str">
        <f ca="1">IFERROR(__xludf.DUMMYFUNCTION("""COMPUTED_VALUE"""),"Adult")</f>
        <v>Adult</v>
      </c>
    </row>
    <row r="644" spans="1:6" ht="12.75">
      <c r="A644" s="4">
        <v>643</v>
      </c>
      <c r="B644" s="8" t="str">
        <f ca="1">IFERROR(__xludf.DUMMYFUNCTION("""COMPUTED_VALUE"""),"20191216CTCAN")</f>
        <v>20191216CTCAN</v>
      </c>
      <c r="C644" s="8" t="str">
        <f ca="1">IFERROR(__xludf.DUMMYFUNCTION("""COMPUTED_VALUE"""),"Wounded")</f>
        <v>Wounded</v>
      </c>
      <c r="D644" s="8" t="str">
        <f ca="1">IFERROR(__xludf.DUMMYFUNCTION("""COMPUTED_VALUE"""),"Male")</f>
        <v>Male</v>
      </c>
      <c r="E644" s="8" t="str">
        <f ca="1">IFERROR(__xludf.DUMMYFUNCTION("""COMPUTED_VALUE"""),"Parent")</f>
        <v>Parent</v>
      </c>
      <c r="F644" s="8" t="str">
        <f ca="1">IFERROR(__xludf.DUMMYFUNCTION("""COMPUTED_VALUE"""),"Adult")</f>
        <v>Adult</v>
      </c>
    </row>
    <row r="645" spans="1:6" ht="12.75">
      <c r="A645" s="4">
        <v>644</v>
      </c>
      <c r="B645" s="8" t="str">
        <f ca="1">IFERROR(__xludf.DUMMYFUNCTION("""COMPUTED_VALUE"""),"20191213VAMAN")</f>
        <v>20191213VAMAN</v>
      </c>
      <c r="C645" s="8" t="str">
        <f ca="1">IFERROR(__xludf.DUMMYFUNCTION("""COMPUTED_VALUE"""),"None")</f>
        <v>None</v>
      </c>
      <c r="D645" s="8" t="str">
        <f ca="1">IFERROR(__xludf.DUMMYFUNCTION("""COMPUTED_VALUE"""),"Male")</f>
        <v>Male</v>
      </c>
      <c r="E645" s="8" t="str">
        <f ca="1">IFERROR(__xludf.DUMMYFUNCTION("""COMPUTED_VALUE"""),"Student")</f>
        <v>Student</v>
      </c>
      <c r="F645" s="8">
        <f ca="1">IFERROR(__xludf.DUMMYFUNCTION("""COMPUTED_VALUE"""),17)</f>
        <v>17</v>
      </c>
    </row>
    <row r="646" spans="1:6" ht="12.75">
      <c r="A646" s="4">
        <v>645</v>
      </c>
      <c r="B646" s="8" t="str">
        <f ca="1">IFERROR(__xludf.DUMMYFUNCTION("""COMPUTED_VALUE"""),"20191211KSCHT")</f>
        <v>20191211KSCHT</v>
      </c>
      <c r="C646" s="8" t="str">
        <f ca="1">IFERROR(__xludf.DUMMYFUNCTION("""COMPUTED_VALUE"""),"None")</f>
        <v>None</v>
      </c>
      <c r="D646" s="8"/>
      <c r="E646" s="8"/>
      <c r="F646" s="8"/>
    </row>
    <row r="647" spans="1:6" ht="12.75">
      <c r="A647" s="4">
        <v>646</v>
      </c>
      <c r="B647" s="8" t="str">
        <f ca="1">IFERROR(__xludf.DUMMYFUNCTION("""COMPUTED_VALUE"""),"20191211INEVE")</f>
        <v>20191211INEVE</v>
      </c>
      <c r="C647" s="8" t="str">
        <f ca="1">IFERROR(__xludf.DUMMYFUNCTION("""COMPUTED_VALUE"""),"None")</f>
        <v>None</v>
      </c>
      <c r="D647" s="8"/>
      <c r="E647" s="8"/>
      <c r="F647" s="8"/>
    </row>
    <row r="648" spans="1:6" ht="12.75">
      <c r="A648" s="4">
        <v>647</v>
      </c>
      <c r="B648" s="8" t="str">
        <f ca="1">IFERROR(__xludf.DUMMYFUNCTION("""COMPUTED_VALUE"""),"20191210NJSAJ")</f>
        <v>20191210NJSAJ</v>
      </c>
      <c r="C648" s="8" t="str">
        <f ca="1">IFERROR(__xludf.DUMMYFUNCTION("""COMPUTED_VALUE"""),"None")</f>
        <v>None</v>
      </c>
      <c r="D648" s="8"/>
      <c r="E648" s="8"/>
      <c r="F648" s="8"/>
    </row>
    <row r="649" spans="1:6" ht="12.75">
      <c r="A649" s="4">
        <v>648</v>
      </c>
      <c r="B649" s="8" t="str">
        <f ca="1">IFERROR(__xludf.DUMMYFUNCTION("""COMPUTED_VALUE"""),"20191210KSJCK")</f>
        <v>20191210KSJCK</v>
      </c>
      <c r="C649" s="8" t="str">
        <f ca="1">IFERROR(__xludf.DUMMYFUNCTION("""COMPUTED_VALUE"""),"None")</f>
        <v>None</v>
      </c>
      <c r="D649" s="8"/>
      <c r="E649" s="8"/>
      <c r="F649" s="8"/>
    </row>
    <row r="650" spans="1:6" ht="12.75">
      <c r="A650" s="4">
        <v>649</v>
      </c>
      <c r="B650" s="8" t="str">
        <f ca="1">IFERROR(__xludf.DUMMYFUNCTION("""COMPUTED_VALUE"""),"20191210ALDED")</f>
        <v>20191210ALDED</v>
      </c>
      <c r="C650" s="8" t="str">
        <f ca="1">IFERROR(__xludf.DUMMYFUNCTION("""COMPUTED_VALUE"""),"None")</f>
        <v>None</v>
      </c>
      <c r="D650" s="8"/>
      <c r="E650" s="8"/>
      <c r="F650" s="8"/>
    </row>
    <row r="651" spans="1:6" ht="12.75">
      <c r="A651" s="4">
        <v>650</v>
      </c>
      <c r="B651" s="8" t="str">
        <f ca="1">IFERROR(__xludf.DUMMYFUNCTION("""COMPUTED_VALUE"""),"20191204NMPIL")</f>
        <v>20191204NMPIL</v>
      </c>
      <c r="C651" s="8" t="str">
        <f ca="1">IFERROR(__xludf.DUMMYFUNCTION("""COMPUTED_VALUE"""),"None")</f>
        <v>None</v>
      </c>
      <c r="D651" s="8"/>
      <c r="E651" s="8"/>
      <c r="F651" s="8"/>
    </row>
    <row r="652" spans="1:6" ht="12.75">
      <c r="A652" s="4">
        <v>651</v>
      </c>
      <c r="B652" s="8" t="str">
        <f ca="1">IFERROR(__xludf.DUMMYFUNCTION("""COMPUTED_VALUE"""),"20191203WITHM")</f>
        <v>20191203WITHM</v>
      </c>
      <c r="C652" s="8" t="str">
        <f ca="1">IFERROR(__xludf.DUMMYFUNCTION("""COMPUTED_VALUE"""),"Wounded")</f>
        <v>Wounded</v>
      </c>
      <c r="D652" s="8" t="str">
        <f ca="1">IFERROR(__xludf.DUMMYFUNCTION("""COMPUTED_VALUE"""),"Female")</f>
        <v>Female</v>
      </c>
      <c r="E652" s="8" t="str">
        <f ca="1">IFERROR(__xludf.DUMMYFUNCTION("""COMPUTED_VALUE"""),"Student")</f>
        <v>Student</v>
      </c>
      <c r="F652" s="8" t="str">
        <f ca="1">IFERROR(__xludf.DUMMYFUNCTION("""COMPUTED_VALUE"""),"Teen")</f>
        <v>Teen</v>
      </c>
    </row>
    <row r="653" spans="1:6" ht="12.75">
      <c r="A653" s="4">
        <v>652</v>
      </c>
      <c r="B653" s="8" t="str">
        <f ca="1">IFERROR(__xludf.DUMMYFUNCTION("""COMPUTED_VALUE"""),"20191203WITHM")</f>
        <v>20191203WITHM</v>
      </c>
      <c r="C653" s="8" t="str">
        <f ca="1">IFERROR(__xludf.DUMMYFUNCTION("""COMPUTED_VALUE"""),"Wounded")</f>
        <v>Wounded</v>
      </c>
      <c r="D653" s="8" t="str">
        <f ca="1">IFERROR(__xludf.DUMMYFUNCTION("""COMPUTED_VALUE"""),"Female")</f>
        <v>Female</v>
      </c>
      <c r="E653" s="8" t="str">
        <f ca="1">IFERROR(__xludf.DUMMYFUNCTION("""COMPUTED_VALUE"""),"Student")</f>
        <v>Student</v>
      </c>
      <c r="F653" s="8" t="str">
        <f ca="1">IFERROR(__xludf.DUMMYFUNCTION("""COMPUTED_VALUE"""),"Teen")</f>
        <v>Teen</v>
      </c>
    </row>
    <row r="654" spans="1:6" ht="12.75">
      <c r="A654" s="4">
        <v>653</v>
      </c>
      <c r="B654" s="8" t="str">
        <f ca="1">IFERROR(__xludf.DUMMYFUNCTION("""COMPUTED_VALUE"""),"20191203WIOSO")</f>
        <v>20191203WIOSO</v>
      </c>
      <c r="C654" s="8" t="str">
        <f ca="1">IFERROR(__xludf.DUMMYFUNCTION("""COMPUTED_VALUE"""),"Wounded")</f>
        <v>Wounded</v>
      </c>
      <c r="D654" s="8" t="str">
        <f ca="1">IFERROR(__xludf.DUMMYFUNCTION("""COMPUTED_VALUE"""),"Male")</f>
        <v>Male</v>
      </c>
      <c r="E654" s="8" t="str">
        <f ca="1">IFERROR(__xludf.DUMMYFUNCTION("""COMPUTED_VALUE"""),"Student")</f>
        <v>Student</v>
      </c>
      <c r="F654" s="8">
        <f ca="1">IFERROR(__xludf.DUMMYFUNCTION("""COMPUTED_VALUE"""),16)</f>
        <v>16</v>
      </c>
    </row>
    <row r="655" spans="1:6" ht="12.75">
      <c r="A655" s="4">
        <v>654</v>
      </c>
      <c r="B655" s="8" t="str">
        <f ca="1">IFERROR(__xludf.DUMMYFUNCTION("""COMPUTED_VALUE"""),"20191202WIWAW")</f>
        <v>20191202WIWAW</v>
      </c>
      <c r="C655" s="8" t="str">
        <f ca="1">IFERROR(__xludf.DUMMYFUNCTION("""COMPUTED_VALUE"""),"None")</f>
        <v>None</v>
      </c>
      <c r="D655" s="8" t="str">
        <f ca="1">IFERROR(__xludf.DUMMYFUNCTION("""COMPUTED_VALUE"""),"Male")</f>
        <v>Male</v>
      </c>
      <c r="E655" s="8" t="str">
        <f ca="1">IFERROR(__xludf.DUMMYFUNCTION("""COMPUTED_VALUE"""),"Student")</f>
        <v>Student</v>
      </c>
      <c r="F655" s="8">
        <f ca="1">IFERROR(__xludf.DUMMYFUNCTION("""COMPUTED_VALUE"""),18)</f>
        <v>18</v>
      </c>
    </row>
    <row r="656" spans="1:6" ht="12.75">
      <c r="A656" s="4">
        <v>655</v>
      </c>
      <c r="B656" s="8" t="str">
        <f ca="1">IFERROR(__xludf.DUMMYFUNCTION("""COMPUTED_VALUE"""),"20191201ALMOM")</f>
        <v>20191201ALMOM</v>
      </c>
      <c r="C656" s="8" t="str">
        <f ca="1">IFERROR(__xludf.DUMMYFUNCTION("""COMPUTED_VALUE"""),"Fatal")</f>
        <v>Fatal</v>
      </c>
      <c r="D656" s="8" t="str">
        <f ca="1">IFERROR(__xludf.DUMMYFUNCTION("""COMPUTED_VALUE"""),"Female")</f>
        <v>Female</v>
      </c>
      <c r="E656" s="8" t="str">
        <f ca="1">IFERROR(__xludf.DUMMYFUNCTION("""COMPUTED_VALUE"""),"No Relation")</f>
        <v>No Relation</v>
      </c>
      <c r="F656" s="8">
        <f ca="1">IFERROR(__xludf.DUMMYFUNCTION("""COMPUTED_VALUE"""),31)</f>
        <v>31</v>
      </c>
    </row>
    <row r="657" spans="1:6" ht="12.75">
      <c r="A657" s="4">
        <v>656</v>
      </c>
      <c r="B657" s="8" t="str">
        <f ca="1">IFERROR(__xludf.DUMMYFUNCTION("""COMPUTED_VALUE"""),"20191126WASAV")</f>
        <v>20191126WASAV</v>
      </c>
      <c r="C657" s="8" t="str">
        <f ca="1">IFERROR(__xludf.DUMMYFUNCTION("""COMPUTED_VALUE"""),"Wounded")</f>
        <v>Wounded</v>
      </c>
      <c r="D657" s="8" t="str">
        <f ca="1">IFERROR(__xludf.DUMMYFUNCTION("""COMPUTED_VALUE"""),"Female")</f>
        <v>Female</v>
      </c>
      <c r="E657" s="8" t="str">
        <f ca="1">IFERROR(__xludf.DUMMYFUNCTION("""COMPUTED_VALUE"""),"Parent")</f>
        <v>Parent</v>
      </c>
      <c r="F657" s="8" t="str">
        <f ca="1">IFERROR(__xludf.DUMMYFUNCTION("""COMPUTED_VALUE"""),"Adult")</f>
        <v>Adult</v>
      </c>
    </row>
    <row r="658" spans="1:6" ht="12.75">
      <c r="A658" s="4">
        <v>657</v>
      </c>
      <c r="B658" s="8" t="str">
        <f ca="1">IFERROR(__xludf.DUMMYFUNCTION("""COMPUTED_VALUE"""),"20191126WASAV")</f>
        <v>20191126WASAV</v>
      </c>
      <c r="C658" s="8" t="str">
        <f ca="1">IFERROR(__xludf.DUMMYFUNCTION("""COMPUTED_VALUE"""),"Wounded")</f>
        <v>Wounded</v>
      </c>
      <c r="D658" s="8" t="str">
        <f ca="1">IFERROR(__xludf.DUMMYFUNCTION("""COMPUTED_VALUE"""),"Female")</f>
        <v>Female</v>
      </c>
      <c r="E658" s="8" t="str">
        <f ca="1">IFERROR(__xludf.DUMMYFUNCTION("""COMPUTED_VALUE"""),"Parent")</f>
        <v>Parent</v>
      </c>
      <c r="F658" s="8" t="str">
        <f ca="1">IFERROR(__xludf.DUMMYFUNCTION("""COMPUTED_VALUE"""),"Adult")</f>
        <v>Adult</v>
      </c>
    </row>
    <row r="659" spans="1:6" ht="12.75">
      <c r="A659" s="4">
        <v>658</v>
      </c>
      <c r="B659" s="8" t="str">
        <f ca="1">IFERROR(__xludf.DUMMYFUNCTION("""COMPUTED_VALUE"""),"20191125ILCAC")</f>
        <v>20191125ILCAC</v>
      </c>
      <c r="C659" s="8" t="str">
        <f ca="1">IFERROR(__xludf.DUMMYFUNCTION("""COMPUTED_VALUE"""),"Wounded")</f>
        <v>Wounded</v>
      </c>
      <c r="D659" s="8" t="str">
        <f ca="1">IFERROR(__xludf.DUMMYFUNCTION("""COMPUTED_VALUE"""),"Male")</f>
        <v>Male</v>
      </c>
      <c r="E659" s="8" t="str">
        <f ca="1">IFERROR(__xludf.DUMMYFUNCTION("""COMPUTED_VALUE"""),"No Relation")</f>
        <v>No Relation</v>
      </c>
      <c r="F659" s="8">
        <f ca="1">IFERROR(__xludf.DUMMYFUNCTION("""COMPUTED_VALUE"""),37)</f>
        <v>37</v>
      </c>
    </row>
    <row r="660" spans="1:6" ht="12.75">
      <c r="A660" s="4">
        <v>659</v>
      </c>
      <c r="B660" s="8" t="str">
        <f ca="1">IFERROR(__xludf.DUMMYFUNCTION("""COMPUTED_VALUE"""),"20191124CASEU")</f>
        <v>20191124CASEU</v>
      </c>
      <c r="C660" s="8" t="str">
        <f ca="1">IFERROR(__xludf.DUMMYFUNCTION("""COMPUTED_VALUE"""),"Fatal")</f>
        <v>Fatal</v>
      </c>
      <c r="D660" s="8" t="str">
        <f ca="1">IFERROR(__xludf.DUMMYFUNCTION("""COMPUTED_VALUE"""),"Male")</f>
        <v>Male</v>
      </c>
      <c r="E660" s="8" t="str">
        <f ca="1">IFERROR(__xludf.DUMMYFUNCTION("""COMPUTED_VALUE"""),"No Relation")</f>
        <v>No Relation</v>
      </c>
      <c r="F660" s="8">
        <f ca="1">IFERROR(__xludf.DUMMYFUNCTION("""COMPUTED_VALUE"""),14)</f>
        <v>14</v>
      </c>
    </row>
    <row r="661" spans="1:6" ht="12.75">
      <c r="A661" s="4">
        <v>660</v>
      </c>
      <c r="B661" s="8" t="str">
        <f ca="1">IFERROR(__xludf.DUMMYFUNCTION("""COMPUTED_VALUE"""),"20191124CASEU")</f>
        <v>20191124CASEU</v>
      </c>
      <c r="C661" s="8" t="str">
        <f ca="1">IFERROR(__xludf.DUMMYFUNCTION("""COMPUTED_VALUE"""),"Fatal")</f>
        <v>Fatal</v>
      </c>
      <c r="D661" s="8" t="str">
        <f ca="1">IFERROR(__xludf.DUMMYFUNCTION("""COMPUTED_VALUE"""),"Male")</f>
        <v>Male</v>
      </c>
      <c r="E661" s="8" t="str">
        <f ca="1">IFERROR(__xludf.DUMMYFUNCTION("""COMPUTED_VALUE"""),"No Relation")</f>
        <v>No Relation</v>
      </c>
      <c r="F661" s="8">
        <f ca="1">IFERROR(__xludf.DUMMYFUNCTION("""COMPUTED_VALUE"""),11)</f>
        <v>11</v>
      </c>
    </row>
    <row r="662" spans="1:6" ht="12.75">
      <c r="A662" s="4">
        <v>661</v>
      </c>
      <c r="B662" s="8" t="str">
        <f ca="1">IFERROR(__xludf.DUMMYFUNCTION("""COMPUTED_VALUE"""),"20191121ILRIO")</f>
        <v>20191121ILRIO</v>
      </c>
      <c r="C662" s="8" t="str">
        <f ca="1">IFERROR(__xludf.DUMMYFUNCTION("""COMPUTED_VALUE"""),"Wounded")</f>
        <v>Wounded</v>
      </c>
      <c r="D662" s="8"/>
      <c r="E662" s="8" t="str">
        <f ca="1">IFERROR(__xludf.DUMMYFUNCTION("""COMPUTED_VALUE"""),"Student")</f>
        <v>Student</v>
      </c>
      <c r="F662" s="8">
        <f ca="1">IFERROR(__xludf.DUMMYFUNCTION("""COMPUTED_VALUE"""),14)</f>
        <v>14</v>
      </c>
    </row>
    <row r="663" spans="1:6" ht="12.75">
      <c r="A663" s="4">
        <v>662</v>
      </c>
      <c r="B663" s="8" t="str">
        <f ca="1">IFERROR(__xludf.DUMMYFUNCTION("""COMPUTED_VALUE"""),"20191115NJPLP")</f>
        <v>20191115NJPLP</v>
      </c>
      <c r="C663" s="8" t="str">
        <f ca="1">IFERROR(__xludf.DUMMYFUNCTION("""COMPUTED_VALUE"""),"Fatal")</f>
        <v>Fatal</v>
      </c>
      <c r="D663" s="8" t="str">
        <f ca="1">IFERROR(__xludf.DUMMYFUNCTION("""COMPUTED_VALUE"""),"Male")</f>
        <v>Male</v>
      </c>
      <c r="E663" s="8" t="str">
        <f ca="1">IFERROR(__xludf.DUMMYFUNCTION("""COMPUTED_VALUE"""),"Relative")</f>
        <v>Relative</v>
      </c>
      <c r="F663" s="8">
        <f ca="1">IFERROR(__xludf.DUMMYFUNCTION("""COMPUTED_VALUE"""),10)</f>
        <v>10</v>
      </c>
    </row>
    <row r="664" spans="1:6" ht="12.75">
      <c r="A664" s="4">
        <v>663</v>
      </c>
      <c r="B664" s="8" t="str">
        <f ca="1">IFERROR(__xludf.DUMMYFUNCTION("""COMPUTED_VALUE"""),"20191115NJPLP")</f>
        <v>20191115NJPLP</v>
      </c>
      <c r="C664" s="8" t="str">
        <f ca="1">IFERROR(__xludf.DUMMYFUNCTION("""COMPUTED_VALUE"""),"Wounded")</f>
        <v>Wounded</v>
      </c>
      <c r="D664" s="8" t="str">
        <f ca="1">IFERROR(__xludf.DUMMYFUNCTION("""COMPUTED_VALUE"""),"Male")</f>
        <v>Male</v>
      </c>
      <c r="E664" s="8" t="str">
        <f ca="1">IFERROR(__xludf.DUMMYFUNCTION("""COMPUTED_VALUE"""),"Student")</f>
        <v>Student</v>
      </c>
      <c r="F664" s="8">
        <f ca="1">IFERROR(__xludf.DUMMYFUNCTION("""COMPUTED_VALUE"""),15)</f>
        <v>15</v>
      </c>
    </row>
    <row r="665" spans="1:6" ht="12.75">
      <c r="A665" s="4">
        <v>664</v>
      </c>
      <c r="B665" s="8" t="str">
        <f ca="1">IFERROR(__xludf.DUMMYFUNCTION("""COMPUTED_VALUE"""),"20191115NJPLP")</f>
        <v>20191115NJPLP</v>
      </c>
      <c r="C665" s="8" t="str">
        <f ca="1">IFERROR(__xludf.DUMMYFUNCTION("""COMPUTED_VALUE"""),"Wounded")</f>
        <v>Wounded</v>
      </c>
      <c r="D665" s="8" t="str">
        <f ca="1">IFERROR(__xludf.DUMMYFUNCTION("""COMPUTED_VALUE"""),"Male")</f>
        <v>Male</v>
      </c>
      <c r="E665" s="8" t="str">
        <f ca="1">IFERROR(__xludf.DUMMYFUNCTION("""COMPUTED_VALUE"""),"Nonstudent Using Athletic Facilities/Attending Game")</f>
        <v>Nonstudent Using Athletic Facilities/Attending Game</v>
      </c>
      <c r="F665" s="8">
        <f ca="1">IFERROR(__xludf.DUMMYFUNCTION("""COMPUTED_VALUE"""),27)</f>
        <v>27</v>
      </c>
    </row>
    <row r="666" spans="1:6" ht="12.75">
      <c r="A666" s="4">
        <v>665</v>
      </c>
      <c r="B666" s="8" t="str">
        <f ca="1">IFERROR(__xludf.DUMMYFUNCTION("""COMPUTED_VALUE"""),"20191114CASAS")</f>
        <v>20191114CASAS</v>
      </c>
      <c r="C666" s="8" t="str">
        <f ca="1">IFERROR(__xludf.DUMMYFUNCTION("""COMPUTED_VALUE"""),"Fatal")</f>
        <v>Fatal</v>
      </c>
      <c r="D666" s="8" t="str">
        <f ca="1">IFERROR(__xludf.DUMMYFUNCTION("""COMPUTED_VALUE"""),"Female")</f>
        <v>Female</v>
      </c>
      <c r="E666" s="8" t="str">
        <f ca="1">IFERROR(__xludf.DUMMYFUNCTION("""COMPUTED_VALUE"""),"Student")</f>
        <v>Student</v>
      </c>
      <c r="F666" s="8">
        <f ca="1">IFERROR(__xludf.DUMMYFUNCTION("""COMPUTED_VALUE"""),15)</f>
        <v>15</v>
      </c>
    </row>
    <row r="667" spans="1:6" ht="12.75">
      <c r="A667" s="4">
        <v>666</v>
      </c>
      <c r="B667" s="8" t="str">
        <f ca="1">IFERROR(__xludf.DUMMYFUNCTION("""COMPUTED_VALUE"""),"20191114CASAS")</f>
        <v>20191114CASAS</v>
      </c>
      <c r="C667" s="8" t="str">
        <f ca="1">IFERROR(__xludf.DUMMYFUNCTION("""COMPUTED_VALUE"""),"Wounded")</f>
        <v>Wounded</v>
      </c>
      <c r="D667" s="8" t="str">
        <f ca="1">IFERROR(__xludf.DUMMYFUNCTION("""COMPUTED_VALUE"""),"Female")</f>
        <v>Female</v>
      </c>
      <c r="E667" s="8" t="str">
        <f ca="1">IFERROR(__xludf.DUMMYFUNCTION("""COMPUTED_VALUE"""),"Student")</f>
        <v>Student</v>
      </c>
      <c r="F667" s="8">
        <f ca="1">IFERROR(__xludf.DUMMYFUNCTION("""COMPUTED_VALUE"""),15)</f>
        <v>15</v>
      </c>
    </row>
    <row r="668" spans="1:6" ht="12.75">
      <c r="A668" s="4">
        <v>667</v>
      </c>
      <c r="B668" s="8" t="str">
        <f ca="1">IFERROR(__xludf.DUMMYFUNCTION("""COMPUTED_VALUE"""),"20191114CASAS")</f>
        <v>20191114CASAS</v>
      </c>
      <c r="C668" s="8" t="str">
        <f ca="1">IFERROR(__xludf.DUMMYFUNCTION("""COMPUTED_VALUE"""),"Wounded")</f>
        <v>Wounded</v>
      </c>
      <c r="D668" s="8" t="str">
        <f ca="1">IFERROR(__xludf.DUMMYFUNCTION("""COMPUTED_VALUE"""),"Female")</f>
        <v>Female</v>
      </c>
      <c r="E668" s="8" t="str">
        <f ca="1">IFERROR(__xludf.DUMMYFUNCTION("""COMPUTED_VALUE"""),"Student")</f>
        <v>Student</v>
      </c>
      <c r="F668" s="8">
        <f ca="1">IFERROR(__xludf.DUMMYFUNCTION("""COMPUTED_VALUE"""),14)</f>
        <v>14</v>
      </c>
    </row>
    <row r="669" spans="1:6" ht="12.75">
      <c r="A669" s="4">
        <v>668</v>
      </c>
      <c r="B669" s="8" t="str">
        <f ca="1">IFERROR(__xludf.DUMMYFUNCTION("""COMPUTED_VALUE"""),"20191114CASAS")</f>
        <v>20191114CASAS</v>
      </c>
      <c r="C669" s="8" t="str">
        <f ca="1">IFERROR(__xludf.DUMMYFUNCTION("""COMPUTED_VALUE"""),"Wounded")</f>
        <v>Wounded</v>
      </c>
      <c r="D669" s="8" t="str">
        <f ca="1">IFERROR(__xludf.DUMMYFUNCTION("""COMPUTED_VALUE"""),"Male")</f>
        <v>Male</v>
      </c>
      <c r="E669" s="8" t="str">
        <f ca="1">IFERROR(__xludf.DUMMYFUNCTION("""COMPUTED_VALUE"""),"Student")</f>
        <v>Student</v>
      </c>
      <c r="F669" s="8">
        <f ca="1">IFERROR(__xludf.DUMMYFUNCTION("""COMPUTED_VALUE"""),14)</f>
        <v>14</v>
      </c>
    </row>
    <row r="670" spans="1:6" ht="12.75">
      <c r="A670" s="4">
        <v>669</v>
      </c>
      <c r="B670" s="8" t="str">
        <f ca="1">IFERROR(__xludf.DUMMYFUNCTION("""COMPUTED_VALUE"""),"20191114CASAS")</f>
        <v>20191114CASAS</v>
      </c>
      <c r="C670" s="8" t="str">
        <f ca="1">IFERROR(__xludf.DUMMYFUNCTION("""COMPUTED_VALUE"""),"Fatal")</f>
        <v>Fatal</v>
      </c>
      <c r="D670" s="8" t="str">
        <f ca="1">IFERROR(__xludf.DUMMYFUNCTION("""COMPUTED_VALUE"""),"Male")</f>
        <v>Male</v>
      </c>
      <c r="E670" s="8" t="str">
        <f ca="1">IFERROR(__xludf.DUMMYFUNCTION("""COMPUTED_VALUE"""),"Student")</f>
        <v>Student</v>
      </c>
      <c r="F670" s="8">
        <f ca="1">IFERROR(__xludf.DUMMYFUNCTION("""COMPUTED_VALUE"""),14)</f>
        <v>14</v>
      </c>
    </row>
    <row r="671" spans="1:6" ht="12.75">
      <c r="A671" s="4">
        <v>670</v>
      </c>
      <c r="B671" s="8" t="str">
        <f ca="1">IFERROR(__xludf.DUMMYFUNCTION("""COMPUTED_VALUE"""),"20191113CAESL")</f>
        <v>20191113CAESL</v>
      </c>
      <c r="C671" s="8" t="str">
        <f ca="1">IFERROR(__xludf.DUMMYFUNCTION("""COMPUTED_VALUE"""),"Fatal")</f>
        <v>Fatal</v>
      </c>
      <c r="D671" s="8" t="str">
        <f ca="1">IFERROR(__xludf.DUMMYFUNCTION("""COMPUTED_VALUE"""),"Male")</f>
        <v>Male</v>
      </c>
      <c r="E671" s="8" t="str">
        <f ca="1">IFERROR(__xludf.DUMMYFUNCTION("""COMPUTED_VALUE"""),"No Relation")</f>
        <v>No Relation</v>
      </c>
      <c r="F671" s="8" t="str">
        <f ca="1">IFERROR(__xludf.DUMMYFUNCTION("""COMPUTED_VALUE"""),"Adult")</f>
        <v>Adult</v>
      </c>
    </row>
    <row r="672" spans="1:6" ht="12.75">
      <c r="A672" s="4">
        <v>671</v>
      </c>
      <c r="B672" s="8" t="str">
        <f ca="1">IFERROR(__xludf.DUMMYFUNCTION("""COMPUTED_VALUE"""),"20191111MDACB")</f>
        <v>20191111MDACB</v>
      </c>
      <c r="C672" s="8" t="str">
        <f ca="1">IFERROR(__xludf.DUMMYFUNCTION("""COMPUTED_VALUE"""),"Wounded")</f>
        <v>Wounded</v>
      </c>
      <c r="D672" s="8" t="str">
        <f ca="1">IFERROR(__xludf.DUMMYFUNCTION("""COMPUTED_VALUE"""),"Male")</f>
        <v>Male</v>
      </c>
      <c r="E672" s="8" t="str">
        <f ca="1">IFERROR(__xludf.DUMMYFUNCTION("""COMPUTED_VALUE"""),"Student")</f>
        <v>Student</v>
      </c>
      <c r="F672" s="8">
        <f ca="1">IFERROR(__xludf.DUMMYFUNCTION("""COMPUTED_VALUE"""),19)</f>
        <v>19</v>
      </c>
    </row>
    <row r="673" spans="1:6" ht="12.75">
      <c r="A673" s="4">
        <v>672</v>
      </c>
      <c r="B673" s="8" t="str">
        <f ca="1">IFERROR(__xludf.DUMMYFUNCTION("""COMPUTED_VALUE"""),"20191108TXROD")</f>
        <v>20191108TXROD</v>
      </c>
      <c r="C673" s="8" t="str">
        <f ca="1">IFERROR(__xludf.DUMMYFUNCTION("""COMPUTED_VALUE"""),"Fatal")</f>
        <v>Fatal</v>
      </c>
      <c r="D673" s="8" t="str">
        <f ca="1">IFERROR(__xludf.DUMMYFUNCTION("""COMPUTED_VALUE"""),"Male")</f>
        <v>Male</v>
      </c>
      <c r="E673" s="8" t="str">
        <f ca="1">IFERROR(__xludf.DUMMYFUNCTION("""COMPUTED_VALUE"""),"Former Student")</f>
        <v>Former Student</v>
      </c>
      <c r="F673" s="8">
        <f ca="1">IFERROR(__xludf.DUMMYFUNCTION("""COMPUTED_VALUE"""),15)</f>
        <v>15</v>
      </c>
    </row>
    <row r="674" spans="1:6" ht="12.75">
      <c r="A674" s="4">
        <v>673</v>
      </c>
      <c r="B674" s="8" t="str">
        <f ca="1">IFERROR(__xludf.DUMMYFUNCTION("""COMPUTED_VALUE"""),"20191108CAEDS")</f>
        <v>20191108CAEDS</v>
      </c>
      <c r="C674" s="8" t="str">
        <f ca="1">IFERROR(__xludf.DUMMYFUNCTION("""COMPUTED_VALUE"""),"None")</f>
        <v>None</v>
      </c>
      <c r="D674" s="8"/>
      <c r="E674" s="8"/>
      <c r="F674" s="8"/>
    </row>
    <row r="675" spans="1:6" ht="12.75">
      <c r="A675" s="4">
        <v>674</v>
      </c>
      <c r="B675" s="8" t="str">
        <f ca="1">IFERROR(__xludf.DUMMYFUNCTION("""COMPUTED_VALUE"""),"20191029NYNEN")</f>
        <v>20191029NYNEN</v>
      </c>
      <c r="C675" s="8" t="str">
        <f ca="1">IFERROR(__xludf.DUMMYFUNCTION("""COMPUTED_VALUE"""),"Wounded")</f>
        <v>Wounded</v>
      </c>
      <c r="D675" s="8" t="str">
        <f ca="1">IFERROR(__xludf.DUMMYFUNCTION("""COMPUTED_VALUE"""),"Female")</f>
        <v>Female</v>
      </c>
      <c r="E675" s="8" t="str">
        <f ca="1">IFERROR(__xludf.DUMMYFUNCTION("""COMPUTED_VALUE"""),"Student")</f>
        <v>Student</v>
      </c>
      <c r="F675" s="8">
        <f ca="1">IFERROR(__xludf.DUMMYFUNCTION("""COMPUTED_VALUE"""),16)</f>
        <v>16</v>
      </c>
    </row>
    <row r="676" spans="1:6" ht="12.75">
      <c r="A676" s="4">
        <v>675</v>
      </c>
      <c r="B676" s="8" t="str">
        <f ca="1">IFERROR(__xludf.DUMMYFUNCTION("""COMPUTED_VALUE"""),"20191027MDLAL")</f>
        <v>20191027MDLAL</v>
      </c>
      <c r="C676" s="8" t="str">
        <f ca="1">IFERROR(__xludf.DUMMYFUNCTION("""COMPUTED_VALUE"""),"Wounded")</f>
        <v>Wounded</v>
      </c>
      <c r="D676" s="8" t="str">
        <f ca="1">IFERROR(__xludf.DUMMYFUNCTION("""COMPUTED_VALUE"""),"Female")</f>
        <v>Female</v>
      </c>
      <c r="E676" s="8" t="str">
        <f ca="1">IFERROR(__xludf.DUMMYFUNCTION("""COMPUTED_VALUE"""),"No Relation")</f>
        <v>No Relation</v>
      </c>
      <c r="F676" s="8">
        <f ca="1">IFERROR(__xludf.DUMMYFUNCTION("""COMPUTED_VALUE"""),38)</f>
        <v>38</v>
      </c>
    </row>
    <row r="677" spans="1:6" ht="12.75">
      <c r="A677" s="4">
        <v>676</v>
      </c>
      <c r="B677" s="8" t="str">
        <f ca="1">IFERROR(__xludf.DUMMYFUNCTION("""COMPUTED_VALUE"""),"20191022NJBRB")</f>
        <v>20191022NJBRB</v>
      </c>
      <c r="C677" s="8" t="str">
        <f ca="1">IFERROR(__xludf.DUMMYFUNCTION("""COMPUTED_VALUE"""),"Wounded")</f>
        <v>Wounded</v>
      </c>
      <c r="D677" s="8" t="str">
        <f ca="1">IFERROR(__xludf.DUMMYFUNCTION("""COMPUTED_VALUE"""),"Male")</f>
        <v>Male</v>
      </c>
      <c r="E677" s="8" t="str">
        <f ca="1">IFERROR(__xludf.DUMMYFUNCTION("""COMPUTED_VALUE"""),"Student")</f>
        <v>Student</v>
      </c>
      <c r="F677" s="8" t="str">
        <f ca="1">IFERROR(__xludf.DUMMYFUNCTION("""COMPUTED_VALUE"""),"Teen")</f>
        <v>Teen</v>
      </c>
    </row>
    <row r="678" spans="1:6" ht="12.75">
      <c r="A678" s="4">
        <v>677</v>
      </c>
      <c r="B678" s="8" t="str">
        <f ca="1">IFERROR(__xludf.DUMMYFUNCTION("""COMPUTED_VALUE"""),"20191022CARIS")</f>
        <v>20191022CARIS</v>
      </c>
      <c r="C678" s="8" t="str">
        <f ca="1">IFERROR(__xludf.DUMMYFUNCTION("""COMPUTED_VALUE"""),"Wounded")</f>
        <v>Wounded</v>
      </c>
      <c r="D678" s="8" t="str">
        <f ca="1">IFERROR(__xludf.DUMMYFUNCTION("""COMPUTED_VALUE"""),"Male")</f>
        <v>Male</v>
      </c>
      <c r="E678" s="8" t="str">
        <f ca="1">IFERROR(__xludf.DUMMYFUNCTION("""COMPUTED_VALUE"""),"Student")</f>
        <v>Student</v>
      </c>
      <c r="F678" s="8">
        <f ca="1">IFERROR(__xludf.DUMMYFUNCTION("""COMPUTED_VALUE"""),16)</f>
        <v>16</v>
      </c>
    </row>
    <row r="679" spans="1:6" ht="12.75">
      <c r="A679" s="4">
        <v>678</v>
      </c>
      <c r="B679" s="8" t="str">
        <f ca="1">IFERROR(__xludf.DUMMYFUNCTION("""COMPUTED_VALUE"""),"20191018OHWOT")</f>
        <v>20191018OHWOT</v>
      </c>
      <c r="C679" s="8" t="str">
        <f ca="1">IFERROR(__xludf.DUMMYFUNCTION("""COMPUTED_VALUE"""),"None")</f>
        <v>None</v>
      </c>
      <c r="D679" s="8"/>
      <c r="E679" s="8"/>
      <c r="F679" s="8"/>
    </row>
    <row r="680" spans="1:6" ht="12.75">
      <c r="A680" s="4">
        <v>679</v>
      </c>
      <c r="B680" s="8" t="str">
        <f ca="1">IFERROR(__xludf.DUMMYFUNCTION("""COMPUTED_VALUE"""),"20191018GACRS")</f>
        <v>20191018GACRS</v>
      </c>
      <c r="C680" s="8" t="str">
        <f ca="1">IFERROR(__xludf.DUMMYFUNCTION("""COMPUTED_VALUE"""),"Wounded")</f>
        <v>Wounded</v>
      </c>
      <c r="D680" s="8" t="str">
        <f ca="1">IFERROR(__xludf.DUMMYFUNCTION("""COMPUTED_VALUE"""),"Male")</f>
        <v>Male</v>
      </c>
      <c r="E680" s="8"/>
      <c r="F680" s="8"/>
    </row>
    <row r="681" spans="1:6" ht="12.75">
      <c r="A681" s="4">
        <v>680</v>
      </c>
      <c r="B681" s="8" t="str">
        <f ca="1">IFERROR(__xludf.DUMMYFUNCTION("""COMPUTED_VALUE"""),"20191015LAGEN")</f>
        <v>20191015LAGEN</v>
      </c>
      <c r="C681" s="8" t="str">
        <f ca="1">IFERROR(__xludf.DUMMYFUNCTION("""COMPUTED_VALUE"""),"Wounded")</f>
        <v>Wounded</v>
      </c>
      <c r="D681" s="8" t="str">
        <f ca="1">IFERROR(__xludf.DUMMYFUNCTION("""COMPUTED_VALUE"""),"Male")</f>
        <v>Male</v>
      </c>
      <c r="E681" s="8" t="str">
        <f ca="1">IFERROR(__xludf.DUMMYFUNCTION("""COMPUTED_VALUE"""),"Student")</f>
        <v>Student</v>
      </c>
      <c r="F681" s="8">
        <f ca="1">IFERROR(__xludf.DUMMYFUNCTION("""COMPUTED_VALUE"""),17)</f>
        <v>17</v>
      </c>
    </row>
    <row r="682" spans="1:6" ht="12.75">
      <c r="A682" s="4">
        <v>681</v>
      </c>
      <c r="B682" s="8" t="str">
        <f ca="1">IFERROR(__xludf.DUMMYFUNCTION("""COMPUTED_VALUE"""),"20191011LARAR")</f>
        <v>20191011LARAR</v>
      </c>
      <c r="C682" s="8" t="str">
        <f ca="1">IFERROR(__xludf.DUMMYFUNCTION("""COMPUTED_VALUE"""),"None")</f>
        <v>None</v>
      </c>
      <c r="D682" s="8"/>
      <c r="E682" s="8"/>
      <c r="F682" s="8"/>
    </row>
    <row r="683" spans="1:6" ht="12.75">
      <c r="A683" s="4">
        <v>682</v>
      </c>
      <c r="B683" s="8" t="str">
        <f ca="1">IFERROR(__xludf.DUMMYFUNCTION("""COMPUTED_VALUE"""),"20191009MAGRL")</f>
        <v>20191009MAGRL</v>
      </c>
      <c r="C683" s="8" t="str">
        <f ca="1">IFERROR(__xludf.DUMMYFUNCTION("""COMPUTED_VALUE"""),"Wounded")</f>
        <v>Wounded</v>
      </c>
      <c r="D683" s="8"/>
      <c r="E683" s="8" t="str">
        <f ca="1">IFERROR(__xludf.DUMMYFUNCTION("""COMPUTED_VALUE"""),"Student")</f>
        <v>Student</v>
      </c>
      <c r="F683" s="8" t="str">
        <f ca="1">IFERROR(__xludf.DUMMYFUNCTION("""COMPUTED_VALUE"""),"Child")</f>
        <v>Child</v>
      </c>
    </row>
    <row r="684" spans="1:6" ht="12.75">
      <c r="A684" s="4">
        <v>683</v>
      </c>
      <c r="B684" s="8" t="str">
        <f ca="1">IFERROR(__xludf.DUMMYFUNCTION("""COMPUTED_VALUE"""),"20191009MAGRL")</f>
        <v>20191009MAGRL</v>
      </c>
      <c r="C684" s="8" t="str">
        <f ca="1">IFERROR(__xludf.DUMMYFUNCTION("""COMPUTED_VALUE"""),"Wounded")</f>
        <v>Wounded</v>
      </c>
      <c r="D684" s="8"/>
      <c r="E684" s="8" t="str">
        <f ca="1">IFERROR(__xludf.DUMMYFUNCTION("""COMPUTED_VALUE"""),"Student")</f>
        <v>Student</v>
      </c>
      <c r="F684" s="8" t="str">
        <f ca="1">IFERROR(__xludf.DUMMYFUNCTION("""COMPUTED_VALUE"""),"Child")</f>
        <v>Child</v>
      </c>
    </row>
    <row r="685" spans="1:6" ht="12.75">
      <c r="A685" s="4">
        <v>684</v>
      </c>
      <c r="B685" s="8" t="str">
        <f ca="1">IFERROR(__xludf.DUMMYFUNCTION("""COMPUTED_VALUE"""),"20191009MAGRL")</f>
        <v>20191009MAGRL</v>
      </c>
      <c r="C685" s="8" t="str">
        <f ca="1">IFERROR(__xludf.DUMMYFUNCTION("""COMPUTED_VALUE"""),"Wounded")</f>
        <v>Wounded</v>
      </c>
      <c r="D685" s="8"/>
      <c r="E685" s="8" t="str">
        <f ca="1">IFERROR(__xludf.DUMMYFUNCTION("""COMPUTED_VALUE"""),"Student")</f>
        <v>Student</v>
      </c>
      <c r="F685" s="8" t="str">
        <f ca="1">IFERROR(__xludf.DUMMYFUNCTION("""COMPUTED_VALUE"""),"Child")</f>
        <v>Child</v>
      </c>
    </row>
    <row r="686" spans="1:6" ht="12.75">
      <c r="A686" s="4">
        <v>685</v>
      </c>
      <c r="B686" s="8" t="str">
        <f ca="1">IFERROR(__xludf.DUMMYFUNCTION("""COMPUTED_VALUE"""),"20191009MAGRL")</f>
        <v>20191009MAGRL</v>
      </c>
      <c r="C686" s="8" t="str">
        <f ca="1">IFERROR(__xludf.DUMMYFUNCTION("""COMPUTED_VALUE"""),"Wounded")</f>
        <v>Wounded</v>
      </c>
      <c r="D686" s="8"/>
      <c r="E686" s="8" t="str">
        <f ca="1">IFERROR(__xludf.DUMMYFUNCTION("""COMPUTED_VALUE"""),"Student")</f>
        <v>Student</v>
      </c>
      <c r="F686" s="8" t="str">
        <f ca="1">IFERROR(__xludf.DUMMYFUNCTION("""COMPUTED_VALUE"""),"Child")</f>
        <v>Child</v>
      </c>
    </row>
    <row r="687" spans="1:6" ht="12.75">
      <c r="A687" s="4">
        <v>686</v>
      </c>
      <c r="B687" s="8" t="str">
        <f ca="1">IFERROR(__xludf.DUMMYFUNCTION("""COMPUTED_VALUE"""),"20191009MAGRL")</f>
        <v>20191009MAGRL</v>
      </c>
      <c r="C687" s="8" t="str">
        <f ca="1">IFERROR(__xludf.DUMMYFUNCTION("""COMPUTED_VALUE"""),"Wounded")</f>
        <v>Wounded</v>
      </c>
      <c r="D687" s="8"/>
      <c r="E687" s="8" t="str">
        <f ca="1">IFERROR(__xludf.DUMMYFUNCTION("""COMPUTED_VALUE"""),"Student")</f>
        <v>Student</v>
      </c>
      <c r="F687" s="8" t="str">
        <f ca="1">IFERROR(__xludf.DUMMYFUNCTION("""COMPUTED_VALUE"""),"Child")</f>
        <v>Child</v>
      </c>
    </row>
    <row r="688" spans="1:6" ht="12.75">
      <c r="A688" s="4">
        <v>687</v>
      </c>
      <c r="B688" s="8" t="str">
        <f ca="1">IFERROR(__xludf.DUMMYFUNCTION("""COMPUTED_VALUE"""),"20191008TXWEH")</f>
        <v>20191008TXWEH</v>
      </c>
      <c r="C688" s="8" t="str">
        <f ca="1">IFERROR(__xludf.DUMMYFUNCTION("""COMPUTED_VALUE"""),"Wounded")</f>
        <v>Wounded</v>
      </c>
      <c r="D688" s="8"/>
      <c r="E688" s="8" t="str">
        <f ca="1">IFERROR(__xludf.DUMMYFUNCTION("""COMPUTED_VALUE"""),"Student")</f>
        <v>Student</v>
      </c>
      <c r="F688" s="8" t="str">
        <f ca="1">IFERROR(__xludf.DUMMYFUNCTION("""COMPUTED_VALUE"""),"Teen")</f>
        <v>Teen</v>
      </c>
    </row>
    <row r="689" spans="1:6" ht="12.75">
      <c r="A689" s="4">
        <v>688</v>
      </c>
      <c r="B689" s="8" t="str">
        <f ca="1">IFERROR(__xludf.DUMMYFUNCTION("""COMPUTED_VALUE"""),"20191008COSHS")</f>
        <v>20191008COSHS</v>
      </c>
      <c r="C689" s="8" t="str">
        <f ca="1">IFERROR(__xludf.DUMMYFUNCTION("""COMPUTED_VALUE"""),"Wounded")</f>
        <v>Wounded</v>
      </c>
      <c r="D689" s="8" t="str">
        <f ca="1">IFERROR(__xludf.DUMMYFUNCTION("""COMPUTED_VALUE"""),"Male")</f>
        <v>Male</v>
      </c>
      <c r="E689" s="8" t="str">
        <f ca="1">IFERROR(__xludf.DUMMYFUNCTION("""COMPUTED_VALUE"""),"Rival School Student")</f>
        <v>Rival School Student</v>
      </c>
      <c r="F689" s="8" t="str">
        <f ca="1">IFERROR(__xludf.DUMMYFUNCTION("""COMPUTED_VALUE"""),"Teen")</f>
        <v>Teen</v>
      </c>
    </row>
    <row r="690" spans="1:6" ht="12.75">
      <c r="A690" s="4">
        <v>689</v>
      </c>
      <c r="B690" s="8" t="str">
        <f ca="1">IFERROR(__xludf.DUMMYFUNCTION("""COMPUTED_VALUE"""),"20191002GASOA")</f>
        <v>20191002GASOA</v>
      </c>
      <c r="C690" s="8" t="str">
        <f ca="1">IFERROR(__xludf.DUMMYFUNCTION("""COMPUTED_VALUE"""),"None")</f>
        <v>None</v>
      </c>
      <c r="D690" s="8"/>
      <c r="E690" s="8"/>
      <c r="F690" s="8"/>
    </row>
    <row r="691" spans="1:6" ht="12.75">
      <c r="A691" s="4">
        <v>690</v>
      </c>
      <c r="B691" s="8" t="str">
        <f ca="1">IFERROR(__xludf.DUMMYFUNCTION("""COMPUTED_VALUE"""),"20190927NCZEC")</f>
        <v>20190927NCZEC</v>
      </c>
      <c r="C691" s="8" t="str">
        <f ca="1">IFERROR(__xludf.DUMMYFUNCTION("""COMPUTED_VALUE"""),"None")</f>
        <v>None</v>
      </c>
      <c r="D691" s="8"/>
      <c r="E691" s="8"/>
      <c r="F691" s="8"/>
    </row>
    <row r="692" spans="1:6" ht="12.75">
      <c r="A692" s="4">
        <v>691</v>
      </c>
      <c r="B692" s="8" t="str">
        <f ca="1">IFERROR(__xludf.DUMMYFUNCTION("""COMPUTED_VALUE"""),"20190927CADER")</f>
        <v>20190927CADER</v>
      </c>
      <c r="C692" s="8" t="str">
        <f ca="1">IFERROR(__xludf.DUMMYFUNCTION("""COMPUTED_VALUE"""),"Wounded")</f>
        <v>Wounded</v>
      </c>
      <c r="D692" s="8" t="str">
        <f ca="1">IFERROR(__xludf.DUMMYFUNCTION("""COMPUTED_VALUE"""),"Female")</f>
        <v>Female</v>
      </c>
      <c r="E692" s="8" t="str">
        <f ca="1">IFERROR(__xludf.DUMMYFUNCTION("""COMPUTED_VALUE"""),"Student")</f>
        <v>Student</v>
      </c>
      <c r="F692" s="8">
        <f ca="1">IFERROR(__xludf.DUMMYFUNCTION("""COMPUTED_VALUE"""),16)</f>
        <v>16</v>
      </c>
    </row>
    <row r="693" spans="1:6" ht="12.75">
      <c r="A693" s="4">
        <v>692</v>
      </c>
      <c r="B693" s="8" t="str">
        <f ca="1">IFERROR(__xludf.DUMMYFUNCTION("""COMPUTED_VALUE"""),"20190927CADER")</f>
        <v>20190927CADER</v>
      </c>
      <c r="C693" s="8" t="str">
        <f ca="1">IFERROR(__xludf.DUMMYFUNCTION("""COMPUTED_VALUE"""),"Wounded")</f>
        <v>Wounded</v>
      </c>
      <c r="D693" s="8" t="str">
        <f ca="1">IFERROR(__xludf.DUMMYFUNCTION("""COMPUTED_VALUE"""),"Male")</f>
        <v>Male</v>
      </c>
      <c r="E693" s="8" t="str">
        <f ca="1">IFERROR(__xludf.DUMMYFUNCTION("""COMPUTED_VALUE"""),"Student")</f>
        <v>Student</v>
      </c>
      <c r="F693" s="8">
        <f ca="1">IFERROR(__xludf.DUMMYFUNCTION("""COMPUTED_VALUE"""),17)</f>
        <v>17</v>
      </c>
    </row>
    <row r="694" spans="1:6" ht="12.75">
      <c r="A694" s="4">
        <v>693</v>
      </c>
      <c r="B694" s="8" t="str">
        <f ca="1">IFERROR(__xludf.DUMMYFUNCTION("""COMPUTED_VALUE"""),"20190927CADER")</f>
        <v>20190927CADER</v>
      </c>
      <c r="C694" s="8" t="str">
        <f ca="1">IFERROR(__xludf.DUMMYFUNCTION("""COMPUTED_VALUE"""),"Wounded")</f>
        <v>Wounded</v>
      </c>
      <c r="D694" s="8" t="str">
        <f ca="1">IFERROR(__xludf.DUMMYFUNCTION("""COMPUTED_VALUE"""),"Male")</f>
        <v>Male</v>
      </c>
      <c r="E694" s="8" t="str">
        <f ca="1">IFERROR(__xludf.DUMMYFUNCTION("""COMPUTED_VALUE"""),"Student")</f>
        <v>Student</v>
      </c>
      <c r="F694" s="8">
        <f ca="1">IFERROR(__xludf.DUMMYFUNCTION("""COMPUTED_VALUE"""),17)</f>
        <v>17</v>
      </c>
    </row>
    <row r="695" spans="1:6" ht="12.75">
      <c r="A695" s="4">
        <v>694</v>
      </c>
      <c r="B695" s="8" t="str">
        <f ca="1">IFERROR(__xludf.DUMMYFUNCTION("""COMPUTED_VALUE"""),"20190920PASIP")</f>
        <v>20190920PASIP</v>
      </c>
      <c r="C695" s="8" t="str">
        <f ca="1">IFERROR(__xludf.DUMMYFUNCTION("""COMPUTED_VALUE"""),"Wounded")</f>
        <v>Wounded</v>
      </c>
      <c r="D695" s="8" t="str">
        <f ca="1">IFERROR(__xludf.DUMMYFUNCTION("""COMPUTED_VALUE"""),"Male")</f>
        <v>Male</v>
      </c>
      <c r="E695" s="8" t="str">
        <f ca="1">IFERROR(__xludf.DUMMYFUNCTION("""COMPUTED_VALUE"""),"Unknown")</f>
        <v>Unknown</v>
      </c>
      <c r="F695" s="8">
        <f ca="1">IFERROR(__xludf.DUMMYFUNCTION("""COMPUTED_VALUE"""),14)</f>
        <v>14</v>
      </c>
    </row>
    <row r="696" spans="1:6" ht="12.75">
      <c r="A696" s="4">
        <v>695</v>
      </c>
      <c r="B696" s="8" t="str">
        <f ca="1">IFERROR(__xludf.DUMMYFUNCTION("""COMPUTED_VALUE"""),"20190920PASIP")</f>
        <v>20190920PASIP</v>
      </c>
      <c r="C696" s="8" t="str">
        <f ca="1">IFERROR(__xludf.DUMMYFUNCTION("""COMPUTED_VALUE"""),"Wounded")</f>
        <v>Wounded</v>
      </c>
      <c r="D696" s="8" t="str">
        <f ca="1">IFERROR(__xludf.DUMMYFUNCTION("""COMPUTED_VALUE"""),"Male")</f>
        <v>Male</v>
      </c>
      <c r="E696" s="8" t="str">
        <f ca="1">IFERROR(__xludf.DUMMYFUNCTION("""COMPUTED_VALUE"""),"Unknown")</f>
        <v>Unknown</v>
      </c>
      <c r="F696" s="8">
        <f ca="1">IFERROR(__xludf.DUMMYFUNCTION("""COMPUTED_VALUE"""),15)</f>
        <v>15</v>
      </c>
    </row>
    <row r="697" spans="1:6" ht="12.75">
      <c r="A697" s="4">
        <v>696</v>
      </c>
      <c r="B697" s="8" t="str">
        <f ca="1">IFERROR(__xludf.DUMMYFUNCTION("""COMPUTED_VALUE"""),"20190918MNFOC")</f>
        <v>20190918MNFOC</v>
      </c>
      <c r="C697" s="8" t="str">
        <f ca="1">IFERROR(__xludf.DUMMYFUNCTION("""COMPUTED_VALUE"""),"Wounded")</f>
        <v>Wounded</v>
      </c>
      <c r="D697" s="8" t="str">
        <f ca="1">IFERROR(__xludf.DUMMYFUNCTION("""COMPUTED_VALUE"""),"Male")</f>
        <v>Male</v>
      </c>
      <c r="E697" s="8" t="str">
        <f ca="1">IFERROR(__xludf.DUMMYFUNCTION("""COMPUTED_VALUE"""),"Nonstudent Using Athletic Facilities/Attending Game")</f>
        <v>Nonstudent Using Athletic Facilities/Attending Game</v>
      </c>
      <c r="F697" s="8">
        <f ca="1">IFERROR(__xludf.DUMMYFUNCTION("""COMPUTED_VALUE"""),45)</f>
        <v>45</v>
      </c>
    </row>
    <row r="698" spans="1:6" ht="12.75">
      <c r="A698" s="4">
        <v>697</v>
      </c>
      <c r="B698" s="8" t="str">
        <f ca="1">IFERROR(__xludf.DUMMYFUNCTION("""COMPUTED_VALUE"""),"20190916VAPHH")</f>
        <v>20190916VAPHH</v>
      </c>
      <c r="C698" s="8" t="str">
        <f ca="1">IFERROR(__xludf.DUMMYFUNCTION("""COMPUTED_VALUE"""),"Fatal")</f>
        <v>Fatal</v>
      </c>
      <c r="D698" s="8" t="str">
        <f ca="1">IFERROR(__xludf.DUMMYFUNCTION("""COMPUTED_VALUE"""),"Male")</f>
        <v>Male</v>
      </c>
      <c r="E698" s="8" t="str">
        <f ca="1">IFERROR(__xludf.DUMMYFUNCTION("""COMPUTED_VALUE"""),"No Relation")</f>
        <v>No Relation</v>
      </c>
      <c r="F698" s="8">
        <f ca="1">IFERROR(__xludf.DUMMYFUNCTION("""COMPUTED_VALUE"""),38)</f>
        <v>38</v>
      </c>
    </row>
    <row r="699" spans="1:6" ht="12.75">
      <c r="A699" s="4">
        <v>698</v>
      </c>
      <c r="B699" s="8" t="str">
        <f ca="1">IFERROR(__xludf.DUMMYFUNCTION("""COMPUTED_VALUE"""),"20190916ILILK")</f>
        <v>20190916ILILK</v>
      </c>
      <c r="C699" s="8" t="str">
        <f ca="1">IFERROR(__xludf.DUMMYFUNCTION("""COMPUTED_VALUE"""),"None")</f>
        <v>None</v>
      </c>
      <c r="D699" s="8"/>
      <c r="E699" s="8"/>
      <c r="F699" s="8"/>
    </row>
    <row r="700" spans="1:6" ht="12.75">
      <c r="A700" s="4">
        <v>699</v>
      </c>
      <c r="B700" s="8" t="str">
        <f ca="1">IFERROR(__xludf.DUMMYFUNCTION("""COMPUTED_VALUE"""),"20190914TXEAF")</f>
        <v>20190914TXEAF</v>
      </c>
      <c r="C700" s="8" t="str">
        <f ca="1">IFERROR(__xludf.DUMMYFUNCTION("""COMPUTED_VALUE"""),"Wounded")</f>
        <v>Wounded</v>
      </c>
      <c r="D700" s="8" t="str">
        <f ca="1">IFERROR(__xludf.DUMMYFUNCTION("""COMPUTED_VALUE"""),"Male")</f>
        <v>Male</v>
      </c>
      <c r="E700" s="8" t="str">
        <f ca="1">IFERROR(__xludf.DUMMYFUNCTION("""COMPUTED_VALUE"""),"Nonstudent Using Athletic Facilities/Attending Game")</f>
        <v>Nonstudent Using Athletic Facilities/Attending Game</v>
      </c>
      <c r="F700" s="8">
        <f ca="1">IFERROR(__xludf.DUMMYFUNCTION("""COMPUTED_VALUE"""),12)</f>
        <v>12</v>
      </c>
    </row>
    <row r="701" spans="1:6" ht="12.75">
      <c r="A701" s="4">
        <v>700</v>
      </c>
      <c r="B701" s="8" t="str">
        <f ca="1">IFERROR(__xludf.DUMMYFUNCTION("""COMPUTED_VALUE"""),"20190914TXEAF")</f>
        <v>20190914TXEAF</v>
      </c>
      <c r="C701" s="8" t="str">
        <f ca="1">IFERROR(__xludf.DUMMYFUNCTION("""COMPUTED_VALUE"""),"Wounded")</f>
        <v>Wounded</v>
      </c>
      <c r="D701" s="8" t="str">
        <f ca="1">IFERROR(__xludf.DUMMYFUNCTION("""COMPUTED_VALUE"""),"Female")</f>
        <v>Female</v>
      </c>
      <c r="E701" s="8" t="str">
        <f ca="1">IFERROR(__xludf.DUMMYFUNCTION("""COMPUTED_VALUE"""),"Nonstudent Using Athletic Facilities/Attending Game")</f>
        <v>Nonstudent Using Athletic Facilities/Attending Game</v>
      </c>
      <c r="F701" s="8" t="str">
        <f ca="1">IFERROR(__xludf.DUMMYFUNCTION("""COMPUTED_VALUE"""),"Adult")</f>
        <v>Adult</v>
      </c>
    </row>
    <row r="702" spans="1:6" ht="12.75">
      <c r="A702" s="4">
        <v>701</v>
      </c>
      <c r="B702" s="8" t="str">
        <f ca="1">IFERROR(__xludf.DUMMYFUNCTION("""COMPUTED_VALUE"""),"20190913VAETN")</f>
        <v>20190913VAETN</v>
      </c>
      <c r="C702" s="8" t="str">
        <f ca="1">IFERROR(__xludf.DUMMYFUNCTION("""COMPUTED_VALUE"""),"Wounded")</f>
        <v>Wounded</v>
      </c>
      <c r="D702" s="8"/>
      <c r="E702" s="8" t="str">
        <f ca="1">IFERROR(__xludf.DUMMYFUNCTION("""COMPUTED_VALUE"""),"Nonstudent Using Athletic Facilities/Attending Game")</f>
        <v>Nonstudent Using Athletic Facilities/Attending Game</v>
      </c>
      <c r="F702" s="8">
        <f ca="1">IFERROR(__xludf.DUMMYFUNCTION("""COMPUTED_VALUE"""),19)</f>
        <v>19</v>
      </c>
    </row>
    <row r="703" spans="1:6" ht="12.75">
      <c r="A703" s="4">
        <v>702</v>
      </c>
      <c r="B703" s="8" t="str">
        <f ca="1">IFERROR(__xludf.DUMMYFUNCTION("""COMPUTED_VALUE"""),"20190913VAETN")</f>
        <v>20190913VAETN</v>
      </c>
      <c r="C703" s="8" t="str">
        <f ca="1">IFERROR(__xludf.DUMMYFUNCTION("""COMPUTED_VALUE"""),"Wounded")</f>
        <v>Wounded</v>
      </c>
      <c r="D703" s="8"/>
      <c r="E703" s="8" t="str">
        <f ca="1">IFERROR(__xludf.DUMMYFUNCTION("""COMPUTED_VALUE"""),"Student")</f>
        <v>Student</v>
      </c>
      <c r="F703" s="8">
        <f ca="1">IFERROR(__xludf.DUMMYFUNCTION("""COMPUTED_VALUE"""),14)</f>
        <v>14</v>
      </c>
    </row>
    <row r="704" spans="1:6" ht="12.75">
      <c r="A704" s="4">
        <v>703</v>
      </c>
      <c r="B704" s="8" t="str">
        <f ca="1">IFERROR(__xludf.DUMMYFUNCTION("""COMPUTED_VALUE"""),"20190913VAETN")</f>
        <v>20190913VAETN</v>
      </c>
      <c r="C704" s="8" t="str">
        <f ca="1">IFERROR(__xludf.DUMMYFUNCTION("""COMPUTED_VALUE"""),"Wounded")</f>
        <v>Wounded</v>
      </c>
      <c r="D704" s="8"/>
      <c r="E704" s="8" t="str">
        <f ca="1">IFERROR(__xludf.DUMMYFUNCTION("""COMPUTED_VALUE"""),"Nonstudent Using Athletic Facilities/Attending Game")</f>
        <v>Nonstudent Using Athletic Facilities/Attending Game</v>
      </c>
      <c r="F704" s="8">
        <f ca="1">IFERROR(__xludf.DUMMYFUNCTION("""COMPUTED_VALUE"""),19)</f>
        <v>19</v>
      </c>
    </row>
    <row r="705" spans="1:6" ht="12.75">
      <c r="A705" s="4">
        <v>704</v>
      </c>
      <c r="B705" s="8" t="str">
        <f ca="1">IFERROR(__xludf.DUMMYFUNCTION("""COMPUTED_VALUE"""),"20190913UTGRW")</f>
        <v>20190913UTGRW</v>
      </c>
      <c r="C705" s="8" t="str">
        <f ca="1">IFERROR(__xludf.DUMMYFUNCTION("""COMPUTED_VALUE"""),"None")</f>
        <v>None</v>
      </c>
      <c r="D705" s="8"/>
      <c r="E705" s="8"/>
      <c r="F705" s="8"/>
    </row>
    <row r="706" spans="1:6" ht="12.75">
      <c r="A706" s="4">
        <v>705</v>
      </c>
      <c r="B706" s="8" t="str">
        <f ca="1">IFERROR(__xludf.DUMMYFUNCTION("""COMPUTED_VALUE"""),"20190912KSMAM")</f>
        <v>20190912KSMAM</v>
      </c>
      <c r="C706" s="8" t="str">
        <f ca="1">IFERROR(__xludf.DUMMYFUNCTION("""COMPUTED_VALUE"""),"None")</f>
        <v>None</v>
      </c>
      <c r="D706" s="8"/>
      <c r="E706" s="8"/>
      <c r="F706" s="8"/>
    </row>
    <row r="707" spans="1:6" ht="12.75">
      <c r="A707" s="4">
        <v>706</v>
      </c>
      <c r="B707" s="8" t="str">
        <f ca="1">IFERROR(__xludf.DUMMYFUNCTION("""COMPUTED_VALUE"""),"20190910SCSOA")</f>
        <v>20190910SCSOA</v>
      </c>
      <c r="C707" s="8" t="str">
        <f ca="1">IFERROR(__xludf.DUMMYFUNCTION("""COMPUTED_VALUE"""),"None")</f>
        <v>None</v>
      </c>
      <c r="D707" s="8"/>
      <c r="E707" s="8"/>
      <c r="F707" s="8"/>
    </row>
    <row r="708" spans="1:6" ht="12.75">
      <c r="A708" s="4">
        <v>707</v>
      </c>
      <c r="B708" s="8" t="str">
        <f ca="1">IFERROR(__xludf.DUMMYFUNCTION("""COMPUTED_VALUE"""),"20190906PAWEM")</f>
        <v>20190906PAWEM</v>
      </c>
      <c r="C708" s="8" t="str">
        <f ca="1">IFERROR(__xludf.DUMMYFUNCTION("""COMPUTED_VALUE"""),"Wounded")</f>
        <v>Wounded</v>
      </c>
      <c r="D708" s="8" t="str">
        <f ca="1">IFERROR(__xludf.DUMMYFUNCTION("""COMPUTED_VALUE"""),"Female")</f>
        <v>Female</v>
      </c>
      <c r="E708" s="8" t="str">
        <f ca="1">IFERROR(__xludf.DUMMYFUNCTION("""COMPUTED_VALUE"""),"Student")</f>
        <v>Student</v>
      </c>
      <c r="F708" s="8"/>
    </row>
    <row r="709" spans="1:6" ht="12.75">
      <c r="A709" s="4">
        <v>708</v>
      </c>
      <c r="B709" s="8" t="str">
        <f ca="1">IFERROR(__xludf.DUMMYFUNCTION("""COMPUTED_VALUE"""),"20190906PAMCJ")</f>
        <v>20190906PAMCJ</v>
      </c>
      <c r="C709" s="8" t="str">
        <f ca="1">IFERROR(__xludf.DUMMYFUNCTION("""COMPUTED_VALUE"""),"Fatal")</f>
        <v>Fatal</v>
      </c>
      <c r="D709" s="8" t="str">
        <f ca="1">IFERROR(__xludf.DUMMYFUNCTION("""COMPUTED_VALUE"""),"Male")</f>
        <v>Male</v>
      </c>
      <c r="E709" s="8"/>
      <c r="F709" s="8">
        <f ca="1">IFERROR(__xludf.DUMMYFUNCTION("""COMPUTED_VALUE"""),48)</f>
        <v>48</v>
      </c>
    </row>
    <row r="710" spans="1:6" ht="12.75">
      <c r="A710" s="4">
        <v>709</v>
      </c>
      <c r="B710" s="8" t="str">
        <f ca="1">IFERROR(__xludf.DUMMYFUNCTION("""COMPUTED_VALUE"""),"20190906ALCEC")</f>
        <v>20190906ALCEC</v>
      </c>
      <c r="C710" s="8" t="str">
        <f ca="1">IFERROR(__xludf.DUMMYFUNCTION("""COMPUTED_VALUE"""),"None")</f>
        <v>None</v>
      </c>
      <c r="D710" s="8"/>
      <c r="E710" s="8"/>
      <c r="F710" s="8"/>
    </row>
    <row r="711" spans="1:6" ht="12.75">
      <c r="A711" s="4">
        <v>710</v>
      </c>
      <c r="B711" s="8" t="str">
        <f ca="1">IFERROR(__xludf.DUMMYFUNCTION("""COMPUTED_VALUE"""),"20190902MDNOB")</f>
        <v>20190902MDNOB</v>
      </c>
      <c r="C711" s="8" t="str">
        <f ca="1">IFERROR(__xludf.DUMMYFUNCTION("""COMPUTED_VALUE"""),"Fatal")</f>
        <v>Fatal</v>
      </c>
      <c r="D711" s="8" t="str">
        <f ca="1">IFERROR(__xludf.DUMMYFUNCTION("""COMPUTED_VALUE"""),"Male")</f>
        <v>Male</v>
      </c>
      <c r="E711" s="8" t="str">
        <f ca="1">IFERROR(__xludf.DUMMYFUNCTION("""COMPUTED_VALUE"""),"No Relation")</f>
        <v>No Relation</v>
      </c>
      <c r="F711" s="8" t="str">
        <f ca="1">IFERROR(__xludf.DUMMYFUNCTION("""COMPUTED_VALUE"""),"Adult")</f>
        <v>Adult</v>
      </c>
    </row>
    <row r="712" spans="1:6" ht="12.75">
      <c r="A712" s="4">
        <v>711</v>
      </c>
      <c r="B712" s="8" t="str">
        <f ca="1">IFERROR(__xludf.DUMMYFUNCTION("""COMPUTED_VALUE"""),"20190902MDNOB")</f>
        <v>20190902MDNOB</v>
      </c>
      <c r="C712" s="8" t="str">
        <f ca="1">IFERROR(__xludf.DUMMYFUNCTION("""COMPUTED_VALUE"""),"Wounded")</f>
        <v>Wounded</v>
      </c>
      <c r="D712" s="8" t="str">
        <f ca="1">IFERROR(__xludf.DUMMYFUNCTION("""COMPUTED_VALUE"""),"Male")</f>
        <v>Male</v>
      </c>
      <c r="E712" s="8" t="str">
        <f ca="1">IFERROR(__xludf.DUMMYFUNCTION("""COMPUTED_VALUE"""),"No Relation")</f>
        <v>No Relation</v>
      </c>
      <c r="F712" s="8" t="str">
        <f ca="1">IFERROR(__xludf.DUMMYFUNCTION("""COMPUTED_VALUE"""),"Adult")</f>
        <v>Adult</v>
      </c>
    </row>
    <row r="713" spans="1:6" ht="12.75">
      <c r="A713" s="4">
        <v>712</v>
      </c>
      <c r="B713" s="8" t="str">
        <f ca="1">IFERROR(__xludf.DUMMYFUNCTION("""COMPUTED_VALUE"""),"20190902MDNOB")</f>
        <v>20190902MDNOB</v>
      </c>
      <c r="C713" s="8" t="str">
        <f ca="1">IFERROR(__xludf.DUMMYFUNCTION("""COMPUTED_VALUE"""),"Wounded")</f>
        <v>Wounded</v>
      </c>
      <c r="D713" s="8" t="str">
        <f ca="1">IFERROR(__xludf.DUMMYFUNCTION("""COMPUTED_VALUE"""),"Male")</f>
        <v>Male</v>
      </c>
      <c r="E713" s="8" t="str">
        <f ca="1">IFERROR(__xludf.DUMMYFUNCTION("""COMPUTED_VALUE"""),"No Relation")</f>
        <v>No Relation</v>
      </c>
      <c r="F713" s="8" t="str">
        <f ca="1">IFERROR(__xludf.DUMMYFUNCTION("""COMPUTED_VALUE"""),"Adult")</f>
        <v>Adult</v>
      </c>
    </row>
    <row r="714" spans="1:6" ht="12.75">
      <c r="A714" s="4">
        <v>713</v>
      </c>
      <c r="B714" s="8" t="str">
        <f ca="1">IFERROR(__xludf.DUMMYFUNCTION("""COMPUTED_VALUE"""),"20190830OHCET")</f>
        <v>20190830OHCET</v>
      </c>
      <c r="C714" s="8" t="str">
        <f ca="1">IFERROR(__xludf.DUMMYFUNCTION("""COMPUTED_VALUE"""),"Wounded")</f>
        <v>Wounded</v>
      </c>
      <c r="D714" s="8" t="str">
        <f ca="1">IFERROR(__xludf.DUMMYFUNCTION("""COMPUTED_VALUE"""),"Male")</f>
        <v>Male</v>
      </c>
      <c r="E714" s="8" t="str">
        <f ca="1">IFERROR(__xludf.DUMMYFUNCTION("""COMPUTED_VALUE"""),"Nonstudent Using Athletic Facilities/Attending Game")</f>
        <v>Nonstudent Using Athletic Facilities/Attending Game</v>
      </c>
      <c r="F714" s="8">
        <f ca="1">IFERROR(__xludf.DUMMYFUNCTION("""COMPUTED_VALUE"""),16)</f>
        <v>16</v>
      </c>
    </row>
    <row r="715" spans="1:6" ht="12.75">
      <c r="A715" s="4">
        <v>714</v>
      </c>
      <c r="B715" s="8" t="str">
        <f ca="1">IFERROR(__xludf.DUMMYFUNCTION("""COMPUTED_VALUE"""),"20190830NCKIK")</f>
        <v>20190830NCKIK</v>
      </c>
      <c r="C715" s="8" t="str">
        <f ca="1">IFERROR(__xludf.DUMMYFUNCTION("""COMPUTED_VALUE"""),"None")</f>
        <v>None</v>
      </c>
      <c r="D715" s="8"/>
      <c r="E715" s="8"/>
      <c r="F715" s="8"/>
    </row>
    <row r="716" spans="1:6" ht="12.75">
      <c r="A716" s="4">
        <v>715</v>
      </c>
      <c r="B716" s="8" t="str">
        <f ca="1">IFERROR(__xludf.DUMMYFUNCTION("""COMPUTED_VALUE"""),"20190830ALLAM")</f>
        <v>20190830ALLAM</v>
      </c>
      <c r="C716" s="8" t="str">
        <f ca="1">IFERROR(__xludf.DUMMYFUNCTION("""COMPUTED_VALUE"""),"Wounded")</f>
        <v>Wounded</v>
      </c>
      <c r="D716" s="8"/>
      <c r="E716" s="8" t="str">
        <f ca="1">IFERROR(__xludf.DUMMYFUNCTION("""COMPUTED_VALUE"""),"Student")</f>
        <v>Student</v>
      </c>
      <c r="F716" s="8" t="str">
        <f ca="1">IFERROR(__xludf.DUMMYFUNCTION("""COMPUTED_VALUE"""),"Teen")</f>
        <v>Teen</v>
      </c>
    </row>
    <row r="717" spans="1:6" ht="12.75">
      <c r="A717" s="4">
        <v>716</v>
      </c>
      <c r="B717" s="8" t="str">
        <f ca="1">IFERROR(__xludf.DUMMYFUNCTION("""COMPUTED_VALUE"""),"20190830ALLAM")</f>
        <v>20190830ALLAM</v>
      </c>
      <c r="C717" s="8" t="str">
        <f ca="1">IFERROR(__xludf.DUMMYFUNCTION("""COMPUTED_VALUE"""),"Wounded")</f>
        <v>Wounded</v>
      </c>
      <c r="D717" s="8"/>
      <c r="E717" s="8" t="str">
        <f ca="1">IFERROR(__xludf.DUMMYFUNCTION("""COMPUTED_VALUE"""),"Student")</f>
        <v>Student</v>
      </c>
      <c r="F717" s="8" t="str">
        <f ca="1">IFERROR(__xludf.DUMMYFUNCTION("""COMPUTED_VALUE"""),"Teen")</f>
        <v>Teen</v>
      </c>
    </row>
    <row r="718" spans="1:6" ht="12.75">
      <c r="A718" s="4">
        <v>717</v>
      </c>
      <c r="B718" s="8" t="str">
        <f ca="1">IFERROR(__xludf.DUMMYFUNCTION("""COMPUTED_VALUE"""),"20190830ALLAM")</f>
        <v>20190830ALLAM</v>
      </c>
      <c r="C718" s="8" t="str">
        <f ca="1">IFERROR(__xludf.DUMMYFUNCTION("""COMPUTED_VALUE"""),"Wounded")</f>
        <v>Wounded</v>
      </c>
      <c r="D718" s="8"/>
      <c r="E718" s="8" t="str">
        <f ca="1">IFERROR(__xludf.DUMMYFUNCTION("""COMPUTED_VALUE"""),"Student")</f>
        <v>Student</v>
      </c>
      <c r="F718" s="8" t="str">
        <f ca="1">IFERROR(__xludf.DUMMYFUNCTION("""COMPUTED_VALUE"""),"Teen")</f>
        <v>Teen</v>
      </c>
    </row>
    <row r="719" spans="1:6" ht="12.75">
      <c r="A719" s="4">
        <v>718</v>
      </c>
      <c r="B719" s="8" t="str">
        <f ca="1">IFERROR(__xludf.DUMMYFUNCTION("""COMPUTED_VALUE"""),"20190830ALLAM")</f>
        <v>20190830ALLAM</v>
      </c>
      <c r="C719" s="8" t="str">
        <f ca="1">IFERROR(__xludf.DUMMYFUNCTION("""COMPUTED_VALUE"""),"Wounded")</f>
        <v>Wounded</v>
      </c>
      <c r="D719" s="8"/>
      <c r="E719" s="8" t="str">
        <f ca="1">IFERROR(__xludf.DUMMYFUNCTION("""COMPUTED_VALUE"""),"Student")</f>
        <v>Student</v>
      </c>
      <c r="F719" s="8" t="str">
        <f ca="1">IFERROR(__xludf.DUMMYFUNCTION("""COMPUTED_VALUE"""),"Teen")</f>
        <v>Teen</v>
      </c>
    </row>
    <row r="720" spans="1:6" ht="12.75">
      <c r="A720" s="4">
        <v>719</v>
      </c>
      <c r="B720" s="8" t="str">
        <f ca="1">IFERROR(__xludf.DUMMYFUNCTION("""COMPUTED_VALUE"""),"20190830ALLAM")</f>
        <v>20190830ALLAM</v>
      </c>
      <c r="C720" s="8" t="str">
        <f ca="1">IFERROR(__xludf.DUMMYFUNCTION("""COMPUTED_VALUE"""),"Wounded")</f>
        <v>Wounded</v>
      </c>
      <c r="D720" s="8"/>
      <c r="E720" s="8" t="str">
        <f ca="1">IFERROR(__xludf.DUMMYFUNCTION("""COMPUTED_VALUE"""),"Student")</f>
        <v>Student</v>
      </c>
      <c r="F720" s="8" t="str">
        <f ca="1">IFERROR(__xludf.DUMMYFUNCTION("""COMPUTED_VALUE"""),"Teen")</f>
        <v>Teen</v>
      </c>
    </row>
    <row r="721" spans="1:6" ht="12.75">
      <c r="A721" s="4">
        <v>720</v>
      </c>
      <c r="B721" s="8" t="str">
        <f ca="1">IFERROR(__xludf.DUMMYFUNCTION("""COMPUTED_VALUE"""),"20190830ALLAM")</f>
        <v>20190830ALLAM</v>
      </c>
      <c r="C721" s="8" t="str">
        <f ca="1">IFERROR(__xludf.DUMMYFUNCTION("""COMPUTED_VALUE"""),"Wounded")</f>
        <v>Wounded</v>
      </c>
      <c r="D721" s="8"/>
      <c r="E721" s="8" t="str">
        <f ca="1">IFERROR(__xludf.DUMMYFUNCTION("""COMPUTED_VALUE"""),"Student")</f>
        <v>Student</v>
      </c>
      <c r="F721" s="8" t="str">
        <f ca="1">IFERROR(__xludf.DUMMYFUNCTION("""COMPUTED_VALUE"""),"Teen")</f>
        <v>Teen</v>
      </c>
    </row>
    <row r="722" spans="1:6" ht="12.75">
      <c r="A722" s="4">
        <v>721</v>
      </c>
      <c r="B722" s="8" t="str">
        <f ca="1">IFERROR(__xludf.DUMMYFUNCTION("""COMPUTED_VALUE"""),"20190830ALLAM")</f>
        <v>20190830ALLAM</v>
      </c>
      <c r="C722" s="8" t="str">
        <f ca="1">IFERROR(__xludf.DUMMYFUNCTION("""COMPUTED_VALUE"""),"Wounded")</f>
        <v>Wounded</v>
      </c>
      <c r="D722" s="8"/>
      <c r="E722" s="8" t="str">
        <f ca="1">IFERROR(__xludf.DUMMYFUNCTION("""COMPUTED_VALUE"""),"Student")</f>
        <v>Student</v>
      </c>
      <c r="F722" s="8" t="str">
        <f ca="1">IFERROR(__xludf.DUMMYFUNCTION("""COMPUTED_VALUE"""),"Teen")</f>
        <v>Teen</v>
      </c>
    </row>
    <row r="723" spans="1:6" ht="12.75">
      <c r="A723" s="4">
        <v>722</v>
      </c>
      <c r="B723" s="8" t="str">
        <f ca="1">IFERROR(__xludf.DUMMYFUNCTION("""COMPUTED_VALUE"""),"20190830ALLAM")</f>
        <v>20190830ALLAM</v>
      </c>
      <c r="C723" s="8" t="str">
        <f ca="1">IFERROR(__xludf.DUMMYFUNCTION("""COMPUTED_VALUE"""),"Wounded")</f>
        <v>Wounded</v>
      </c>
      <c r="D723" s="8"/>
      <c r="E723" s="8" t="str">
        <f ca="1">IFERROR(__xludf.DUMMYFUNCTION("""COMPUTED_VALUE"""),"Student")</f>
        <v>Student</v>
      </c>
      <c r="F723" s="8" t="str">
        <f ca="1">IFERROR(__xludf.DUMMYFUNCTION("""COMPUTED_VALUE"""),"Teen")</f>
        <v>Teen</v>
      </c>
    </row>
    <row r="724" spans="1:6" ht="12.75">
      <c r="A724" s="4">
        <v>723</v>
      </c>
      <c r="B724" s="8" t="str">
        <f ca="1">IFERROR(__xludf.DUMMYFUNCTION("""COMPUTED_VALUE"""),"20190830ALLAM")</f>
        <v>20190830ALLAM</v>
      </c>
      <c r="C724" s="8" t="str">
        <f ca="1">IFERROR(__xludf.DUMMYFUNCTION("""COMPUTED_VALUE"""),"Wounded")</f>
        <v>Wounded</v>
      </c>
      <c r="D724" s="8"/>
      <c r="E724" s="8" t="str">
        <f ca="1">IFERROR(__xludf.DUMMYFUNCTION("""COMPUTED_VALUE"""),"Student")</f>
        <v>Student</v>
      </c>
      <c r="F724" s="8" t="str">
        <f ca="1">IFERROR(__xludf.DUMMYFUNCTION("""COMPUTED_VALUE"""),"Teen")</f>
        <v>Teen</v>
      </c>
    </row>
    <row r="725" spans="1:6" ht="12.75">
      <c r="A725" s="4">
        <v>724</v>
      </c>
      <c r="B725" s="8" t="str">
        <f ca="1">IFERROR(__xludf.DUMMYFUNCTION("""COMPUTED_VALUE"""),"20190830ALLAM")</f>
        <v>20190830ALLAM</v>
      </c>
      <c r="C725" s="8" t="str">
        <f ca="1">IFERROR(__xludf.DUMMYFUNCTION("""COMPUTED_VALUE"""),"Wounded")</f>
        <v>Wounded</v>
      </c>
      <c r="D725" s="8"/>
      <c r="E725" s="8" t="str">
        <f ca="1">IFERROR(__xludf.DUMMYFUNCTION("""COMPUTED_VALUE"""),"Student")</f>
        <v>Student</v>
      </c>
      <c r="F725" s="8" t="str">
        <f ca="1">IFERROR(__xludf.DUMMYFUNCTION("""COMPUTED_VALUE"""),"Teen")</f>
        <v>Teen</v>
      </c>
    </row>
    <row r="726" spans="1:6" ht="12.75">
      <c r="A726" s="4">
        <v>725</v>
      </c>
      <c r="B726" s="8" t="str">
        <f ca="1">IFERROR(__xludf.DUMMYFUNCTION("""COMPUTED_VALUE"""),"20190827NYROR")</f>
        <v>20190827NYROR</v>
      </c>
      <c r="C726" s="8" t="str">
        <f ca="1">IFERROR(__xludf.DUMMYFUNCTION("""COMPUTED_VALUE"""),"None")</f>
        <v>None</v>
      </c>
      <c r="D726" s="8"/>
      <c r="E726" s="8"/>
      <c r="F726" s="8"/>
    </row>
    <row r="727" spans="1:6" ht="12.75">
      <c r="A727" s="4">
        <v>726</v>
      </c>
      <c r="B727" s="8" t="str">
        <f ca="1">IFERROR(__xludf.DUMMYFUNCTION("""COMPUTED_VALUE"""),"20190827CAHOL")</f>
        <v>20190827CAHOL</v>
      </c>
      <c r="C727" s="8" t="str">
        <f ca="1">IFERROR(__xludf.DUMMYFUNCTION("""COMPUTED_VALUE"""),"Wounded")</f>
        <v>Wounded</v>
      </c>
      <c r="D727" s="8" t="str">
        <f ca="1">IFERROR(__xludf.DUMMYFUNCTION("""COMPUTED_VALUE"""),"Male")</f>
        <v>Male</v>
      </c>
      <c r="E727" s="8" t="str">
        <f ca="1">IFERROR(__xludf.DUMMYFUNCTION("""COMPUTED_VALUE"""),"Student")</f>
        <v>Student</v>
      </c>
      <c r="F727" s="8" t="str">
        <f ca="1">IFERROR(__xludf.DUMMYFUNCTION("""COMPUTED_VALUE"""),"Teen")</f>
        <v>Teen</v>
      </c>
    </row>
    <row r="728" spans="1:6" ht="12.75">
      <c r="A728" s="4">
        <v>727</v>
      </c>
      <c r="B728" s="8" t="str">
        <f ca="1">IFERROR(__xludf.DUMMYFUNCTION("""COMPUTED_VALUE"""),"20190824PAWIP")</f>
        <v>20190824PAWIP</v>
      </c>
      <c r="C728" s="8" t="str">
        <f ca="1">IFERROR(__xludf.DUMMYFUNCTION("""COMPUTED_VALUE"""),"Fatal")</f>
        <v>Fatal</v>
      </c>
      <c r="D728" s="8" t="str">
        <f ca="1">IFERROR(__xludf.DUMMYFUNCTION("""COMPUTED_VALUE"""),"Male")</f>
        <v>Male</v>
      </c>
      <c r="E728" s="8" t="str">
        <f ca="1">IFERROR(__xludf.DUMMYFUNCTION("""COMPUTED_VALUE"""),"No Relation")</f>
        <v>No Relation</v>
      </c>
      <c r="F728" s="8">
        <f ca="1">IFERROR(__xludf.DUMMYFUNCTION("""COMPUTED_VALUE"""),14)</f>
        <v>14</v>
      </c>
    </row>
    <row r="729" spans="1:6" ht="12.75">
      <c r="A729" s="4">
        <v>728</v>
      </c>
      <c r="B729" s="8" t="str">
        <f ca="1">IFERROR(__xludf.DUMMYFUNCTION("""COMPUTED_VALUE"""),"20190823MOROS")</f>
        <v>20190823MOROS</v>
      </c>
      <c r="C729" s="8" t="str">
        <f ca="1">IFERROR(__xludf.DUMMYFUNCTION("""COMPUTED_VALUE"""),"Fatal")</f>
        <v>Fatal</v>
      </c>
      <c r="D729" s="8" t="str">
        <f ca="1">IFERROR(__xludf.DUMMYFUNCTION("""COMPUTED_VALUE"""),"Female")</f>
        <v>Female</v>
      </c>
      <c r="E729" s="8" t="str">
        <f ca="1">IFERROR(__xludf.DUMMYFUNCTION("""COMPUTED_VALUE"""),"Student")</f>
        <v>Student</v>
      </c>
      <c r="F729" s="8">
        <f ca="1">IFERROR(__xludf.DUMMYFUNCTION("""COMPUTED_VALUE"""),16)</f>
        <v>16</v>
      </c>
    </row>
    <row r="730" spans="1:6" ht="12.75">
      <c r="A730" s="4">
        <v>729</v>
      </c>
      <c r="B730" s="8" t="str">
        <f ca="1">IFERROR(__xludf.DUMMYFUNCTION("""COMPUTED_VALUE"""),"20190823MOPAS")</f>
        <v>20190823MOPAS</v>
      </c>
      <c r="C730" s="8" t="str">
        <f ca="1">IFERROR(__xludf.DUMMYFUNCTION("""COMPUTED_VALUE"""),"None")</f>
        <v>None</v>
      </c>
      <c r="D730" s="8"/>
      <c r="E730" s="8"/>
      <c r="F730" s="8"/>
    </row>
    <row r="731" spans="1:6" ht="12.75">
      <c r="A731" s="4">
        <v>730</v>
      </c>
      <c r="B731" s="8" t="str">
        <f ca="1">IFERROR(__xludf.DUMMYFUNCTION("""COMPUTED_VALUE"""),"20190823GAPEC")</f>
        <v>20190823GAPEC</v>
      </c>
      <c r="C731" s="8" t="str">
        <f ca="1">IFERROR(__xludf.DUMMYFUNCTION("""COMPUTED_VALUE"""),"Wounded")</f>
        <v>Wounded</v>
      </c>
      <c r="D731" s="8" t="str">
        <f ca="1">IFERROR(__xludf.DUMMYFUNCTION("""COMPUTED_VALUE"""),"Male")</f>
        <v>Male</v>
      </c>
      <c r="E731" s="8" t="str">
        <f ca="1">IFERROR(__xludf.DUMMYFUNCTION("""COMPUTED_VALUE"""),"Nonstudent")</f>
        <v>Nonstudent</v>
      </c>
      <c r="F731" s="8">
        <f ca="1">IFERROR(__xludf.DUMMYFUNCTION("""COMPUTED_VALUE"""),12)</f>
        <v>12</v>
      </c>
    </row>
    <row r="732" spans="1:6" ht="12.75">
      <c r="A732" s="4">
        <v>731</v>
      </c>
      <c r="B732" s="8" t="str">
        <f ca="1">IFERROR(__xludf.DUMMYFUNCTION("""COMPUTED_VALUE"""),"20190820PASAC")</f>
        <v>20190820PASAC</v>
      </c>
      <c r="C732" s="8" t="str">
        <f ca="1">IFERROR(__xludf.DUMMYFUNCTION("""COMPUTED_VALUE"""),"None")</f>
        <v>None</v>
      </c>
      <c r="D732" s="8" t="str">
        <f ca="1">IFERROR(__xludf.DUMMYFUNCTION("""COMPUTED_VALUE"""),"Male")</f>
        <v>Male</v>
      </c>
      <c r="E732" s="8" t="str">
        <f ca="1">IFERROR(__xludf.DUMMYFUNCTION("""COMPUTED_VALUE"""),"Parent")</f>
        <v>Parent</v>
      </c>
      <c r="F732" s="8" t="str">
        <f ca="1">IFERROR(__xludf.DUMMYFUNCTION("""COMPUTED_VALUE"""),"Adult")</f>
        <v>Adult</v>
      </c>
    </row>
    <row r="733" spans="1:6" ht="12.75">
      <c r="A733" s="4">
        <v>732</v>
      </c>
      <c r="B733" s="8" t="str">
        <f ca="1">IFERROR(__xludf.DUMMYFUNCTION("""COMPUTED_VALUE"""),"20190817GALAA")</f>
        <v>20190817GALAA</v>
      </c>
      <c r="C733" s="8" t="str">
        <f ca="1">IFERROR(__xludf.DUMMYFUNCTION("""COMPUTED_VALUE"""),"Wounded")</f>
        <v>Wounded</v>
      </c>
      <c r="D733" s="8" t="str">
        <f ca="1">IFERROR(__xludf.DUMMYFUNCTION("""COMPUTED_VALUE"""),"Male")</f>
        <v>Male</v>
      </c>
      <c r="E733" s="8" t="str">
        <f ca="1">IFERROR(__xludf.DUMMYFUNCTION("""COMPUTED_VALUE"""),"Student")</f>
        <v>Student</v>
      </c>
      <c r="F733" s="8">
        <f ca="1">IFERROR(__xludf.DUMMYFUNCTION("""COMPUTED_VALUE"""),16)</f>
        <v>16</v>
      </c>
    </row>
    <row r="734" spans="1:6" ht="12.75">
      <c r="A734" s="4">
        <v>733</v>
      </c>
      <c r="B734" s="8" t="str">
        <f ca="1">IFERROR(__xludf.DUMMYFUNCTION("""COMPUTED_VALUE"""),"20190817GALAA")</f>
        <v>20190817GALAA</v>
      </c>
      <c r="C734" s="8" t="str">
        <f ca="1">IFERROR(__xludf.DUMMYFUNCTION("""COMPUTED_VALUE"""),"Wounded")</f>
        <v>Wounded</v>
      </c>
      <c r="D734" s="8" t="str">
        <f ca="1">IFERROR(__xludf.DUMMYFUNCTION("""COMPUTED_VALUE"""),"Male")</f>
        <v>Male</v>
      </c>
      <c r="E734" s="8" t="str">
        <f ca="1">IFERROR(__xludf.DUMMYFUNCTION("""COMPUTED_VALUE"""),"Nonstudent Using Athletic Facilities/Attending Game")</f>
        <v>Nonstudent Using Athletic Facilities/Attending Game</v>
      </c>
      <c r="F734" s="8">
        <f ca="1">IFERROR(__xludf.DUMMYFUNCTION("""COMPUTED_VALUE"""),12)</f>
        <v>12</v>
      </c>
    </row>
    <row r="735" spans="1:6" ht="12.75">
      <c r="A735" s="4">
        <v>734</v>
      </c>
      <c r="B735" s="8" t="str">
        <f ca="1">IFERROR(__xludf.DUMMYFUNCTION("""COMPUTED_VALUE"""),"20190815TNEAN")</f>
        <v>20190815TNEAN</v>
      </c>
      <c r="C735" s="8" t="str">
        <f ca="1">IFERROR(__xludf.DUMMYFUNCTION("""COMPUTED_VALUE"""),"None")</f>
        <v>None</v>
      </c>
      <c r="D735" s="8"/>
      <c r="E735" s="8"/>
      <c r="F735" s="8"/>
    </row>
    <row r="736" spans="1:6" ht="12.75">
      <c r="A736" s="4">
        <v>735</v>
      </c>
      <c r="B736" s="8" t="str">
        <f ca="1">IFERROR(__xludf.DUMMYFUNCTION("""COMPUTED_VALUE"""),"20190809NJWEN")</f>
        <v>20190809NJWEN</v>
      </c>
      <c r="C736" s="8" t="str">
        <f ca="1">IFERROR(__xludf.DUMMYFUNCTION("""COMPUTED_VALUE"""),"Wounded")</f>
        <v>Wounded</v>
      </c>
      <c r="D736" s="8"/>
      <c r="E736" s="8" t="str">
        <f ca="1">IFERROR(__xludf.DUMMYFUNCTION("""COMPUTED_VALUE"""),"Student")</f>
        <v>Student</v>
      </c>
      <c r="F736" s="8">
        <f ca="1">IFERROR(__xludf.DUMMYFUNCTION("""COMPUTED_VALUE"""),13)</f>
        <v>13</v>
      </c>
    </row>
    <row r="737" spans="1:6" ht="12.75">
      <c r="A737" s="4">
        <v>736</v>
      </c>
      <c r="B737" s="8" t="str">
        <f ca="1">IFERROR(__xludf.DUMMYFUNCTION("""COMPUTED_VALUE"""),"20190809NJWEN")</f>
        <v>20190809NJWEN</v>
      </c>
      <c r="C737" s="8" t="str">
        <f ca="1">IFERROR(__xludf.DUMMYFUNCTION("""COMPUTED_VALUE"""),"Wounded")</f>
        <v>Wounded</v>
      </c>
      <c r="D737" s="8"/>
      <c r="E737" s="8" t="str">
        <f ca="1">IFERROR(__xludf.DUMMYFUNCTION("""COMPUTED_VALUE"""),"Student")</f>
        <v>Student</v>
      </c>
      <c r="F737" s="8">
        <f ca="1">IFERROR(__xludf.DUMMYFUNCTION("""COMPUTED_VALUE"""),18)</f>
        <v>18</v>
      </c>
    </row>
    <row r="738" spans="1:6" ht="12.75">
      <c r="A738" s="4">
        <v>737</v>
      </c>
      <c r="B738" s="8" t="str">
        <f ca="1">IFERROR(__xludf.DUMMYFUNCTION("""COMPUTED_VALUE"""),"20190808ALBLM")</f>
        <v>20190808ALBLM</v>
      </c>
      <c r="C738" s="8" t="str">
        <f ca="1">IFERROR(__xludf.DUMMYFUNCTION("""COMPUTED_VALUE"""),"None")</f>
        <v>None</v>
      </c>
      <c r="D738" s="8"/>
      <c r="E738" s="8"/>
      <c r="F738" s="8"/>
    </row>
    <row r="739" spans="1:6" ht="12.75">
      <c r="A739" s="4">
        <v>738</v>
      </c>
      <c r="B739" s="8" t="str">
        <f ca="1">IFERROR(__xludf.DUMMYFUNCTION("""COMPUTED_VALUE"""),"20190719CAMOS")</f>
        <v>20190719CAMOS</v>
      </c>
      <c r="C739" s="8" t="str">
        <f ca="1">IFERROR(__xludf.DUMMYFUNCTION("""COMPUTED_VALUE"""),"None")</f>
        <v>None</v>
      </c>
      <c r="D739" s="8"/>
      <c r="E739" s="8"/>
      <c r="F739" s="8"/>
    </row>
    <row r="740" spans="1:6" ht="12.75">
      <c r="A740" s="4">
        <v>739</v>
      </c>
      <c r="B740" s="8" t="str">
        <f ca="1">IFERROR(__xludf.DUMMYFUNCTION("""COMPUTED_VALUE"""),"20190711CTBUH")</f>
        <v>20190711CTBUH</v>
      </c>
      <c r="C740" s="8" t="str">
        <f ca="1">IFERROR(__xludf.DUMMYFUNCTION("""COMPUTED_VALUE"""),"Fatal")</f>
        <v>Fatal</v>
      </c>
      <c r="D740" s="8" t="str">
        <f ca="1">IFERROR(__xludf.DUMMYFUNCTION("""COMPUTED_VALUE"""),"Male")</f>
        <v>Male</v>
      </c>
      <c r="E740" s="8" t="str">
        <f ca="1">IFERROR(__xludf.DUMMYFUNCTION("""COMPUTED_VALUE"""),"No Relation")</f>
        <v>No Relation</v>
      </c>
      <c r="F740" s="8">
        <f ca="1">IFERROR(__xludf.DUMMYFUNCTION("""COMPUTED_VALUE"""),34)</f>
        <v>34</v>
      </c>
    </row>
    <row r="741" spans="1:6" ht="12.75">
      <c r="A741" s="4">
        <v>740</v>
      </c>
      <c r="B741" s="8" t="str">
        <f ca="1">IFERROR(__xludf.DUMMYFUNCTION("""COMPUTED_VALUE"""),"20190702AKWIA")</f>
        <v>20190702AKWIA</v>
      </c>
      <c r="C741" s="8" t="str">
        <f ca="1">IFERROR(__xludf.DUMMYFUNCTION("""COMPUTED_VALUE"""),"Wounded")</f>
        <v>Wounded</v>
      </c>
      <c r="D741" s="8" t="str">
        <f ca="1">IFERROR(__xludf.DUMMYFUNCTION("""COMPUTED_VALUE"""),"Male")</f>
        <v>Male</v>
      </c>
      <c r="E741" s="8" t="str">
        <f ca="1">IFERROR(__xludf.DUMMYFUNCTION("""COMPUTED_VALUE"""),"No Relation")</f>
        <v>No Relation</v>
      </c>
      <c r="F741" s="8" t="str">
        <f ca="1">IFERROR(__xludf.DUMMYFUNCTION("""COMPUTED_VALUE"""),"Teen")</f>
        <v>Teen</v>
      </c>
    </row>
    <row r="742" spans="1:6" ht="12.75">
      <c r="A742" s="4">
        <v>741</v>
      </c>
      <c r="B742" s="8" t="str">
        <f ca="1">IFERROR(__xludf.DUMMYFUNCTION("""COMPUTED_VALUE"""),"20190701NYSCN")</f>
        <v>20190701NYSCN</v>
      </c>
      <c r="C742" s="8" t="str">
        <f ca="1">IFERROR(__xludf.DUMMYFUNCTION("""COMPUTED_VALUE"""),"Wounded")</f>
        <v>Wounded</v>
      </c>
      <c r="D742" s="8" t="str">
        <f ca="1">IFERROR(__xludf.DUMMYFUNCTION("""COMPUTED_VALUE"""),"Male")</f>
        <v>Male</v>
      </c>
      <c r="E742" s="8" t="str">
        <f ca="1">IFERROR(__xludf.DUMMYFUNCTION("""COMPUTED_VALUE"""),"No Relation")</f>
        <v>No Relation</v>
      </c>
      <c r="F742" s="8">
        <f ca="1">IFERROR(__xludf.DUMMYFUNCTION("""COMPUTED_VALUE"""),13)</f>
        <v>13</v>
      </c>
    </row>
    <row r="743" spans="1:6" ht="12.75">
      <c r="A743" s="4">
        <v>742</v>
      </c>
      <c r="B743" s="8" t="str">
        <f ca="1">IFERROR(__xludf.DUMMYFUNCTION("""COMPUTED_VALUE"""),"20190629COJAC")</f>
        <v>20190629COJAC</v>
      </c>
      <c r="C743" s="8" t="str">
        <f ca="1">IFERROR(__xludf.DUMMYFUNCTION("""COMPUTED_VALUE"""),"Fatal")</f>
        <v>Fatal</v>
      </c>
      <c r="D743" s="8" t="str">
        <f ca="1">IFERROR(__xludf.DUMMYFUNCTION("""COMPUTED_VALUE"""),"Male")</f>
        <v>Male</v>
      </c>
      <c r="E743" s="8" t="str">
        <f ca="1">IFERROR(__xludf.DUMMYFUNCTION("""COMPUTED_VALUE"""),"No Relation")</f>
        <v>No Relation</v>
      </c>
      <c r="F743" s="8">
        <f ca="1">IFERROR(__xludf.DUMMYFUNCTION("""COMPUTED_VALUE"""),18)</f>
        <v>18</v>
      </c>
    </row>
    <row r="744" spans="1:6" ht="12.75">
      <c r="A744" s="4">
        <v>743</v>
      </c>
      <c r="B744" s="8" t="str">
        <f ca="1">IFERROR(__xludf.DUMMYFUNCTION("""COMPUTED_VALUE"""),"20190629COJAC")</f>
        <v>20190629COJAC</v>
      </c>
      <c r="C744" s="8" t="str">
        <f ca="1">IFERROR(__xludf.DUMMYFUNCTION("""COMPUTED_VALUE"""),"Fatal")</f>
        <v>Fatal</v>
      </c>
      <c r="D744" s="8" t="str">
        <f ca="1">IFERROR(__xludf.DUMMYFUNCTION("""COMPUTED_VALUE"""),"Male")</f>
        <v>Male</v>
      </c>
      <c r="E744" s="8" t="str">
        <f ca="1">IFERROR(__xludf.DUMMYFUNCTION("""COMPUTED_VALUE"""),"No Relation")</f>
        <v>No Relation</v>
      </c>
      <c r="F744" s="8">
        <f ca="1">IFERROR(__xludf.DUMMYFUNCTION("""COMPUTED_VALUE"""),22)</f>
        <v>22</v>
      </c>
    </row>
    <row r="745" spans="1:6" ht="12.75">
      <c r="A745" s="4">
        <v>744</v>
      </c>
      <c r="B745" s="8" t="str">
        <f ca="1">IFERROR(__xludf.DUMMYFUNCTION("""COMPUTED_VALUE"""),"20190621MICAF")</f>
        <v>20190621MICAF</v>
      </c>
      <c r="C745" s="8" t="str">
        <f ca="1">IFERROR(__xludf.DUMMYFUNCTION("""COMPUTED_VALUE"""),"Wounded")</f>
        <v>Wounded</v>
      </c>
      <c r="D745" s="8" t="str">
        <f ca="1">IFERROR(__xludf.DUMMYFUNCTION("""COMPUTED_VALUE"""),"Male")</f>
        <v>Male</v>
      </c>
      <c r="E745" s="8" t="str">
        <f ca="1">IFERROR(__xludf.DUMMYFUNCTION("""COMPUTED_VALUE"""),"Unknown")</f>
        <v>Unknown</v>
      </c>
      <c r="F745" s="8">
        <f ca="1">IFERROR(__xludf.DUMMYFUNCTION("""COMPUTED_VALUE"""),15)</f>
        <v>15</v>
      </c>
    </row>
    <row r="746" spans="1:6" ht="12.75">
      <c r="A746" s="4">
        <v>745</v>
      </c>
      <c r="B746" s="8" t="str">
        <f ca="1">IFERROR(__xludf.DUMMYFUNCTION("""COMPUTED_VALUE"""),"20190613NJTAW")</f>
        <v>20190613NJTAW</v>
      </c>
      <c r="C746" s="8" t="str">
        <f ca="1">IFERROR(__xludf.DUMMYFUNCTION("""COMPUTED_VALUE"""),"None")</f>
        <v>None</v>
      </c>
      <c r="D746" s="8"/>
      <c r="E746" s="8"/>
      <c r="F746" s="8"/>
    </row>
    <row r="747" spans="1:6" ht="12.75">
      <c r="A747" s="4">
        <v>746</v>
      </c>
      <c r="B747" s="8" t="str">
        <f ca="1">IFERROR(__xludf.DUMMYFUNCTION("""COMPUTED_VALUE"""),"20190612PAJEE")</f>
        <v>20190612PAJEE</v>
      </c>
      <c r="C747" s="8" t="str">
        <f ca="1">IFERROR(__xludf.DUMMYFUNCTION("""COMPUTED_VALUE"""),"None")</f>
        <v>None</v>
      </c>
      <c r="D747" s="8" t="str">
        <f ca="1">IFERROR(__xludf.DUMMYFUNCTION("""COMPUTED_VALUE"""),"Male")</f>
        <v>Male</v>
      </c>
      <c r="E747" s="8" t="str">
        <f ca="1">IFERROR(__xludf.DUMMYFUNCTION("""COMPUTED_VALUE"""),"No Relation")</f>
        <v>No Relation</v>
      </c>
      <c r="F747" s="8">
        <f ca="1">IFERROR(__xludf.DUMMYFUNCTION("""COMPUTED_VALUE"""),18)</f>
        <v>18</v>
      </c>
    </row>
    <row r="748" spans="1:6" ht="12.75">
      <c r="A748" s="4">
        <v>747</v>
      </c>
      <c r="B748" s="8" t="str">
        <f ca="1">IFERROR(__xludf.DUMMYFUNCTION("""COMPUTED_VALUE"""),"20190612DCHEW")</f>
        <v>20190612DCHEW</v>
      </c>
      <c r="C748" s="8" t="str">
        <f ca="1">IFERROR(__xludf.DUMMYFUNCTION("""COMPUTED_VALUE"""),"None")</f>
        <v>None</v>
      </c>
      <c r="D748" s="8"/>
      <c r="E748" s="8"/>
      <c r="F748" s="8"/>
    </row>
    <row r="749" spans="1:6" ht="12.75">
      <c r="A749" s="4">
        <v>748</v>
      </c>
      <c r="B749" s="8" t="str">
        <f ca="1">IFERROR(__xludf.DUMMYFUNCTION("""COMPUTED_VALUE"""),"20190610ILMEW")</f>
        <v>20190610ILMEW</v>
      </c>
      <c r="C749" s="8" t="str">
        <f ca="1">IFERROR(__xludf.DUMMYFUNCTION("""COMPUTED_VALUE"""),"Wounded")</f>
        <v>Wounded</v>
      </c>
      <c r="D749" s="8" t="str">
        <f ca="1">IFERROR(__xludf.DUMMYFUNCTION("""COMPUTED_VALUE"""),"Male")</f>
        <v>Male</v>
      </c>
      <c r="E749" s="8" t="str">
        <f ca="1">IFERROR(__xludf.DUMMYFUNCTION("""COMPUTED_VALUE"""),"No Relation")</f>
        <v>No Relation</v>
      </c>
      <c r="F749" s="8">
        <f ca="1">IFERROR(__xludf.DUMMYFUNCTION("""COMPUTED_VALUE"""),27)</f>
        <v>27</v>
      </c>
    </row>
    <row r="750" spans="1:6" ht="12.75">
      <c r="A750" s="4">
        <v>749</v>
      </c>
      <c r="B750" s="8" t="str">
        <f ca="1">IFERROR(__xludf.DUMMYFUNCTION("""COMPUTED_VALUE"""),"20190606ILGEC")</f>
        <v>20190606ILGEC</v>
      </c>
      <c r="C750" s="8" t="str">
        <f ca="1">IFERROR(__xludf.DUMMYFUNCTION("""COMPUTED_VALUE"""),"Wounded")</f>
        <v>Wounded</v>
      </c>
      <c r="D750" s="8" t="str">
        <f ca="1">IFERROR(__xludf.DUMMYFUNCTION("""COMPUTED_VALUE"""),"Male")</f>
        <v>Male</v>
      </c>
      <c r="E750" s="8" t="str">
        <f ca="1">IFERROR(__xludf.DUMMYFUNCTION("""COMPUTED_VALUE"""),"Nonstudent Using Athletic Facilities/Attending Game")</f>
        <v>Nonstudent Using Athletic Facilities/Attending Game</v>
      </c>
      <c r="F750" s="8">
        <f ca="1">IFERROR(__xludf.DUMMYFUNCTION("""COMPUTED_VALUE"""),25)</f>
        <v>25</v>
      </c>
    </row>
    <row r="751" spans="1:6" ht="12.75">
      <c r="A751" s="4">
        <v>750</v>
      </c>
      <c r="B751" s="8" t="str">
        <f ca="1">IFERROR(__xludf.DUMMYFUNCTION("""COMPUTED_VALUE"""),"20190530DCHEW")</f>
        <v>20190530DCHEW</v>
      </c>
      <c r="C751" s="8" t="str">
        <f ca="1">IFERROR(__xludf.DUMMYFUNCTION("""COMPUTED_VALUE"""),"None")</f>
        <v>None</v>
      </c>
      <c r="D751" s="8"/>
      <c r="E751" s="8"/>
      <c r="F751" s="8"/>
    </row>
    <row r="752" spans="1:6" ht="12.75">
      <c r="A752" s="4">
        <v>751</v>
      </c>
      <c r="B752" s="8" t="str">
        <f ca="1">IFERROR(__xludf.DUMMYFUNCTION("""COMPUTED_VALUE"""),"20190522OHSAC")</f>
        <v>20190522OHSAC</v>
      </c>
      <c r="C752" s="8" t="str">
        <f ca="1">IFERROR(__xludf.DUMMYFUNCTION("""COMPUTED_VALUE"""),"Fatal")</f>
        <v>Fatal</v>
      </c>
      <c r="D752" s="8" t="str">
        <f ca="1">IFERROR(__xludf.DUMMYFUNCTION("""COMPUTED_VALUE"""),"Male")</f>
        <v>Male</v>
      </c>
      <c r="E752" s="8" t="str">
        <f ca="1">IFERROR(__xludf.DUMMYFUNCTION("""COMPUTED_VALUE"""),"No Relation")</f>
        <v>No Relation</v>
      </c>
      <c r="F752" s="8">
        <f ca="1">IFERROR(__xludf.DUMMYFUNCTION("""COMPUTED_VALUE"""),14)</f>
        <v>14</v>
      </c>
    </row>
    <row r="753" spans="1:6" ht="12.75">
      <c r="A753" s="4">
        <v>752</v>
      </c>
      <c r="B753" s="8" t="str">
        <f ca="1">IFERROR(__xludf.DUMMYFUNCTION("""COMPUTED_VALUE"""),"20190522OHSAC")</f>
        <v>20190522OHSAC</v>
      </c>
      <c r="C753" s="8" t="str">
        <f ca="1">IFERROR(__xludf.DUMMYFUNCTION("""COMPUTED_VALUE"""),"Wounded")</f>
        <v>Wounded</v>
      </c>
      <c r="D753" s="8" t="str">
        <f ca="1">IFERROR(__xludf.DUMMYFUNCTION("""COMPUTED_VALUE"""),"Female")</f>
        <v>Female</v>
      </c>
      <c r="E753" s="8" t="str">
        <f ca="1">IFERROR(__xludf.DUMMYFUNCTION("""COMPUTED_VALUE"""),"No Relation")</f>
        <v>No Relation</v>
      </c>
      <c r="F753" s="8">
        <f ca="1">IFERROR(__xludf.DUMMYFUNCTION("""COMPUTED_VALUE"""),14)</f>
        <v>14</v>
      </c>
    </row>
    <row r="754" spans="1:6" ht="12.75">
      <c r="A754" s="4">
        <v>753</v>
      </c>
      <c r="B754" s="8" t="str">
        <f ca="1">IFERROR(__xludf.DUMMYFUNCTION("""COMPUTED_VALUE"""),"20190517ORPAP")</f>
        <v>20190517ORPAP</v>
      </c>
      <c r="C754" s="8" t="str">
        <f ca="1">IFERROR(__xludf.DUMMYFUNCTION("""COMPUTED_VALUE"""),"None")</f>
        <v>None</v>
      </c>
      <c r="D754" s="8"/>
      <c r="E754" s="8"/>
      <c r="F754" s="8"/>
    </row>
    <row r="755" spans="1:6" ht="12.75">
      <c r="A755" s="4">
        <v>754</v>
      </c>
      <c r="B755" s="8" t="str">
        <f ca="1">IFERROR(__xludf.DUMMYFUNCTION("""COMPUTED_VALUE"""),"20190517FLTEJ")</f>
        <v>20190517FLTEJ</v>
      </c>
      <c r="C755" s="8" t="str">
        <f ca="1">IFERROR(__xludf.DUMMYFUNCTION("""COMPUTED_VALUE"""),"Wounded")</f>
        <v>Wounded</v>
      </c>
      <c r="D755" s="8" t="str">
        <f ca="1">IFERROR(__xludf.DUMMYFUNCTION("""COMPUTED_VALUE"""),"Male")</f>
        <v>Male</v>
      </c>
      <c r="E755" s="8" t="str">
        <f ca="1">IFERROR(__xludf.DUMMYFUNCTION("""COMPUTED_VALUE"""),"Student")</f>
        <v>Student</v>
      </c>
      <c r="F755" s="8">
        <f ca="1">IFERROR(__xludf.DUMMYFUNCTION("""COMPUTED_VALUE"""),16)</f>
        <v>16</v>
      </c>
    </row>
    <row r="756" spans="1:6" ht="12.75">
      <c r="A756" s="4">
        <v>755</v>
      </c>
      <c r="B756" s="8" t="str">
        <f ca="1">IFERROR(__xludf.DUMMYFUNCTION("""COMPUTED_VALUE"""),"20190508ILSEC")</f>
        <v>20190508ILSEC</v>
      </c>
      <c r="C756" s="8" t="str">
        <f ca="1">IFERROR(__xludf.DUMMYFUNCTION("""COMPUTED_VALUE"""),"Wounded")</f>
        <v>Wounded</v>
      </c>
      <c r="D756" s="8" t="str">
        <f ca="1">IFERROR(__xludf.DUMMYFUNCTION("""COMPUTED_VALUE"""),"Male")</f>
        <v>Male</v>
      </c>
      <c r="E756" s="8" t="str">
        <f ca="1">IFERROR(__xludf.DUMMYFUNCTION("""COMPUTED_VALUE"""),"Student")</f>
        <v>Student</v>
      </c>
      <c r="F756" s="8">
        <f ca="1">IFERROR(__xludf.DUMMYFUNCTION("""COMPUTED_VALUE"""),19)</f>
        <v>19</v>
      </c>
    </row>
    <row r="757" spans="1:6" ht="12.75">
      <c r="A757" s="4">
        <v>756</v>
      </c>
      <c r="B757" s="8" t="str">
        <f ca="1">IFERROR(__xludf.DUMMYFUNCTION("""COMPUTED_VALUE"""),"20190507COSTH")</f>
        <v>20190507COSTH</v>
      </c>
      <c r="C757" s="8" t="str">
        <f ca="1">IFERROR(__xludf.DUMMYFUNCTION("""COMPUTED_VALUE"""),"Wounded")</f>
        <v>Wounded</v>
      </c>
      <c r="D757" s="8"/>
      <c r="E757" s="8" t="str">
        <f ca="1">IFERROR(__xludf.DUMMYFUNCTION("""COMPUTED_VALUE"""),"Student")</f>
        <v>Student</v>
      </c>
      <c r="F757" s="8" t="str">
        <f ca="1">IFERROR(__xludf.DUMMYFUNCTION("""COMPUTED_VALUE"""),"Teen")</f>
        <v>Teen</v>
      </c>
    </row>
    <row r="758" spans="1:6" ht="12.75">
      <c r="A758" s="4">
        <v>757</v>
      </c>
      <c r="B758" s="8" t="str">
        <f ca="1">IFERROR(__xludf.DUMMYFUNCTION("""COMPUTED_VALUE"""),"20190507COSTH")</f>
        <v>20190507COSTH</v>
      </c>
      <c r="C758" s="8" t="str">
        <f ca="1">IFERROR(__xludf.DUMMYFUNCTION("""COMPUTED_VALUE"""),"Wounded")</f>
        <v>Wounded</v>
      </c>
      <c r="D758" s="8"/>
      <c r="E758" s="8" t="str">
        <f ca="1">IFERROR(__xludf.DUMMYFUNCTION("""COMPUTED_VALUE"""),"Student")</f>
        <v>Student</v>
      </c>
      <c r="F758" s="8" t="str">
        <f ca="1">IFERROR(__xludf.DUMMYFUNCTION("""COMPUTED_VALUE"""),"Teen")</f>
        <v>Teen</v>
      </c>
    </row>
    <row r="759" spans="1:6" ht="12.75">
      <c r="A759" s="4">
        <v>758</v>
      </c>
      <c r="B759" s="8" t="str">
        <f ca="1">IFERROR(__xludf.DUMMYFUNCTION("""COMPUTED_VALUE"""),"20190507COSTH")</f>
        <v>20190507COSTH</v>
      </c>
      <c r="C759" s="8" t="str">
        <f ca="1">IFERROR(__xludf.DUMMYFUNCTION("""COMPUTED_VALUE"""),"Fatal")</f>
        <v>Fatal</v>
      </c>
      <c r="D759" s="8" t="str">
        <f ca="1">IFERROR(__xludf.DUMMYFUNCTION("""COMPUTED_VALUE"""),"Male")</f>
        <v>Male</v>
      </c>
      <c r="E759" s="8" t="str">
        <f ca="1">IFERROR(__xludf.DUMMYFUNCTION("""COMPUTED_VALUE"""),"Student")</f>
        <v>Student</v>
      </c>
      <c r="F759" s="8">
        <f ca="1">IFERROR(__xludf.DUMMYFUNCTION("""COMPUTED_VALUE"""),18)</f>
        <v>18</v>
      </c>
    </row>
    <row r="760" spans="1:6" ht="12.75">
      <c r="A760" s="4">
        <v>759</v>
      </c>
      <c r="B760" s="8" t="str">
        <f ca="1">IFERROR(__xludf.DUMMYFUNCTION("""COMPUTED_VALUE"""),"20190507COSTH")</f>
        <v>20190507COSTH</v>
      </c>
      <c r="C760" s="8" t="str">
        <f ca="1">IFERROR(__xludf.DUMMYFUNCTION("""COMPUTED_VALUE"""),"Wounded")</f>
        <v>Wounded</v>
      </c>
      <c r="D760" s="8"/>
      <c r="E760" s="8" t="str">
        <f ca="1">IFERROR(__xludf.DUMMYFUNCTION("""COMPUTED_VALUE"""),"Student")</f>
        <v>Student</v>
      </c>
      <c r="F760" s="8" t="str">
        <f ca="1">IFERROR(__xludf.DUMMYFUNCTION("""COMPUTED_VALUE"""),"Teen")</f>
        <v>Teen</v>
      </c>
    </row>
    <row r="761" spans="1:6" ht="12.75">
      <c r="A761" s="4">
        <v>760</v>
      </c>
      <c r="B761" s="8" t="str">
        <f ca="1">IFERROR(__xludf.DUMMYFUNCTION("""COMPUTED_VALUE"""),"20190507COSTH")</f>
        <v>20190507COSTH</v>
      </c>
      <c r="C761" s="8" t="str">
        <f ca="1">IFERROR(__xludf.DUMMYFUNCTION("""COMPUTED_VALUE"""),"Wounded")</f>
        <v>Wounded</v>
      </c>
      <c r="D761" s="8"/>
      <c r="E761" s="8" t="str">
        <f ca="1">IFERROR(__xludf.DUMMYFUNCTION("""COMPUTED_VALUE"""),"Student")</f>
        <v>Student</v>
      </c>
      <c r="F761" s="8" t="str">
        <f ca="1">IFERROR(__xludf.DUMMYFUNCTION("""COMPUTED_VALUE"""),"Teen")</f>
        <v>Teen</v>
      </c>
    </row>
    <row r="762" spans="1:6" ht="12.75">
      <c r="A762" s="4">
        <v>761</v>
      </c>
      <c r="B762" s="8" t="str">
        <f ca="1">IFERROR(__xludf.DUMMYFUNCTION("""COMPUTED_VALUE"""),"20190507COSTH")</f>
        <v>20190507COSTH</v>
      </c>
      <c r="C762" s="8" t="str">
        <f ca="1">IFERROR(__xludf.DUMMYFUNCTION("""COMPUTED_VALUE"""),"Wounded")</f>
        <v>Wounded</v>
      </c>
      <c r="D762" s="8"/>
      <c r="E762" s="8" t="str">
        <f ca="1">IFERROR(__xludf.DUMMYFUNCTION("""COMPUTED_VALUE"""),"Student")</f>
        <v>Student</v>
      </c>
      <c r="F762" s="8" t="str">
        <f ca="1">IFERROR(__xludf.DUMMYFUNCTION("""COMPUTED_VALUE"""),"Teen")</f>
        <v>Teen</v>
      </c>
    </row>
    <row r="763" spans="1:6" ht="12.75">
      <c r="A763" s="4">
        <v>762</v>
      </c>
      <c r="B763" s="8" t="str">
        <f ca="1">IFERROR(__xludf.DUMMYFUNCTION("""COMPUTED_VALUE"""),"20190507COSTH")</f>
        <v>20190507COSTH</v>
      </c>
      <c r="C763" s="8" t="str">
        <f ca="1">IFERROR(__xludf.DUMMYFUNCTION("""COMPUTED_VALUE"""),"Wounded")</f>
        <v>Wounded</v>
      </c>
      <c r="D763" s="8"/>
      <c r="E763" s="8" t="str">
        <f ca="1">IFERROR(__xludf.DUMMYFUNCTION("""COMPUTED_VALUE"""),"Student")</f>
        <v>Student</v>
      </c>
      <c r="F763" s="8" t="str">
        <f ca="1">IFERROR(__xludf.DUMMYFUNCTION("""COMPUTED_VALUE"""),"Teen")</f>
        <v>Teen</v>
      </c>
    </row>
    <row r="764" spans="1:6" ht="12.75">
      <c r="A764" s="4">
        <v>763</v>
      </c>
      <c r="B764" s="8" t="str">
        <f ca="1">IFERROR(__xludf.DUMMYFUNCTION("""COMPUTED_VALUE"""),"20190507COSTH")</f>
        <v>20190507COSTH</v>
      </c>
      <c r="C764" s="8" t="str">
        <f ca="1">IFERROR(__xludf.DUMMYFUNCTION("""COMPUTED_VALUE"""),"Wounded")</f>
        <v>Wounded</v>
      </c>
      <c r="D764" s="8"/>
      <c r="E764" s="8" t="str">
        <f ca="1">IFERROR(__xludf.DUMMYFUNCTION("""COMPUTED_VALUE"""),"Student")</f>
        <v>Student</v>
      </c>
      <c r="F764" s="8">
        <f ca="1">IFERROR(__xludf.DUMMYFUNCTION("""COMPUTED_VALUE"""),15)</f>
        <v>15</v>
      </c>
    </row>
    <row r="765" spans="1:6" ht="12.75">
      <c r="A765" s="4">
        <v>764</v>
      </c>
      <c r="B765" s="8" t="str">
        <f ca="1">IFERROR(__xludf.DUMMYFUNCTION("""COMPUTED_VALUE"""),"20190507COSTH")</f>
        <v>20190507COSTH</v>
      </c>
      <c r="C765" s="8" t="str">
        <f ca="1">IFERROR(__xludf.DUMMYFUNCTION("""COMPUTED_VALUE"""),"Wounded")</f>
        <v>Wounded</v>
      </c>
      <c r="D765" s="8"/>
      <c r="E765" s="8" t="str">
        <f ca="1">IFERROR(__xludf.DUMMYFUNCTION("""COMPUTED_VALUE"""),"Student")</f>
        <v>Student</v>
      </c>
      <c r="F765" s="8" t="str">
        <f ca="1">IFERROR(__xludf.DUMMYFUNCTION("""COMPUTED_VALUE"""),"Teen")</f>
        <v>Teen</v>
      </c>
    </row>
    <row r="766" spans="1:6" ht="12.75">
      <c r="A766" s="4">
        <v>765</v>
      </c>
      <c r="B766" s="8" t="str">
        <f ca="1">IFERROR(__xludf.DUMMYFUNCTION("""COMPUTED_VALUE"""),"20190430VACDW")</f>
        <v>20190430VACDW</v>
      </c>
      <c r="C766" s="8" t="str">
        <f ca="1">IFERROR(__xludf.DUMMYFUNCTION("""COMPUTED_VALUE"""),"None")</f>
        <v>None</v>
      </c>
      <c r="D766" s="8"/>
      <c r="E766" s="8"/>
      <c r="F766" s="8"/>
    </row>
    <row r="767" spans="1:6" ht="12.75">
      <c r="A767" s="4">
        <v>766</v>
      </c>
      <c r="B767" s="8" t="str">
        <f ca="1">IFERROR(__xludf.DUMMYFUNCTION("""COMPUTED_VALUE"""),"20190430FLWEW")</f>
        <v>20190430FLWEW</v>
      </c>
      <c r="C767" s="8" t="str">
        <f ca="1">IFERROR(__xludf.DUMMYFUNCTION("""COMPUTED_VALUE"""),"None")</f>
        <v>None</v>
      </c>
      <c r="D767" s="8"/>
      <c r="E767" s="8"/>
      <c r="F767" s="8"/>
    </row>
    <row r="768" spans="1:6" ht="12.75">
      <c r="A768" s="4">
        <v>767</v>
      </c>
      <c r="B768" s="8" t="str">
        <f ca="1">IFERROR(__xludf.DUMMYFUNCTION("""COMPUTED_VALUE"""),"20190426GACRF")</f>
        <v>20190426GACRF</v>
      </c>
      <c r="C768" s="8" t="str">
        <f ca="1">IFERROR(__xludf.DUMMYFUNCTION("""COMPUTED_VALUE"""),"None")</f>
        <v>None</v>
      </c>
      <c r="D768" s="8"/>
      <c r="E768" s="8"/>
      <c r="F768" s="8"/>
    </row>
    <row r="769" spans="1:6" ht="12.75">
      <c r="A769" s="4">
        <v>768</v>
      </c>
      <c r="B769" s="8" t="str">
        <f ca="1">IFERROR(__xludf.DUMMYFUNCTION("""COMPUTED_VALUE"""),"20190425GAWYS")</f>
        <v>20190425GAWYS</v>
      </c>
      <c r="C769" s="8" t="str">
        <f ca="1">IFERROR(__xludf.DUMMYFUNCTION("""COMPUTED_VALUE"""),"Minor Injuries")</f>
        <v>Minor Injuries</v>
      </c>
      <c r="D769" s="8"/>
      <c r="E769" s="8" t="str">
        <f ca="1">IFERROR(__xludf.DUMMYFUNCTION("""COMPUTED_VALUE"""),"Student")</f>
        <v>Student</v>
      </c>
      <c r="F769" s="8" t="str">
        <f ca="1">IFERROR(__xludf.DUMMYFUNCTION("""COMPUTED_VALUE"""),"Child")</f>
        <v>Child</v>
      </c>
    </row>
    <row r="770" spans="1:6" ht="12.75">
      <c r="A770" s="4">
        <v>769</v>
      </c>
      <c r="B770" s="8" t="str">
        <f ca="1">IFERROR(__xludf.DUMMYFUNCTION("""COMPUTED_VALUE"""),"20190425GAWYS")</f>
        <v>20190425GAWYS</v>
      </c>
      <c r="C770" s="8" t="str">
        <f ca="1">IFERROR(__xludf.DUMMYFUNCTION("""COMPUTED_VALUE"""),"Minor Injuries")</f>
        <v>Minor Injuries</v>
      </c>
      <c r="D770" s="8"/>
      <c r="E770" s="8" t="str">
        <f ca="1">IFERROR(__xludf.DUMMYFUNCTION("""COMPUTED_VALUE"""),"Student")</f>
        <v>Student</v>
      </c>
      <c r="F770" s="8" t="str">
        <f ca="1">IFERROR(__xludf.DUMMYFUNCTION("""COMPUTED_VALUE"""),"Child")</f>
        <v>Child</v>
      </c>
    </row>
    <row r="771" spans="1:6" ht="12.75">
      <c r="A771" s="4">
        <v>770</v>
      </c>
      <c r="B771" s="8" t="str">
        <f ca="1">IFERROR(__xludf.DUMMYFUNCTION("""COMPUTED_VALUE"""),"20190425GAWYS")</f>
        <v>20190425GAWYS</v>
      </c>
      <c r="C771" s="8" t="str">
        <f ca="1">IFERROR(__xludf.DUMMYFUNCTION("""COMPUTED_VALUE"""),"Minor Injuries")</f>
        <v>Minor Injuries</v>
      </c>
      <c r="D771" s="8"/>
      <c r="E771" s="8" t="str">
        <f ca="1">IFERROR(__xludf.DUMMYFUNCTION("""COMPUTED_VALUE"""),"Student")</f>
        <v>Student</v>
      </c>
      <c r="F771" s="8" t="str">
        <f ca="1">IFERROR(__xludf.DUMMYFUNCTION("""COMPUTED_VALUE"""),"Child")</f>
        <v>Child</v>
      </c>
    </row>
    <row r="772" spans="1:6" ht="12.75">
      <c r="A772" s="4">
        <v>771</v>
      </c>
      <c r="B772" s="8" t="str">
        <f ca="1">IFERROR(__xludf.DUMMYFUNCTION("""COMPUTED_VALUE"""),"20190425GAWYS")</f>
        <v>20190425GAWYS</v>
      </c>
      <c r="C772" s="8" t="str">
        <f ca="1">IFERROR(__xludf.DUMMYFUNCTION("""COMPUTED_VALUE"""),"Minor Injuries")</f>
        <v>Minor Injuries</v>
      </c>
      <c r="D772" s="8"/>
      <c r="E772" s="8" t="str">
        <f ca="1">IFERROR(__xludf.DUMMYFUNCTION("""COMPUTED_VALUE"""),"Student")</f>
        <v>Student</v>
      </c>
      <c r="F772" s="8" t="str">
        <f ca="1">IFERROR(__xludf.DUMMYFUNCTION("""COMPUTED_VALUE"""),"Child")</f>
        <v>Child</v>
      </c>
    </row>
    <row r="773" spans="1:6" ht="12.75">
      <c r="A773" s="4">
        <v>772</v>
      </c>
      <c r="B773" s="8" t="str">
        <f ca="1">IFERROR(__xludf.DUMMYFUNCTION("""COMPUTED_VALUE"""),"20190425GAWYS")</f>
        <v>20190425GAWYS</v>
      </c>
      <c r="C773" s="8" t="str">
        <f ca="1">IFERROR(__xludf.DUMMYFUNCTION("""COMPUTED_VALUE"""),"Minor Injuries")</f>
        <v>Minor Injuries</v>
      </c>
      <c r="D773" s="8"/>
      <c r="E773" s="8" t="str">
        <f ca="1">IFERROR(__xludf.DUMMYFUNCTION("""COMPUTED_VALUE"""),"Student")</f>
        <v>Student</v>
      </c>
      <c r="F773" s="8" t="str">
        <f ca="1">IFERROR(__xludf.DUMMYFUNCTION("""COMPUTED_VALUE"""),"Child")</f>
        <v>Child</v>
      </c>
    </row>
    <row r="774" spans="1:6" ht="12.75">
      <c r="A774" s="4">
        <v>773</v>
      </c>
      <c r="B774" s="8" t="str">
        <f ca="1">IFERROR(__xludf.DUMMYFUNCTION("""COMPUTED_VALUE"""),"20190425GAWYS")</f>
        <v>20190425GAWYS</v>
      </c>
      <c r="C774" s="8" t="str">
        <f ca="1">IFERROR(__xludf.DUMMYFUNCTION("""COMPUTED_VALUE"""),"Minor Injuries")</f>
        <v>Minor Injuries</v>
      </c>
      <c r="D774" s="8"/>
      <c r="E774" s="8" t="str">
        <f ca="1">IFERROR(__xludf.DUMMYFUNCTION("""COMPUTED_VALUE"""),"Student")</f>
        <v>Student</v>
      </c>
      <c r="F774" s="8" t="str">
        <f ca="1">IFERROR(__xludf.DUMMYFUNCTION("""COMPUTED_VALUE"""),"Child")</f>
        <v>Child</v>
      </c>
    </row>
    <row r="775" spans="1:6" ht="12.75">
      <c r="A775" s="4">
        <v>774</v>
      </c>
      <c r="B775" s="8" t="str">
        <f ca="1">IFERROR(__xludf.DUMMYFUNCTION("""COMPUTED_VALUE"""),"20190425GAWYS")</f>
        <v>20190425GAWYS</v>
      </c>
      <c r="C775" s="8" t="str">
        <f ca="1">IFERROR(__xludf.DUMMYFUNCTION("""COMPUTED_VALUE"""),"Minor Injuries")</f>
        <v>Minor Injuries</v>
      </c>
      <c r="D775" s="8"/>
      <c r="E775" s="8" t="str">
        <f ca="1">IFERROR(__xludf.DUMMYFUNCTION("""COMPUTED_VALUE"""),"Student")</f>
        <v>Student</v>
      </c>
      <c r="F775" s="8" t="str">
        <f ca="1">IFERROR(__xludf.DUMMYFUNCTION("""COMPUTED_VALUE"""),"Child")</f>
        <v>Child</v>
      </c>
    </row>
    <row r="776" spans="1:6" ht="12.75">
      <c r="A776" s="4">
        <v>775</v>
      </c>
      <c r="B776" s="8" t="str">
        <f ca="1">IFERROR(__xludf.DUMMYFUNCTION("""COMPUTED_VALUE"""),"20190425GAWYS")</f>
        <v>20190425GAWYS</v>
      </c>
      <c r="C776" s="8" t="str">
        <f ca="1">IFERROR(__xludf.DUMMYFUNCTION("""COMPUTED_VALUE"""),"Minor Injuries")</f>
        <v>Minor Injuries</v>
      </c>
      <c r="D776" s="8"/>
      <c r="E776" s="8" t="str">
        <f ca="1">IFERROR(__xludf.DUMMYFUNCTION("""COMPUTED_VALUE"""),"Student")</f>
        <v>Student</v>
      </c>
      <c r="F776" s="8" t="str">
        <f ca="1">IFERROR(__xludf.DUMMYFUNCTION("""COMPUTED_VALUE"""),"Child")</f>
        <v>Child</v>
      </c>
    </row>
    <row r="777" spans="1:6" ht="12.75">
      <c r="A777" s="4">
        <v>776</v>
      </c>
      <c r="B777" s="8" t="str">
        <f ca="1">IFERROR(__xludf.DUMMYFUNCTION("""COMPUTED_VALUE"""),"20190425GAWYS")</f>
        <v>20190425GAWYS</v>
      </c>
      <c r="C777" s="8" t="str">
        <f ca="1">IFERROR(__xludf.DUMMYFUNCTION("""COMPUTED_VALUE"""),"Minor Injuries")</f>
        <v>Minor Injuries</v>
      </c>
      <c r="D777" s="8"/>
      <c r="E777" s="8" t="str">
        <f ca="1">IFERROR(__xludf.DUMMYFUNCTION("""COMPUTED_VALUE"""),"Student")</f>
        <v>Student</v>
      </c>
      <c r="F777" s="8" t="str">
        <f ca="1">IFERROR(__xludf.DUMMYFUNCTION("""COMPUTED_VALUE"""),"Child")</f>
        <v>Child</v>
      </c>
    </row>
    <row r="778" spans="1:6" ht="12.75">
      <c r="A778" s="4">
        <v>777</v>
      </c>
      <c r="B778" s="8" t="str">
        <f ca="1">IFERROR(__xludf.DUMMYFUNCTION("""COMPUTED_VALUE"""),"20190425GAWYS")</f>
        <v>20190425GAWYS</v>
      </c>
      <c r="C778" s="8" t="str">
        <f ca="1">IFERROR(__xludf.DUMMYFUNCTION("""COMPUTED_VALUE"""),"Minor Injuries")</f>
        <v>Minor Injuries</v>
      </c>
      <c r="D778" s="8"/>
      <c r="E778" s="8" t="str">
        <f ca="1">IFERROR(__xludf.DUMMYFUNCTION("""COMPUTED_VALUE"""),"Student")</f>
        <v>Student</v>
      </c>
      <c r="F778" s="8" t="str">
        <f ca="1">IFERROR(__xludf.DUMMYFUNCTION("""COMPUTED_VALUE"""),"Child")</f>
        <v>Child</v>
      </c>
    </row>
    <row r="779" spans="1:6" ht="12.75">
      <c r="A779" s="4">
        <v>778</v>
      </c>
      <c r="B779" s="8" t="str">
        <f ca="1">IFERROR(__xludf.DUMMYFUNCTION("""COMPUTED_VALUE"""),"20190424ARCOC")</f>
        <v>20190424ARCOC</v>
      </c>
      <c r="C779" s="8" t="str">
        <f ca="1">IFERROR(__xludf.DUMMYFUNCTION("""COMPUTED_VALUE"""),"None")</f>
        <v>None</v>
      </c>
      <c r="D779" s="8" t="str">
        <f ca="1">IFERROR(__xludf.DUMMYFUNCTION("""COMPUTED_VALUE"""),"Male")</f>
        <v>Male</v>
      </c>
      <c r="E779" s="8" t="str">
        <f ca="1">IFERROR(__xludf.DUMMYFUNCTION("""COMPUTED_VALUE"""),"Student")</f>
        <v>Student</v>
      </c>
      <c r="F779" s="8">
        <f ca="1">IFERROR(__xludf.DUMMYFUNCTION("""COMPUTED_VALUE"""),14)</f>
        <v>14</v>
      </c>
    </row>
    <row r="780" spans="1:6" ht="12.75">
      <c r="A780" s="4">
        <v>779</v>
      </c>
      <c r="B780" s="8" t="str">
        <f ca="1">IFERROR(__xludf.DUMMYFUNCTION("""COMPUTED_VALUE"""),"20190417ILWAL")</f>
        <v>20190417ILWAL</v>
      </c>
      <c r="C780" s="8" t="str">
        <f ca="1">IFERROR(__xludf.DUMMYFUNCTION("""COMPUTED_VALUE"""),"None")</f>
        <v>None</v>
      </c>
      <c r="D780" s="8" t="str">
        <f ca="1">IFERROR(__xludf.DUMMYFUNCTION("""COMPUTED_VALUE"""),"Male")</f>
        <v>Male</v>
      </c>
      <c r="E780" s="8" t="str">
        <f ca="1">IFERROR(__xludf.DUMMYFUNCTION("""COMPUTED_VALUE"""),"Student")</f>
        <v>Student</v>
      </c>
      <c r="F780" s="8">
        <f ca="1">IFERROR(__xludf.DUMMYFUNCTION("""COMPUTED_VALUE"""),12)</f>
        <v>12</v>
      </c>
    </row>
    <row r="781" spans="1:6" ht="12.75">
      <c r="A781" s="4">
        <v>780</v>
      </c>
      <c r="B781" s="8" t="str">
        <f ca="1">IFERROR(__xludf.DUMMYFUNCTION("""COMPUTED_VALUE"""),"20190410TXROH")</f>
        <v>20190410TXROH</v>
      </c>
      <c r="C781" s="8" t="str">
        <f ca="1">IFERROR(__xludf.DUMMYFUNCTION("""COMPUTED_VALUE"""),"Wounded")</f>
        <v>Wounded</v>
      </c>
      <c r="D781" s="8" t="str">
        <f ca="1">IFERROR(__xludf.DUMMYFUNCTION("""COMPUTED_VALUE"""),"Male")</f>
        <v>Male</v>
      </c>
      <c r="E781" s="8" t="str">
        <f ca="1">IFERROR(__xludf.DUMMYFUNCTION("""COMPUTED_VALUE"""),"Student")</f>
        <v>Student</v>
      </c>
      <c r="F781" s="8">
        <f ca="1">IFERROR(__xludf.DUMMYFUNCTION("""COMPUTED_VALUE"""),15)</f>
        <v>15</v>
      </c>
    </row>
    <row r="782" spans="1:6" ht="12.75">
      <c r="A782" s="4">
        <v>781</v>
      </c>
      <c r="B782" s="8" t="str">
        <f ca="1">IFERROR(__xludf.DUMMYFUNCTION("""COMPUTED_VALUE"""),"20190407MAHOL")</f>
        <v>20190407MAHOL</v>
      </c>
      <c r="C782" s="8" t="str">
        <f ca="1">IFERROR(__xludf.DUMMYFUNCTION("""COMPUTED_VALUE"""),"None")</f>
        <v>None</v>
      </c>
      <c r="D782" s="8"/>
      <c r="E782" s="8"/>
      <c r="F782" s="8"/>
    </row>
    <row r="783" spans="1:6" ht="12.75">
      <c r="A783" s="4">
        <v>782</v>
      </c>
      <c r="B783" s="8" t="str">
        <f ca="1">IFERROR(__xludf.DUMMYFUNCTION("""COMPUTED_VALUE"""),"20190405WISTM")</f>
        <v>20190405WISTM</v>
      </c>
      <c r="C783" s="8" t="str">
        <f ca="1">IFERROR(__xludf.DUMMYFUNCTION("""COMPUTED_VALUE"""),"Wounded")</f>
        <v>Wounded</v>
      </c>
      <c r="D783" s="8"/>
      <c r="E783" s="8" t="str">
        <f ca="1">IFERROR(__xludf.DUMMYFUNCTION("""COMPUTED_VALUE"""),"Student")</f>
        <v>Student</v>
      </c>
      <c r="F783" s="8">
        <f ca="1">IFERROR(__xludf.DUMMYFUNCTION("""COMPUTED_VALUE"""),10)</f>
        <v>10</v>
      </c>
    </row>
    <row r="784" spans="1:6" ht="12.75">
      <c r="A784" s="4">
        <v>783</v>
      </c>
      <c r="B784" s="8" t="str">
        <f ca="1">IFERROR(__xludf.DUMMYFUNCTION("""COMPUTED_VALUE"""),"20190403FLSAJ")</f>
        <v>20190403FLSAJ</v>
      </c>
      <c r="C784" s="8" t="str">
        <f ca="1">IFERROR(__xludf.DUMMYFUNCTION("""COMPUTED_VALUE"""),"None")</f>
        <v>None</v>
      </c>
      <c r="D784" s="8"/>
      <c r="E784" s="8"/>
      <c r="F784" s="8"/>
    </row>
    <row r="785" spans="1:6" ht="12.75">
      <c r="A785" s="4">
        <v>784</v>
      </c>
      <c r="B785" s="8" t="str">
        <f ca="1">IFERROR(__xludf.DUMMYFUNCTION("""COMPUTED_VALUE"""),"20190403COAUA")</f>
        <v>20190403COAUA</v>
      </c>
      <c r="C785" s="8" t="str">
        <f ca="1">IFERROR(__xludf.DUMMYFUNCTION("""COMPUTED_VALUE"""),"None")</f>
        <v>None</v>
      </c>
      <c r="D785" s="8"/>
      <c r="E785" s="8"/>
      <c r="F785" s="8"/>
    </row>
    <row r="786" spans="1:6" ht="12.75">
      <c r="A786" s="4">
        <v>785</v>
      </c>
      <c r="B786" s="8" t="str">
        <f ca="1">IFERROR(__xludf.DUMMYFUNCTION("""COMPUTED_VALUE"""),"20190401ARPRP")</f>
        <v>20190401ARPRP</v>
      </c>
      <c r="C786" s="8" t="str">
        <f ca="1">IFERROR(__xludf.DUMMYFUNCTION("""COMPUTED_VALUE"""),"Wounded")</f>
        <v>Wounded</v>
      </c>
      <c r="D786" s="8" t="str">
        <f ca="1">IFERROR(__xludf.DUMMYFUNCTION("""COMPUTED_VALUE"""),"Male")</f>
        <v>Male</v>
      </c>
      <c r="E786" s="8" t="str">
        <f ca="1">IFERROR(__xludf.DUMMYFUNCTION("""COMPUTED_VALUE"""),"Student")</f>
        <v>Student</v>
      </c>
      <c r="F786" s="8">
        <f ca="1">IFERROR(__xludf.DUMMYFUNCTION("""COMPUTED_VALUE"""),14)</f>
        <v>14</v>
      </c>
    </row>
    <row r="787" spans="1:6" ht="12.75">
      <c r="A787" s="4">
        <v>786</v>
      </c>
      <c r="B787" s="8" t="str">
        <f ca="1">IFERROR(__xludf.DUMMYFUNCTION("""COMPUTED_VALUE"""),"20190327MSSVH")</f>
        <v>20190327MSSVH</v>
      </c>
      <c r="C787" s="8" t="str">
        <f ca="1">IFERROR(__xludf.DUMMYFUNCTION("""COMPUTED_VALUE"""),"Wounded")</f>
        <v>Wounded</v>
      </c>
      <c r="D787" s="8" t="str">
        <f ca="1">IFERROR(__xludf.DUMMYFUNCTION("""COMPUTED_VALUE"""),"Male")</f>
        <v>Male</v>
      </c>
      <c r="E787" s="8" t="str">
        <f ca="1">IFERROR(__xludf.DUMMYFUNCTION("""COMPUTED_VALUE"""),"Student")</f>
        <v>Student</v>
      </c>
      <c r="F787" s="8">
        <f ca="1">IFERROR(__xludf.DUMMYFUNCTION("""COMPUTED_VALUE"""),10)</f>
        <v>10</v>
      </c>
    </row>
    <row r="788" spans="1:6" ht="12.75">
      <c r="A788" s="4">
        <v>787</v>
      </c>
      <c r="B788" s="8" t="str">
        <f ca="1">IFERROR(__xludf.DUMMYFUNCTION("""COMPUTED_VALUE"""),"20190327FLMAJ")</f>
        <v>20190327FLMAJ</v>
      </c>
      <c r="C788" s="8" t="str">
        <f ca="1">IFERROR(__xludf.DUMMYFUNCTION("""COMPUTED_VALUE"""),"Wounded")</f>
        <v>Wounded</v>
      </c>
      <c r="D788" s="8" t="str">
        <f ca="1">IFERROR(__xludf.DUMMYFUNCTION("""COMPUTED_VALUE"""),"Male")</f>
        <v>Male</v>
      </c>
      <c r="E788" s="8" t="str">
        <f ca="1">IFERROR(__xludf.DUMMYFUNCTION("""COMPUTED_VALUE"""),"Student")</f>
        <v>Student</v>
      </c>
      <c r="F788" s="8">
        <f ca="1">IFERROR(__xludf.DUMMYFUNCTION("""COMPUTED_VALUE"""),12)</f>
        <v>12</v>
      </c>
    </row>
    <row r="789" spans="1:6" ht="12.75">
      <c r="A789" s="4">
        <v>788</v>
      </c>
      <c r="B789" s="8" t="str">
        <f ca="1">IFERROR(__xludf.DUMMYFUNCTION("""COMPUTED_VALUE"""),"20190322ALBLB")</f>
        <v>20190322ALBLB</v>
      </c>
      <c r="C789" s="8" t="str">
        <f ca="1">IFERROR(__xludf.DUMMYFUNCTION("""COMPUTED_VALUE"""),"Minor Injuries")</f>
        <v>Minor Injuries</v>
      </c>
      <c r="D789" s="8" t="str">
        <f ca="1">IFERROR(__xludf.DUMMYFUNCTION("""COMPUTED_VALUE"""),"Unknown")</f>
        <v>Unknown</v>
      </c>
      <c r="E789" s="8" t="str">
        <f ca="1">IFERROR(__xludf.DUMMYFUNCTION("""COMPUTED_VALUE"""),"Student")</f>
        <v>Student</v>
      </c>
      <c r="F789" s="8" t="str">
        <f ca="1">IFERROR(__xludf.DUMMYFUNCTION("""COMPUTED_VALUE"""),"Child")</f>
        <v>Child</v>
      </c>
    </row>
    <row r="790" spans="1:6" ht="12.75">
      <c r="A790" s="4">
        <v>789</v>
      </c>
      <c r="B790" s="8" t="str">
        <f ca="1">IFERROR(__xludf.DUMMYFUNCTION("""COMPUTED_VALUE"""),"20190313FLLAO")</f>
        <v>20190313FLLAO</v>
      </c>
      <c r="C790" s="8" t="str">
        <f ca="1">IFERROR(__xludf.DUMMYFUNCTION("""COMPUTED_VALUE"""),"None")</f>
        <v>None</v>
      </c>
      <c r="D790" s="8" t="str">
        <f ca="1">IFERROR(__xludf.DUMMYFUNCTION("""COMPUTED_VALUE"""),"Female")</f>
        <v>Female</v>
      </c>
      <c r="E790" s="8" t="str">
        <f ca="1">IFERROR(__xludf.DUMMYFUNCTION("""COMPUTED_VALUE"""),"Student")</f>
        <v>Student</v>
      </c>
      <c r="F790" s="8">
        <f ca="1">IFERROR(__xludf.DUMMYFUNCTION("""COMPUTED_VALUE"""),17)</f>
        <v>17</v>
      </c>
    </row>
    <row r="791" spans="1:6" ht="12.75">
      <c r="A791" s="4">
        <v>790</v>
      </c>
      <c r="B791" s="8" t="str">
        <f ca="1">IFERROR(__xludf.DUMMYFUNCTION("""COMPUTED_VALUE"""),"20190301KSHIM")</f>
        <v>20190301KSHIM</v>
      </c>
      <c r="C791" s="8" t="str">
        <f ca="1">IFERROR(__xludf.DUMMYFUNCTION("""COMPUTED_VALUE"""),"None")</f>
        <v>None</v>
      </c>
      <c r="D791" s="8"/>
      <c r="E791" s="8"/>
      <c r="F791" s="8"/>
    </row>
    <row r="792" spans="1:6" ht="12.75">
      <c r="A792" s="4">
        <v>791</v>
      </c>
      <c r="B792" s="8" t="str">
        <f ca="1">IFERROR(__xludf.DUMMYFUNCTION("""COMPUTED_VALUE"""),"20190226ALROM")</f>
        <v>20190226ALROM</v>
      </c>
      <c r="C792" s="8" t="str">
        <f ca="1">IFERROR(__xludf.DUMMYFUNCTION("""COMPUTED_VALUE"""),"Wounded")</f>
        <v>Wounded</v>
      </c>
      <c r="D792" s="8" t="str">
        <f ca="1">IFERROR(__xludf.DUMMYFUNCTION("""COMPUTED_VALUE"""),"Male")</f>
        <v>Male</v>
      </c>
      <c r="E792" s="8" t="str">
        <f ca="1">IFERROR(__xludf.DUMMYFUNCTION("""COMPUTED_VALUE"""),"Student")</f>
        <v>Student</v>
      </c>
      <c r="F792" s="8">
        <f ca="1">IFERROR(__xludf.DUMMYFUNCTION("""COMPUTED_VALUE"""),17)</f>
        <v>17</v>
      </c>
    </row>
    <row r="793" spans="1:6" ht="12.75">
      <c r="A793" s="4">
        <v>792</v>
      </c>
      <c r="B793" s="8" t="str">
        <f ca="1">IFERROR(__xludf.DUMMYFUNCTION("""COMPUTED_VALUE"""),"20190217COEAA")</f>
        <v>20190217COEAA</v>
      </c>
      <c r="C793" s="8" t="str">
        <f ca="1">IFERROR(__xludf.DUMMYFUNCTION("""COMPUTED_VALUE"""),"Fatal")</f>
        <v>Fatal</v>
      </c>
      <c r="D793" s="8" t="str">
        <f ca="1">IFERROR(__xludf.DUMMYFUNCTION("""COMPUTED_VALUE"""),"Male")</f>
        <v>Male</v>
      </c>
      <c r="E793" s="8" t="str">
        <f ca="1">IFERROR(__xludf.DUMMYFUNCTION("""COMPUTED_VALUE"""),"Principal/Vice-Principal")</f>
        <v>Principal/Vice-Principal</v>
      </c>
      <c r="F793" s="8">
        <f ca="1">IFERROR(__xludf.DUMMYFUNCTION("""COMPUTED_VALUE"""),46)</f>
        <v>46</v>
      </c>
    </row>
    <row r="794" spans="1:6" ht="12.75">
      <c r="A794" s="4">
        <v>793</v>
      </c>
      <c r="B794" s="8" t="str">
        <f ca="1">IFERROR(__xludf.DUMMYFUNCTION("""COMPUTED_VALUE"""),"20190214NMV.R")</f>
        <v>20190214NMV.R</v>
      </c>
      <c r="C794" s="8" t="str">
        <f ca="1">IFERROR(__xludf.DUMMYFUNCTION("""COMPUTED_VALUE"""),"None")</f>
        <v>None</v>
      </c>
      <c r="D794" s="8"/>
      <c r="E794" s="8"/>
      <c r="F794" s="8"/>
    </row>
    <row r="795" spans="1:6" ht="12.75">
      <c r="A795" s="4">
        <v>794</v>
      </c>
      <c r="B795" s="8" t="str">
        <f ca="1">IFERROR(__xludf.DUMMYFUNCTION("""COMPUTED_VALUE"""),"20190212MOCEK")</f>
        <v>20190212MOCEK</v>
      </c>
      <c r="C795" s="8" t="str">
        <f ca="1">IFERROR(__xludf.DUMMYFUNCTION("""COMPUTED_VALUE"""),"Fatal")</f>
        <v>Fatal</v>
      </c>
      <c r="D795" s="8" t="str">
        <f ca="1">IFERROR(__xludf.DUMMYFUNCTION("""COMPUTED_VALUE"""),"Female")</f>
        <v>Female</v>
      </c>
      <c r="E795" s="8" t="str">
        <f ca="1">IFERROR(__xludf.DUMMYFUNCTION("""COMPUTED_VALUE"""),"Student")</f>
        <v>Student</v>
      </c>
      <c r="F795" s="8">
        <f ca="1">IFERROR(__xludf.DUMMYFUNCTION("""COMPUTED_VALUE"""),15)</f>
        <v>15</v>
      </c>
    </row>
    <row r="796" spans="1:6" ht="12.75">
      <c r="A796" s="4">
        <v>795</v>
      </c>
      <c r="B796" s="8" t="str">
        <f ca="1">IFERROR(__xludf.DUMMYFUNCTION("""COMPUTED_VALUE"""),"20190208MDFRB")</f>
        <v>20190208MDFRB</v>
      </c>
      <c r="C796" s="8" t="str">
        <f ca="1">IFERROR(__xludf.DUMMYFUNCTION("""COMPUTED_VALUE"""),"Wounded")</f>
        <v>Wounded</v>
      </c>
      <c r="D796" s="8" t="str">
        <f ca="1">IFERROR(__xludf.DUMMYFUNCTION("""COMPUTED_VALUE"""),"Male")</f>
        <v>Male</v>
      </c>
      <c r="E796" s="8" t="str">
        <f ca="1">IFERROR(__xludf.DUMMYFUNCTION("""COMPUTED_VALUE"""),"Other Staff")</f>
        <v>Other Staff</v>
      </c>
      <c r="F796" s="8">
        <f ca="1">IFERROR(__xludf.DUMMYFUNCTION("""COMPUTED_VALUE"""),56)</f>
        <v>56</v>
      </c>
    </row>
    <row r="797" spans="1:6" ht="12.75">
      <c r="A797" s="4">
        <v>796</v>
      </c>
      <c r="B797" s="8" t="str">
        <f ca="1">IFERROR(__xludf.DUMMYFUNCTION("""COMPUTED_VALUE"""),"20190205MNMIM")</f>
        <v>20190205MNMIM</v>
      </c>
      <c r="C797" s="8" t="str">
        <f ca="1">IFERROR(__xludf.DUMMYFUNCTION("""COMPUTED_VALUE"""),"Wounded")</f>
        <v>Wounded</v>
      </c>
      <c r="D797" s="8" t="str">
        <f ca="1">IFERROR(__xludf.DUMMYFUNCTION("""COMPUTED_VALUE"""),"Male")</f>
        <v>Male</v>
      </c>
      <c r="E797" s="8" t="str">
        <f ca="1">IFERROR(__xludf.DUMMYFUNCTION("""COMPUTED_VALUE"""),"Bus Driver")</f>
        <v>Bus Driver</v>
      </c>
      <c r="F797" s="8"/>
    </row>
    <row r="798" spans="1:6" ht="12.75">
      <c r="A798" s="4">
        <v>797</v>
      </c>
      <c r="B798" s="8" t="str">
        <f ca="1">IFERROR(__xludf.DUMMYFUNCTION("""COMPUTED_VALUE"""),"20190131TXATA")</f>
        <v>20190131TXATA</v>
      </c>
      <c r="C798" s="8" t="str">
        <f ca="1">IFERROR(__xludf.DUMMYFUNCTION("""COMPUTED_VALUE"""),"Wounded")</f>
        <v>Wounded</v>
      </c>
      <c r="D798" s="8" t="str">
        <f ca="1">IFERROR(__xludf.DUMMYFUNCTION("""COMPUTED_VALUE"""),"Male")</f>
        <v>Male</v>
      </c>
      <c r="E798" s="8" t="str">
        <f ca="1">IFERROR(__xludf.DUMMYFUNCTION("""COMPUTED_VALUE"""),"Student")</f>
        <v>Student</v>
      </c>
      <c r="F798" s="8">
        <f ca="1">IFERROR(__xludf.DUMMYFUNCTION("""COMPUTED_VALUE"""),16)</f>
        <v>16</v>
      </c>
    </row>
    <row r="799" spans="1:6" ht="12.75">
      <c r="A799" s="4">
        <v>798</v>
      </c>
      <c r="B799" s="8" t="str">
        <f ca="1">IFERROR(__xludf.DUMMYFUNCTION("""COMPUTED_VALUE"""),"20190131TNMAM")</f>
        <v>20190131TNMAM</v>
      </c>
      <c r="C799" s="8" t="str">
        <f ca="1">IFERROR(__xludf.DUMMYFUNCTION("""COMPUTED_VALUE"""),"Wounded")</f>
        <v>Wounded</v>
      </c>
      <c r="D799" s="8" t="str">
        <f ca="1">IFERROR(__xludf.DUMMYFUNCTION("""COMPUTED_VALUE"""),"Male")</f>
        <v>Male</v>
      </c>
      <c r="E799" s="8" t="str">
        <f ca="1">IFERROR(__xludf.DUMMYFUNCTION("""COMPUTED_VALUE"""),"Student")</f>
        <v>Student</v>
      </c>
      <c r="F799" s="8">
        <f ca="1">IFERROR(__xludf.DUMMYFUNCTION("""COMPUTED_VALUE"""),14)</f>
        <v>14</v>
      </c>
    </row>
    <row r="800" spans="1:6" ht="12.75">
      <c r="A800" s="4">
        <v>799</v>
      </c>
      <c r="B800" s="8" t="str">
        <f ca="1">IFERROR(__xludf.DUMMYFUNCTION("""COMPUTED_VALUE"""),"20190130GAMIL")</f>
        <v>20190130GAMIL</v>
      </c>
      <c r="C800" s="8" t="str">
        <f ca="1">IFERROR(__xludf.DUMMYFUNCTION("""COMPUTED_VALUE"""),"Wounded")</f>
        <v>Wounded</v>
      </c>
      <c r="D800" s="8" t="str">
        <f ca="1">IFERROR(__xludf.DUMMYFUNCTION("""COMPUTED_VALUE"""),"Male")</f>
        <v>Male</v>
      </c>
      <c r="E800" s="8" t="str">
        <f ca="1">IFERROR(__xludf.DUMMYFUNCTION("""COMPUTED_VALUE"""),"No Relation")</f>
        <v>No Relation</v>
      </c>
      <c r="F800" s="8" t="str">
        <f ca="1">IFERROR(__xludf.DUMMYFUNCTION("""COMPUTED_VALUE"""),"Adult")</f>
        <v>Adult</v>
      </c>
    </row>
    <row r="801" spans="1:6" ht="12.75">
      <c r="A801" s="4">
        <v>800</v>
      </c>
      <c r="B801" s="8" t="str">
        <f ca="1">IFERROR(__xludf.DUMMYFUNCTION("""COMPUTED_VALUE"""),"20190125TNMAM")</f>
        <v>20190125TNMAM</v>
      </c>
      <c r="C801" s="8" t="str">
        <f ca="1">IFERROR(__xludf.DUMMYFUNCTION("""COMPUTED_VALUE"""),"None")</f>
        <v>None</v>
      </c>
      <c r="D801" s="8"/>
      <c r="E801" s="8"/>
      <c r="F801" s="8"/>
    </row>
    <row r="802" spans="1:6" ht="12.75">
      <c r="A802" s="4">
        <v>801</v>
      </c>
      <c r="B802" s="8" t="str">
        <f ca="1">IFERROR(__xludf.DUMMYFUNCTION("""COMPUTED_VALUE"""),"20190125ALDAM")</f>
        <v>20190125ALDAM</v>
      </c>
      <c r="C802" s="8" t="str">
        <f ca="1">IFERROR(__xludf.DUMMYFUNCTION("""COMPUTED_VALUE"""),"Wounded")</f>
        <v>Wounded</v>
      </c>
      <c r="D802" s="8" t="str">
        <f ca="1">IFERROR(__xludf.DUMMYFUNCTION("""COMPUTED_VALUE"""),"Male")</f>
        <v>Male</v>
      </c>
      <c r="E802" s="8" t="str">
        <f ca="1">IFERROR(__xludf.DUMMYFUNCTION("""COMPUTED_VALUE"""),"Student")</f>
        <v>Student</v>
      </c>
      <c r="F802" s="8">
        <f ca="1">IFERROR(__xludf.DUMMYFUNCTION("""COMPUTED_VALUE"""),17)</f>
        <v>17</v>
      </c>
    </row>
    <row r="803" spans="1:6" ht="12.75">
      <c r="A803" s="4">
        <v>802</v>
      </c>
      <c r="B803" s="8" t="str">
        <f ca="1">IFERROR(__xludf.DUMMYFUNCTION("""COMPUTED_VALUE"""),"20190125ALDAM")</f>
        <v>20190125ALDAM</v>
      </c>
      <c r="C803" s="8" t="str">
        <f ca="1">IFERROR(__xludf.DUMMYFUNCTION("""COMPUTED_VALUE"""),"Wounded")</f>
        <v>Wounded</v>
      </c>
      <c r="D803" s="8" t="str">
        <f ca="1">IFERROR(__xludf.DUMMYFUNCTION("""COMPUTED_VALUE"""),"Male")</f>
        <v>Male</v>
      </c>
      <c r="E803" s="8" t="str">
        <f ca="1">IFERROR(__xludf.DUMMYFUNCTION("""COMPUTED_VALUE"""),"Nonstudent Using Athletic Facilities/Attending Game")</f>
        <v>Nonstudent Using Athletic Facilities/Attending Game</v>
      </c>
      <c r="F803" s="8">
        <f ca="1">IFERROR(__xludf.DUMMYFUNCTION("""COMPUTED_VALUE"""),20)</f>
        <v>20</v>
      </c>
    </row>
    <row r="804" spans="1:6" ht="12.75">
      <c r="A804" s="4">
        <v>803</v>
      </c>
      <c r="B804" s="8" t="str">
        <f ca="1">IFERROR(__xludf.DUMMYFUNCTION("""COMPUTED_VALUE"""),"20190123LASOS")</f>
        <v>20190123LASOS</v>
      </c>
      <c r="C804" s="8" t="str">
        <f ca="1">IFERROR(__xludf.DUMMYFUNCTION("""COMPUTED_VALUE"""),"Wounded")</f>
        <v>Wounded</v>
      </c>
      <c r="D804" s="8" t="str">
        <f ca="1">IFERROR(__xludf.DUMMYFUNCTION("""COMPUTED_VALUE"""),"Male")</f>
        <v>Male</v>
      </c>
      <c r="E804" s="8" t="str">
        <f ca="1">IFERROR(__xludf.DUMMYFUNCTION("""COMPUTED_VALUE"""),"No Relation")</f>
        <v>No Relation</v>
      </c>
      <c r="F804" s="8" t="str">
        <f ca="1">IFERROR(__xludf.DUMMYFUNCTION("""COMPUTED_VALUE"""),"Adult")</f>
        <v>Adult</v>
      </c>
    </row>
    <row r="805" spans="1:6" ht="12.75">
      <c r="A805" s="4">
        <v>804</v>
      </c>
      <c r="B805" s="8" t="str">
        <f ca="1">IFERROR(__xludf.DUMMYFUNCTION("""COMPUTED_VALUE"""),"20190119KSLAO")</f>
        <v>20190119KSLAO</v>
      </c>
      <c r="C805" s="8" t="str">
        <f ca="1">IFERROR(__xludf.DUMMYFUNCTION("""COMPUTED_VALUE"""),"Wounded")</f>
        <v>Wounded</v>
      </c>
      <c r="D805" s="8" t="str">
        <f ca="1">IFERROR(__xludf.DUMMYFUNCTION("""COMPUTED_VALUE"""),"Male")</f>
        <v>Male</v>
      </c>
      <c r="E805" s="8" t="str">
        <f ca="1">IFERROR(__xludf.DUMMYFUNCTION("""COMPUTED_VALUE"""),"No Relation")</f>
        <v>No Relation</v>
      </c>
      <c r="F805" s="8">
        <f ca="1">IFERROR(__xludf.DUMMYFUNCTION("""COMPUTED_VALUE"""),16)</f>
        <v>16</v>
      </c>
    </row>
    <row r="806" spans="1:6" ht="12.75">
      <c r="A806" s="4">
        <v>805</v>
      </c>
      <c r="B806" s="8" t="str">
        <f ca="1">IFERROR(__xludf.DUMMYFUNCTION("""COMPUTED_VALUE"""),"20190119KSLAO")</f>
        <v>20190119KSLAO</v>
      </c>
      <c r="C806" s="8" t="str">
        <f ca="1">IFERROR(__xludf.DUMMYFUNCTION("""COMPUTED_VALUE"""),"Wounded")</f>
        <v>Wounded</v>
      </c>
      <c r="D806" s="8" t="str">
        <f ca="1">IFERROR(__xludf.DUMMYFUNCTION("""COMPUTED_VALUE"""),"Male")</f>
        <v>Male</v>
      </c>
      <c r="E806" s="8" t="str">
        <f ca="1">IFERROR(__xludf.DUMMYFUNCTION("""COMPUTED_VALUE"""),"No Relation")</f>
        <v>No Relation</v>
      </c>
      <c r="F806" s="8">
        <f ca="1">IFERROR(__xludf.DUMMYFUNCTION("""COMPUTED_VALUE"""),15)</f>
        <v>15</v>
      </c>
    </row>
    <row r="807" spans="1:6" ht="12.75">
      <c r="A807" s="4">
        <v>806</v>
      </c>
      <c r="B807" s="8" t="str">
        <f ca="1">IFERROR(__xludf.DUMMYFUNCTION("""COMPUTED_VALUE"""),"20190118NCSHD")</f>
        <v>20190118NCSHD</v>
      </c>
      <c r="C807" s="8" t="str">
        <f ca="1">IFERROR(__xludf.DUMMYFUNCTION("""COMPUTED_VALUE"""),"Wounded")</f>
        <v>Wounded</v>
      </c>
      <c r="D807" s="8"/>
      <c r="E807" s="8" t="str">
        <f ca="1">IFERROR(__xludf.DUMMYFUNCTION("""COMPUTED_VALUE"""),"Bus Driver")</f>
        <v>Bus Driver</v>
      </c>
      <c r="F807" s="8" t="str">
        <f ca="1">IFERROR(__xludf.DUMMYFUNCTION("""COMPUTED_VALUE"""),"Adult")</f>
        <v>Adult</v>
      </c>
    </row>
    <row r="808" spans="1:6" ht="12.75">
      <c r="A808" s="4">
        <v>807</v>
      </c>
      <c r="B808" s="8" t="str">
        <f ca="1">IFERROR(__xludf.DUMMYFUNCTION("""COMPUTED_VALUE"""),"20190118MOHAS")</f>
        <v>20190118MOHAS</v>
      </c>
      <c r="C808" s="8" t="str">
        <f ca="1">IFERROR(__xludf.DUMMYFUNCTION("""COMPUTED_VALUE"""),"None")</f>
        <v>None</v>
      </c>
      <c r="D808" s="8"/>
      <c r="E808" s="8"/>
      <c r="F808" s="8"/>
    </row>
    <row r="809" spans="1:6" ht="12.75">
      <c r="A809" s="4">
        <v>808</v>
      </c>
      <c r="B809" s="8" t="str">
        <f ca="1">IFERROR(__xludf.DUMMYFUNCTION("""COMPUTED_VALUE"""),"20190118ALCET")</f>
        <v>20190118ALCET</v>
      </c>
      <c r="C809" s="8" t="str">
        <f ca="1">IFERROR(__xludf.DUMMYFUNCTION("""COMPUTED_VALUE"""),"None")</f>
        <v>None</v>
      </c>
      <c r="D809" s="8" t="str">
        <f ca="1">IFERROR(__xludf.DUMMYFUNCTION("""COMPUTED_VALUE"""),"Female")</f>
        <v>Female</v>
      </c>
      <c r="E809" s="8" t="str">
        <f ca="1">IFERROR(__xludf.DUMMYFUNCTION("""COMPUTED_VALUE"""),"Intimate Relationship")</f>
        <v>Intimate Relationship</v>
      </c>
      <c r="F809" s="8" t="str">
        <f ca="1">IFERROR(__xludf.DUMMYFUNCTION("""COMPUTED_VALUE"""),"Adult")</f>
        <v>Adult</v>
      </c>
    </row>
    <row r="810" spans="1:6" ht="12.75">
      <c r="A810" s="4">
        <v>809</v>
      </c>
      <c r="B810" s="8" t="str">
        <f ca="1">IFERROR(__xludf.DUMMYFUNCTION("""COMPUTED_VALUE"""),"20190111ORCAE")</f>
        <v>20190111ORCAE</v>
      </c>
      <c r="C810" s="8" t="str">
        <f ca="1">IFERROR(__xludf.DUMMYFUNCTION("""COMPUTED_VALUE"""),"Fatal")</f>
        <v>Fatal</v>
      </c>
      <c r="D810" s="8" t="str">
        <f ca="1">IFERROR(__xludf.DUMMYFUNCTION("""COMPUTED_VALUE"""),"Male")</f>
        <v>Male</v>
      </c>
      <c r="E810" s="8" t="str">
        <f ca="1">IFERROR(__xludf.DUMMYFUNCTION("""COMPUTED_VALUE"""),"Parent")</f>
        <v>Parent</v>
      </c>
      <c r="F810" s="8">
        <f ca="1">IFERROR(__xludf.DUMMYFUNCTION("""COMPUTED_VALUE"""),30)</f>
        <v>30</v>
      </c>
    </row>
    <row r="811" spans="1:6" ht="12.75">
      <c r="A811" s="4">
        <v>810</v>
      </c>
      <c r="B811" s="8" t="str">
        <f ca="1">IFERROR(__xludf.DUMMYFUNCTION("""COMPUTED_VALUE"""),"20190107CACEB")</f>
        <v>20190107CACEB</v>
      </c>
      <c r="C811" s="8" t="str">
        <f ca="1">IFERROR(__xludf.DUMMYFUNCTION("""COMPUTED_VALUE"""),"Fatal")</f>
        <v>Fatal</v>
      </c>
      <c r="D811" s="8" t="str">
        <f ca="1">IFERROR(__xludf.DUMMYFUNCTION("""COMPUTED_VALUE"""),"Male")</f>
        <v>Male</v>
      </c>
      <c r="E811" s="8" t="str">
        <f ca="1">IFERROR(__xludf.DUMMYFUNCTION("""COMPUTED_VALUE"""),"No Relation")</f>
        <v>No Relation</v>
      </c>
      <c r="F811" s="8">
        <f ca="1">IFERROR(__xludf.DUMMYFUNCTION("""COMPUTED_VALUE"""),17)</f>
        <v>17</v>
      </c>
    </row>
    <row r="812" spans="1:6" ht="12.75">
      <c r="A812" s="4">
        <v>811</v>
      </c>
      <c r="B812" s="8" t="str">
        <f ca="1">IFERROR(__xludf.DUMMYFUNCTION("""COMPUTED_VALUE"""),"20181218DEAIG")</f>
        <v>20181218DEAIG</v>
      </c>
      <c r="C812" s="8" t="str">
        <f ca="1">IFERROR(__xludf.DUMMYFUNCTION("""COMPUTED_VALUE"""),"None")</f>
        <v>None</v>
      </c>
      <c r="D812" s="8"/>
      <c r="E812" s="8"/>
      <c r="F812" s="8"/>
    </row>
    <row r="813" spans="1:6" ht="12.75">
      <c r="A813" s="4">
        <v>812</v>
      </c>
      <c r="B813" s="8" t="str">
        <f ca="1">IFERROR(__xludf.DUMMYFUNCTION("""COMPUTED_VALUE"""),"20181214MOWIK")</f>
        <v>20181214MOWIK</v>
      </c>
      <c r="C813" s="8" t="str">
        <f ca="1">IFERROR(__xludf.DUMMYFUNCTION("""COMPUTED_VALUE"""),"None")</f>
        <v>None</v>
      </c>
      <c r="D813" s="8"/>
      <c r="E813" s="8"/>
      <c r="F813" s="8"/>
    </row>
    <row r="814" spans="1:6" ht="12.75">
      <c r="A814" s="4">
        <v>813</v>
      </c>
      <c r="B814" s="8" t="str">
        <f ca="1">IFERROR(__xludf.DUMMYFUNCTION("""COMPUTED_VALUE"""),"20181213INDER")</f>
        <v>20181213INDER</v>
      </c>
      <c r="C814" s="8" t="str">
        <f ca="1">IFERROR(__xludf.DUMMYFUNCTION("""COMPUTED_VALUE"""),"None")</f>
        <v>None</v>
      </c>
      <c r="D814" s="8" t="str">
        <f ca="1">IFERROR(__xludf.DUMMYFUNCTION("""COMPUTED_VALUE"""),"Male")</f>
        <v>Male</v>
      </c>
      <c r="E814" s="8" t="str">
        <f ca="1">IFERROR(__xludf.DUMMYFUNCTION("""COMPUTED_VALUE"""),"Student")</f>
        <v>Student</v>
      </c>
      <c r="F814" s="8">
        <f ca="1">IFERROR(__xludf.DUMMYFUNCTION("""COMPUTED_VALUE"""),14)</f>
        <v>14</v>
      </c>
    </row>
    <row r="815" spans="1:6" ht="12.75">
      <c r="A815" s="4">
        <v>814</v>
      </c>
      <c r="B815" s="8" t="str">
        <f ca="1">IFERROR(__xludf.DUMMYFUNCTION("""COMPUTED_VALUE"""),"20181211KYCAC")</f>
        <v>20181211KYCAC</v>
      </c>
      <c r="C815" s="8" t="str">
        <f ca="1">IFERROR(__xludf.DUMMYFUNCTION("""COMPUTED_VALUE"""),"Wounded")</f>
        <v>Wounded</v>
      </c>
      <c r="D815" s="8" t="str">
        <f ca="1">IFERROR(__xludf.DUMMYFUNCTION("""COMPUTED_VALUE"""),"Female")</f>
        <v>Female</v>
      </c>
      <c r="E815" s="8" t="str">
        <f ca="1">IFERROR(__xludf.DUMMYFUNCTION("""COMPUTED_VALUE"""),"No Relation")</f>
        <v>No Relation</v>
      </c>
      <c r="F815" s="8">
        <f ca="1">IFERROR(__xludf.DUMMYFUNCTION("""COMPUTED_VALUE"""),15)</f>
        <v>15</v>
      </c>
    </row>
    <row r="816" spans="1:6" ht="12.75">
      <c r="A816" s="4">
        <v>815</v>
      </c>
      <c r="B816" s="8" t="str">
        <f ca="1">IFERROR(__xludf.DUMMYFUNCTION("""COMPUTED_VALUE"""),"20181211KYCAC")</f>
        <v>20181211KYCAC</v>
      </c>
      <c r="C816" s="8" t="str">
        <f ca="1">IFERROR(__xludf.DUMMYFUNCTION("""COMPUTED_VALUE"""),"Wounded")</f>
        <v>Wounded</v>
      </c>
      <c r="D816" s="8" t="str">
        <f ca="1">IFERROR(__xludf.DUMMYFUNCTION("""COMPUTED_VALUE"""),"Male")</f>
        <v>Male</v>
      </c>
      <c r="E816" s="8" t="str">
        <f ca="1">IFERROR(__xludf.DUMMYFUNCTION("""COMPUTED_VALUE"""),"No Relation")</f>
        <v>No Relation</v>
      </c>
      <c r="F816" s="8">
        <f ca="1">IFERROR(__xludf.DUMMYFUNCTION("""COMPUTED_VALUE"""),20)</f>
        <v>20</v>
      </c>
    </row>
    <row r="817" spans="1:6" ht="12.75">
      <c r="A817" s="4">
        <v>816</v>
      </c>
      <c r="B817" s="8" t="str">
        <f ca="1">IFERROR(__xludf.DUMMYFUNCTION("""COMPUTED_VALUE"""),"20181210NYJEJ")</f>
        <v>20181210NYJEJ</v>
      </c>
      <c r="C817" s="8" t="str">
        <f ca="1">IFERROR(__xludf.DUMMYFUNCTION("""COMPUTED_VALUE"""),"None")</f>
        <v>None</v>
      </c>
      <c r="D817" s="8" t="str">
        <f ca="1">IFERROR(__xludf.DUMMYFUNCTION("""COMPUTED_VALUE"""),"Male")</f>
        <v>Male</v>
      </c>
      <c r="E817" s="8" t="str">
        <f ca="1">IFERROR(__xludf.DUMMYFUNCTION("""COMPUTED_VALUE"""),"Student")</f>
        <v>Student</v>
      </c>
      <c r="F817" s="8">
        <f ca="1">IFERROR(__xludf.DUMMYFUNCTION("""COMPUTED_VALUE"""),17)</f>
        <v>17</v>
      </c>
    </row>
    <row r="818" spans="1:6" ht="12.75">
      <c r="A818" s="4">
        <v>817</v>
      </c>
      <c r="B818" s="8" t="str">
        <f ca="1">IFERROR(__xludf.DUMMYFUNCTION("""COMPUTED_VALUE"""),"20181128PASTP")</f>
        <v>20181128PASTP</v>
      </c>
      <c r="C818" s="8" t="str">
        <f ca="1">IFERROR(__xludf.DUMMYFUNCTION("""COMPUTED_VALUE"""),"None")</f>
        <v>None</v>
      </c>
      <c r="D818" s="8"/>
      <c r="E818" s="8"/>
      <c r="F818" s="8"/>
    </row>
    <row r="819" spans="1:6" ht="12.75">
      <c r="A819" s="4">
        <v>818</v>
      </c>
      <c r="B819" s="8" t="str">
        <f ca="1">IFERROR(__xludf.DUMMYFUNCTION("""COMPUTED_VALUE"""),"20181124OHAFC")</f>
        <v>20181124OHAFC</v>
      </c>
      <c r="C819" s="8" t="str">
        <f ca="1">IFERROR(__xludf.DUMMYFUNCTION("""COMPUTED_VALUE"""),"Wounded")</f>
        <v>Wounded</v>
      </c>
      <c r="D819" s="8" t="str">
        <f ca="1">IFERROR(__xludf.DUMMYFUNCTION("""COMPUTED_VALUE"""),"Male")</f>
        <v>Male</v>
      </c>
      <c r="E819" s="8" t="str">
        <f ca="1">IFERROR(__xludf.DUMMYFUNCTION("""COMPUTED_VALUE"""),"No Relation")</f>
        <v>No Relation</v>
      </c>
      <c r="F819" s="8">
        <f ca="1">IFERROR(__xludf.DUMMYFUNCTION("""COMPUTED_VALUE"""),20)</f>
        <v>20</v>
      </c>
    </row>
    <row r="820" spans="1:6" ht="12.75">
      <c r="A820" s="4">
        <v>819</v>
      </c>
      <c r="B820" s="8" t="str">
        <f ca="1">IFERROR(__xludf.DUMMYFUNCTION("""COMPUTED_VALUE"""),"20181124OHAFC")</f>
        <v>20181124OHAFC</v>
      </c>
      <c r="C820" s="8" t="str">
        <f ca="1">IFERROR(__xludf.DUMMYFUNCTION("""COMPUTED_VALUE"""),"Wounded")</f>
        <v>Wounded</v>
      </c>
      <c r="D820" s="8" t="str">
        <f ca="1">IFERROR(__xludf.DUMMYFUNCTION("""COMPUTED_VALUE"""),"Male")</f>
        <v>Male</v>
      </c>
      <c r="E820" s="8" t="str">
        <f ca="1">IFERROR(__xludf.DUMMYFUNCTION("""COMPUTED_VALUE"""),"No Relation")</f>
        <v>No Relation</v>
      </c>
      <c r="F820" s="8" t="str">
        <f ca="1">IFERROR(__xludf.DUMMYFUNCTION("""COMPUTED_VALUE"""),"Adult")</f>
        <v>Adult</v>
      </c>
    </row>
    <row r="821" spans="1:6" ht="12.75">
      <c r="A821" s="4">
        <v>820</v>
      </c>
      <c r="B821" s="8" t="str">
        <f ca="1">IFERROR(__xludf.DUMMYFUNCTION("""COMPUTED_VALUE"""),"20181122WAMOD")</f>
        <v>20181122WAMOD</v>
      </c>
      <c r="C821" s="8" t="str">
        <f ca="1">IFERROR(__xludf.DUMMYFUNCTION("""COMPUTED_VALUE"""),"Wounded")</f>
        <v>Wounded</v>
      </c>
      <c r="D821" s="8" t="str">
        <f ca="1">IFERROR(__xludf.DUMMYFUNCTION("""COMPUTED_VALUE"""),"Male")</f>
        <v>Male</v>
      </c>
      <c r="E821" s="8" t="str">
        <f ca="1">IFERROR(__xludf.DUMMYFUNCTION("""COMPUTED_VALUE"""),"No Relation")</f>
        <v>No Relation</v>
      </c>
      <c r="F821" s="8">
        <f ca="1">IFERROR(__xludf.DUMMYFUNCTION("""COMPUTED_VALUE"""),21)</f>
        <v>21</v>
      </c>
    </row>
    <row r="822" spans="1:6" ht="12.75">
      <c r="A822" s="4">
        <v>821</v>
      </c>
      <c r="B822" s="8" t="str">
        <f ca="1">IFERROR(__xludf.DUMMYFUNCTION("""COMPUTED_VALUE"""),"20181122TXSKD")</f>
        <v>20181122TXSKD</v>
      </c>
      <c r="C822" s="8" t="str">
        <f ca="1">IFERROR(__xludf.DUMMYFUNCTION("""COMPUTED_VALUE"""),"Fatal")</f>
        <v>Fatal</v>
      </c>
      <c r="D822" s="8" t="str">
        <f ca="1">IFERROR(__xludf.DUMMYFUNCTION("""COMPUTED_VALUE"""),"Male")</f>
        <v>Male</v>
      </c>
      <c r="E822" s="8"/>
      <c r="F822" s="8">
        <f ca="1">IFERROR(__xludf.DUMMYFUNCTION("""COMPUTED_VALUE"""),17)</f>
        <v>17</v>
      </c>
    </row>
    <row r="823" spans="1:6" ht="12.75">
      <c r="A823" s="4">
        <v>822</v>
      </c>
      <c r="B823" s="8" t="str">
        <f ca="1">IFERROR(__xludf.DUMMYFUNCTION("""COMPUTED_VALUE"""),"20181121MIPEP")</f>
        <v>20181121MIPEP</v>
      </c>
      <c r="C823" s="8" t="str">
        <f ca="1">IFERROR(__xludf.DUMMYFUNCTION("""COMPUTED_VALUE"""),"None")</f>
        <v>None</v>
      </c>
      <c r="D823" s="8"/>
      <c r="E823" s="8"/>
      <c r="F823" s="8"/>
    </row>
    <row r="824" spans="1:6" ht="12.75">
      <c r="A824" s="4">
        <v>823</v>
      </c>
      <c r="B824" s="8" t="str">
        <f ca="1">IFERROR(__xludf.DUMMYFUNCTION("""COMPUTED_VALUE"""),"20181120VASIP")</f>
        <v>20181120VASIP</v>
      </c>
      <c r="C824" s="8" t="str">
        <f ca="1">IFERROR(__xludf.DUMMYFUNCTION("""COMPUTED_VALUE"""),"Wounded")</f>
        <v>Wounded</v>
      </c>
      <c r="D824" s="8" t="str">
        <f ca="1">IFERROR(__xludf.DUMMYFUNCTION("""COMPUTED_VALUE"""),"Female")</f>
        <v>Female</v>
      </c>
      <c r="E824" s="8" t="str">
        <f ca="1">IFERROR(__xludf.DUMMYFUNCTION("""COMPUTED_VALUE"""),"Parent")</f>
        <v>Parent</v>
      </c>
      <c r="F824" s="8" t="str">
        <f ca="1">IFERROR(__xludf.DUMMYFUNCTION("""COMPUTED_VALUE"""),"Adult")</f>
        <v>Adult</v>
      </c>
    </row>
    <row r="825" spans="1:6" ht="12.75">
      <c r="A825" s="4">
        <v>824</v>
      </c>
      <c r="B825" s="8" t="str">
        <f ca="1">IFERROR(__xludf.DUMMYFUNCTION("""COMPUTED_VALUE"""),"20181112MDEAE")</f>
        <v>20181112MDEAE</v>
      </c>
      <c r="C825" s="8" t="str">
        <f ca="1">IFERROR(__xludf.DUMMYFUNCTION("""COMPUTED_VALUE"""),"None")</f>
        <v>None</v>
      </c>
      <c r="D825" s="8" t="str">
        <f ca="1">IFERROR(__xludf.DUMMYFUNCTION("""COMPUTED_VALUE"""),"Male")</f>
        <v>Male</v>
      </c>
      <c r="E825" s="8" t="str">
        <f ca="1">IFERROR(__xludf.DUMMYFUNCTION("""COMPUTED_VALUE"""),"Police Officer/SRO")</f>
        <v>Police Officer/SRO</v>
      </c>
      <c r="F825" s="8" t="str">
        <f ca="1">IFERROR(__xludf.DUMMYFUNCTION("""COMPUTED_VALUE"""),"Adult")</f>
        <v>Adult</v>
      </c>
    </row>
    <row r="826" spans="1:6" ht="12.75">
      <c r="A826" s="4">
        <v>825</v>
      </c>
      <c r="B826" s="8" t="str">
        <f ca="1">IFERROR(__xludf.DUMMYFUNCTION("""COMPUTED_VALUE"""),"20181109GAGAM")</f>
        <v>20181109GAGAM</v>
      </c>
      <c r="C826" s="8" t="str">
        <f ca="1">IFERROR(__xludf.DUMMYFUNCTION("""COMPUTED_VALUE"""),"None")</f>
        <v>None</v>
      </c>
      <c r="D826" s="8"/>
      <c r="E826" s="8"/>
      <c r="F826" s="8"/>
    </row>
    <row r="827" spans="1:6" ht="12.75">
      <c r="A827" s="4">
        <v>826</v>
      </c>
      <c r="B827" s="8" t="str">
        <f ca="1">IFERROR(__xludf.DUMMYFUNCTION("""COMPUTED_VALUE"""),"20181108CACLS")</f>
        <v>20181108CACLS</v>
      </c>
      <c r="C827" s="8" t="str">
        <f ca="1">IFERROR(__xludf.DUMMYFUNCTION("""COMPUTED_VALUE"""),"Wounded")</f>
        <v>Wounded</v>
      </c>
      <c r="D827" s="8" t="str">
        <f ca="1">IFERROR(__xludf.DUMMYFUNCTION("""COMPUTED_VALUE"""),"Male")</f>
        <v>Male</v>
      </c>
      <c r="E827" s="8" t="str">
        <f ca="1">IFERROR(__xludf.DUMMYFUNCTION("""COMPUTED_VALUE"""),"No Relation")</f>
        <v>No Relation</v>
      </c>
      <c r="F827" s="8" t="str">
        <f ca="1">IFERROR(__xludf.DUMMYFUNCTION("""COMPUTED_VALUE"""),"Adult")</f>
        <v>Adult</v>
      </c>
    </row>
    <row r="828" spans="1:6" ht="12.75">
      <c r="A828" s="4">
        <v>827</v>
      </c>
      <c r="B828" s="8" t="str">
        <f ca="1">IFERROR(__xludf.DUMMYFUNCTION("""COMPUTED_VALUE"""),"20181105SCACC")</f>
        <v>20181105SCACC</v>
      </c>
      <c r="C828" s="8" t="str">
        <f ca="1">IFERROR(__xludf.DUMMYFUNCTION("""COMPUTED_VALUE"""),"None")</f>
        <v>None</v>
      </c>
      <c r="D828" s="8" t="str">
        <f ca="1">IFERROR(__xludf.DUMMYFUNCTION("""COMPUTED_VALUE"""),"Male")</f>
        <v>Male</v>
      </c>
      <c r="E828" s="8" t="str">
        <f ca="1">IFERROR(__xludf.DUMMYFUNCTION("""COMPUTED_VALUE"""),"Student")</f>
        <v>Student</v>
      </c>
      <c r="F828" s="8">
        <f ca="1">IFERROR(__xludf.DUMMYFUNCTION("""COMPUTED_VALUE"""),13)</f>
        <v>13</v>
      </c>
    </row>
    <row r="829" spans="1:6" ht="12.75">
      <c r="A829" s="4">
        <v>828</v>
      </c>
      <c r="B829" s="8" t="str">
        <f ca="1">IFERROR(__xludf.DUMMYFUNCTION("""COMPUTED_VALUE"""),"20181104KYCRL")</f>
        <v>20181104KYCRL</v>
      </c>
      <c r="C829" s="8" t="str">
        <f ca="1">IFERROR(__xludf.DUMMYFUNCTION("""COMPUTED_VALUE"""),"Fatal")</f>
        <v>Fatal</v>
      </c>
      <c r="D829" s="8" t="str">
        <f ca="1">IFERROR(__xludf.DUMMYFUNCTION("""COMPUTED_VALUE"""),"Male")</f>
        <v>Male</v>
      </c>
      <c r="E829" s="8" t="str">
        <f ca="1">IFERROR(__xludf.DUMMYFUNCTION("""COMPUTED_VALUE"""),"No Relation")</f>
        <v>No Relation</v>
      </c>
      <c r="F829" s="8" t="str">
        <f ca="1">IFERROR(__xludf.DUMMYFUNCTION("""COMPUTED_VALUE"""),"Adult")</f>
        <v>Adult</v>
      </c>
    </row>
    <row r="830" spans="1:6" ht="12.75">
      <c r="A830" s="4">
        <v>829</v>
      </c>
      <c r="B830" s="8" t="str">
        <f ca="1">IFERROR(__xludf.DUMMYFUNCTION("""COMPUTED_VALUE"""),"20181104KYCRL")</f>
        <v>20181104KYCRL</v>
      </c>
      <c r="C830" s="8" t="str">
        <f ca="1">IFERROR(__xludf.DUMMYFUNCTION("""COMPUTED_VALUE"""),"Wounded")</f>
        <v>Wounded</v>
      </c>
      <c r="D830" s="8" t="str">
        <f ca="1">IFERROR(__xludf.DUMMYFUNCTION("""COMPUTED_VALUE"""),"Male")</f>
        <v>Male</v>
      </c>
      <c r="E830" s="8" t="str">
        <f ca="1">IFERROR(__xludf.DUMMYFUNCTION("""COMPUTED_VALUE"""),"No Relation")</f>
        <v>No Relation</v>
      </c>
      <c r="F830" s="8" t="str">
        <f ca="1">IFERROR(__xludf.DUMMYFUNCTION("""COMPUTED_VALUE"""),"Adult")</f>
        <v>Adult</v>
      </c>
    </row>
    <row r="831" spans="1:6" ht="12.75">
      <c r="A831" s="4">
        <v>830</v>
      </c>
      <c r="B831" s="8" t="str">
        <f ca="1">IFERROR(__xludf.DUMMYFUNCTION("""COMPUTED_VALUE"""),"20181029NCBUM")</f>
        <v>20181029NCBUM</v>
      </c>
      <c r="C831" s="8" t="str">
        <f ca="1">IFERROR(__xludf.DUMMYFUNCTION("""COMPUTED_VALUE"""),"Fatal")</f>
        <v>Fatal</v>
      </c>
      <c r="D831" s="8" t="str">
        <f ca="1">IFERROR(__xludf.DUMMYFUNCTION("""COMPUTED_VALUE"""),"Male")</f>
        <v>Male</v>
      </c>
      <c r="E831" s="8" t="str">
        <f ca="1">IFERROR(__xludf.DUMMYFUNCTION("""COMPUTED_VALUE"""),"Student")</f>
        <v>Student</v>
      </c>
      <c r="F831" s="8">
        <f ca="1">IFERROR(__xludf.DUMMYFUNCTION("""COMPUTED_VALUE"""),16)</f>
        <v>16</v>
      </c>
    </row>
    <row r="832" spans="1:6" ht="12.75">
      <c r="A832" s="4">
        <v>831</v>
      </c>
      <c r="B832" s="8" t="str">
        <f ca="1">IFERROR(__xludf.DUMMYFUNCTION("""COMPUTED_VALUE"""),"20181026FLSAO")</f>
        <v>20181026FLSAO</v>
      </c>
      <c r="C832" s="8" t="str">
        <f ca="1">IFERROR(__xludf.DUMMYFUNCTION("""COMPUTED_VALUE"""),"Fatal")</f>
        <v>Fatal</v>
      </c>
      <c r="D832" s="8" t="str">
        <f ca="1">IFERROR(__xludf.DUMMYFUNCTION("""COMPUTED_VALUE"""),"Male")</f>
        <v>Male</v>
      </c>
      <c r="E832" s="8" t="str">
        <f ca="1">IFERROR(__xludf.DUMMYFUNCTION("""COMPUTED_VALUE"""),"No Relation")</f>
        <v>No Relation</v>
      </c>
      <c r="F832" s="8">
        <f ca="1">IFERROR(__xludf.DUMMYFUNCTION("""COMPUTED_VALUE"""),18)</f>
        <v>18</v>
      </c>
    </row>
    <row r="833" spans="1:6" ht="12.75">
      <c r="A833" s="4">
        <v>832</v>
      </c>
      <c r="B833" s="8" t="str">
        <f ca="1">IFERROR(__xludf.DUMMYFUNCTION("""COMPUTED_VALUE"""),"20181025MICOD")</f>
        <v>20181025MICOD</v>
      </c>
      <c r="C833" s="8" t="str">
        <f ca="1">IFERROR(__xludf.DUMMYFUNCTION("""COMPUTED_VALUE"""),"None")</f>
        <v>None</v>
      </c>
      <c r="D833" s="8" t="str">
        <f ca="1">IFERROR(__xludf.DUMMYFUNCTION("""COMPUTED_VALUE"""),"Male")</f>
        <v>Male</v>
      </c>
      <c r="E833" s="8" t="str">
        <f ca="1">IFERROR(__xludf.DUMMYFUNCTION("""COMPUTED_VALUE"""),"Student")</f>
        <v>Student</v>
      </c>
      <c r="F833" s="8">
        <f ca="1">IFERROR(__xludf.DUMMYFUNCTION("""COMPUTED_VALUE"""),15)</f>
        <v>15</v>
      </c>
    </row>
    <row r="834" spans="1:6" ht="12.75">
      <c r="A834" s="4">
        <v>833</v>
      </c>
      <c r="B834" s="8" t="str">
        <f ca="1">IFERROR(__xludf.DUMMYFUNCTION("""COMPUTED_VALUE"""),"20181023NHGOM")</f>
        <v>20181023NHGOM</v>
      </c>
      <c r="C834" s="8" t="str">
        <f ca="1">IFERROR(__xludf.DUMMYFUNCTION("""COMPUTED_VALUE"""),"Wounded")</f>
        <v>Wounded</v>
      </c>
      <c r="D834" s="8" t="str">
        <f ca="1">IFERROR(__xludf.DUMMYFUNCTION("""COMPUTED_VALUE"""),"Female")</f>
        <v>Female</v>
      </c>
      <c r="E834" s="8" t="str">
        <f ca="1">IFERROR(__xludf.DUMMYFUNCTION("""COMPUTED_VALUE"""),"Teacher")</f>
        <v>Teacher</v>
      </c>
      <c r="F834" s="8" t="str">
        <f ca="1">IFERROR(__xludf.DUMMYFUNCTION("""COMPUTED_VALUE"""),"Adult")</f>
        <v>Adult</v>
      </c>
    </row>
    <row r="835" spans="1:6" ht="12.75">
      <c r="A835" s="4">
        <v>834</v>
      </c>
      <c r="B835" s="8" t="str">
        <f ca="1">IFERROR(__xludf.DUMMYFUNCTION("""COMPUTED_VALUE"""),"20181022CTDUB")</f>
        <v>20181022CTDUB</v>
      </c>
      <c r="C835" s="8" t="str">
        <f ca="1">IFERROR(__xludf.DUMMYFUNCTION("""COMPUTED_VALUE"""),"None")</f>
        <v>None</v>
      </c>
      <c r="D835" s="8"/>
      <c r="E835" s="8"/>
      <c r="F835" s="8"/>
    </row>
    <row r="836" spans="1:6" ht="12.75">
      <c r="A836" s="4">
        <v>835</v>
      </c>
      <c r="B836" s="8" t="str">
        <f ca="1">IFERROR(__xludf.DUMMYFUNCTION("""COMPUTED_VALUE"""),"20181020GASHS")</f>
        <v>20181020GASHS</v>
      </c>
      <c r="C836" s="8" t="str">
        <f ca="1">IFERROR(__xludf.DUMMYFUNCTION("""COMPUTED_VALUE"""),"Fatal")</f>
        <v>Fatal</v>
      </c>
      <c r="D836" s="8" t="str">
        <f ca="1">IFERROR(__xludf.DUMMYFUNCTION("""COMPUTED_VALUE"""),"Male")</f>
        <v>Male</v>
      </c>
      <c r="E836" s="8" t="str">
        <f ca="1">IFERROR(__xludf.DUMMYFUNCTION("""COMPUTED_VALUE"""),"Police Officer/SRO")</f>
        <v>Police Officer/SRO</v>
      </c>
      <c r="F836" s="8" t="str">
        <f ca="1">IFERROR(__xludf.DUMMYFUNCTION("""COMPUTED_VALUE"""),"Adult")</f>
        <v>Adult</v>
      </c>
    </row>
    <row r="837" spans="1:6" ht="12.75">
      <c r="A837" s="4">
        <v>836</v>
      </c>
      <c r="B837" s="8" t="str">
        <f ca="1">IFERROR(__xludf.DUMMYFUNCTION("""COMPUTED_VALUE"""),"20181013TNMCN")</f>
        <v>20181013TNMCN</v>
      </c>
      <c r="C837" s="8" t="str">
        <f ca="1">IFERROR(__xludf.DUMMYFUNCTION("""COMPUTED_VALUE"""),"Wounded")</f>
        <v>Wounded</v>
      </c>
      <c r="D837" s="8" t="str">
        <f ca="1">IFERROR(__xludf.DUMMYFUNCTION("""COMPUTED_VALUE"""),"Male")</f>
        <v>Male</v>
      </c>
      <c r="E837" s="8"/>
      <c r="F837" s="8" t="str">
        <f ca="1">IFERROR(__xludf.DUMMYFUNCTION("""COMPUTED_VALUE"""),"Adult")</f>
        <v>Adult</v>
      </c>
    </row>
    <row r="838" spans="1:6" ht="12.75">
      <c r="A838" s="4">
        <v>837</v>
      </c>
      <c r="B838" s="8" t="str">
        <f ca="1">IFERROR(__xludf.DUMMYFUNCTION("""COMPUTED_VALUE"""),"20181013TNMCN")</f>
        <v>20181013TNMCN</v>
      </c>
      <c r="C838" s="8" t="str">
        <f ca="1">IFERROR(__xludf.DUMMYFUNCTION("""COMPUTED_VALUE"""),"Fatal")</f>
        <v>Fatal</v>
      </c>
      <c r="D838" s="8" t="str">
        <f ca="1">IFERROR(__xludf.DUMMYFUNCTION("""COMPUTED_VALUE"""),"Male")</f>
        <v>Male</v>
      </c>
      <c r="E838" s="8"/>
      <c r="F838" s="8">
        <f ca="1">IFERROR(__xludf.DUMMYFUNCTION("""COMPUTED_VALUE"""),18)</f>
        <v>18</v>
      </c>
    </row>
    <row r="839" spans="1:6" ht="12.75">
      <c r="A839" s="4">
        <v>838</v>
      </c>
      <c r="B839" s="8" t="str">
        <f ca="1">IFERROR(__xludf.DUMMYFUNCTION("""COMPUTED_VALUE"""),"20181012MIBAB")</f>
        <v>20181012MIBAB</v>
      </c>
      <c r="C839" s="8" t="str">
        <f ca="1">IFERROR(__xludf.DUMMYFUNCTION("""COMPUTED_VALUE"""),"None")</f>
        <v>None</v>
      </c>
      <c r="D839" s="8"/>
      <c r="E839" s="8"/>
      <c r="F839" s="8"/>
    </row>
    <row r="840" spans="1:6" ht="12.75">
      <c r="A840" s="4">
        <v>839</v>
      </c>
      <c r="B840" s="8" t="str">
        <f ca="1">IFERROR(__xludf.DUMMYFUNCTION("""COMPUTED_VALUE"""),"20181007VAVAH")</f>
        <v>20181007VAVAH</v>
      </c>
      <c r="C840" s="8" t="str">
        <f ca="1">IFERROR(__xludf.DUMMYFUNCTION("""COMPUTED_VALUE"""),"Wounded")</f>
        <v>Wounded</v>
      </c>
      <c r="D840" s="8" t="str">
        <f ca="1">IFERROR(__xludf.DUMMYFUNCTION("""COMPUTED_VALUE"""),"Male")</f>
        <v>Male</v>
      </c>
      <c r="E840" s="8" t="str">
        <f ca="1">IFERROR(__xludf.DUMMYFUNCTION("""COMPUTED_VALUE"""),"Other Staff")</f>
        <v>Other Staff</v>
      </c>
      <c r="F840" s="8" t="str">
        <f ca="1">IFERROR(__xludf.DUMMYFUNCTION("""COMPUTED_VALUE"""),"Adult")</f>
        <v>Adult</v>
      </c>
    </row>
    <row r="841" spans="1:6" ht="12.75">
      <c r="A841" s="4">
        <v>840</v>
      </c>
      <c r="B841" s="8" t="str">
        <f ca="1">IFERROR(__xludf.DUMMYFUNCTION("""COMPUTED_VALUE"""),"20181005VALAN")</f>
        <v>20181005VALAN</v>
      </c>
      <c r="C841" s="8" t="str">
        <f ca="1">IFERROR(__xludf.DUMMYFUNCTION("""COMPUTED_VALUE"""),"Wounded")</f>
        <v>Wounded</v>
      </c>
      <c r="D841" s="8"/>
      <c r="E841" s="8"/>
      <c r="F841" s="8"/>
    </row>
    <row r="842" spans="1:6" ht="12.75">
      <c r="A842" s="4">
        <v>841</v>
      </c>
      <c r="B842" s="8" t="str">
        <f ca="1">IFERROR(__xludf.DUMMYFUNCTION("""COMPUTED_VALUE"""),"20181005TNHAB")</f>
        <v>20181005TNHAB</v>
      </c>
      <c r="C842" s="8" t="str">
        <f ca="1">IFERROR(__xludf.DUMMYFUNCTION("""COMPUTED_VALUE"""),"Wounded")</f>
        <v>Wounded</v>
      </c>
      <c r="D842" s="8" t="str">
        <f ca="1">IFERROR(__xludf.DUMMYFUNCTION("""COMPUTED_VALUE"""),"Unknown")</f>
        <v>Unknown</v>
      </c>
      <c r="E842" s="8" t="str">
        <f ca="1">IFERROR(__xludf.DUMMYFUNCTION("""COMPUTED_VALUE"""),"Student")</f>
        <v>Student</v>
      </c>
      <c r="F842" s="8" t="str">
        <f ca="1">IFERROR(__xludf.DUMMYFUNCTION("""COMPUTED_VALUE"""),"Teen")</f>
        <v>Teen</v>
      </c>
    </row>
    <row r="843" spans="1:6" ht="12.75">
      <c r="A843" s="4">
        <v>842</v>
      </c>
      <c r="B843" s="8" t="str">
        <f ca="1">IFERROR(__xludf.DUMMYFUNCTION("""COMPUTED_VALUE"""),"20181005TNHAB")</f>
        <v>20181005TNHAB</v>
      </c>
      <c r="C843" s="8" t="str">
        <f ca="1">IFERROR(__xludf.DUMMYFUNCTION("""COMPUTED_VALUE"""),"Wounded")</f>
        <v>Wounded</v>
      </c>
      <c r="D843" s="8" t="str">
        <f ca="1">IFERROR(__xludf.DUMMYFUNCTION("""COMPUTED_VALUE"""),"Unknown")</f>
        <v>Unknown</v>
      </c>
      <c r="E843" s="8" t="str">
        <f ca="1">IFERROR(__xludf.DUMMYFUNCTION("""COMPUTED_VALUE"""),"Student")</f>
        <v>Student</v>
      </c>
      <c r="F843" s="8" t="str">
        <f ca="1">IFERROR(__xludf.DUMMYFUNCTION("""COMPUTED_VALUE"""),"Teen")</f>
        <v>Teen</v>
      </c>
    </row>
    <row r="844" spans="1:6" ht="12.75">
      <c r="A844" s="4">
        <v>843</v>
      </c>
      <c r="B844" s="8" t="str">
        <f ca="1">IFERROR(__xludf.DUMMYFUNCTION("""COMPUTED_VALUE"""),"20181004ORJAP")</f>
        <v>20181004ORJAP</v>
      </c>
      <c r="C844" s="8" t="str">
        <f ca="1">IFERROR(__xludf.DUMMYFUNCTION("""COMPUTED_VALUE"""),"None")</f>
        <v>None</v>
      </c>
      <c r="D844" s="8"/>
      <c r="E844" s="8"/>
      <c r="F844" s="8"/>
    </row>
    <row r="845" spans="1:6" ht="12.75">
      <c r="A845" s="4">
        <v>844</v>
      </c>
      <c r="B845" s="8" t="str">
        <f ca="1">IFERROR(__xludf.DUMMYFUNCTION("""COMPUTED_VALUE"""),"20181003AKDEA")</f>
        <v>20181003AKDEA</v>
      </c>
      <c r="C845" s="8" t="str">
        <f ca="1">IFERROR(__xludf.DUMMYFUNCTION("""COMPUTED_VALUE"""),"Wounded")</f>
        <v>Wounded</v>
      </c>
      <c r="D845" s="8" t="str">
        <f ca="1">IFERROR(__xludf.DUMMYFUNCTION("""COMPUTED_VALUE"""),"Male")</f>
        <v>Male</v>
      </c>
      <c r="E845" s="8" t="str">
        <f ca="1">IFERROR(__xludf.DUMMYFUNCTION("""COMPUTED_VALUE"""),"Relative")</f>
        <v>Relative</v>
      </c>
      <c r="F845" s="8" t="str">
        <f ca="1">IFERROR(__xludf.DUMMYFUNCTION("""COMPUTED_VALUE"""),"Adult")</f>
        <v>Adult</v>
      </c>
    </row>
    <row r="846" spans="1:6" ht="12.75">
      <c r="A846" s="4">
        <v>845</v>
      </c>
      <c r="B846" s="8" t="str">
        <f ca="1">IFERROR(__xludf.DUMMYFUNCTION("""COMPUTED_VALUE"""),"20181002ARCHL")</f>
        <v>20181002ARCHL</v>
      </c>
      <c r="C846" s="8" t="str">
        <f ca="1">IFERROR(__xludf.DUMMYFUNCTION("""COMPUTED_VALUE"""),"None")</f>
        <v>None</v>
      </c>
      <c r="D846" s="8"/>
      <c r="E846" s="8"/>
      <c r="F846" s="8"/>
    </row>
    <row r="847" spans="1:6" ht="12.75">
      <c r="A847" s="4">
        <v>846</v>
      </c>
      <c r="B847" s="8" t="str">
        <f ca="1">IFERROR(__xludf.DUMMYFUNCTION("""COMPUTED_VALUE"""),"20180928SDCHC")</f>
        <v>20180928SDCHC</v>
      </c>
      <c r="C847" s="8" t="str">
        <f ca="1">IFERROR(__xludf.DUMMYFUNCTION("""COMPUTED_VALUE"""),"None")</f>
        <v>None</v>
      </c>
      <c r="D847" s="8" t="str">
        <f ca="1">IFERROR(__xludf.DUMMYFUNCTION("""COMPUTED_VALUE"""),"Male")</f>
        <v>Male</v>
      </c>
      <c r="E847" s="8" t="str">
        <f ca="1">IFERROR(__xludf.DUMMYFUNCTION("""COMPUTED_VALUE"""),"No Relation")</f>
        <v>No Relation</v>
      </c>
      <c r="F847" s="8">
        <f ca="1">IFERROR(__xludf.DUMMYFUNCTION("""COMPUTED_VALUE"""),20)</f>
        <v>20</v>
      </c>
    </row>
    <row r="848" spans="1:6" ht="12.75">
      <c r="A848" s="4">
        <v>847</v>
      </c>
      <c r="B848" s="8" t="str">
        <f ca="1">IFERROR(__xludf.DUMMYFUNCTION("""COMPUTED_VALUE"""),"20180927TXHEC")</f>
        <v>20180927TXHEC</v>
      </c>
      <c r="C848" s="8" t="str">
        <f ca="1">IFERROR(__xludf.DUMMYFUNCTION("""COMPUTED_VALUE"""),"Wounded")</f>
        <v>Wounded</v>
      </c>
      <c r="D848" s="8" t="str">
        <f ca="1">IFERROR(__xludf.DUMMYFUNCTION("""COMPUTED_VALUE"""),"Male")</f>
        <v>Male</v>
      </c>
      <c r="E848" s="8" t="str">
        <f ca="1">IFERROR(__xludf.DUMMYFUNCTION("""COMPUTED_VALUE"""),"Nonstudent")</f>
        <v>Nonstudent</v>
      </c>
      <c r="F848" s="8">
        <f ca="1">IFERROR(__xludf.DUMMYFUNCTION("""COMPUTED_VALUE"""),31)</f>
        <v>31</v>
      </c>
    </row>
    <row r="849" spans="1:6" ht="12.75">
      <c r="A849" s="4">
        <v>848</v>
      </c>
      <c r="B849" s="8" t="str">
        <f ca="1">IFERROR(__xludf.DUMMYFUNCTION("""COMPUTED_VALUE"""),"20180926MDMAB")</f>
        <v>20180926MDMAB</v>
      </c>
      <c r="C849" s="8" t="str">
        <f ca="1">IFERROR(__xludf.DUMMYFUNCTION("""COMPUTED_VALUE"""),"None")</f>
        <v>None</v>
      </c>
      <c r="D849" s="8"/>
      <c r="E849" s="8"/>
      <c r="F849" s="8"/>
    </row>
    <row r="850" spans="1:6" ht="12.75">
      <c r="A850" s="4">
        <v>849</v>
      </c>
      <c r="B850" s="8" t="str">
        <f ca="1">IFERROR(__xludf.DUMMYFUNCTION("""COMPUTED_VALUE"""),"20180924PACEP")</f>
        <v>20180924PACEP</v>
      </c>
      <c r="C850" s="8" t="str">
        <f ca="1">IFERROR(__xludf.DUMMYFUNCTION("""COMPUTED_VALUE"""),"Fatal")</f>
        <v>Fatal</v>
      </c>
      <c r="D850" s="8" t="str">
        <f ca="1">IFERROR(__xludf.DUMMYFUNCTION("""COMPUTED_VALUE"""),"Female")</f>
        <v>Female</v>
      </c>
      <c r="E850" s="8" t="str">
        <f ca="1">IFERROR(__xludf.DUMMYFUNCTION("""COMPUTED_VALUE"""),"Student")</f>
        <v>Student</v>
      </c>
      <c r="F850" s="8">
        <f ca="1">IFERROR(__xludf.DUMMYFUNCTION("""COMPUTED_VALUE"""),17)</f>
        <v>17</v>
      </c>
    </row>
    <row r="851" spans="1:6" ht="12.75">
      <c r="A851" s="4">
        <v>850</v>
      </c>
      <c r="B851" s="8" t="str">
        <f ca="1">IFERROR(__xludf.DUMMYFUNCTION("""COMPUTED_VALUE"""),"20180924NCLAC")</f>
        <v>20180924NCLAC</v>
      </c>
      <c r="C851" s="8" t="str">
        <f ca="1">IFERROR(__xludf.DUMMYFUNCTION("""COMPUTED_VALUE"""),"None")</f>
        <v>None</v>
      </c>
      <c r="D851" s="8"/>
      <c r="E851" s="8"/>
      <c r="F851" s="8"/>
    </row>
    <row r="852" spans="1:6" ht="12.75">
      <c r="A852" s="4">
        <v>851</v>
      </c>
      <c r="B852" s="8" t="str">
        <f ca="1">IFERROR(__xludf.DUMMYFUNCTION("""COMPUTED_VALUE"""),"20180924GAAPB")</f>
        <v>20180924GAAPB</v>
      </c>
      <c r="C852" s="8" t="str">
        <f ca="1">IFERROR(__xludf.DUMMYFUNCTION("""COMPUTED_VALUE"""),"None")</f>
        <v>None</v>
      </c>
      <c r="D852" s="8" t="str">
        <f ca="1">IFERROR(__xludf.DUMMYFUNCTION("""COMPUTED_VALUE"""),"Male")</f>
        <v>Male</v>
      </c>
      <c r="E852" s="8" t="str">
        <f ca="1">IFERROR(__xludf.DUMMYFUNCTION("""COMPUTED_VALUE"""),"Student")</f>
        <v>Student</v>
      </c>
      <c r="F852" s="8" t="str">
        <f ca="1">IFERROR(__xludf.DUMMYFUNCTION("""COMPUTED_VALUE"""),"Teen")</f>
        <v>Teen</v>
      </c>
    </row>
    <row r="853" spans="1:6" ht="12.75">
      <c r="A853" s="4">
        <v>852</v>
      </c>
      <c r="B853" s="8" t="str">
        <f ca="1">IFERROR(__xludf.DUMMYFUNCTION("""COMPUTED_VALUE"""),"20180920CAPOP")</f>
        <v>20180920CAPOP</v>
      </c>
      <c r="C853" s="8" t="str">
        <f ca="1">IFERROR(__xludf.DUMMYFUNCTION("""COMPUTED_VALUE"""),"None")</f>
        <v>None</v>
      </c>
      <c r="D853" s="8"/>
      <c r="E853" s="8"/>
      <c r="F853" s="8"/>
    </row>
    <row r="854" spans="1:6" ht="12.75">
      <c r="A854" s="4">
        <v>853</v>
      </c>
      <c r="B854" s="8" t="str">
        <f ca="1">IFERROR(__xludf.DUMMYFUNCTION("""COMPUTED_VALUE"""),"20180920CACHL")</f>
        <v>20180920CACHL</v>
      </c>
      <c r="C854" s="8" t="str">
        <f ca="1">IFERROR(__xludf.DUMMYFUNCTION("""COMPUTED_VALUE"""),"Wounded")</f>
        <v>Wounded</v>
      </c>
      <c r="D854" s="8"/>
      <c r="E854" s="8" t="str">
        <f ca="1">IFERROR(__xludf.DUMMYFUNCTION("""COMPUTED_VALUE"""),"Student")</f>
        <v>Student</v>
      </c>
      <c r="F854" s="8" t="str">
        <f ca="1">IFERROR(__xludf.DUMMYFUNCTION("""COMPUTED_VALUE"""),"Teen")</f>
        <v>Teen</v>
      </c>
    </row>
    <row r="855" spans="1:6" ht="12.75">
      <c r="A855" s="4">
        <v>854</v>
      </c>
      <c r="B855" s="8" t="str">
        <f ca="1">IFERROR(__xludf.DUMMYFUNCTION("""COMPUTED_VALUE"""),"20180920CACHL")</f>
        <v>20180920CACHL</v>
      </c>
      <c r="C855" s="8" t="str">
        <f ca="1">IFERROR(__xludf.DUMMYFUNCTION("""COMPUTED_VALUE"""),"Wounded")</f>
        <v>Wounded</v>
      </c>
      <c r="D855" s="8"/>
      <c r="E855" s="8" t="str">
        <f ca="1">IFERROR(__xludf.DUMMYFUNCTION("""COMPUTED_VALUE"""),"Other Staff")</f>
        <v>Other Staff</v>
      </c>
      <c r="F855" s="8" t="str">
        <f ca="1">IFERROR(__xludf.DUMMYFUNCTION("""COMPUTED_VALUE"""),"Adult")</f>
        <v>Adult</v>
      </c>
    </row>
    <row r="856" spans="1:6" ht="12.75">
      <c r="A856" s="4">
        <v>855</v>
      </c>
      <c r="B856" s="8" t="str">
        <f ca="1">IFERROR(__xludf.DUMMYFUNCTION("""COMPUTED_VALUE"""),"20180917ALBLH")</f>
        <v>20180917ALBLH</v>
      </c>
      <c r="C856" s="8" t="str">
        <f ca="1">IFERROR(__xludf.DUMMYFUNCTION("""COMPUTED_VALUE"""),"Wounded")</f>
        <v>Wounded</v>
      </c>
      <c r="D856" s="8" t="str">
        <f ca="1">IFERROR(__xludf.DUMMYFUNCTION("""COMPUTED_VALUE"""),"Male")</f>
        <v>Male</v>
      </c>
      <c r="E856" s="8" t="str">
        <f ca="1">IFERROR(__xludf.DUMMYFUNCTION("""COMPUTED_VALUE"""),"Student")</f>
        <v>Student</v>
      </c>
      <c r="F856" s="8">
        <f ca="1">IFERROR(__xludf.DUMMYFUNCTION("""COMPUTED_VALUE"""),7)</f>
        <v>7</v>
      </c>
    </row>
    <row r="857" spans="1:6" ht="12.75">
      <c r="A857" s="4">
        <v>856</v>
      </c>
      <c r="B857" s="8" t="str">
        <f ca="1">IFERROR(__xludf.DUMMYFUNCTION("""COMPUTED_VALUE"""),"20180914WAMAE")</f>
        <v>20180914WAMAE</v>
      </c>
      <c r="C857" s="8" t="str">
        <f ca="1">IFERROR(__xludf.DUMMYFUNCTION("""COMPUTED_VALUE"""),"None")</f>
        <v>None</v>
      </c>
      <c r="D857" s="8"/>
      <c r="E857" s="8"/>
      <c r="F857" s="8"/>
    </row>
    <row r="858" spans="1:6" ht="12.75">
      <c r="A858" s="4">
        <v>857</v>
      </c>
      <c r="B858" s="8" t="str">
        <f ca="1">IFERROR(__xludf.DUMMYFUNCTION("""COMPUTED_VALUE"""),"20180914FLBOB")</f>
        <v>20180914FLBOB</v>
      </c>
      <c r="C858" s="8" t="str">
        <f ca="1">IFERROR(__xludf.DUMMYFUNCTION("""COMPUTED_VALUE"""),"None")</f>
        <v>None</v>
      </c>
      <c r="D858" s="8"/>
      <c r="E858" s="8"/>
      <c r="F858" s="8"/>
    </row>
    <row r="859" spans="1:6" ht="12.75">
      <c r="A859" s="4">
        <v>858</v>
      </c>
      <c r="B859" s="8" t="str">
        <f ca="1">IFERROR(__xludf.DUMMYFUNCTION("""COMPUTED_VALUE"""),"20180911NVCAL")</f>
        <v>20180911NVCAL</v>
      </c>
      <c r="C859" s="8" t="str">
        <f ca="1">IFERROR(__xludf.DUMMYFUNCTION("""COMPUTED_VALUE"""),"Fatal")</f>
        <v>Fatal</v>
      </c>
      <c r="D859" s="8" t="str">
        <f ca="1">IFERROR(__xludf.DUMMYFUNCTION("""COMPUTED_VALUE"""),"Male")</f>
        <v>Male</v>
      </c>
      <c r="E859" s="8" t="str">
        <f ca="1">IFERROR(__xludf.DUMMYFUNCTION("""COMPUTED_VALUE"""),"Student")</f>
        <v>Student</v>
      </c>
      <c r="F859" s="8">
        <f ca="1">IFERROR(__xludf.DUMMYFUNCTION("""COMPUTED_VALUE"""),18)</f>
        <v>18</v>
      </c>
    </row>
    <row r="860" spans="1:6" ht="12.75">
      <c r="A860" s="4">
        <v>859</v>
      </c>
      <c r="B860" s="8" t="str">
        <f ca="1">IFERROR(__xludf.DUMMYFUNCTION("""COMPUTED_VALUE"""),"20180910TNFAM")</f>
        <v>20180910TNFAM</v>
      </c>
      <c r="C860" s="8" t="str">
        <f ca="1">IFERROR(__xludf.DUMMYFUNCTION("""COMPUTED_VALUE"""),"Wounded")</f>
        <v>Wounded</v>
      </c>
      <c r="D860" s="8" t="str">
        <f ca="1">IFERROR(__xludf.DUMMYFUNCTION("""COMPUTED_VALUE"""),"Female")</f>
        <v>Female</v>
      </c>
      <c r="E860" s="8" t="str">
        <f ca="1">IFERROR(__xludf.DUMMYFUNCTION("""COMPUTED_VALUE"""),"Student")</f>
        <v>Student</v>
      </c>
      <c r="F860" s="8">
        <f ca="1">IFERROR(__xludf.DUMMYFUNCTION("""COMPUTED_VALUE"""),15)</f>
        <v>15</v>
      </c>
    </row>
    <row r="861" spans="1:6" ht="12.75">
      <c r="A861" s="4">
        <v>860</v>
      </c>
      <c r="B861" s="8" t="str">
        <f ca="1">IFERROR(__xludf.DUMMYFUNCTION("""COMPUTED_VALUE"""),"20180910ILCHC")</f>
        <v>20180910ILCHC</v>
      </c>
      <c r="C861" s="8" t="str">
        <f ca="1">IFERROR(__xludf.DUMMYFUNCTION("""COMPUTED_VALUE"""),"Wounded")</f>
        <v>Wounded</v>
      </c>
      <c r="D861" s="8" t="str">
        <f ca="1">IFERROR(__xludf.DUMMYFUNCTION("""COMPUTED_VALUE"""),"Male")</f>
        <v>Male</v>
      </c>
      <c r="E861" s="8" t="str">
        <f ca="1">IFERROR(__xludf.DUMMYFUNCTION("""COMPUTED_VALUE"""),"Student")</f>
        <v>Student</v>
      </c>
      <c r="F861" s="8">
        <f ca="1">IFERROR(__xludf.DUMMYFUNCTION("""COMPUTED_VALUE"""),16)</f>
        <v>16</v>
      </c>
    </row>
    <row r="862" spans="1:6" ht="12.75">
      <c r="A862" s="4">
        <v>861</v>
      </c>
      <c r="B862" s="8" t="str">
        <f ca="1">IFERROR(__xludf.DUMMYFUNCTION("""COMPUTED_VALUE"""),"20180910ILCHC")</f>
        <v>20180910ILCHC</v>
      </c>
      <c r="C862" s="8" t="str">
        <f ca="1">IFERROR(__xludf.DUMMYFUNCTION("""COMPUTED_VALUE"""),"Wounded")</f>
        <v>Wounded</v>
      </c>
      <c r="D862" s="8" t="str">
        <f ca="1">IFERROR(__xludf.DUMMYFUNCTION("""COMPUTED_VALUE"""),"Male")</f>
        <v>Male</v>
      </c>
      <c r="E862" s="8" t="str">
        <f ca="1">IFERROR(__xludf.DUMMYFUNCTION("""COMPUTED_VALUE"""),"Student")</f>
        <v>Student</v>
      </c>
      <c r="F862" s="8">
        <f ca="1">IFERROR(__xludf.DUMMYFUNCTION("""COMPUTED_VALUE"""),17)</f>
        <v>17</v>
      </c>
    </row>
    <row r="863" spans="1:6" ht="12.75">
      <c r="A863" s="4">
        <v>862</v>
      </c>
      <c r="B863" s="8" t="str">
        <f ca="1">IFERROR(__xludf.DUMMYFUNCTION("""COMPUTED_VALUE"""),"20180910ILCHC")</f>
        <v>20180910ILCHC</v>
      </c>
      <c r="C863" s="8" t="str">
        <f ca="1">IFERROR(__xludf.DUMMYFUNCTION("""COMPUTED_VALUE"""),"Wounded")</f>
        <v>Wounded</v>
      </c>
      <c r="D863" s="8" t="str">
        <f ca="1">IFERROR(__xludf.DUMMYFUNCTION("""COMPUTED_VALUE"""),"Male")</f>
        <v>Male</v>
      </c>
      <c r="E863" s="8" t="str">
        <f ca="1">IFERROR(__xludf.DUMMYFUNCTION("""COMPUTED_VALUE"""),"Student")</f>
        <v>Student</v>
      </c>
      <c r="F863" s="8">
        <f ca="1">IFERROR(__xludf.DUMMYFUNCTION("""COMPUTED_VALUE"""),18)</f>
        <v>18</v>
      </c>
    </row>
    <row r="864" spans="1:6" ht="12.75">
      <c r="A864" s="4">
        <v>863</v>
      </c>
      <c r="B864" s="8" t="str">
        <f ca="1">IFERROR(__xludf.DUMMYFUNCTION("""COMPUTED_VALUE"""),"20180909CAGIG")</f>
        <v>20180909CAGIG</v>
      </c>
      <c r="C864" s="8" t="str">
        <f ca="1">IFERROR(__xludf.DUMMYFUNCTION("""COMPUTED_VALUE"""),"None")</f>
        <v>None</v>
      </c>
      <c r="D864" s="8"/>
      <c r="E864" s="8"/>
      <c r="F864" s="8"/>
    </row>
    <row r="865" spans="1:6" ht="12.75">
      <c r="A865" s="4">
        <v>864</v>
      </c>
      <c r="B865" s="8" t="str">
        <f ca="1">IFERROR(__xludf.DUMMYFUNCTION("""COMPUTED_VALUE"""),"20180907IAHED")</f>
        <v>20180907IAHED</v>
      </c>
      <c r="C865" s="8" t="str">
        <f ca="1">IFERROR(__xludf.DUMMYFUNCTION("""COMPUTED_VALUE"""),"None")</f>
        <v>None</v>
      </c>
      <c r="D865" s="8"/>
      <c r="E865" s="8"/>
      <c r="F865" s="8"/>
    </row>
    <row r="866" spans="1:6" ht="12.75">
      <c r="A866" s="4">
        <v>865</v>
      </c>
      <c r="B866" s="8" t="str">
        <f ca="1">IFERROR(__xludf.DUMMYFUNCTION("""COMPUTED_VALUE"""),"20180905RIPRP")</f>
        <v>20180905RIPRP</v>
      </c>
      <c r="C866" s="8" t="str">
        <f ca="1">IFERROR(__xludf.DUMMYFUNCTION("""COMPUTED_VALUE"""),"Fatal")</f>
        <v>Fatal</v>
      </c>
      <c r="D866" s="8" t="str">
        <f ca="1">IFERROR(__xludf.DUMMYFUNCTION("""COMPUTED_VALUE"""),"Male")</f>
        <v>Male</v>
      </c>
      <c r="E866" s="8" t="str">
        <f ca="1">IFERROR(__xludf.DUMMYFUNCTION("""COMPUTED_VALUE"""),"Visiting Student")</f>
        <v>Visiting Student</v>
      </c>
      <c r="F866" s="8">
        <f ca="1">IFERROR(__xludf.DUMMYFUNCTION("""COMPUTED_VALUE"""),15)</f>
        <v>15</v>
      </c>
    </row>
    <row r="867" spans="1:6" ht="12.75">
      <c r="A867" s="4">
        <v>866</v>
      </c>
      <c r="B867" s="8" t="str">
        <f ca="1">IFERROR(__xludf.DUMMYFUNCTION("""COMPUTED_VALUE"""),"20180903NYLUN")</f>
        <v>20180903NYLUN</v>
      </c>
      <c r="C867" s="8" t="str">
        <f ca="1">IFERROR(__xludf.DUMMYFUNCTION("""COMPUTED_VALUE"""),"Fatal")</f>
        <v>Fatal</v>
      </c>
      <c r="D867" s="8" t="str">
        <f ca="1">IFERROR(__xludf.DUMMYFUNCTION("""COMPUTED_VALUE"""),"Male")</f>
        <v>Male</v>
      </c>
      <c r="E867" s="8" t="str">
        <f ca="1">IFERROR(__xludf.DUMMYFUNCTION("""COMPUTED_VALUE"""),"No Relation")</f>
        <v>No Relation</v>
      </c>
      <c r="F867" s="8">
        <f ca="1">IFERROR(__xludf.DUMMYFUNCTION("""COMPUTED_VALUE"""),34)</f>
        <v>34</v>
      </c>
    </row>
    <row r="868" spans="1:6" ht="12.75">
      <c r="A868" s="4">
        <v>867</v>
      </c>
      <c r="B868" s="8" t="str">
        <f ca="1">IFERROR(__xludf.DUMMYFUNCTION("""COMPUTED_VALUE"""),"20180831IANOE")</f>
        <v>20180831IANOE</v>
      </c>
      <c r="C868" s="8" t="str">
        <f ca="1">IFERROR(__xludf.DUMMYFUNCTION("""COMPUTED_VALUE"""),"None")</f>
        <v>None</v>
      </c>
      <c r="D868" s="8" t="str">
        <f ca="1">IFERROR(__xludf.DUMMYFUNCTION("""COMPUTED_VALUE"""),"Female")</f>
        <v>Female</v>
      </c>
      <c r="E868" s="8" t="str">
        <f ca="1">IFERROR(__xludf.DUMMYFUNCTION("""COMPUTED_VALUE"""),"Teacher")</f>
        <v>Teacher</v>
      </c>
      <c r="F868" s="8" t="str">
        <f ca="1">IFERROR(__xludf.DUMMYFUNCTION("""COMPUTED_VALUE"""),"Adult")</f>
        <v>Adult</v>
      </c>
    </row>
    <row r="869" spans="1:6" ht="12.75">
      <c r="A869" s="4">
        <v>868</v>
      </c>
      <c r="B869" s="8" t="str">
        <f ca="1">IFERROR(__xludf.DUMMYFUNCTION("""COMPUTED_VALUE"""),"20180831CABAS")</f>
        <v>20180831CABAS</v>
      </c>
      <c r="C869" s="8" t="str">
        <f ca="1">IFERROR(__xludf.DUMMYFUNCTION("""COMPUTED_VALUE"""),"None")</f>
        <v>None</v>
      </c>
      <c r="D869" s="8"/>
      <c r="E869" s="8"/>
      <c r="F869" s="8"/>
    </row>
    <row r="870" spans="1:6" ht="12.75">
      <c r="A870" s="4">
        <v>869</v>
      </c>
      <c r="B870" s="8" t="str">
        <f ca="1">IFERROR(__xludf.DUMMYFUNCTION("""COMPUTED_VALUE"""),"20180830NCVIC")</f>
        <v>20180830NCVIC</v>
      </c>
      <c r="C870" s="8" t="str">
        <f ca="1">IFERROR(__xludf.DUMMYFUNCTION("""COMPUTED_VALUE"""),"None")</f>
        <v>None</v>
      </c>
      <c r="D870" s="8" t="str">
        <f ca="1">IFERROR(__xludf.DUMMYFUNCTION("""COMPUTED_VALUE"""),"Female")</f>
        <v>Female</v>
      </c>
      <c r="E870" s="8" t="str">
        <f ca="1">IFERROR(__xludf.DUMMYFUNCTION("""COMPUTED_VALUE"""),"Intimate Relationship")</f>
        <v>Intimate Relationship</v>
      </c>
      <c r="F870" s="8" t="str">
        <f ca="1">IFERROR(__xludf.DUMMYFUNCTION("""COMPUTED_VALUE"""),"Adult")</f>
        <v>Adult</v>
      </c>
    </row>
    <row r="871" spans="1:6" ht="12.75">
      <c r="A871" s="4">
        <v>870</v>
      </c>
      <c r="B871" s="8" t="str">
        <f ca="1">IFERROR(__xludf.DUMMYFUNCTION("""COMPUTED_VALUE"""),"20180830MIOTG")</f>
        <v>20180830MIOTG</v>
      </c>
      <c r="C871" s="8" t="str">
        <f ca="1">IFERROR(__xludf.DUMMYFUNCTION("""COMPUTED_VALUE"""),"Wounded")</f>
        <v>Wounded</v>
      </c>
      <c r="D871" s="8" t="str">
        <f ca="1">IFERROR(__xludf.DUMMYFUNCTION("""COMPUTED_VALUE"""),"Male")</f>
        <v>Male</v>
      </c>
      <c r="E871" s="8" t="str">
        <f ca="1">IFERROR(__xludf.DUMMYFUNCTION("""COMPUTED_VALUE"""),"No Relation")</f>
        <v>No Relation</v>
      </c>
      <c r="F871" s="8">
        <f ca="1">IFERROR(__xludf.DUMMYFUNCTION("""COMPUTED_VALUE"""),17)</f>
        <v>17</v>
      </c>
    </row>
    <row r="872" spans="1:6" ht="12.75">
      <c r="A872" s="4">
        <v>871</v>
      </c>
      <c r="B872" s="8" t="str">
        <f ca="1">IFERROR(__xludf.DUMMYFUNCTION("""COMPUTED_VALUE"""),"20180829DETOD")</f>
        <v>20180829DETOD</v>
      </c>
      <c r="C872" s="8" t="str">
        <f ca="1">IFERROR(__xludf.DUMMYFUNCTION("""COMPUTED_VALUE"""),"Fatal")</f>
        <v>Fatal</v>
      </c>
      <c r="D872" s="8" t="str">
        <f ca="1">IFERROR(__xludf.DUMMYFUNCTION("""COMPUTED_VALUE"""),"Male")</f>
        <v>Male</v>
      </c>
      <c r="E872" s="8" t="str">
        <f ca="1">IFERROR(__xludf.DUMMYFUNCTION("""COMPUTED_VALUE"""),"No Relation")</f>
        <v>No Relation</v>
      </c>
      <c r="F872" s="8">
        <f ca="1">IFERROR(__xludf.DUMMYFUNCTION("""COMPUTED_VALUE"""),39)</f>
        <v>39</v>
      </c>
    </row>
    <row r="873" spans="1:6" ht="12.75">
      <c r="A873" s="4">
        <v>872</v>
      </c>
      <c r="B873" s="8" t="str">
        <f ca="1">IFERROR(__xludf.DUMMYFUNCTION("""COMPUTED_VALUE"""),"20180828COCOD")</f>
        <v>20180828COCOD</v>
      </c>
      <c r="C873" s="8" t="str">
        <f ca="1">IFERROR(__xludf.DUMMYFUNCTION("""COMPUTED_VALUE"""),"Wounded")</f>
        <v>Wounded</v>
      </c>
      <c r="D873" s="8" t="str">
        <f ca="1">IFERROR(__xludf.DUMMYFUNCTION("""COMPUTED_VALUE"""),"Male")</f>
        <v>Male</v>
      </c>
      <c r="E873" s="8" t="str">
        <f ca="1">IFERROR(__xludf.DUMMYFUNCTION("""COMPUTED_VALUE"""),"Student")</f>
        <v>Student</v>
      </c>
      <c r="F873" s="8" t="str">
        <f ca="1">IFERROR(__xludf.DUMMYFUNCTION("""COMPUTED_VALUE"""),"Teen")</f>
        <v>Teen</v>
      </c>
    </row>
    <row r="874" spans="1:6" ht="12.75">
      <c r="A874" s="4">
        <v>873</v>
      </c>
      <c r="B874" s="8" t="str">
        <f ca="1">IFERROR(__xludf.DUMMYFUNCTION("""COMPUTED_VALUE"""),"20180824ILMEC")</f>
        <v>20180824ILMEC</v>
      </c>
      <c r="C874" s="8" t="str">
        <f ca="1">IFERROR(__xludf.DUMMYFUNCTION("""COMPUTED_VALUE"""),"Wounded")</f>
        <v>Wounded</v>
      </c>
      <c r="D874" s="8" t="str">
        <f ca="1">IFERROR(__xludf.DUMMYFUNCTION("""COMPUTED_VALUE"""),"Male")</f>
        <v>Male</v>
      </c>
      <c r="E874" s="8" t="str">
        <f ca="1">IFERROR(__xludf.DUMMYFUNCTION("""COMPUTED_VALUE"""),"Gang Member")</f>
        <v>Gang Member</v>
      </c>
      <c r="F874" s="8" t="str">
        <f ca="1">IFERROR(__xludf.DUMMYFUNCTION("""COMPUTED_VALUE"""),"Adult")</f>
        <v>Adult</v>
      </c>
    </row>
    <row r="875" spans="1:6" ht="12.75">
      <c r="A875" s="4">
        <v>874</v>
      </c>
      <c r="B875" s="8" t="str">
        <f ca="1">IFERROR(__xludf.DUMMYFUNCTION("""COMPUTED_VALUE"""),"20180824ILMEC")</f>
        <v>20180824ILMEC</v>
      </c>
      <c r="C875" s="8" t="str">
        <f ca="1">IFERROR(__xludf.DUMMYFUNCTION("""COMPUTED_VALUE"""),"Wounded")</f>
        <v>Wounded</v>
      </c>
      <c r="D875" s="8" t="str">
        <f ca="1">IFERROR(__xludf.DUMMYFUNCTION("""COMPUTED_VALUE"""),"Male")</f>
        <v>Male</v>
      </c>
      <c r="E875" s="8" t="str">
        <f ca="1">IFERROR(__xludf.DUMMYFUNCTION("""COMPUTED_VALUE"""),"Gang Member")</f>
        <v>Gang Member</v>
      </c>
      <c r="F875" s="8" t="str">
        <f ca="1">IFERROR(__xludf.DUMMYFUNCTION("""COMPUTED_VALUE"""),"Adult")</f>
        <v>Adult</v>
      </c>
    </row>
    <row r="876" spans="1:6" ht="12.75">
      <c r="A876" s="4">
        <v>875</v>
      </c>
      <c r="B876" s="8" t="str">
        <f ca="1">IFERROR(__xludf.DUMMYFUNCTION("""COMPUTED_VALUE"""),"20180824ILMEC")</f>
        <v>20180824ILMEC</v>
      </c>
      <c r="C876" s="8" t="str">
        <f ca="1">IFERROR(__xludf.DUMMYFUNCTION("""COMPUTED_VALUE"""),"Wounded")</f>
        <v>Wounded</v>
      </c>
      <c r="D876" s="8" t="str">
        <f ca="1">IFERROR(__xludf.DUMMYFUNCTION("""COMPUTED_VALUE"""),"Male")</f>
        <v>Male</v>
      </c>
      <c r="E876" s="8" t="str">
        <f ca="1">IFERROR(__xludf.DUMMYFUNCTION("""COMPUTED_VALUE"""),"Gang Member")</f>
        <v>Gang Member</v>
      </c>
      <c r="F876" s="8" t="str">
        <f ca="1">IFERROR(__xludf.DUMMYFUNCTION("""COMPUTED_VALUE"""),"Adult")</f>
        <v>Adult</v>
      </c>
    </row>
    <row r="877" spans="1:6" ht="12.75">
      <c r="A877" s="4">
        <v>876</v>
      </c>
      <c r="B877" s="8" t="str">
        <f ca="1">IFERROR(__xludf.DUMMYFUNCTION("""COMPUTED_VALUE"""),"20180824FLRAJ")</f>
        <v>20180824FLRAJ</v>
      </c>
      <c r="C877" s="8" t="str">
        <f ca="1">IFERROR(__xludf.DUMMYFUNCTION("""COMPUTED_VALUE"""),"Fatal")</f>
        <v>Fatal</v>
      </c>
      <c r="D877" s="8" t="str">
        <f ca="1">IFERROR(__xludf.DUMMYFUNCTION("""COMPUTED_VALUE"""),"Male")</f>
        <v>Male</v>
      </c>
      <c r="E877" s="8" t="str">
        <f ca="1">IFERROR(__xludf.DUMMYFUNCTION("""COMPUTED_VALUE"""),"Nonstudent Using Athletic Facilities/Attending Game")</f>
        <v>Nonstudent Using Athletic Facilities/Attending Game</v>
      </c>
      <c r="F877" s="8">
        <f ca="1">IFERROR(__xludf.DUMMYFUNCTION("""COMPUTED_VALUE"""),19)</f>
        <v>19</v>
      </c>
    </row>
    <row r="878" spans="1:6" ht="12.75">
      <c r="A878" s="4">
        <v>877</v>
      </c>
      <c r="B878" s="8" t="str">
        <f ca="1">IFERROR(__xludf.DUMMYFUNCTION("""COMPUTED_VALUE"""),"20180824FLRAJ")</f>
        <v>20180824FLRAJ</v>
      </c>
      <c r="C878" s="8" t="str">
        <f ca="1">IFERROR(__xludf.DUMMYFUNCTION("""COMPUTED_VALUE"""),"Wounded")</f>
        <v>Wounded</v>
      </c>
      <c r="D878" s="8" t="str">
        <f ca="1">IFERROR(__xludf.DUMMYFUNCTION("""COMPUTED_VALUE"""),"Male")</f>
        <v>Male</v>
      </c>
      <c r="E878" s="8" t="str">
        <f ca="1">IFERROR(__xludf.DUMMYFUNCTION("""COMPUTED_VALUE"""),"Student")</f>
        <v>Student</v>
      </c>
      <c r="F878" s="8">
        <f ca="1">IFERROR(__xludf.DUMMYFUNCTION("""COMPUTED_VALUE"""),17)</f>
        <v>17</v>
      </c>
    </row>
    <row r="879" spans="1:6" ht="12.75">
      <c r="A879" s="4">
        <v>878</v>
      </c>
      <c r="B879" s="8" t="str">
        <f ca="1">IFERROR(__xludf.DUMMYFUNCTION("""COMPUTED_VALUE"""),"20180824FLRAJ")</f>
        <v>20180824FLRAJ</v>
      </c>
      <c r="C879" s="8" t="str">
        <f ca="1">IFERROR(__xludf.DUMMYFUNCTION("""COMPUTED_VALUE"""),"Wounded")</f>
        <v>Wounded</v>
      </c>
      <c r="D879" s="8" t="str">
        <f ca="1">IFERROR(__xludf.DUMMYFUNCTION("""COMPUTED_VALUE"""),"Male")</f>
        <v>Male</v>
      </c>
      <c r="E879" s="8" t="str">
        <f ca="1">IFERROR(__xludf.DUMMYFUNCTION("""COMPUTED_VALUE"""),"Student")</f>
        <v>Student</v>
      </c>
      <c r="F879" s="8">
        <f ca="1">IFERROR(__xludf.DUMMYFUNCTION("""COMPUTED_VALUE"""),16)</f>
        <v>16</v>
      </c>
    </row>
    <row r="880" spans="1:6" ht="12.75">
      <c r="A880" s="4">
        <v>879</v>
      </c>
      <c r="B880" s="8" t="str">
        <f ca="1">IFERROR(__xludf.DUMMYFUNCTION("""COMPUTED_VALUE"""),"20180823ALALM")</f>
        <v>20180823ALALM</v>
      </c>
      <c r="C880" s="8" t="str">
        <f ca="1">IFERROR(__xludf.DUMMYFUNCTION("""COMPUTED_VALUE"""),"None")</f>
        <v>None</v>
      </c>
      <c r="D880" s="8"/>
      <c r="E880" s="8"/>
      <c r="F880" s="8"/>
    </row>
    <row r="881" spans="1:6" ht="12.75">
      <c r="A881" s="4">
        <v>880</v>
      </c>
      <c r="B881" s="8" t="str">
        <f ca="1">IFERROR(__xludf.DUMMYFUNCTION("""COMPUTED_VALUE"""),"20180817FLPAW")</f>
        <v>20180817FLPAW</v>
      </c>
      <c r="C881" s="8" t="str">
        <f ca="1">IFERROR(__xludf.DUMMYFUNCTION("""COMPUTED_VALUE"""),"Wounded")</f>
        <v>Wounded</v>
      </c>
      <c r="D881" s="8" t="str">
        <f ca="1">IFERROR(__xludf.DUMMYFUNCTION("""COMPUTED_VALUE"""),"Male")</f>
        <v>Male</v>
      </c>
      <c r="E881" s="8" t="str">
        <f ca="1">IFERROR(__xludf.DUMMYFUNCTION("""COMPUTED_VALUE"""),"No Relation")</f>
        <v>No Relation</v>
      </c>
      <c r="F881" s="8">
        <f ca="1">IFERROR(__xludf.DUMMYFUNCTION("""COMPUTED_VALUE"""),39)</f>
        <v>39</v>
      </c>
    </row>
    <row r="882" spans="1:6" ht="12.75">
      <c r="A882" s="4">
        <v>881</v>
      </c>
      <c r="B882" s="8" t="str">
        <f ca="1">IFERROR(__xludf.DUMMYFUNCTION("""COMPUTED_VALUE"""),"20180817FLPAW")</f>
        <v>20180817FLPAW</v>
      </c>
      <c r="C882" s="8" t="str">
        <f ca="1">IFERROR(__xludf.DUMMYFUNCTION("""COMPUTED_VALUE"""),"Wounded")</f>
        <v>Wounded</v>
      </c>
      <c r="D882" s="8" t="str">
        <f ca="1">IFERROR(__xludf.DUMMYFUNCTION("""COMPUTED_VALUE"""),"Male")</f>
        <v>Male</v>
      </c>
      <c r="E882" s="8" t="str">
        <f ca="1">IFERROR(__xludf.DUMMYFUNCTION("""COMPUTED_VALUE"""),"No Relation")</f>
        <v>No Relation</v>
      </c>
      <c r="F882" s="8">
        <f ca="1">IFERROR(__xludf.DUMMYFUNCTION("""COMPUTED_VALUE"""),29)</f>
        <v>29</v>
      </c>
    </row>
    <row r="883" spans="1:6" ht="12.75">
      <c r="A883" s="4">
        <v>882</v>
      </c>
      <c r="B883" s="8" t="str">
        <f ca="1">IFERROR(__xludf.DUMMYFUNCTION("""COMPUTED_VALUE"""),"20180811TNANN")</f>
        <v>20180811TNANN</v>
      </c>
      <c r="C883" s="8" t="str">
        <f ca="1">IFERROR(__xludf.DUMMYFUNCTION("""COMPUTED_VALUE"""),"Wounded")</f>
        <v>Wounded</v>
      </c>
      <c r="D883" s="8" t="str">
        <f ca="1">IFERROR(__xludf.DUMMYFUNCTION("""COMPUTED_VALUE"""),"Male")</f>
        <v>Male</v>
      </c>
      <c r="E883" s="8" t="str">
        <f ca="1">IFERROR(__xludf.DUMMYFUNCTION("""COMPUTED_VALUE"""),"Other Staff")</f>
        <v>Other Staff</v>
      </c>
      <c r="F883" s="8">
        <f ca="1">IFERROR(__xludf.DUMMYFUNCTION("""COMPUTED_VALUE"""),42)</f>
        <v>42</v>
      </c>
    </row>
    <row r="884" spans="1:6" ht="12.75">
      <c r="A884" s="4">
        <v>883</v>
      </c>
      <c r="B884" s="8" t="str">
        <f ca="1">IFERROR(__xludf.DUMMYFUNCTION("""COMPUTED_VALUE"""),"20180809NJLAM")</f>
        <v>20180809NJLAM</v>
      </c>
      <c r="C884" s="8" t="str">
        <f ca="1">IFERROR(__xludf.DUMMYFUNCTION("""COMPUTED_VALUE"""),"Fatal")</f>
        <v>Fatal</v>
      </c>
      <c r="D884" s="8" t="str">
        <f ca="1">IFERROR(__xludf.DUMMYFUNCTION("""COMPUTED_VALUE"""),"Male")</f>
        <v>Male</v>
      </c>
      <c r="E884" s="8" t="str">
        <f ca="1">IFERROR(__xludf.DUMMYFUNCTION("""COMPUTED_VALUE"""),"Parent")</f>
        <v>Parent</v>
      </c>
      <c r="F884" s="8">
        <f ca="1">IFERROR(__xludf.DUMMYFUNCTION("""COMPUTED_VALUE"""),37)</f>
        <v>37</v>
      </c>
    </row>
    <row r="885" spans="1:6" ht="12.75">
      <c r="A885" s="4">
        <v>884</v>
      </c>
      <c r="B885" s="8" t="str">
        <f ca="1">IFERROR(__xludf.DUMMYFUNCTION("""COMPUTED_VALUE"""),"20180804MDEDE")</f>
        <v>20180804MDEDE</v>
      </c>
      <c r="C885" s="8" t="str">
        <f ca="1">IFERROR(__xludf.DUMMYFUNCTION("""COMPUTED_VALUE"""),"Fatal")</f>
        <v>Fatal</v>
      </c>
      <c r="D885" s="8" t="str">
        <f ca="1">IFERROR(__xludf.DUMMYFUNCTION("""COMPUTED_VALUE"""),"Male")</f>
        <v>Male</v>
      </c>
      <c r="E885" s="8"/>
      <c r="F885" s="8">
        <f ca="1">IFERROR(__xludf.DUMMYFUNCTION("""COMPUTED_VALUE"""),19)</f>
        <v>19</v>
      </c>
    </row>
    <row r="886" spans="1:6" ht="12.75">
      <c r="A886" s="4">
        <v>885</v>
      </c>
      <c r="B886" s="8" t="str">
        <f ca="1">IFERROR(__xludf.DUMMYFUNCTION("""COMPUTED_VALUE"""),"20180719WAWEY")</f>
        <v>20180719WAWEY</v>
      </c>
      <c r="C886" s="8" t="str">
        <f ca="1">IFERROR(__xludf.DUMMYFUNCTION("""COMPUTED_VALUE"""),"Fatal")</f>
        <v>Fatal</v>
      </c>
      <c r="D886" s="8" t="str">
        <f ca="1">IFERROR(__xludf.DUMMYFUNCTION("""COMPUTED_VALUE"""),"Male")</f>
        <v>Male</v>
      </c>
      <c r="E886" s="8" t="str">
        <f ca="1">IFERROR(__xludf.DUMMYFUNCTION("""COMPUTED_VALUE"""),"No Relation")</f>
        <v>No Relation</v>
      </c>
      <c r="F886" s="8">
        <f ca="1">IFERROR(__xludf.DUMMYFUNCTION("""COMPUTED_VALUE"""),18)</f>
        <v>18</v>
      </c>
    </row>
    <row r="887" spans="1:6" ht="12.75">
      <c r="A887" s="4">
        <v>886</v>
      </c>
      <c r="B887" s="8" t="str">
        <f ca="1">IFERROR(__xludf.DUMMYFUNCTION("""COMPUTED_VALUE"""),"20180717WVHUH")</f>
        <v>20180717WVHUH</v>
      </c>
      <c r="C887" s="8" t="str">
        <f ca="1">IFERROR(__xludf.DUMMYFUNCTION("""COMPUTED_VALUE"""),"None")</f>
        <v>None</v>
      </c>
      <c r="D887" s="8"/>
      <c r="E887" s="8"/>
      <c r="F887" s="8"/>
    </row>
    <row r="888" spans="1:6" ht="12.75">
      <c r="A888" s="4">
        <v>887</v>
      </c>
      <c r="B888" s="8" t="str">
        <f ca="1">IFERROR(__xludf.DUMMYFUNCTION("""COMPUTED_VALUE"""),"20180711OHMIM")</f>
        <v>20180711OHMIM</v>
      </c>
      <c r="C888" s="8" t="str">
        <f ca="1">IFERROR(__xludf.DUMMYFUNCTION("""COMPUTED_VALUE"""),"Fatal")</f>
        <v>Fatal</v>
      </c>
      <c r="D888" s="8" t="str">
        <f ca="1">IFERROR(__xludf.DUMMYFUNCTION("""COMPUTED_VALUE"""),"Male")</f>
        <v>Male</v>
      </c>
      <c r="E888" s="8"/>
      <c r="F888" s="8">
        <f ca="1">IFERROR(__xludf.DUMMYFUNCTION("""COMPUTED_VALUE"""),20)</f>
        <v>20</v>
      </c>
    </row>
    <row r="889" spans="1:6" ht="12.75">
      <c r="A889" s="4">
        <v>888</v>
      </c>
      <c r="B889" s="8" t="str">
        <f ca="1">IFERROR(__xludf.DUMMYFUNCTION("""COMPUTED_VALUE"""),"20180703KSSUO")</f>
        <v>20180703KSSUO</v>
      </c>
      <c r="C889" s="8" t="str">
        <f ca="1">IFERROR(__xludf.DUMMYFUNCTION("""COMPUTED_VALUE"""),"Fatal")</f>
        <v>Fatal</v>
      </c>
      <c r="D889" s="8" t="str">
        <f ca="1">IFERROR(__xludf.DUMMYFUNCTION("""COMPUTED_VALUE"""),"Male")</f>
        <v>Male</v>
      </c>
      <c r="E889" s="8" t="str">
        <f ca="1">IFERROR(__xludf.DUMMYFUNCTION("""COMPUTED_VALUE"""),"No Relation")</f>
        <v>No Relation</v>
      </c>
      <c r="F889" s="8">
        <f ca="1">IFERROR(__xludf.DUMMYFUNCTION("""COMPUTED_VALUE"""),47)</f>
        <v>47</v>
      </c>
    </row>
    <row r="890" spans="1:6" ht="12.75">
      <c r="A890" s="4">
        <v>889</v>
      </c>
      <c r="B890" s="8" t="str">
        <f ca="1">IFERROR(__xludf.DUMMYFUNCTION("""COMPUTED_VALUE"""),"20180703KSSUO")</f>
        <v>20180703KSSUO</v>
      </c>
      <c r="C890" s="8" t="str">
        <f ca="1">IFERROR(__xludf.DUMMYFUNCTION("""COMPUTED_VALUE"""),"Wounded")</f>
        <v>Wounded</v>
      </c>
      <c r="D890" s="8" t="str">
        <f ca="1">IFERROR(__xludf.DUMMYFUNCTION("""COMPUTED_VALUE"""),"Male")</f>
        <v>Male</v>
      </c>
      <c r="E890" s="8" t="str">
        <f ca="1">IFERROR(__xludf.DUMMYFUNCTION("""COMPUTED_VALUE"""),"No Relation")</f>
        <v>No Relation</v>
      </c>
      <c r="F890" s="8" t="str">
        <f ca="1">IFERROR(__xludf.DUMMYFUNCTION("""COMPUTED_VALUE"""),"Adult")</f>
        <v>Adult</v>
      </c>
    </row>
    <row r="891" spans="1:6" ht="12.75">
      <c r="A891" s="4">
        <v>890</v>
      </c>
      <c r="B891" s="8" t="str">
        <f ca="1">IFERROR(__xludf.DUMMYFUNCTION("""COMPUTED_VALUE"""),"20180701TNRAM")</f>
        <v>20180701TNRAM</v>
      </c>
      <c r="C891" s="8" t="str">
        <f ca="1">IFERROR(__xludf.DUMMYFUNCTION("""COMPUTED_VALUE"""),"Fatal")</f>
        <v>Fatal</v>
      </c>
      <c r="D891" s="8" t="str">
        <f ca="1">IFERROR(__xludf.DUMMYFUNCTION("""COMPUTED_VALUE"""),"Male")</f>
        <v>Male</v>
      </c>
      <c r="E891" s="8" t="str">
        <f ca="1">IFERROR(__xludf.DUMMYFUNCTION("""COMPUTED_VALUE"""),"No Relation")</f>
        <v>No Relation</v>
      </c>
      <c r="F891" s="8" t="str">
        <f ca="1">IFERROR(__xludf.DUMMYFUNCTION("""COMPUTED_VALUE"""),"Adult")</f>
        <v>Adult</v>
      </c>
    </row>
    <row r="892" spans="1:6" ht="12.75">
      <c r="A892" s="4">
        <v>891</v>
      </c>
      <c r="B892" s="8" t="str">
        <f ca="1">IFERROR(__xludf.DUMMYFUNCTION("""COMPUTED_VALUE"""),"20180625OHFUS")</f>
        <v>20180625OHFUS</v>
      </c>
      <c r="C892" s="8" t="str">
        <f ca="1">IFERROR(__xludf.DUMMYFUNCTION("""COMPUTED_VALUE"""),"Wounded")</f>
        <v>Wounded</v>
      </c>
      <c r="D892" s="8" t="str">
        <f ca="1">IFERROR(__xludf.DUMMYFUNCTION("""COMPUTED_VALUE"""),"Male")</f>
        <v>Male</v>
      </c>
      <c r="E892" s="8" t="str">
        <f ca="1">IFERROR(__xludf.DUMMYFUNCTION("""COMPUTED_VALUE"""),"No Relation")</f>
        <v>No Relation</v>
      </c>
      <c r="F892" s="8" t="str">
        <f ca="1">IFERROR(__xludf.DUMMYFUNCTION("""COMPUTED_VALUE"""),"Adult")</f>
        <v>Adult</v>
      </c>
    </row>
    <row r="893" spans="1:6" ht="12.75">
      <c r="A893" s="4">
        <v>892</v>
      </c>
      <c r="B893" s="8" t="str">
        <f ca="1">IFERROR(__xludf.DUMMYFUNCTION("""COMPUTED_VALUE"""),"20180624MTSEM")</f>
        <v>20180624MTSEM</v>
      </c>
      <c r="C893" s="8" t="str">
        <f ca="1">IFERROR(__xludf.DUMMYFUNCTION("""COMPUTED_VALUE"""),"Wounded")</f>
        <v>Wounded</v>
      </c>
      <c r="D893" s="8" t="str">
        <f ca="1">IFERROR(__xludf.DUMMYFUNCTION("""COMPUTED_VALUE"""),"Male")</f>
        <v>Male</v>
      </c>
      <c r="E893" s="8" t="str">
        <f ca="1">IFERROR(__xludf.DUMMYFUNCTION("""COMPUTED_VALUE"""),"No Relation")</f>
        <v>No Relation</v>
      </c>
      <c r="F893" s="8" t="str">
        <f ca="1">IFERROR(__xludf.DUMMYFUNCTION("""COMPUTED_VALUE"""),"Teen")</f>
        <v>Teen</v>
      </c>
    </row>
    <row r="894" spans="1:6" ht="12.75">
      <c r="A894" s="4">
        <v>893</v>
      </c>
      <c r="B894" s="8" t="str">
        <f ca="1">IFERROR(__xludf.DUMMYFUNCTION("""COMPUTED_VALUE"""),"20180624MTSEM")</f>
        <v>20180624MTSEM</v>
      </c>
      <c r="C894" s="8" t="str">
        <f ca="1">IFERROR(__xludf.DUMMYFUNCTION("""COMPUTED_VALUE"""),"Wounded")</f>
        <v>Wounded</v>
      </c>
      <c r="D894" s="8" t="str">
        <f ca="1">IFERROR(__xludf.DUMMYFUNCTION("""COMPUTED_VALUE"""),"Male")</f>
        <v>Male</v>
      </c>
      <c r="E894" s="8" t="str">
        <f ca="1">IFERROR(__xludf.DUMMYFUNCTION("""COMPUTED_VALUE"""),"No Relation")</f>
        <v>No Relation</v>
      </c>
      <c r="F894" s="8" t="str">
        <f ca="1">IFERROR(__xludf.DUMMYFUNCTION("""COMPUTED_VALUE"""),"Teen")</f>
        <v>Teen</v>
      </c>
    </row>
    <row r="895" spans="1:6" ht="12.75">
      <c r="A895" s="4">
        <v>894</v>
      </c>
      <c r="B895" s="8" t="str">
        <f ca="1">IFERROR(__xludf.DUMMYFUNCTION("""COMPUTED_VALUE"""),"20180621TXSKD")</f>
        <v>20180621TXSKD</v>
      </c>
      <c r="C895" s="8" t="str">
        <f ca="1">IFERROR(__xludf.DUMMYFUNCTION("""COMPUTED_VALUE"""),"Wounded")</f>
        <v>Wounded</v>
      </c>
      <c r="D895" s="8" t="str">
        <f ca="1">IFERROR(__xludf.DUMMYFUNCTION("""COMPUTED_VALUE"""),"Female")</f>
        <v>Female</v>
      </c>
      <c r="E895" s="8" t="str">
        <f ca="1">IFERROR(__xludf.DUMMYFUNCTION("""COMPUTED_VALUE"""),"Student")</f>
        <v>Student</v>
      </c>
      <c r="F895" s="8">
        <f ca="1">IFERROR(__xludf.DUMMYFUNCTION("""COMPUTED_VALUE"""),16)</f>
        <v>16</v>
      </c>
    </row>
    <row r="896" spans="1:6" ht="12.75">
      <c r="A896" s="4">
        <v>895</v>
      </c>
      <c r="B896" s="8" t="str">
        <f ca="1">IFERROR(__xludf.DUMMYFUNCTION("""COMPUTED_VALUE"""),"20180617ORGRP")</f>
        <v>20180617ORGRP</v>
      </c>
      <c r="C896" s="8" t="str">
        <f ca="1">IFERROR(__xludf.DUMMYFUNCTION("""COMPUTED_VALUE"""),"Fatal")</f>
        <v>Fatal</v>
      </c>
      <c r="D896" s="8" t="str">
        <f ca="1">IFERROR(__xludf.DUMMYFUNCTION("""COMPUTED_VALUE"""),"Male")</f>
        <v>Male</v>
      </c>
      <c r="E896" s="8" t="str">
        <f ca="1">IFERROR(__xludf.DUMMYFUNCTION("""COMPUTED_VALUE"""),"No Relation")</f>
        <v>No Relation</v>
      </c>
      <c r="F896" s="8" t="str">
        <f ca="1">IFERROR(__xludf.DUMMYFUNCTION("""COMPUTED_VALUE"""),"Adult")</f>
        <v>Adult</v>
      </c>
    </row>
    <row r="897" spans="1:6" ht="12.75">
      <c r="A897" s="4">
        <v>896</v>
      </c>
      <c r="B897" s="8" t="str">
        <f ca="1">IFERROR(__xludf.DUMMYFUNCTION("""COMPUTED_VALUE"""),"20180615OHVAB")</f>
        <v>20180615OHVAB</v>
      </c>
      <c r="C897" s="8" t="str">
        <f ca="1">IFERROR(__xludf.DUMMYFUNCTION("""COMPUTED_VALUE"""),"None")</f>
        <v>None</v>
      </c>
      <c r="D897" s="8" t="str">
        <f ca="1">IFERROR(__xludf.DUMMYFUNCTION("""COMPUTED_VALUE"""),"Female")</f>
        <v>Female</v>
      </c>
      <c r="E897" s="8" t="str">
        <f ca="1">IFERROR(__xludf.DUMMYFUNCTION("""COMPUTED_VALUE"""),"Nonstudent Using Athletic Facilities/Attending Game")</f>
        <v>Nonstudent Using Athletic Facilities/Attending Game</v>
      </c>
      <c r="F897" s="8" t="str">
        <f ca="1">IFERROR(__xludf.DUMMYFUNCTION("""COMPUTED_VALUE"""),"Teen")</f>
        <v>Teen</v>
      </c>
    </row>
    <row r="898" spans="1:6" ht="12.75">
      <c r="A898" s="4">
        <v>897</v>
      </c>
      <c r="B898" s="8" t="str">
        <f ca="1">IFERROR(__xludf.DUMMYFUNCTION("""COMPUTED_VALUE"""),"20180601TXMCM")</f>
        <v>20180601TXMCM</v>
      </c>
      <c r="C898" s="8" t="str">
        <f ca="1">IFERROR(__xludf.DUMMYFUNCTION("""COMPUTED_VALUE"""),"None")</f>
        <v>None</v>
      </c>
      <c r="D898" s="8" t="str">
        <f ca="1">IFERROR(__xludf.DUMMYFUNCTION("""COMPUTED_VALUE"""),"Unknown")</f>
        <v>Unknown</v>
      </c>
      <c r="E898" s="8" t="str">
        <f ca="1">IFERROR(__xludf.DUMMYFUNCTION("""COMPUTED_VALUE"""),"Student")</f>
        <v>Student</v>
      </c>
      <c r="F898" s="8" t="str">
        <f ca="1">IFERROR(__xludf.DUMMYFUNCTION("""COMPUTED_VALUE"""),"Teen")</f>
        <v>Teen</v>
      </c>
    </row>
    <row r="899" spans="1:6" ht="12.75">
      <c r="A899" s="4">
        <v>898</v>
      </c>
      <c r="B899" s="8" t="str">
        <f ca="1">IFERROR(__xludf.DUMMYFUNCTION("""COMPUTED_VALUE"""),"20180525INNON")</f>
        <v>20180525INNON</v>
      </c>
      <c r="C899" s="8" t="str">
        <f ca="1">IFERROR(__xludf.DUMMYFUNCTION("""COMPUTED_VALUE"""),"Wounded")</f>
        <v>Wounded</v>
      </c>
      <c r="D899" s="8" t="str">
        <f ca="1">IFERROR(__xludf.DUMMYFUNCTION("""COMPUTED_VALUE"""),"Female")</f>
        <v>Female</v>
      </c>
      <c r="E899" s="8" t="str">
        <f ca="1">IFERROR(__xludf.DUMMYFUNCTION("""COMPUTED_VALUE"""),"Student")</f>
        <v>Student</v>
      </c>
      <c r="F899" s="8" t="str">
        <f ca="1">IFERROR(__xludf.DUMMYFUNCTION("""COMPUTED_VALUE"""),"Adult")</f>
        <v>Adult</v>
      </c>
    </row>
    <row r="900" spans="1:6" ht="12.75">
      <c r="A900" s="4">
        <v>899</v>
      </c>
      <c r="B900" s="8" t="str">
        <f ca="1">IFERROR(__xludf.DUMMYFUNCTION("""COMPUTED_VALUE"""),"20180525INNON")</f>
        <v>20180525INNON</v>
      </c>
      <c r="C900" s="8" t="str">
        <f ca="1">IFERROR(__xludf.DUMMYFUNCTION("""COMPUTED_VALUE"""),"Wounded")</f>
        <v>Wounded</v>
      </c>
      <c r="D900" s="8" t="str">
        <f ca="1">IFERROR(__xludf.DUMMYFUNCTION("""COMPUTED_VALUE"""),"Male")</f>
        <v>Male</v>
      </c>
      <c r="E900" s="8" t="str">
        <f ca="1">IFERROR(__xludf.DUMMYFUNCTION("""COMPUTED_VALUE"""),"Teacher")</f>
        <v>Teacher</v>
      </c>
      <c r="F900" s="8" t="str">
        <f ca="1">IFERROR(__xludf.DUMMYFUNCTION("""COMPUTED_VALUE"""),"Teen")</f>
        <v>Teen</v>
      </c>
    </row>
    <row r="901" spans="1:6" ht="12.75">
      <c r="A901" s="4">
        <v>900</v>
      </c>
      <c r="B901" s="8" t="str">
        <f ca="1">IFERROR(__xludf.DUMMYFUNCTION("""COMPUTED_VALUE"""),"20180521GABEG")</f>
        <v>20180521GABEG</v>
      </c>
      <c r="C901" s="8" t="str">
        <f ca="1">IFERROR(__xludf.DUMMYFUNCTION("""COMPUTED_VALUE"""),"Wounded")</f>
        <v>Wounded</v>
      </c>
      <c r="D901" s="8" t="str">
        <f ca="1">IFERROR(__xludf.DUMMYFUNCTION("""COMPUTED_VALUE"""),"Female")</f>
        <v>Female</v>
      </c>
      <c r="E901" s="8" t="str">
        <f ca="1">IFERROR(__xludf.DUMMYFUNCTION("""COMPUTED_VALUE"""),"Parent")</f>
        <v>Parent</v>
      </c>
      <c r="F901" s="8" t="str">
        <f ca="1">IFERROR(__xludf.DUMMYFUNCTION("""COMPUTED_VALUE"""),"Adult")</f>
        <v>Adult</v>
      </c>
    </row>
    <row r="902" spans="1:6" ht="12.75">
      <c r="A902" s="4">
        <v>901</v>
      </c>
      <c r="B902" s="8" t="str">
        <f ca="1">IFERROR(__xludf.DUMMYFUNCTION("""COMPUTED_VALUE"""),"20180518TXSAS")</f>
        <v>20180518TXSAS</v>
      </c>
      <c r="C902" s="8" t="str">
        <f ca="1">IFERROR(__xludf.DUMMYFUNCTION("""COMPUTED_VALUE"""),"Wounded")</f>
        <v>Wounded</v>
      </c>
      <c r="D902" s="8"/>
      <c r="E902" s="8" t="str">
        <f ca="1">IFERROR(__xludf.DUMMYFUNCTION("""COMPUTED_VALUE"""),"Student")</f>
        <v>Student</v>
      </c>
      <c r="F902" s="8" t="str">
        <f ca="1">IFERROR(__xludf.DUMMYFUNCTION("""COMPUTED_VALUE"""),"Teen")</f>
        <v>Teen</v>
      </c>
    </row>
    <row r="903" spans="1:6" ht="12.75">
      <c r="A903" s="4">
        <v>902</v>
      </c>
      <c r="B903" s="8" t="str">
        <f ca="1">IFERROR(__xludf.DUMMYFUNCTION("""COMPUTED_VALUE"""),"20180518TXSAS")</f>
        <v>20180518TXSAS</v>
      </c>
      <c r="C903" s="8" t="str">
        <f ca="1">IFERROR(__xludf.DUMMYFUNCTION("""COMPUTED_VALUE"""),"Fatal")</f>
        <v>Fatal</v>
      </c>
      <c r="D903" s="8" t="str">
        <f ca="1">IFERROR(__xludf.DUMMYFUNCTION("""COMPUTED_VALUE"""),"Male")</f>
        <v>Male</v>
      </c>
      <c r="E903" s="8" t="str">
        <f ca="1">IFERROR(__xludf.DUMMYFUNCTION("""COMPUTED_VALUE"""),"Student")</f>
        <v>Student</v>
      </c>
      <c r="F903" s="8">
        <f ca="1">IFERROR(__xludf.DUMMYFUNCTION("""COMPUTED_VALUE"""),17)</f>
        <v>17</v>
      </c>
    </row>
    <row r="904" spans="1:6" ht="12.75">
      <c r="A904" s="4">
        <v>903</v>
      </c>
      <c r="B904" s="8" t="str">
        <f ca="1">IFERROR(__xludf.DUMMYFUNCTION("""COMPUTED_VALUE"""),"20180518TXSAS")</f>
        <v>20180518TXSAS</v>
      </c>
      <c r="C904" s="8" t="str">
        <f ca="1">IFERROR(__xludf.DUMMYFUNCTION("""COMPUTED_VALUE"""),"Fatal")</f>
        <v>Fatal</v>
      </c>
      <c r="D904" s="8" t="str">
        <f ca="1">IFERROR(__xludf.DUMMYFUNCTION("""COMPUTED_VALUE"""),"Female")</f>
        <v>Female</v>
      </c>
      <c r="E904" s="8" t="str">
        <f ca="1">IFERROR(__xludf.DUMMYFUNCTION("""COMPUTED_VALUE"""),"Teacher")</f>
        <v>Teacher</v>
      </c>
      <c r="F904" s="8">
        <f ca="1">IFERROR(__xludf.DUMMYFUNCTION("""COMPUTED_VALUE"""),63)</f>
        <v>63</v>
      </c>
    </row>
    <row r="905" spans="1:6" ht="12.75">
      <c r="A905" s="4">
        <v>904</v>
      </c>
      <c r="B905" s="8" t="str">
        <f ca="1">IFERROR(__xludf.DUMMYFUNCTION("""COMPUTED_VALUE"""),"20180518TXSAS")</f>
        <v>20180518TXSAS</v>
      </c>
      <c r="C905" s="8" t="str">
        <f ca="1">IFERROR(__xludf.DUMMYFUNCTION("""COMPUTED_VALUE"""),"Fatal")</f>
        <v>Fatal</v>
      </c>
      <c r="D905" s="8" t="str">
        <f ca="1">IFERROR(__xludf.DUMMYFUNCTION("""COMPUTED_VALUE"""),"Male")</f>
        <v>Male</v>
      </c>
      <c r="E905" s="8" t="str">
        <f ca="1">IFERROR(__xludf.DUMMYFUNCTION("""COMPUTED_VALUE"""),"Student")</f>
        <v>Student</v>
      </c>
      <c r="F905" s="8">
        <f ca="1">IFERROR(__xludf.DUMMYFUNCTION("""COMPUTED_VALUE"""),17)</f>
        <v>17</v>
      </c>
    </row>
    <row r="906" spans="1:6" ht="12.75">
      <c r="A906" s="4">
        <v>905</v>
      </c>
      <c r="B906" s="8" t="str">
        <f ca="1">IFERROR(__xludf.DUMMYFUNCTION("""COMPUTED_VALUE"""),"20180518TXSAS")</f>
        <v>20180518TXSAS</v>
      </c>
      <c r="C906" s="8" t="str">
        <f ca="1">IFERROR(__xludf.DUMMYFUNCTION("""COMPUTED_VALUE"""),"Fatal")</f>
        <v>Fatal</v>
      </c>
      <c r="D906" s="8" t="str">
        <f ca="1">IFERROR(__xludf.DUMMYFUNCTION("""COMPUTED_VALUE"""),"Female")</f>
        <v>Female</v>
      </c>
      <c r="E906" s="8" t="str">
        <f ca="1">IFERROR(__xludf.DUMMYFUNCTION("""COMPUTED_VALUE"""),"Teacher")</f>
        <v>Teacher</v>
      </c>
      <c r="F906" s="8">
        <f ca="1">IFERROR(__xludf.DUMMYFUNCTION("""COMPUTED_VALUE"""),64)</f>
        <v>64</v>
      </c>
    </row>
    <row r="907" spans="1:6" ht="12.75">
      <c r="A907" s="4">
        <v>906</v>
      </c>
      <c r="B907" s="8" t="str">
        <f ca="1">IFERROR(__xludf.DUMMYFUNCTION("""COMPUTED_VALUE"""),"20180518TXSAS")</f>
        <v>20180518TXSAS</v>
      </c>
      <c r="C907" s="8" t="str">
        <f ca="1">IFERROR(__xludf.DUMMYFUNCTION("""COMPUTED_VALUE"""),"Fatal")</f>
        <v>Fatal</v>
      </c>
      <c r="D907" s="8" t="str">
        <f ca="1">IFERROR(__xludf.DUMMYFUNCTION("""COMPUTED_VALUE"""),"Male")</f>
        <v>Male</v>
      </c>
      <c r="E907" s="8" t="str">
        <f ca="1">IFERROR(__xludf.DUMMYFUNCTION("""COMPUTED_VALUE"""),"Student")</f>
        <v>Student</v>
      </c>
      <c r="F907" s="8">
        <f ca="1">IFERROR(__xludf.DUMMYFUNCTION("""COMPUTED_VALUE"""),17)</f>
        <v>17</v>
      </c>
    </row>
    <row r="908" spans="1:6" ht="12.75">
      <c r="A908" s="4">
        <v>907</v>
      </c>
      <c r="B908" s="8" t="str">
        <f ca="1">IFERROR(__xludf.DUMMYFUNCTION("""COMPUTED_VALUE"""),"20180518TXSAS")</f>
        <v>20180518TXSAS</v>
      </c>
      <c r="C908" s="8" t="str">
        <f ca="1">IFERROR(__xludf.DUMMYFUNCTION("""COMPUTED_VALUE"""),"Wounded")</f>
        <v>Wounded</v>
      </c>
      <c r="D908" s="8"/>
      <c r="E908" s="8" t="str">
        <f ca="1">IFERROR(__xludf.DUMMYFUNCTION("""COMPUTED_VALUE"""),"Student")</f>
        <v>Student</v>
      </c>
      <c r="F908" s="8" t="str">
        <f ca="1">IFERROR(__xludf.DUMMYFUNCTION("""COMPUTED_VALUE"""),"Teen")</f>
        <v>Teen</v>
      </c>
    </row>
    <row r="909" spans="1:6" ht="12.75">
      <c r="A909" s="4">
        <v>908</v>
      </c>
      <c r="B909" s="8" t="str">
        <f ca="1">IFERROR(__xludf.DUMMYFUNCTION("""COMPUTED_VALUE"""),"20180518TXSAS")</f>
        <v>20180518TXSAS</v>
      </c>
      <c r="C909" s="8" t="str">
        <f ca="1">IFERROR(__xludf.DUMMYFUNCTION("""COMPUTED_VALUE"""),"Fatal")</f>
        <v>Fatal</v>
      </c>
      <c r="D909" s="8" t="str">
        <f ca="1">IFERROR(__xludf.DUMMYFUNCTION("""COMPUTED_VALUE"""),"Female")</f>
        <v>Female</v>
      </c>
      <c r="E909" s="8" t="str">
        <f ca="1">IFERROR(__xludf.DUMMYFUNCTION("""COMPUTED_VALUE"""),"Student")</f>
        <v>Student</v>
      </c>
      <c r="F909" s="8">
        <f ca="1">IFERROR(__xludf.DUMMYFUNCTION("""COMPUTED_VALUE"""),14)</f>
        <v>14</v>
      </c>
    </row>
    <row r="910" spans="1:6" ht="12.75">
      <c r="A910" s="4">
        <v>909</v>
      </c>
      <c r="B910" s="8" t="str">
        <f ca="1">IFERROR(__xludf.DUMMYFUNCTION("""COMPUTED_VALUE"""),"20180518TXSAS")</f>
        <v>20180518TXSAS</v>
      </c>
      <c r="C910" s="8" t="str">
        <f ca="1">IFERROR(__xludf.DUMMYFUNCTION("""COMPUTED_VALUE"""),"Fatal")</f>
        <v>Fatal</v>
      </c>
      <c r="D910" s="8" t="str">
        <f ca="1">IFERROR(__xludf.DUMMYFUNCTION("""COMPUTED_VALUE"""),"Female")</f>
        <v>Female</v>
      </c>
      <c r="E910" s="8" t="str">
        <f ca="1">IFERROR(__xludf.DUMMYFUNCTION("""COMPUTED_VALUE"""),"Student")</f>
        <v>Student</v>
      </c>
      <c r="F910" s="8">
        <f ca="1">IFERROR(__xludf.DUMMYFUNCTION("""COMPUTED_VALUE"""),16)</f>
        <v>16</v>
      </c>
    </row>
    <row r="911" spans="1:6" ht="12.75">
      <c r="A911" s="4">
        <v>910</v>
      </c>
      <c r="B911" s="8" t="str">
        <f ca="1">IFERROR(__xludf.DUMMYFUNCTION("""COMPUTED_VALUE"""),"20180518TXSAS")</f>
        <v>20180518TXSAS</v>
      </c>
      <c r="C911" s="8" t="str">
        <f ca="1">IFERROR(__xludf.DUMMYFUNCTION("""COMPUTED_VALUE"""),"Wounded")</f>
        <v>Wounded</v>
      </c>
      <c r="D911" s="8"/>
      <c r="E911" s="8" t="str">
        <f ca="1">IFERROR(__xludf.DUMMYFUNCTION("""COMPUTED_VALUE"""),"Student")</f>
        <v>Student</v>
      </c>
      <c r="F911" s="8" t="str">
        <f ca="1">IFERROR(__xludf.DUMMYFUNCTION("""COMPUTED_VALUE"""),"Teen")</f>
        <v>Teen</v>
      </c>
    </row>
    <row r="912" spans="1:6" ht="12.75">
      <c r="A912" s="4">
        <v>911</v>
      </c>
      <c r="B912" s="8" t="str">
        <f ca="1">IFERROR(__xludf.DUMMYFUNCTION("""COMPUTED_VALUE"""),"20180518TXSAS")</f>
        <v>20180518TXSAS</v>
      </c>
      <c r="C912" s="8" t="str">
        <f ca="1">IFERROR(__xludf.DUMMYFUNCTION("""COMPUTED_VALUE"""),"Wounded")</f>
        <v>Wounded</v>
      </c>
      <c r="D912" s="8"/>
      <c r="E912" s="8" t="str">
        <f ca="1">IFERROR(__xludf.DUMMYFUNCTION("""COMPUTED_VALUE"""),"Student")</f>
        <v>Student</v>
      </c>
      <c r="F912" s="8" t="str">
        <f ca="1">IFERROR(__xludf.DUMMYFUNCTION("""COMPUTED_VALUE"""),"Teen")</f>
        <v>Teen</v>
      </c>
    </row>
    <row r="913" spans="1:6" ht="12.75">
      <c r="A913" s="4">
        <v>912</v>
      </c>
      <c r="B913" s="8" t="str">
        <f ca="1">IFERROR(__xludf.DUMMYFUNCTION("""COMPUTED_VALUE"""),"20180518TXSAS")</f>
        <v>20180518TXSAS</v>
      </c>
      <c r="C913" s="8" t="str">
        <f ca="1">IFERROR(__xludf.DUMMYFUNCTION("""COMPUTED_VALUE"""),"Wounded")</f>
        <v>Wounded</v>
      </c>
      <c r="D913" s="8"/>
      <c r="E913" s="8" t="str">
        <f ca="1">IFERROR(__xludf.DUMMYFUNCTION("""COMPUTED_VALUE"""),"Student")</f>
        <v>Student</v>
      </c>
      <c r="F913" s="8" t="str">
        <f ca="1">IFERROR(__xludf.DUMMYFUNCTION("""COMPUTED_VALUE"""),"Teen")</f>
        <v>Teen</v>
      </c>
    </row>
    <row r="914" spans="1:6" ht="12.75">
      <c r="A914" s="4">
        <v>913</v>
      </c>
      <c r="B914" s="8" t="str">
        <f ca="1">IFERROR(__xludf.DUMMYFUNCTION("""COMPUTED_VALUE"""),"20180518TXSAS")</f>
        <v>20180518TXSAS</v>
      </c>
      <c r="C914" s="8" t="str">
        <f ca="1">IFERROR(__xludf.DUMMYFUNCTION("""COMPUTED_VALUE"""),"Fatal")</f>
        <v>Fatal</v>
      </c>
      <c r="D914" s="8" t="str">
        <f ca="1">IFERROR(__xludf.DUMMYFUNCTION("""COMPUTED_VALUE"""),"Male")</f>
        <v>Male</v>
      </c>
      <c r="E914" s="8" t="str">
        <f ca="1">IFERROR(__xludf.DUMMYFUNCTION("""COMPUTED_VALUE"""),"Student")</f>
        <v>Student</v>
      </c>
      <c r="F914" s="8">
        <f ca="1">IFERROR(__xludf.DUMMYFUNCTION("""COMPUTED_VALUE"""),15)</f>
        <v>15</v>
      </c>
    </row>
    <row r="915" spans="1:6" ht="12.75">
      <c r="A915" s="4">
        <v>914</v>
      </c>
      <c r="B915" s="8" t="str">
        <f ca="1">IFERROR(__xludf.DUMMYFUNCTION("""COMPUTED_VALUE"""),"20180518TXSAS")</f>
        <v>20180518TXSAS</v>
      </c>
      <c r="C915" s="8" t="str">
        <f ca="1">IFERROR(__xludf.DUMMYFUNCTION("""COMPUTED_VALUE"""),"Wounded")</f>
        <v>Wounded</v>
      </c>
      <c r="D915" s="8"/>
      <c r="E915" s="8" t="str">
        <f ca="1">IFERROR(__xludf.DUMMYFUNCTION("""COMPUTED_VALUE"""),"Student")</f>
        <v>Student</v>
      </c>
      <c r="F915" s="8" t="str">
        <f ca="1">IFERROR(__xludf.DUMMYFUNCTION("""COMPUTED_VALUE"""),"Teen")</f>
        <v>Teen</v>
      </c>
    </row>
    <row r="916" spans="1:6" ht="12.75">
      <c r="A916" s="4">
        <v>915</v>
      </c>
      <c r="B916" s="8" t="str">
        <f ca="1">IFERROR(__xludf.DUMMYFUNCTION("""COMPUTED_VALUE"""),"20180518TXSAS")</f>
        <v>20180518TXSAS</v>
      </c>
      <c r="C916" s="8" t="str">
        <f ca="1">IFERROR(__xludf.DUMMYFUNCTION("""COMPUTED_VALUE"""),"Wounded")</f>
        <v>Wounded</v>
      </c>
      <c r="D916" s="8"/>
      <c r="E916" s="8" t="str">
        <f ca="1">IFERROR(__xludf.DUMMYFUNCTION("""COMPUTED_VALUE"""),"Student")</f>
        <v>Student</v>
      </c>
      <c r="F916" s="8" t="str">
        <f ca="1">IFERROR(__xludf.DUMMYFUNCTION("""COMPUTED_VALUE"""),"Teen")</f>
        <v>Teen</v>
      </c>
    </row>
    <row r="917" spans="1:6" ht="12.75">
      <c r="A917" s="4">
        <v>916</v>
      </c>
      <c r="B917" s="8" t="str">
        <f ca="1">IFERROR(__xludf.DUMMYFUNCTION("""COMPUTED_VALUE"""),"20180518TXSAS")</f>
        <v>20180518TXSAS</v>
      </c>
      <c r="C917" s="8" t="str">
        <f ca="1">IFERROR(__xludf.DUMMYFUNCTION("""COMPUTED_VALUE"""),"Wounded")</f>
        <v>Wounded</v>
      </c>
      <c r="D917" s="8"/>
      <c r="E917" s="8" t="str">
        <f ca="1">IFERROR(__xludf.DUMMYFUNCTION("""COMPUTED_VALUE"""),"Student")</f>
        <v>Student</v>
      </c>
      <c r="F917" s="8" t="str">
        <f ca="1">IFERROR(__xludf.DUMMYFUNCTION("""COMPUTED_VALUE"""),"Teen")</f>
        <v>Teen</v>
      </c>
    </row>
    <row r="918" spans="1:6" ht="12.75">
      <c r="A918" s="4">
        <v>917</v>
      </c>
      <c r="B918" s="8" t="str">
        <f ca="1">IFERROR(__xludf.DUMMYFUNCTION("""COMPUTED_VALUE"""),"20180518TXSAS")</f>
        <v>20180518TXSAS</v>
      </c>
      <c r="C918" s="8" t="str">
        <f ca="1">IFERROR(__xludf.DUMMYFUNCTION("""COMPUTED_VALUE"""),"Fatal")</f>
        <v>Fatal</v>
      </c>
      <c r="D918" s="8" t="str">
        <f ca="1">IFERROR(__xludf.DUMMYFUNCTION("""COMPUTED_VALUE"""),"Male")</f>
        <v>Male</v>
      </c>
      <c r="E918" s="8" t="str">
        <f ca="1">IFERROR(__xludf.DUMMYFUNCTION("""COMPUTED_VALUE"""),"Student")</f>
        <v>Student</v>
      </c>
      <c r="F918" s="8">
        <f ca="1">IFERROR(__xludf.DUMMYFUNCTION("""COMPUTED_VALUE"""),15)</f>
        <v>15</v>
      </c>
    </row>
    <row r="919" spans="1:6" ht="12.75">
      <c r="A919" s="4">
        <v>918</v>
      </c>
      <c r="B919" s="8" t="str">
        <f ca="1">IFERROR(__xludf.DUMMYFUNCTION("""COMPUTED_VALUE"""),"20180518TXSAS")</f>
        <v>20180518TXSAS</v>
      </c>
      <c r="C919" s="8" t="str">
        <f ca="1">IFERROR(__xludf.DUMMYFUNCTION("""COMPUTED_VALUE"""),"Wounded")</f>
        <v>Wounded</v>
      </c>
      <c r="D919" s="8"/>
      <c r="E919" s="8" t="str">
        <f ca="1">IFERROR(__xludf.DUMMYFUNCTION("""COMPUTED_VALUE"""),"Student")</f>
        <v>Student</v>
      </c>
      <c r="F919" s="8" t="str">
        <f ca="1">IFERROR(__xludf.DUMMYFUNCTION("""COMPUTED_VALUE"""),"Teen")</f>
        <v>Teen</v>
      </c>
    </row>
    <row r="920" spans="1:6" ht="12.75">
      <c r="A920" s="4">
        <v>919</v>
      </c>
      <c r="B920" s="8" t="str">
        <f ca="1">IFERROR(__xludf.DUMMYFUNCTION("""COMPUTED_VALUE"""),"20180518TXSAS")</f>
        <v>20180518TXSAS</v>
      </c>
      <c r="C920" s="8" t="str">
        <f ca="1">IFERROR(__xludf.DUMMYFUNCTION("""COMPUTED_VALUE"""),"Wounded")</f>
        <v>Wounded</v>
      </c>
      <c r="D920" s="8"/>
      <c r="E920" s="8" t="str">
        <f ca="1">IFERROR(__xludf.DUMMYFUNCTION("""COMPUTED_VALUE"""),"Student")</f>
        <v>Student</v>
      </c>
      <c r="F920" s="8" t="str">
        <f ca="1">IFERROR(__xludf.DUMMYFUNCTION("""COMPUTED_VALUE"""),"Teen")</f>
        <v>Teen</v>
      </c>
    </row>
    <row r="921" spans="1:6" ht="12.75">
      <c r="A921" s="4">
        <v>920</v>
      </c>
      <c r="B921" s="8" t="str">
        <f ca="1">IFERROR(__xludf.DUMMYFUNCTION("""COMPUTED_VALUE"""),"20180518TXSAS")</f>
        <v>20180518TXSAS</v>
      </c>
      <c r="C921" s="8" t="str">
        <f ca="1">IFERROR(__xludf.DUMMYFUNCTION("""COMPUTED_VALUE"""),"Wounded")</f>
        <v>Wounded</v>
      </c>
      <c r="D921" s="8"/>
      <c r="E921" s="8" t="str">
        <f ca="1">IFERROR(__xludf.DUMMYFUNCTION("""COMPUTED_VALUE"""),"Student")</f>
        <v>Student</v>
      </c>
      <c r="F921" s="8" t="str">
        <f ca="1">IFERROR(__xludf.DUMMYFUNCTION("""COMPUTED_VALUE"""),"Teen")</f>
        <v>Teen</v>
      </c>
    </row>
    <row r="922" spans="1:6" ht="12.75">
      <c r="A922" s="4">
        <v>921</v>
      </c>
      <c r="B922" s="8" t="str">
        <f ca="1">IFERROR(__xludf.DUMMYFUNCTION("""COMPUTED_VALUE"""),"20180518TXSAS")</f>
        <v>20180518TXSAS</v>
      </c>
      <c r="C922" s="8" t="str">
        <f ca="1">IFERROR(__xludf.DUMMYFUNCTION("""COMPUTED_VALUE"""),"Fatal")</f>
        <v>Fatal</v>
      </c>
      <c r="D922" s="8" t="str">
        <f ca="1">IFERROR(__xludf.DUMMYFUNCTION("""COMPUTED_VALUE"""),"Female")</f>
        <v>Female</v>
      </c>
      <c r="E922" s="8" t="str">
        <f ca="1">IFERROR(__xludf.DUMMYFUNCTION("""COMPUTED_VALUE"""),"Student")</f>
        <v>Student</v>
      </c>
      <c r="F922" s="8">
        <f ca="1">IFERROR(__xludf.DUMMYFUNCTION("""COMPUTED_VALUE"""),15)</f>
        <v>15</v>
      </c>
    </row>
    <row r="923" spans="1:6" ht="12.75">
      <c r="A923" s="4">
        <v>922</v>
      </c>
      <c r="B923" s="8" t="str">
        <f ca="1">IFERROR(__xludf.DUMMYFUNCTION("""COMPUTED_VALUE"""),"20180518TXSAS")</f>
        <v>20180518TXSAS</v>
      </c>
      <c r="C923" s="8" t="str">
        <f ca="1">IFERROR(__xludf.DUMMYFUNCTION("""COMPUTED_VALUE"""),"Wounded")</f>
        <v>Wounded</v>
      </c>
      <c r="D923" s="8"/>
      <c r="E923" s="8" t="str">
        <f ca="1">IFERROR(__xludf.DUMMYFUNCTION("""COMPUTED_VALUE"""),"Student")</f>
        <v>Student</v>
      </c>
      <c r="F923" s="8" t="str">
        <f ca="1">IFERROR(__xludf.DUMMYFUNCTION("""COMPUTED_VALUE"""),"Teen")</f>
        <v>Teen</v>
      </c>
    </row>
    <row r="924" spans="1:6" ht="12.75">
      <c r="A924" s="4">
        <v>923</v>
      </c>
      <c r="B924" s="8" t="str">
        <f ca="1">IFERROR(__xludf.DUMMYFUNCTION("""COMPUTED_VALUE"""),"20180518TXSAS")</f>
        <v>20180518TXSAS</v>
      </c>
      <c r="C924" s="8" t="str">
        <f ca="1">IFERROR(__xludf.DUMMYFUNCTION("""COMPUTED_VALUE"""),"Wounded")</f>
        <v>Wounded</v>
      </c>
      <c r="D924" s="8"/>
      <c r="E924" s="8" t="str">
        <f ca="1">IFERROR(__xludf.DUMMYFUNCTION("""COMPUTED_VALUE"""),"Student")</f>
        <v>Student</v>
      </c>
      <c r="F924" s="8" t="str">
        <f ca="1">IFERROR(__xludf.DUMMYFUNCTION("""COMPUTED_VALUE"""),"Teen")</f>
        <v>Teen</v>
      </c>
    </row>
    <row r="925" spans="1:6" ht="12.75">
      <c r="A925" s="4">
        <v>924</v>
      </c>
      <c r="B925" s="8" t="str">
        <f ca="1">IFERROR(__xludf.DUMMYFUNCTION("""COMPUTED_VALUE"""),"20180518GAMOA")</f>
        <v>20180518GAMOA</v>
      </c>
      <c r="C925" s="8" t="str">
        <f ca="1">IFERROR(__xludf.DUMMYFUNCTION("""COMPUTED_VALUE"""),"Fatal")</f>
        <v>Fatal</v>
      </c>
      <c r="D925" s="8" t="str">
        <f ca="1">IFERROR(__xludf.DUMMYFUNCTION("""COMPUTED_VALUE"""),"Female")</f>
        <v>Female</v>
      </c>
      <c r="E925" s="8" t="str">
        <f ca="1">IFERROR(__xludf.DUMMYFUNCTION("""COMPUTED_VALUE"""),"Relative")</f>
        <v>Relative</v>
      </c>
      <c r="F925" s="8">
        <f ca="1">IFERROR(__xludf.DUMMYFUNCTION("""COMPUTED_VALUE"""),40)</f>
        <v>40</v>
      </c>
    </row>
    <row r="926" spans="1:6" ht="12.75">
      <c r="A926" s="4">
        <v>925</v>
      </c>
      <c r="B926" s="8" t="str">
        <f ca="1">IFERROR(__xludf.DUMMYFUNCTION("""COMPUTED_VALUE"""),"20180518GAMOA")</f>
        <v>20180518GAMOA</v>
      </c>
      <c r="C926" s="8" t="str">
        <f ca="1">IFERROR(__xludf.DUMMYFUNCTION("""COMPUTED_VALUE"""),"Wounded")</f>
        <v>Wounded</v>
      </c>
      <c r="D926" s="8" t="str">
        <f ca="1">IFERROR(__xludf.DUMMYFUNCTION("""COMPUTED_VALUE"""),"Female")</f>
        <v>Female</v>
      </c>
      <c r="E926" s="8" t="str">
        <f ca="1">IFERROR(__xludf.DUMMYFUNCTION("""COMPUTED_VALUE"""),"Relative")</f>
        <v>Relative</v>
      </c>
      <c r="F926" s="8">
        <f ca="1">IFERROR(__xludf.DUMMYFUNCTION("""COMPUTED_VALUE"""),21)</f>
        <v>21</v>
      </c>
    </row>
    <row r="927" spans="1:6" ht="12.75">
      <c r="A927" s="4">
        <v>926</v>
      </c>
      <c r="B927" s="8" t="str">
        <f ca="1">IFERROR(__xludf.DUMMYFUNCTION("""COMPUTED_VALUE"""),"20180518GAMOA")</f>
        <v>20180518GAMOA</v>
      </c>
      <c r="C927" s="8" t="str">
        <f ca="1">IFERROR(__xludf.DUMMYFUNCTION("""COMPUTED_VALUE"""),"Wounded")</f>
        <v>Wounded</v>
      </c>
      <c r="D927" s="8" t="str">
        <f ca="1">IFERROR(__xludf.DUMMYFUNCTION("""COMPUTED_VALUE"""),"Female")</f>
        <v>Female</v>
      </c>
      <c r="E927" s="8" t="str">
        <f ca="1">IFERROR(__xludf.DUMMYFUNCTION("""COMPUTED_VALUE"""),"Relative")</f>
        <v>Relative</v>
      </c>
      <c r="F927" s="8" t="str">
        <f ca="1">IFERROR(__xludf.DUMMYFUNCTION("""COMPUTED_VALUE"""),"Adult")</f>
        <v>Adult</v>
      </c>
    </row>
    <row r="928" spans="1:6" ht="12.75">
      <c r="A928" s="4">
        <v>927</v>
      </c>
      <c r="B928" s="8" t="str">
        <f ca="1">IFERROR(__xludf.DUMMYFUNCTION("""COMPUTED_VALUE"""),"20180517MOCEK")</f>
        <v>20180517MOCEK</v>
      </c>
      <c r="C928" s="8" t="str">
        <f ca="1">IFERROR(__xludf.DUMMYFUNCTION("""COMPUTED_VALUE"""),"Wounded")</f>
        <v>Wounded</v>
      </c>
      <c r="D928" s="8"/>
      <c r="E928" s="8" t="str">
        <f ca="1">IFERROR(__xludf.DUMMYFUNCTION("""COMPUTED_VALUE"""),"Relative")</f>
        <v>Relative</v>
      </c>
      <c r="F928" s="8" t="str">
        <f ca="1">IFERROR(__xludf.DUMMYFUNCTION("""COMPUTED_VALUE"""),"Adult")</f>
        <v>Adult</v>
      </c>
    </row>
    <row r="929" spans="1:6" ht="12.75">
      <c r="A929" s="4">
        <v>928</v>
      </c>
      <c r="B929" s="8" t="str">
        <f ca="1">IFERROR(__xludf.DUMMYFUNCTION("""COMPUTED_VALUE"""),"20180517MOCEK")</f>
        <v>20180517MOCEK</v>
      </c>
      <c r="C929" s="8" t="str">
        <f ca="1">IFERROR(__xludf.DUMMYFUNCTION("""COMPUTED_VALUE"""),"Wounded")</f>
        <v>Wounded</v>
      </c>
      <c r="D929" s="8"/>
      <c r="E929" s="8" t="str">
        <f ca="1">IFERROR(__xludf.DUMMYFUNCTION("""COMPUTED_VALUE"""),"Student")</f>
        <v>Student</v>
      </c>
      <c r="F929" s="8" t="str">
        <f ca="1">IFERROR(__xludf.DUMMYFUNCTION("""COMPUTED_VALUE"""),"Teen")</f>
        <v>Teen</v>
      </c>
    </row>
    <row r="930" spans="1:6" ht="12.75">
      <c r="A930" s="4">
        <v>929</v>
      </c>
      <c r="B930" s="8" t="str">
        <f ca="1">IFERROR(__xludf.DUMMYFUNCTION("""COMPUTED_VALUE"""),"20180516ILDID")</f>
        <v>20180516ILDID</v>
      </c>
      <c r="C930" s="8" t="str">
        <f ca="1">IFERROR(__xludf.DUMMYFUNCTION("""COMPUTED_VALUE"""),"Wounded")</f>
        <v>Wounded</v>
      </c>
      <c r="D930" s="8" t="str">
        <f ca="1">IFERROR(__xludf.DUMMYFUNCTION("""COMPUTED_VALUE"""),"Male")</f>
        <v>Male</v>
      </c>
      <c r="E930" s="8" t="str">
        <f ca="1">IFERROR(__xludf.DUMMYFUNCTION("""COMPUTED_VALUE"""),"Student")</f>
        <v>Student</v>
      </c>
      <c r="F930" s="8"/>
    </row>
    <row r="931" spans="1:6" ht="12.75">
      <c r="A931" s="4">
        <v>930</v>
      </c>
      <c r="B931" s="8" t="str">
        <f ca="1">IFERROR(__xludf.DUMMYFUNCTION("""COMPUTED_VALUE"""),"20180511CAHIP")</f>
        <v>20180511CAHIP</v>
      </c>
      <c r="C931" s="8" t="str">
        <f ca="1">IFERROR(__xludf.DUMMYFUNCTION("""COMPUTED_VALUE"""),"Wounded")</f>
        <v>Wounded</v>
      </c>
      <c r="D931" s="8" t="str">
        <f ca="1">IFERROR(__xludf.DUMMYFUNCTION("""COMPUTED_VALUE"""),"Male")</f>
        <v>Male</v>
      </c>
      <c r="E931" s="8" t="str">
        <f ca="1">IFERROR(__xludf.DUMMYFUNCTION("""COMPUTED_VALUE"""),"Student")</f>
        <v>Student</v>
      </c>
      <c r="F931" s="8">
        <f ca="1">IFERROR(__xludf.DUMMYFUNCTION("""COMPUTED_VALUE"""),15)</f>
        <v>15</v>
      </c>
    </row>
    <row r="932" spans="1:6" ht="12.75">
      <c r="A932" s="4">
        <v>931</v>
      </c>
      <c r="B932" s="8" t="str">
        <f ca="1">IFERROR(__xludf.DUMMYFUNCTION("""COMPUTED_VALUE"""),"20180505MIFOF")</f>
        <v>20180505MIFOF</v>
      </c>
      <c r="C932" s="8" t="str">
        <f ca="1">IFERROR(__xludf.DUMMYFUNCTION("""COMPUTED_VALUE"""),"None")</f>
        <v>None</v>
      </c>
      <c r="D932" s="8"/>
      <c r="E932" s="8"/>
      <c r="F932" s="8"/>
    </row>
    <row r="933" spans="1:6" ht="12.75">
      <c r="A933" s="4">
        <v>932</v>
      </c>
      <c r="B933" s="8" t="str">
        <f ca="1">IFERROR(__xludf.DUMMYFUNCTION("""COMPUTED_VALUE"""),"20180503TNWAW")</f>
        <v>20180503TNWAW</v>
      </c>
      <c r="C933" s="8" t="str">
        <f ca="1">IFERROR(__xludf.DUMMYFUNCTION("""COMPUTED_VALUE"""),"None")</f>
        <v>None</v>
      </c>
      <c r="D933" s="8"/>
      <c r="E933" s="8"/>
      <c r="F933" s="8"/>
    </row>
    <row r="934" spans="1:6" ht="12.75">
      <c r="A934" s="4">
        <v>933</v>
      </c>
      <c r="B934" s="8" t="str">
        <f ca="1">IFERROR(__xludf.DUMMYFUNCTION("""COMPUTED_VALUE"""),"20180503SDENW")</f>
        <v>20180503SDENW</v>
      </c>
      <c r="C934" s="8" t="str">
        <f ca="1">IFERROR(__xludf.DUMMYFUNCTION("""COMPUTED_VALUE"""),"Wounded")</f>
        <v>Wounded</v>
      </c>
      <c r="D934" s="8" t="str">
        <f ca="1">IFERROR(__xludf.DUMMYFUNCTION("""COMPUTED_VALUE"""),"Male")</f>
        <v>Male</v>
      </c>
      <c r="E934" s="8" t="str">
        <f ca="1">IFERROR(__xludf.DUMMYFUNCTION("""COMPUTED_VALUE"""),"Other Staff")</f>
        <v>Other Staff</v>
      </c>
      <c r="F934" s="8">
        <f ca="1">IFERROR(__xludf.DUMMYFUNCTION("""COMPUTED_VALUE"""),19)</f>
        <v>19</v>
      </c>
    </row>
    <row r="935" spans="1:6" ht="12.75">
      <c r="A935" s="4">
        <v>934</v>
      </c>
      <c r="B935" s="8" t="str">
        <f ca="1">IFERROR(__xludf.DUMMYFUNCTION("""COMPUTED_VALUE"""),"20180425NMHIA")</f>
        <v>20180425NMHIA</v>
      </c>
      <c r="C935" s="8" t="str">
        <f ca="1">IFERROR(__xludf.DUMMYFUNCTION("""COMPUTED_VALUE"""),"Wounded")</f>
        <v>Wounded</v>
      </c>
      <c r="D935" s="8" t="str">
        <f ca="1">IFERROR(__xludf.DUMMYFUNCTION("""COMPUTED_VALUE"""),"Male")</f>
        <v>Male</v>
      </c>
      <c r="E935" s="8" t="str">
        <f ca="1">IFERROR(__xludf.DUMMYFUNCTION("""COMPUTED_VALUE"""),"Parent")</f>
        <v>Parent</v>
      </c>
      <c r="F935" s="8" t="str">
        <f ca="1">IFERROR(__xludf.DUMMYFUNCTION("""COMPUTED_VALUE"""),"Adult")</f>
        <v>Adult</v>
      </c>
    </row>
    <row r="936" spans="1:6" ht="12.75">
      <c r="A936" s="4">
        <v>935</v>
      </c>
      <c r="B936" s="8" t="str">
        <f ca="1">IFERROR(__xludf.DUMMYFUNCTION("""COMPUTED_VALUE"""),"20180423GABEA")</f>
        <v>20180423GABEA</v>
      </c>
      <c r="C936" s="8" t="str">
        <f ca="1">IFERROR(__xludf.DUMMYFUNCTION("""COMPUTED_VALUE"""),"None")</f>
        <v>None</v>
      </c>
      <c r="D936" s="8"/>
      <c r="E936" s="8"/>
      <c r="F936" s="8"/>
    </row>
    <row r="937" spans="1:6" ht="12.75">
      <c r="A937" s="4">
        <v>936</v>
      </c>
      <c r="B937" s="8" t="str">
        <f ca="1">IFERROR(__xludf.DUMMYFUNCTION("""COMPUTED_VALUE"""),"20180420FLFOO")</f>
        <v>20180420FLFOO</v>
      </c>
      <c r="C937" s="8" t="str">
        <f ca="1">IFERROR(__xludf.DUMMYFUNCTION("""COMPUTED_VALUE"""),"Wounded")</f>
        <v>Wounded</v>
      </c>
      <c r="D937" s="8" t="str">
        <f ca="1">IFERROR(__xludf.DUMMYFUNCTION("""COMPUTED_VALUE"""),"Male")</f>
        <v>Male</v>
      </c>
      <c r="E937" s="8" t="str">
        <f ca="1">IFERROR(__xludf.DUMMYFUNCTION("""COMPUTED_VALUE"""),"Student")</f>
        <v>Student</v>
      </c>
      <c r="F937" s="8" t="str">
        <f ca="1">IFERROR(__xludf.DUMMYFUNCTION("""COMPUTED_VALUE"""),"Teen")</f>
        <v>Teen</v>
      </c>
    </row>
    <row r="938" spans="1:6" ht="12.75">
      <c r="A938" s="4">
        <v>937</v>
      </c>
      <c r="B938" s="8" t="str">
        <f ca="1">IFERROR(__xludf.DUMMYFUNCTION("""COMPUTED_VALUE"""),"20180419MIJAJ")</f>
        <v>20180419MIJAJ</v>
      </c>
      <c r="C938" s="8" t="str">
        <f ca="1">IFERROR(__xludf.DUMMYFUNCTION("""COMPUTED_VALUE"""),"None")</f>
        <v>None</v>
      </c>
      <c r="D938" s="8"/>
      <c r="E938" s="8"/>
      <c r="F938" s="8"/>
    </row>
    <row r="939" spans="1:6" ht="12.75">
      <c r="A939" s="4">
        <v>938</v>
      </c>
      <c r="B939" s="8" t="str">
        <f ca="1">IFERROR(__xludf.DUMMYFUNCTION("""COMPUTED_VALUE"""),"20180412MORAR")</f>
        <v>20180412MORAR</v>
      </c>
      <c r="C939" s="8" t="str">
        <f ca="1">IFERROR(__xludf.DUMMYFUNCTION("""COMPUTED_VALUE"""),"Wounded")</f>
        <v>Wounded</v>
      </c>
      <c r="D939" s="8" t="str">
        <f ca="1">IFERROR(__xludf.DUMMYFUNCTION("""COMPUTED_VALUE"""),"Male")</f>
        <v>Male</v>
      </c>
      <c r="E939" s="8" t="str">
        <f ca="1">IFERROR(__xludf.DUMMYFUNCTION("""COMPUTED_VALUE"""),"Parent")</f>
        <v>Parent</v>
      </c>
      <c r="F939" s="8" t="str">
        <f ca="1">IFERROR(__xludf.DUMMYFUNCTION("""COMPUTED_VALUE"""),"Adult")</f>
        <v>Adult</v>
      </c>
    </row>
    <row r="940" spans="1:6" ht="12.75">
      <c r="A940" s="4">
        <v>939</v>
      </c>
      <c r="B940" s="8" t="str">
        <f ca="1">IFERROR(__xludf.DUMMYFUNCTION("""COMPUTED_VALUE"""),"20180409NYGLG")</f>
        <v>20180409NYGLG</v>
      </c>
      <c r="C940" s="8" t="str">
        <f ca="1">IFERROR(__xludf.DUMMYFUNCTION("""COMPUTED_VALUE"""),"Wounded")</f>
        <v>Wounded</v>
      </c>
      <c r="D940" s="8" t="str">
        <f ca="1">IFERROR(__xludf.DUMMYFUNCTION("""COMPUTED_VALUE"""),"Male")</f>
        <v>Male</v>
      </c>
      <c r="E940" s="8" t="str">
        <f ca="1">IFERROR(__xludf.DUMMYFUNCTION("""COMPUTED_VALUE"""),"Student")</f>
        <v>Student</v>
      </c>
      <c r="F940" s="8" t="str">
        <f ca="1">IFERROR(__xludf.DUMMYFUNCTION("""COMPUTED_VALUE"""),"Teen")</f>
        <v>Teen</v>
      </c>
    </row>
    <row r="941" spans="1:6" ht="12.75">
      <c r="A941" s="4">
        <v>940</v>
      </c>
      <c r="B941" s="8" t="str">
        <f ca="1">IFERROR(__xludf.DUMMYFUNCTION("""COMPUTED_VALUE"""),"20180329KYJOE")</f>
        <v>20180329KYJOE</v>
      </c>
      <c r="C941" s="8" t="str">
        <f ca="1">IFERROR(__xludf.DUMMYFUNCTION("""COMPUTED_VALUE"""),"None")</f>
        <v>None</v>
      </c>
      <c r="D941" s="8" t="str">
        <f ca="1">IFERROR(__xludf.DUMMYFUNCTION("""COMPUTED_VALUE"""),"Male")</f>
        <v>Male</v>
      </c>
      <c r="E941" s="8" t="str">
        <f ca="1">IFERROR(__xludf.DUMMYFUNCTION("""COMPUTED_VALUE"""),"Parent")</f>
        <v>Parent</v>
      </c>
      <c r="F941" s="8">
        <f ca="1">IFERROR(__xludf.DUMMYFUNCTION("""COMPUTED_VALUE"""),51)</f>
        <v>51</v>
      </c>
    </row>
    <row r="942" spans="1:6" ht="12.75">
      <c r="A942" s="4">
        <v>941</v>
      </c>
      <c r="B942" s="8" t="str">
        <f ca="1">IFERROR(__xludf.DUMMYFUNCTION("""COMPUTED_VALUE"""),"20180328MSEUE")</f>
        <v>20180328MSEUE</v>
      </c>
      <c r="C942" s="8" t="str">
        <f ca="1">IFERROR(__xludf.DUMMYFUNCTION("""COMPUTED_VALUE"""),"None")</f>
        <v>None</v>
      </c>
      <c r="D942" s="8"/>
      <c r="E942" s="8"/>
      <c r="F942" s="8"/>
    </row>
    <row r="943" spans="1:6" ht="12.75">
      <c r="A943" s="4">
        <v>942</v>
      </c>
      <c r="B943" s="8" t="str">
        <f ca="1">IFERROR(__xludf.DUMMYFUNCTION("""COMPUTED_VALUE"""),"20180320MDGRG")</f>
        <v>20180320MDGRG</v>
      </c>
      <c r="C943" s="8" t="str">
        <f ca="1">IFERROR(__xludf.DUMMYFUNCTION("""COMPUTED_VALUE"""),"Fatal")</f>
        <v>Fatal</v>
      </c>
      <c r="D943" s="8" t="str">
        <f ca="1">IFERROR(__xludf.DUMMYFUNCTION("""COMPUTED_VALUE"""),"Male")</f>
        <v>Male</v>
      </c>
      <c r="E943" s="8" t="str">
        <f ca="1">IFERROR(__xludf.DUMMYFUNCTION("""COMPUTED_VALUE"""),"Student")</f>
        <v>Student</v>
      </c>
      <c r="F943" s="8" t="str">
        <f ca="1">IFERROR(__xludf.DUMMYFUNCTION("""COMPUTED_VALUE"""),"Teen")</f>
        <v>Teen</v>
      </c>
    </row>
    <row r="944" spans="1:6" ht="12.75">
      <c r="A944" s="4">
        <v>943</v>
      </c>
      <c r="B944" s="8" t="str">
        <f ca="1">IFERROR(__xludf.DUMMYFUNCTION("""COMPUTED_VALUE"""),"20180320MDGRG")</f>
        <v>20180320MDGRG</v>
      </c>
      <c r="C944" s="8" t="str">
        <f ca="1">IFERROR(__xludf.DUMMYFUNCTION("""COMPUTED_VALUE"""),"Wounded")</f>
        <v>Wounded</v>
      </c>
      <c r="D944" s="8" t="str">
        <f ca="1">IFERROR(__xludf.DUMMYFUNCTION("""COMPUTED_VALUE"""),"Female")</f>
        <v>Female</v>
      </c>
      <c r="E944" s="8" t="str">
        <f ca="1">IFERROR(__xludf.DUMMYFUNCTION("""COMPUTED_VALUE"""),"Student")</f>
        <v>Student</v>
      </c>
      <c r="F944" s="8" t="str">
        <f ca="1">IFERROR(__xludf.DUMMYFUNCTION("""COMPUTED_VALUE"""),"Teen")</f>
        <v>Teen</v>
      </c>
    </row>
    <row r="945" spans="1:6" ht="12.75">
      <c r="A945" s="4">
        <v>944</v>
      </c>
      <c r="B945" s="8" t="str">
        <f ca="1">IFERROR(__xludf.DUMMYFUNCTION("""COMPUTED_VALUE"""),"20180319VADOP")</f>
        <v>20180319VADOP</v>
      </c>
      <c r="C945" s="8" t="str">
        <f ca="1">IFERROR(__xludf.DUMMYFUNCTION("""COMPUTED_VALUE"""),"Wounded")</f>
        <v>Wounded</v>
      </c>
      <c r="D945" s="8" t="str">
        <f ca="1">IFERROR(__xludf.DUMMYFUNCTION("""COMPUTED_VALUE"""),"Female")</f>
        <v>Female</v>
      </c>
      <c r="E945" s="8" t="str">
        <f ca="1">IFERROR(__xludf.DUMMYFUNCTION("""COMPUTED_VALUE"""),"Parent")</f>
        <v>Parent</v>
      </c>
      <c r="F945" s="8" t="str">
        <f ca="1">IFERROR(__xludf.DUMMYFUNCTION("""COMPUTED_VALUE"""),"Adult")</f>
        <v>Adult</v>
      </c>
    </row>
    <row r="946" spans="1:6" ht="12.75">
      <c r="A946" s="4">
        <v>945</v>
      </c>
      <c r="B946" s="8" t="str">
        <f ca="1">IFERROR(__xludf.DUMMYFUNCTION("""COMPUTED_VALUE"""),"20180316MTBIM")</f>
        <v>20180316MTBIM</v>
      </c>
      <c r="C946" s="8" t="str">
        <f ca="1">IFERROR(__xludf.DUMMYFUNCTION("""COMPUTED_VALUE"""),"None")</f>
        <v>None</v>
      </c>
      <c r="D946" s="8"/>
      <c r="E946" s="8"/>
      <c r="F946" s="8"/>
    </row>
    <row r="947" spans="1:6" ht="12.75">
      <c r="A947" s="4">
        <v>946</v>
      </c>
      <c r="B947" s="8" t="str">
        <f ca="1">IFERROR(__xludf.DUMMYFUNCTION("""COMPUTED_VALUE"""),"20180313VAGEA")</f>
        <v>20180313VAGEA</v>
      </c>
      <c r="C947" s="8" t="str">
        <f ca="1">IFERROR(__xludf.DUMMYFUNCTION("""COMPUTED_VALUE"""),"None")</f>
        <v>None</v>
      </c>
      <c r="D947" s="8"/>
      <c r="E947" s="8"/>
      <c r="F947" s="8"/>
    </row>
    <row r="948" spans="1:6" ht="12.75">
      <c r="A948" s="4">
        <v>947</v>
      </c>
      <c r="B948" s="8" t="str">
        <f ca="1">IFERROR(__xludf.DUMMYFUNCTION("""COMPUTED_VALUE"""),"20180313CASES")</f>
        <v>20180313CASES</v>
      </c>
      <c r="C948" s="8" t="str">
        <f ca="1">IFERROR(__xludf.DUMMYFUNCTION("""COMPUTED_VALUE"""),"Minor Injuries")</f>
        <v>Minor Injuries</v>
      </c>
      <c r="D948" s="8"/>
      <c r="E948" s="8" t="str">
        <f ca="1">IFERROR(__xludf.DUMMYFUNCTION("""COMPUTED_VALUE"""),"Student")</f>
        <v>Student</v>
      </c>
      <c r="F948" s="8" t="str">
        <f ca="1">IFERROR(__xludf.DUMMYFUNCTION("""COMPUTED_VALUE"""),"Teen")</f>
        <v>Teen</v>
      </c>
    </row>
    <row r="949" spans="1:6" ht="12.75">
      <c r="A949" s="4">
        <v>948</v>
      </c>
      <c r="B949" s="8" t="str">
        <f ca="1">IFERROR(__xludf.DUMMYFUNCTION("""COMPUTED_VALUE"""),"20180313CASES")</f>
        <v>20180313CASES</v>
      </c>
      <c r="C949" s="8" t="str">
        <f ca="1">IFERROR(__xludf.DUMMYFUNCTION("""COMPUTED_VALUE"""),"Minor Injuries")</f>
        <v>Minor Injuries</v>
      </c>
      <c r="D949" s="8"/>
      <c r="E949" s="8" t="str">
        <f ca="1">IFERROR(__xludf.DUMMYFUNCTION("""COMPUTED_VALUE"""),"Student")</f>
        <v>Student</v>
      </c>
      <c r="F949" s="8" t="str">
        <f ca="1">IFERROR(__xludf.DUMMYFUNCTION("""COMPUTED_VALUE"""),"Teen")</f>
        <v>Teen</v>
      </c>
    </row>
    <row r="950" spans="1:6" ht="12.75">
      <c r="A950" s="4">
        <v>949</v>
      </c>
      <c r="B950" s="8" t="str">
        <f ca="1">IFERROR(__xludf.DUMMYFUNCTION("""COMPUTED_VALUE"""),"20180313CASES")</f>
        <v>20180313CASES</v>
      </c>
      <c r="C950" s="8" t="str">
        <f ca="1">IFERROR(__xludf.DUMMYFUNCTION("""COMPUTED_VALUE"""),"Minor Injuries")</f>
        <v>Minor Injuries</v>
      </c>
      <c r="D950" s="8"/>
      <c r="E950" s="8" t="str">
        <f ca="1">IFERROR(__xludf.DUMMYFUNCTION("""COMPUTED_VALUE"""),"Student")</f>
        <v>Student</v>
      </c>
      <c r="F950" s="8" t="str">
        <f ca="1">IFERROR(__xludf.DUMMYFUNCTION("""COMPUTED_VALUE"""),"Teen")</f>
        <v>Teen</v>
      </c>
    </row>
    <row r="951" spans="1:6" ht="12.75">
      <c r="A951" s="4">
        <v>950</v>
      </c>
      <c r="B951" s="8" t="str">
        <f ca="1">IFERROR(__xludf.DUMMYFUNCTION("""COMPUTED_VALUE"""),"20180309KYFRL")</f>
        <v>20180309KYFRL</v>
      </c>
      <c r="C951" s="8" t="str">
        <f ca="1">IFERROR(__xludf.DUMMYFUNCTION("""COMPUTED_VALUE"""),"None")</f>
        <v>None</v>
      </c>
      <c r="D951" s="8" t="str">
        <f ca="1">IFERROR(__xludf.DUMMYFUNCTION("""COMPUTED_VALUE"""),"Male")</f>
        <v>Male</v>
      </c>
      <c r="E951" s="8" t="str">
        <f ca="1">IFERROR(__xludf.DUMMYFUNCTION("""COMPUTED_VALUE"""),"Student")</f>
        <v>Student</v>
      </c>
      <c r="F951" s="8" t="str">
        <f ca="1">IFERROR(__xludf.DUMMYFUNCTION("""COMPUTED_VALUE"""),"Teen")</f>
        <v>Teen</v>
      </c>
    </row>
    <row r="952" spans="1:6" ht="12.75">
      <c r="A952" s="4">
        <v>951</v>
      </c>
      <c r="B952" s="8" t="str">
        <f ca="1">IFERROR(__xludf.DUMMYFUNCTION("""COMPUTED_VALUE"""),"20180307ALHUB")</f>
        <v>20180307ALHUB</v>
      </c>
      <c r="C952" s="8" t="str">
        <f ca="1">IFERROR(__xludf.DUMMYFUNCTION("""COMPUTED_VALUE"""),"Fatal")</f>
        <v>Fatal</v>
      </c>
      <c r="D952" s="8" t="str">
        <f ca="1">IFERROR(__xludf.DUMMYFUNCTION("""COMPUTED_VALUE"""),"Female")</f>
        <v>Female</v>
      </c>
      <c r="E952" s="8" t="str">
        <f ca="1">IFERROR(__xludf.DUMMYFUNCTION("""COMPUTED_VALUE"""),"Student")</f>
        <v>Student</v>
      </c>
      <c r="F952" s="8" t="str">
        <f ca="1">IFERROR(__xludf.DUMMYFUNCTION("""COMPUTED_VALUE"""),"Teen")</f>
        <v>Teen</v>
      </c>
    </row>
    <row r="953" spans="1:6" ht="12.75">
      <c r="A953" s="4">
        <v>952</v>
      </c>
      <c r="B953" s="8" t="str">
        <f ca="1">IFERROR(__xludf.DUMMYFUNCTION("""COMPUTED_VALUE"""),"20180305MOKIC")</f>
        <v>20180305MOKIC</v>
      </c>
      <c r="C953" s="8" t="str">
        <f ca="1">IFERROR(__xludf.DUMMYFUNCTION("""COMPUTED_VALUE"""),"None")</f>
        <v>None</v>
      </c>
      <c r="D953" s="8"/>
      <c r="E953" s="8"/>
      <c r="F953" s="8"/>
    </row>
    <row r="954" spans="1:6" ht="12.75">
      <c r="A954" s="4">
        <v>953</v>
      </c>
      <c r="B954" s="8" t="str">
        <f ca="1">IFERROR(__xludf.DUMMYFUNCTION("""COMPUTED_VALUE"""),"20180228GADAD")</f>
        <v>20180228GADAD</v>
      </c>
      <c r="C954" s="8" t="str">
        <f ca="1">IFERROR(__xludf.DUMMYFUNCTION("""COMPUTED_VALUE"""),"None")</f>
        <v>None</v>
      </c>
      <c r="D954" s="8"/>
      <c r="E954" s="8"/>
      <c r="F954" s="8"/>
    </row>
    <row r="955" spans="1:6" ht="12.75">
      <c r="A955" s="4">
        <v>954</v>
      </c>
      <c r="B955" s="8" t="str">
        <f ca="1">IFERROR(__xludf.DUMMYFUNCTION("""COMPUTED_VALUE"""),"20180226WAOAT")</f>
        <v>20180226WAOAT</v>
      </c>
      <c r="C955" s="8" t="str">
        <f ca="1">IFERROR(__xludf.DUMMYFUNCTION("""COMPUTED_VALUE"""),"None")</f>
        <v>None</v>
      </c>
      <c r="D955" s="8"/>
      <c r="E955" s="8"/>
      <c r="F955" s="8"/>
    </row>
    <row r="956" spans="1:6" ht="12.75">
      <c r="A956" s="4">
        <v>955</v>
      </c>
      <c r="B956" s="8" t="str">
        <f ca="1">IFERROR(__xludf.DUMMYFUNCTION("""COMPUTED_VALUE"""),"20180220OHJAM")</f>
        <v>20180220OHJAM</v>
      </c>
      <c r="C956" s="8" t="str">
        <f ca="1">IFERROR(__xludf.DUMMYFUNCTION("""COMPUTED_VALUE"""),"None")</f>
        <v>None</v>
      </c>
      <c r="D956" s="8" t="str">
        <f ca="1">IFERROR(__xludf.DUMMYFUNCTION("""COMPUTED_VALUE"""),"Male")</f>
        <v>Male</v>
      </c>
      <c r="E956" s="8" t="str">
        <f ca="1">IFERROR(__xludf.DUMMYFUNCTION("""COMPUTED_VALUE"""),"Student")</f>
        <v>Student</v>
      </c>
      <c r="F956" s="8">
        <f ca="1">IFERROR(__xludf.DUMMYFUNCTION("""COMPUTED_VALUE"""),13)</f>
        <v>13</v>
      </c>
    </row>
    <row r="957" spans="1:6" ht="12.75">
      <c r="A957" s="4">
        <v>956</v>
      </c>
      <c r="B957" s="8" t="str">
        <f ca="1">IFERROR(__xludf.DUMMYFUNCTION("""COMPUTED_VALUE"""),"20180215FLNOC")</f>
        <v>20180215FLNOC</v>
      </c>
      <c r="C957" s="8" t="str">
        <f ca="1">IFERROR(__xludf.DUMMYFUNCTION("""COMPUTED_VALUE"""),"None")</f>
        <v>None</v>
      </c>
      <c r="D957" s="8"/>
      <c r="E957" s="8"/>
      <c r="F957" s="8"/>
    </row>
    <row r="958" spans="1:6" ht="12.75">
      <c r="A958" s="4">
        <v>957</v>
      </c>
      <c r="B958" s="8" t="str">
        <f ca="1">IFERROR(__xludf.DUMMYFUNCTION("""COMPUTED_VALUE"""),"20180214FLMAP")</f>
        <v>20180214FLMAP</v>
      </c>
      <c r="C958" s="8" t="str">
        <f ca="1">IFERROR(__xludf.DUMMYFUNCTION("""COMPUTED_VALUE"""),"Wounded")</f>
        <v>Wounded</v>
      </c>
      <c r="D958" s="8" t="str">
        <f ca="1">IFERROR(__xludf.DUMMYFUNCTION("""COMPUTED_VALUE"""),"Female")</f>
        <v>Female</v>
      </c>
      <c r="E958" s="8" t="str">
        <f ca="1">IFERROR(__xludf.DUMMYFUNCTION("""COMPUTED_VALUE"""),"Teacher")</f>
        <v>Teacher</v>
      </c>
      <c r="F958" s="8">
        <f ca="1">IFERROR(__xludf.DUMMYFUNCTION("""COMPUTED_VALUE"""),50)</f>
        <v>50</v>
      </c>
    </row>
    <row r="959" spans="1:6" ht="12.75">
      <c r="A959" s="4">
        <v>958</v>
      </c>
      <c r="B959" s="8" t="str">
        <f ca="1">IFERROR(__xludf.DUMMYFUNCTION("""COMPUTED_VALUE"""),"20180214FLMAP")</f>
        <v>20180214FLMAP</v>
      </c>
      <c r="C959" s="8" t="str">
        <f ca="1">IFERROR(__xludf.DUMMYFUNCTION("""COMPUTED_VALUE"""),"Fatal")</f>
        <v>Fatal</v>
      </c>
      <c r="D959" s="8" t="str">
        <f ca="1">IFERROR(__xludf.DUMMYFUNCTION("""COMPUTED_VALUE"""),"Female")</f>
        <v>Female</v>
      </c>
      <c r="E959" s="8" t="str">
        <f ca="1">IFERROR(__xludf.DUMMYFUNCTION("""COMPUTED_VALUE"""),"Student")</f>
        <v>Student</v>
      </c>
      <c r="F959" s="8">
        <f ca="1">IFERROR(__xludf.DUMMYFUNCTION("""COMPUTED_VALUE"""),14)</f>
        <v>14</v>
      </c>
    </row>
    <row r="960" spans="1:6" ht="12.75">
      <c r="A960" s="4">
        <v>959</v>
      </c>
      <c r="B960" s="8" t="str">
        <f ca="1">IFERROR(__xludf.DUMMYFUNCTION("""COMPUTED_VALUE"""),"20180214FLMAP")</f>
        <v>20180214FLMAP</v>
      </c>
      <c r="C960" s="8" t="str">
        <f ca="1">IFERROR(__xludf.DUMMYFUNCTION("""COMPUTED_VALUE"""),"Wounded")</f>
        <v>Wounded</v>
      </c>
      <c r="D960" s="8" t="str">
        <f ca="1">IFERROR(__xludf.DUMMYFUNCTION("""COMPUTED_VALUE"""),"Female")</f>
        <v>Female</v>
      </c>
      <c r="E960" s="8" t="str">
        <f ca="1">IFERROR(__xludf.DUMMYFUNCTION("""COMPUTED_VALUE"""),"Student")</f>
        <v>Student</v>
      </c>
      <c r="F960" s="8">
        <f ca="1">IFERROR(__xludf.DUMMYFUNCTION("""COMPUTED_VALUE"""),18)</f>
        <v>18</v>
      </c>
    </row>
    <row r="961" spans="1:6" ht="12.75">
      <c r="A961" s="4">
        <v>960</v>
      </c>
      <c r="B961" s="8" t="str">
        <f ca="1">IFERROR(__xludf.DUMMYFUNCTION("""COMPUTED_VALUE"""),"20180214FLMAP")</f>
        <v>20180214FLMAP</v>
      </c>
      <c r="C961" s="8" t="str">
        <f ca="1">IFERROR(__xludf.DUMMYFUNCTION("""COMPUTED_VALUE"""),"Wounded")</f>
        <v>Wounded</v>
      </c>
      <c r="D961" s="8" t="str">
        <f ca="1">IFERROR(__xludf.DUMMYFUNCTION("""COMPUTED_VALUE"""),"Female")</f>
        <v>Female</v>
      </c>
      <c r="E961" s="8" t="str">
        <f ca="1">IFERROR(__xludf.DUMMYFUNCTION("""COMPUTED_VALUE"""),"Student")</f>
        <v>Student</v>
      </c>
      <c r="F961" s="8" t="str">
        <f ca="1">IFERROR(__xludf.DUMMYFUNCTION("""COMPUTED_VALUE"""),"Teen")</f>
        <v>Teen</v>
      </c>
    </row>
    <row r="962" spans="1:6" ht="12.75">
      <c r="A962" s="4">
        <v>961</v>
      </c>
      <c r="B962" s="8" t="str">
        <f ca="1">IFERROR(__xludf.DUMMYFUNCTION("""COMPUTED_VALUE"""),"20180214FLMAP")</f>
        <v>20180214FLMAP</v>
      </c>
      <c r="C962" s="8" t="str">
        <f ca="1">IFERROR(__xludf.DUMMYFUNCTION("""COMPUTED_VALUE"""),"Fatal")</f>
        <v>Fatal</v>
      </c>
      <c r="D962" s="8" t="str">
        <f ca="1">IFERROR(__xludf.DUMMYFUNCTION("""COMPUTED_VALUE"""),"Female")</f>
        <v>Female</v>
      </c>
      <c r="E962" s="8" t="str">
        <f ca="1">IFERROR(__xludf.DUMMYFUNCTION("""COMPUTED_VALUE"""),"Student")</f>
        <v>Student</v>
      </c>
      <c r="F962" s="8">
        <f ca="1">IFERROR(__xludf.DUMMYFUNCTION("""COMPUTED_VALUE"""),18)</f>
        <v>18</v>
      </c>
    </row>
    <row r="963" spans="1:6" ht="12.75">
      <c r="A963" s="4">
        <v>962</v>
      </c>
      <c r="B963" s="8" t="str">
        <f ca="1">IFERROR(__xludf.DUMMYFUNCTION("""COMPUTED_VALUE"""),"20180214FLMAP")</f>
        <v>20180214FLMAP</v>
      </c>
      <c r="C963" s="8" t="str">
        <f ca="1">IFERROR(__xludf.DUMMYFUNCTION("""COMPUTED_VALUE"""),"Wounded")</f>
        <v>Wounded</v>
      </c>
      <c r="D963" s="8" t="str">
        <f ca="1">IFERROR(__xludf.DUMMYFUNCTION("""COMPUTED_VALUE"""),"Female")</f>
        <v>Female</v>
      </c>
      <c r="E963" s="8" t="str">
        <f ca="1">IFERROR(__xludf.DUMMYFUNCTION("""COMPUTED_VALUE"""),"Student")</f>
        <v>Student</v>
      </c>
      <c r="F963" s="8" t="str">
        <f ca="1">IFERROR(__xludf.DUMMYFUNCTION("""COMPUTED_VALUE"""),"Teen")</f>
        <v>Teen</v>
      </c>
    </row>
    <row r="964" spans="1:6" ht="12.75">
      <c r="A964" s="4">
        <v>963</v>
      </c>
      <c r="B964" s="8" t="str">
        <f ca="1">IFERROR(__xludf.DUMMYFUNCTION("""COMPUTED_VALUE"""),"20180214FLMAP")</f>
        <v>20180214FLMAP</v>
      </c>
      <c r="C964" s="8" t="str">
        <f ca="1">IFERROR(__xludf.DUMMYFUNCTION("""COMPUTED_VALUE"""),"Wounded")</f>
        <v>Wounded</v>
      </c>
      <c r="D964" s="8" t="str">
        <f ca="1">IFERROR(__xludf.DUMMYFUNCTION("""COMPUTED_VALUE"""),"Female")</f>
        <v>Female</v>
      </c>
      <c r="E964" s="8" t="str">
        <f ca="1">IFERROR(__xludf.DUMMYFUNCTION("""COMPUTED_VALUE"""),"Student")</f>
        <v>Student</v>
      </c>
      <c r="F964" s="8">
        <f ca="1">IFERROR(__xludf.DUMMYFUNCTION("""COMPUTED_VALUE"""),17)</f>
        <v>17</v>
      </c>
    </row>
    <row r="965" spans="1:6" ht="12.75">
      <c r="A965" s="4">
        <v>964</v>
      </c>
      <c r="B965" s="8" t="str">
        <f ca="1">IFERROR(__xludf.DUMMYFUNCTION("""COMPUTED_VALUE"""),"20180214FLMAP")</f>
        <v>20180214FLMAP</v>
      </c>
      <c r="C965" s="8" t="str">
        <f ca="1">IFERROR(__xludf.DUMMYFUNCTION("""COMPUTED_VALUE"""),"Fatal")</f>
        <v>Fatal</v>
      </c>
      <c r="D965" s="8" t="str">
        <f ca="1">IFERROR(__xludf.DUMMYFUNCTION("""COMPUTED_VALUE"""),"Male")</f>
        <v>Male</v>
      </c>
      <c r="E965" s="8" t="str">
        <f ca="1">IFERROR(__xludf.DUMMYFUNCTION("""COMPUTED_VALUE"""),"Teacher")</f>
        <v>Teacher</v>
      </c>
      <c r="F965" s="8">
        <f ca="1">IFERROR(__xludf.DUMMYFUNCTION("""COMPUTED_VALUE"""),49)</f>
        <v>49</v>
      </c>
    </row>
    <row r="966" spans="1:6" ht="12.75">
      <c r="A966" s="4">
        <v>965</v>
      </c>
      <c r="B966" s="8" t="str">
        <f ca="1">IFERROR(__xludf.DUMMYFUNCTION("""COMPUTED_VALUE"""),"20180214FLMAP")</f>
        <v>20180214FLMAP</v>
      </c>
      <c r="C966" s="8" t="str">
        <f ca="1">IFERROR(__xludf.DUMMYFUNCTION("""COMPUTED_VALUE"""),"Wounded")</f>
        <v>Wounded</v>
      </c>
      <c r="D966" s="8" t="str">
        <f ca="1">IFERROR(__xludf.DUMMYFUNCTION("""COMPUTED_VALUE"""),"Female")</f>
        <v>Female</v>
      </c>
      <c r="E966" s="8" t="str">
        <f ca="1">IFERROR(__xludf.DUMMYFUNCTION("""COMPUTED_VALUE"""),"Student")</f>
        <v>Student</v>
      </c>
      <c r="F966" s="8">
        <f ca="1">IFERROR(__xludf.DUMMYFUNCTION("""COMPUTED_VALUE"""),17)</f>
        <v>17</v>
      </c>
    </row>
    <row r="967" spans="1:6" ht="12.75">
      <c r="A967" s="4">
        <v>966</v>
      </c>
      <c r="B967" s="8" t="str">
        <f ca="1">IFERROR(__xludf.DUMMYFUNCTION("""COMPUTED_VALUE"""),"20180214FLMAP")</f>
        <v>20180214FLMAP</v>
      </c>
      <c r="C967" s="8" t="str">
        <f ca="1">IFERROR(__xludf.DUMMYFUNCTION("""COMPUTED_VALUE"""),"Wounded")</f>
        <v>Wounded</v>
      </c>
      <c r="D967" s="8" t="str">
        <f ca="1">IFERROR(__xludf.DUMMYFUNCTION("""COMPUTED_VALUE"""),"Male")</f>
        <v>Male</v>
      </c>
      <c r="E967" s="8" t="str">
        <f ca="1">IFERROR(__xludf.DUMMYFUNCTION("""COMPUTED_VALUE"""),"Student")</f>
        <v>Student</v>
      </c>
      <c r="F967" s="8" t="str">
        <f ca="1">IFERROR(__xludf.DUMMYFUNCTION("""COMPUTED_VALUE"""),"Teen")</f>
        <v>Teen</v>
      </c>
    </row>
    <row r="968" spans="1:6" ht="12.75">
      <c r="A968" s="4">
        <v>967</v>
      </c>
      <c r="B968" s="8" t="str">
        <f ca="1">IFERROR(__xludf.DUMMYFUNCTION("""COMPUTED_VALUE"""),"20180214FLMAP")</f>
        <v>20180214FLMAP</v>
      </c>
      <c r="C968" s="8" t="str">
        <f ca="1">IFERROR(__xludf.DUMMYFUNCTION("""COMPUTED_VALUE"""),"Fatal")</f>
        <v>Fatal</v>
      </c>
      <c r="D968" s="8" t="str">
        <f ca="1">IFERROR(__xludf.DUMMYFUNCTION("""COMPUTED_VALUE"""),"Female")</f>
        <v>Female</v>
      </c>
      <c r="E968" s="8" t="str">
        <f ca="1">IFERROR(__xludf.DUMMYFUNCTION("""COMPUTED_VALUE"""),"Student")</f>
        <v>Student</v>
      </c>
      <c r="F968" s="8">
        <f ca="1">IFERROR(__xludf.DUMMYFUNCTION("""COMPUTED_VALUE"""),17)</f>
        <v>17</v>
      </c>
    </row>
    <row r="969" spans="1:6" ht="12.75">
      <c r="A969" s="4">
        <v>968</v>
      </c>
      <c r="B969" s="8" t="str">
        <f ca="1">IFERROR(__xludf.DUMMYFUNCTION("""COMPUTED_VALUE"""),"20180214FLMAP")</f>
        <v>20180214FLMAP</v>
      </c>
      <c r="C969" s="8" t="str">
        <f ca="1">IFERROR(__xludf.DUMMYFUNCTION("""COMPUTED_VALUE"""),"Wounded")</f>
        <v>Wounded</v>
      </c>
      <c r="D969" s="8" t="str">
        <f ca="1">IFERROR(__xludf.DUMMYFUNCTION("""COMPUTED_VALUE"""),"Female")</f>
        <v>Female</v>
      </c>
      <c r="E969" s="8" t="str">
        <f ca="1">IFERROR(__xludf.DUMMYFUNCTION("""COMPUTED_VALUE"""),"Student")</f>
        <v>Student</v>
      </c>
      <c r="F969" s="8" t="str">
        <f ca="1">IFERROR(__xludf.DUMMYFUNCTION("""COMPUTED_VALUE"""),"Teen")</f>
        <v>Teen</v>
      </c>
    </row>
    <row r="970" spans="1:6" ht="12.75">
      <c r="A970" s="4">
        <v>969</v>
      </c>
      <c r="B970" s="8" t="str">
        <f ca="1">IFERROR(__xludf.DUMMYFUNCTION("""COMPUTED_VALUE"""),"20180214FLMAP")</f>
        <v>20180214FLMAP</v>
      </c>
      <c r="C970" s="8" t="str">
        <f ca="1">IFERROR(__xludf.DUMMYFUNCTION("""COMPUTED_VALUE"""),"Fatal")</f>
        <v>Fatal</v>
      </c>
      <c r="D970" s="8" t="str">
        <f ca="1">IFERROR(__xludf.DUMMYFUNCTION("""COMPUTED_VALUE"""),"Female")</f>
        <v>Female</v>
      </c>
      <c r="E970" s="8" t="str">
        <f ca="1">IFERROR(__xludf.DUMMYFUNCTION("""COMPUTED_VALUE"""),"Student")</f>
        <v>Student</v>
      </c>
      <c r="F970" s="8">
        <f ca="1">IFERROR(__xludf.DUMMYFUNCTION("""COMPUTED_VALUE"""),14)</f>
        <v>14</v>
      </c>
    </row>
    <row r="971" spans="1:6" ht="12.75">
      <c r="A971" s="4">
        <v>970</v>
      </c>
      <c r="B971" s="8" t="str">
        <f ca="1">IFERROR(__xludf.DUMMYFUNCTION("""COMPUTED_VALUE"""),"20180214FLMAP")</f>
        <v>20180214FLMAP</v>
      </c>
      <c r="C971" s="8" t="str">
        <f ca="1">IFERROR(__xludf.DUMMYFUNCTION("""COMPUTED_VALUE"""),"Wounded")</f>
        <v>Wounded</v>
      </c>
      <c r="D971" s="8" t="str">
        <f ca="1">IFERROR(__xludf.DUMMYFUNCTION("""COMPUTED_VALUE"""),"Male")</f>
        <v>Male</v>
      </c>
      <c r="E971" s="8" t="str">
        <f ca="1">IFERROR(__xludf.DUMMYFUNCTION("""COMPUTED_VALUE"""),"Student")</f>
        <v>Student</v>
      </c>
      <c r="F971" s="8">
        <f ca="1">IFERROR(__xludf.DUMMYFUNCTION("""COMPUTED_VALUE"""),15)</f>
        <v>15</v>
      </c>
    </row>
    <row r="972" spans="1:6" ht="12.75">
      <c r="A972" s="4">
        <v>971</v>
      </c>
      <c r="B972" s="8" t="str">
        <f ca="1">IFERROR(__xludf.DUMMYFUNCTION("""COMPUTED_VALUE"""),"20180214FLMAP")</f>
        <v>20180214FLMAP</v>
      </c>
      <c r="C972" s="8" t="str">
        <f ca="1">IFERROR(__xludf.DUMMYFUNCTION("""COMPUTED_VALUE"""),"Fatal")</f>
        <v>Fatal</v>
      </c>
      <c r="D972" s="8" t="str">
        <f ca="1">IFERROR(__xludf.DUMMYFUNCTION("""COMPUTED_VALUE"""),"Male")</f>
        <v>Male</v>
      </c>
      <c r="E972" s="8" t="str">
        <f ca="1">IFERROR(__xludf.DUMMYFUNCTION("""COMPUTED_VALUE"""),"Student")</f>
        <v>Student</v>
      </c>
      <c r="F972" s="8">
        <f ca="1">IFERROR(__xludf.DUMMYFUNCTION("""COMPUTED_VALUE"""),15)</f>
        <v>15</v>
      </c>
    </row>
    <row r="973" spans="1:6" ht="12.75">
      <c r="A973" s="4">
        <v>972</v>
      </c>
      <c r="B973" s="8" t="str">
        <f ca="1">IFERROR(__xludf.DUMMYFUNCTION("""COMPUTED_VALUE"""),"20180214FLMAP")</f>
        <v>20180214FLMAP</v>
      </c>
      <c r="C973" s="8" t="str">
        <f ca="1">IFERROR(__xludf.DUMMYFUNCTION("""COMPUTED_VALUE"""),"Fatal")</f>
        <v>Fatal</v>
      </c>
      <c r="D973" s="8" t="str">
        <f ca="1">IFERROR(__xludf.DUMMYFUNCTION("""COMPUTED_VALUE"""),"Male")</f>
        <v>Male</v>
      </c>
      <c r="E973" s="8" t="str">
        <f ca="1">IFERROR(__xludf.DUMMYFUNCTION("""COMPUTED_VALUE"""),"Teacher")</f>
        <v>Teacher</v>
      </c>
      <c r="F973" s="8">
        <f ca="1">IFERROR(__xludf.DUMMYFUNCTION("""COMPUTED_VALUE"""),35)</f>
        <v>35</v>
      </c>
    </row>
    <row r="974" spans="1:6" ht="12.75">
      <c r="A974" s="4">
        <v>973</v>
      </c>
      <c r="B974" s="8" t="str">
        <f ca="1">IFERROR(__xludf.DUMMYFUNCTION("""COMPUTED_VALUE"""),"20180214FLMAP")</f>
        <v>20180214FLMAP</v>
      </c>
      <c r="C974" s="8" t="str">
        <f ca="1">IFERROR(__xludf.DUMMYFUNCTION("""COMPUTED_VALUE"""),"Wounded")</f>
        <v>Wounded</v>
      </c>
      <c r="D974" s="8"/>
      <c r="E974" s="8" t="str">
        <f ca="1">IFERROR(__xludf.DUMMYFUNCTION("""COMPUTED_VALUE"""),"Student")</f>
        <v>Student</v>
      </c>
      <c r="F974" s="8" t="str">
        <f ca="1">IFERROR(__xludf.DUMMYFUNCTION("""COMPUTED_VALUE"""),"Teen")</f>
        <v>Teen</v>
      </c>
    </row>
    <row r="975" spans="1:6" ht="12.75">
      <c r="A975" s="4">
        <v>974</v>
      </c>
      <c r="B975" s="8" t="str">
        <f ca="1">IFERROR(__xludf.DUMMYFUNCTION("""COMPUTED_VALUE"""),"20180214FLMAP")</f>
        <v>20180214FLMAP</v>
      </c>
      <c r="C975" s="8" t="str">
        <f ca="1">IFERROR(__xludf.DUMMYFUNCTION("""COMPUTED_VALUE"""),"Fatal")</f>
        <v>Fatal</v>
      </c>
      <c r="D975" s="8" t="str">
        <f ca="1">IFERROR(__xludf.DUMMYFUNCTION("""COMPUTED_VALUE"""),"Male")</f>
        <v>Male</v>
      </c>
      <c r="E975" s="8" t="str">
        <f ca="1">IFERROR(__xludf.DUMMYFUNCTION("""COMPUTED_VALUE"""),"Student")</f>
        <v>Student</v>
      </c>
      <c r="F975" s="8">
        <f ca="1">IFERROR(__xludf.DUMMYFUNCTION("""COMPUTED_VALUE"""),14)</f>
        <v>14</v>
      </c>
    </row>
    <row r="976" spans="1:6" ht="12.75">
      <c r="A976" s="4">
        <v>975</v>
      </c>
      <c r="B976" s="8" t="str">
        <f ca="1">IFERROR(__xludf.DUMMYFUNCTION("""COMPUTED_VALUE"""),"20180214FLMAP")</f>
        <v>20180214FLMAP</v>
      </c>
      <c r="C976" s="8" t="str">
        <f ca="1">IFERROR(__xludf.DUMMYFUNCTION("""COMPUTED_VALUE"""),"Fatal")</f>
        <v>Fatal</v>
      </c>
      <c r="D976" s="8" t="str">
        <f ca="1">IFERROR(__xludf.DUMMYFUNCTION("""COMPUTED_VALUE"""),"Male")</f>
        <v>Male</v>
      </c>
      <c r="E976" s="8" t="str">
        <f ca="1">IFERROR(__xludf.DUMMYFUNCTION("""COMPUTED_VALUE"""),"Student")</f>
        <v>Student</v>
      </c>
      <c r="F976" s="8">
        <f ca="1">IFERROR(__xludf.DUMMYFUNCTION("""COMPUTED_VALUE"""),14)</f>
        <v>14</v>
      </c>
    </row>
    <row r="977" spans="1:6" ht="12.75">
      <c r="A977" s="4">
        <v>976</v>
      </c>
      <c r="B977" s="8" t="str">
        <f ca="1">IFERROR(__xludf.DUMMYFUNCTION("""COMPUTED_VALUE"""),"20180214FLMAP")</f>
        <v>20180214FLMAP</v>
      </c>
      <c r="C977" s="8" t="str">
        <f ca="1">IFERROR(__xludf.DUMMYFUNCTION("""COMPUTED_VALUE"""),"Fatal")</f>
        <v>Fatal</v>
      </c>
      <c r="D977" s="8" t="str">
        <f ca="1">IFERROR(__xludf.DUMMYFUNCTION("""COMPUTED_VALUE"""),"Female")</f>
        <v>Female</v>
      </c>
      <c r="E977" s="8" t="str">
        <f ca="1">IFERROR(__xludf.DUMMYFUNCTION("""COMPUTED_VALUE"""),"Student")</f>
        <v>Student</v>
      </c>
      <c r="F977" s="8">
        <f ca="1">IFERROR(__xludf.DUMMYFUNCTION("""COMPUTED_VALUE"""),14)</f>
        <v>14</v>
      </c>
    </row>
    <row r="978" spans="1:6" ht="12.75">
      <c r="A978" s="4">
        <v>977</v>
      </c>
      <c r="B978" s="8" t="str">
        <f ca="1">IFERROR(__xludf.DUMMYFUNCTION("""COMPUTED_VALUE"""),"20180214FLMAP")</f>
        <v>20180214FLMAP</v>
      </c>
      <c r="C978" s="8" t="str">
        <f ca="1">IFERROR(__xludf.DUMMYFUNCTION("""COMPUTED_VALUE"""),"Wounded")</f>
        <v>Wounded</v>
      </c>
      <c r="D978" s="8" t="str">
        <f ca="1">IFERROR(__xludf.DUMMYFUNCTION("""COMPUTED_VALUE"""),"Male")</f>
        <v>Male</v>
      </c>
      <c r="E978" s="8" t="str">
        <f ca="1">IFERROR(__xludf.DUMMYFUNCTION("""COMPUTED_VALUE"""),"Student")</f>
        <v>Student</v>
      </c>
      <c r="F978" s="8">
        <f ca="1">IFERROR(__xludf.DUMMYFUNCTION("""COMPUTED_VALUE"""),15)</f>
        <v>15</v>
      </c>
    </row>
    <row r="979" spans="1:6" ht="12.75">
      <c r="A979" s="4">
        <v>978</v>
      </c>
      <c r="B979" s="8" t="str">
        <f ca="1">IFERROR(__xludf.DUMMYFUNCTION("""COMPUTED_VALUE"""),"20180214FLMAP")</f>
        <v>20180214FLMAP</v>
      </c>
      <c r="C979" s="8" t="str">
        <f ca="1">IFERROR(__xludf.DUMMYFUNCTION("""COMPUTED_VALUE"""),"Fatal")</f>
        <v>Fatal</v>
      </c>
      <c r="D979" s="8" t="str">
        <f ca="1">IFERROR(__xludf.DUMMYFUNCTION("""COMPUTED_VALUE"""),"Female")</f>
        <v>Female</v>
      </c>
      <c r="E979" s="8" t="str">
        <f ca="1">IFERROR(__xludf.DUMMYFUNCTION("""COMPUTED_VALUE"""),"Student")</f>
        <v>Student</v>
      </c>
      <c r="F979" s="8">
        <f ca="1">IFERROR(__xludf.DUMMYFUNCTION("""COMPUTED_VALUE"""),14)</f>
        <v>14</v>
      </c>
    </row>
    <row r="980" spans="1:6" ht="12.75">
      <c r="A980" s="4">
        <v>979</v>
      </c>
      <c r="B980" s="8" t="str">
        <f ca="1">IFERROR(__xludf.DUMMYFUNCTION("""COMPUTED_VALUE"""),"20180214FLMAP")</f>
        <v>20180214FLMAP</v>
      </c>
      <c r="C980" s="8" t="str">
        <f ca="1">IFERROR(__xludf.DUMMYFUNCTION("""COMPUTED_VALUE"""),"Wounded")</f>
        <v>Wounded</v>
      </c>
      <c r="D980" s="8" t="str">
        <f ca="1">IFERROR(__xludf.DUMMYFUNCTION("""COMPUTED_VALUE"""),"Male")</f>
        <v>Male</v>
      </c>
      <c r="E980" s="8" t="str">
        <f ca="1">IFERROR(__xludf.DUMMYFUNCTION("""COMPUTED_VALUE"""),"Student")</f>
        <v>Student</v>
      </c>
      <c r="F980" s="8">
        <f ca="1">IFERROR(__xludf.DUMMYFUNCTION("""COMPUTED_VALUE"""),15)</f>
        <v>15</v>
      </c>
    </row>
    <row r="981" spans="1:6" ht="12.75">
      <c r="A981" s="4">
        <v>980</v>
      </c>
      <c r="B981" s="8" t="str">
        <f ca="1">IFERROR(__xludf.DUMMYFUNCTION("""COMPUTED_VALUE"""),"20180214FLMAP")</f>
        <v>20180214FLMAP</v>
      </c>
      <c r="C981" s="8" t="str">
        <f ca="1">IFERROR(__xludf.DUMMYFUNCTION("""COMPUTED_VALUE"""),"Fatal")</f>
        <v>Fatal</v>
      </c>
      <c r="D981" s="8" t="str">
        <f ca="1">IFERROR(__xludf.DUMMYFUNCTION("""COMPUTED_VALUE"""),"Male")</f>
        <v>Male</v>
      </c>
      <c r="E981" s="8" t="str">
        <f ca="1">IFERROR(__xludf.DUMMYFUNCTION("""COMPUTED_VALUE"""),"Student")</f>
        <v>Student</v>
      </c>
      <c r="F981" s="8">
        <f ca="1">IFERROR(__xludf.DUMMYFUNCTION("""COMPUTED_VALUE"""),17)</f>
        <v>17</v>
      </c>
    </row>
    <row r="982" spans="1:6" ht="12.75">
      <c r="A982" s="4">
        <v>981</v>
      </c>
      <c r="B982" s="8" t="str">
        <f ca="1">IFERROR(__xludf.DUMMYFUNCTION("""COMPUTED_VALUE"""),"20180214FLMAP")</f>
        <v>20180214FLMAP</v>
      </c>
      <c r="C982" s="8" t="str">
        <f ca="1">IFERROR(__xludf.DUMMYFUNCTION("""COMPUTED_VALUE"""),"Fatal")</f>
        <v>Fatal</v>
      </c>
      <c r="D982" s="8" t="str">
        <f ca="1">IFERROR(__xludf.DUMMYFUNCTION("""COMPUTED_VALUE"""),"Female")</f>
        <v>Female</v>
      </c>
      <c r="E982" s="8" t="str">
        <f ca="1">IFERROR(__xludf.DUMMYFUNCTION("""COMPUTED_VALUE"""),"Student")</f>
        <v>Student</v>
      </c>
      <c r="F982" s="8">
        <f ca="1">IFERROR(__xludf.DUMMYFUNCTION("""COMPUTED_VALUE"""),16)</f>
        <v>16</v>
      </c>
    </row>
    <row r="983" spans="1:6" ht="12.75">
      <c r="A983" s="4">
        <v>982</v>
      </c>
      <c r="B983" s="8" t="str">
        <f ca="1">IFERROR(__xludf.DUMMYFUNCTION("""COMPUTED_VALUE"""),"20180214FLMAP")</f>
        <v>20180214FLMAP</v>
      </c>
      <c r="C983" s="8" t="str">
        <f ca="1">IFERROR(__xludf.DUMMYFUNCTION("""COMPUTED_VALUE"""),"Wounded")</f>
        <v>Wounded</v>
      </c>
      <c r="D983" s="8" t="str">
        <f ca="1">IFERROR(__xludf.DUMMYFUNCTION("""COMPUTED_VALUE"""),"Female")</f>
        <v>Female</v>
      </c>
      <c r="E983" s="8" t="str">
        <f ca="1">IFERROR(__xludf.DUMMYFUNCTION("""COMPUTED_VALUE"""),"Student")</f>
        <v>Student</v>
      </c>
      <c r="F983" s="8" t="str">
        <f ca="1">IFERROR(__xludf.DUMMYFUNCTION("""COMPUTED_VALUE"""),"Teen")</f>
        <v>Teen</v>
      </c>
    </row>
    <row r="984" spans="1:6" ht="12.75">
      <c r="A984" s="4">
        <v>983</v>
      </c>
      <c r="B984" s="8" t="str">
        <f ca="1">IFERROR(__xludf.DUMMYFUNCTION("""COMPUTED_VALUE"""),"20180214FLMAP")</f>
        <v>20180214FLMAP</v>
      </c>
      <c r="C984" s="8" t="str">
        <f ca="1">IFERROR(__xludf.DUMMYFUNCTION("""COMPUTED_VALUE"""),"Fatal")</f>
        <v>Fatal</v>
      </c>
      <c r="D984" s="8" t="str">
        <f ca="1">IFERROR(__xludf.DUMMYFUNCTION("""COMPUTED_VALUE"""),"Male")</f>
        <v>Male</v>
      </c>
      <c r="E984" s="8" t="str">
        <f ca="1">IFERROR(__xludf.DUMMYFUNCTION("""COMPUTED_VALUE"""),"Student")</f>
        <v>Student</v>
      </c>
      <c r="F984" s="8">
        <f ca="1">IFERROR(__xludf.DUMMYFUNCTION("""COMPUTED_VALUE"""),17)</f>
        <v>17</v>
      </c>
    </row>
    <row r="985" spans="1:6" ht="12.75">
      <c r="A985" s="4">
        <v>984</v>
      </c>
      <c r="B985" s="8" t="str">
        <f ca="1">IFERROR(__xludf.DUMMYFUNCTION("""COMPUTED_VALUE"""),"20180214FLMAP")</f>
        <v>20180214FLMAP</v>
      </c>
      <c r="C985" s="8" t="str">
        <f ca="1">IFERROR(__xludf.DUMMYFUNCTION("""COMPUTED_VALUE"""),"Wounded")</f>
        <v>Wounded</v>
      </c>
      <c r="D985" s="8" t="str">
        <f ca="1">IFERROR(__xludf.DUMMYFUNCTION("""COMPUTED_VALUE"""),"Female")</f>
        <v>Female</v>
      </c>
      <c r="E985" s="8" t="str">
        <f ca="1">IFERROR(__xludf.DUMMYFUNCTION("""COMPUTED_VALUE"""),"Student")</f>
        <v>Student</v>
      </c>
      <c r="F985" s="8" t="str">
        <f ca="1">IFERROR(__xludf.DUMMYFUNCTION("""COMPUTED_VALUE"""),"Teen")</f>
        <v>Teen</v>
      </c>
    </row>
    <row r="986" spans="1:6" ht="12.75">
      <c r="A986" s="4">
        <v>985</v>
      </c>
      <c r="B986" s="8" t="str">
        <f ca="1">IFERROR(__xludf.DUMMYFUNCTION("""COMPUTED_VALUE"""),"20180214FLMAP")</f>
        <v>20180214FLMAP</v>
      </c>
      <c r="C986" s="8" t="str">
        <f ca="1">IFERROR(__xludf.DUMMYFUNCTION("""COMPUTED_VALUE"""),"Wounded")</f>
        <v>Wounded</v>
      </c>
      <c r="D986" s="8" t="str">
        <f ca="1">IFERROR(__xludf.DUMMYFUNCTION("""COMPUTED_VALUE"""),"Female")</f>
        <v>Female</v>
      </c>
      <c r="E986" s="8" t="str">
        <f ca="1">IFERROR(__xludf.DUMMYFUNCTION("""COMPUTED_VALUE"""),"Student")</f>
        <v>Student</v>
      </c>
      <c r="F986" s="8">
        <f ca="1">IFERROR(__xludf.DUMMYFUNCTION("""COMPUTED_VALUE"""),17)</f>
        <v>17</v>
      </c>
    </row>
    <row r="987" spans="1:6" ht="12.75">
      <c r="A987" s="4">
        <v>986</v>
      </c>
      <c r="B987" s="8" t="str">
        <f ca="1">IFERROR(__xludf.DUMMYFUNCTION("""COMPUTED_VALUE"""),"20180214FLMAP")</f>
        <v>20180214FLMAP</v>
      </c>
      <c r="C987" s="8" t="str">
        <f ca="1">IFERROR(__xludf.DUMMYFUNCTION("""COMPUTED_VALUE"""),"Fatal")</f>
        <v>Fatal</v>
      </c>
      <c r="D987" s="8" t="str">
        <f ca="1">IFERROR(__xludf.DUMMYFUNCTION("""COMPUTED_VALUE"""),"Female")</f>
        <v>Female</v>
      </c>
      <c r="E987" s="8" t="str">
        <f ca="1">IFERROR(__xludf.DUMMYFUNCTION("""COMPUTED_VALUE"""),"Teacher")</f>
        <v>Teacher</v>
      </c>
      <c r="F987" s="8">
        <f ca="1">IFERROR(__xludf.DUMMYFUNCTION("""COMPUTED_VALUE"""),37)</f>
        <v>37</v>
      </c>
    </row>
    <row r="988" spans="1:6" ht="12.75">
      <c r="A988" s="4">
        <v>987</v>
      </c>
      <c r="B988" s="8" t="str">
        <f ca="1">IFERROR(__xludf.DUMMYFUNCTION("""COMPUTED_VALUE"""),"20180214FLMAP")</f>
        <v>20180214FLMAP</v>
      </c>
      <c r="C988" s="8" t="str">
        <f ca="1">IFERROR(__xludf.DUMMYFUNCTION("""COMPUTED_VALUE"""),"Fatal")</f>
        <v>Fatal</v>
      </c>
      <c r="D988" s="8" t="str">
        <f ca="1">IFERROR(__xludf.DUMMYFUNCTION("""COMPUTED_VALUE"""),"Male")</f>
        <v>Male</v>
      </c>
      <c r="E988" s="8" t="str">
        <f ca="1">IFERROR(__xludf.DUMMYFUNCTION("""COMPUTED_VALUE"""),"Student")</f>
        <v>Student</v>
      </c>
      <c r="F988" s="8">
        <f ca="1">IFERROR(__xludf.DUMMYFUNCTION("""COMPUTED_VALUE"""),15)</f>
        <v>15</v>
      </c>
    </row>
    <row r="989" spans="1:6" ht="12.75">
      <c r="A989" s="4">
        <v>988</v>
      </c>
      <c r="B989" s="8" t="str">
        <f ca="1">IFERROR(__xludf.DUMMYFUNCTION("""COMPUTED_VALUE"""),"20180214FLMAP")</f>
        <v>20180214FLMAP</v>
      </c>
      <c r="C989" s="8" t="str">
        <f ca="1">IFERROR(__xludf.DUMMYFUNCTION("""COMPUTED_VALUE"""),"Wounded")</f>
        <v>Wounded</v>
      </c>
      <c r="D989" s="8" t="str">
        <f ca="1">IFERROR(__xludf.DUMMYFUNCTION("""COMPUTED_VALUE"""),"Male")</f>
        <v>Male</v>
      </c>
      <c r="E989" s="8" t="str">
        <f ca="1">IFERROR(__xludf.DUMMYFUNCTION("""COMPUTED_VALUE"""),"Student")</f>
        <v>Student</v>
      </c>
      <c r="F989" s="8" t="str">
        <f ca="1">IFERROR(__xludf.DUMMYFUNCTION("""COMPUTED_VALUE"""),"Teen")</f>
        <v>Teen</v>
      </c>
    </row>
    <row r="990" spans="1:6" ht="12.75">
      <c r="A990" s="4">
        <v>989</v>
      </c>
      <c r="B990" s="8" t="str">
        <f ca="1">IFERROR(__xludf.DUMMYFUNCTION("""COMPUTED_VALUE"""),"20180214FLMAP")</f>
        <v>20180214FLMAP</v>
      </c>
      <c r="C990" s="8" t="str">
        <f ca="1">IFERROR(__xludf.DUMMYFUNCTION("""COMPUTED_VALUE"""),"Fatal")</f>
        <v>Fatal</v>
      </c>
      <c r="D990" s="8" t="str">
        <f ca="1">IFERROR(__xludf.DUMMYFUNCTION("""COMPUTED_VALUE"""),"Female")</f>
        <v>Female</v>
      </c>
      <c r="E990" s="8" t="str">
        <f ca="1">IFERROR(__xludf.DUMMYFUNCTION("""COMPUTED_VALUE"""),"Student")</f>
        <v>Student</v>
      </c>
      <c r="F990" s="8">
        <f ca="1">IFERROR(__xludf.DUMMYFUNCTION("""COMPUTED_VALUE"""),14)</f>
        <v>14</v>
      </c>
    </row>
    <row r="991" spans="1:6" ht="12.75">
      <c r="A991" s="4">
        <v>990</v>
      </c>
      <c r="B991" s="8" t="str">
        <f ca="1">IFERROR(__xludf.DUMMYFUNCTION("""COMPUTED_VALUE"""),"20180214FLMAP")</f>
        <v>20180214FLMAP</v>
      </c>
      <c r="C991" s="8" t="str">
        <f ca="1">IFERROR(__xludf.DUMMYFUNCTION("""COMPUTED_VALUE"""),"Wounded")</f>
        <v>Wounded</v>
      </c>
      <c r="D991" s="8" t="str">
        <f ca="1">IFERROR(__xludf.DUMMYFUNCTION("""COMPUTED_VALUE"""),"Male")</f>
        <v>Male</v>
      </c>
      <c r="E991" s="8" t="str">
        <f ca="1">IFERROR(__xludf.DUMMYFUNCTION("""COMPUTED_VALUE"""),"Student")</f>
        <v>Student</v>
      </c>
      <c r="F991" s="8" t="str">
        <f ca="1">IFERROR(__xludf.DUMMYFUNCTION("""COMPUTED_VALUE"""),"Teen")</f>
        <v>Teen</v>
      </c>
    </row>
    <row r="992" spans="1:6" ht="12.75">
      <c r="A992" s="4">
        <v>991</v>
      </c>
      <c r="B992" s="8" t="str">
        <f ca="1">IFERROR(__xludf.DUMMYFUNCTION("""COMPUTED_VALUE"""),"20180209TNPEN")</f>
        <v>20180209TNPEN</v>
      </c>
      <c r="C992" s="8" t="str">
        <f ca="1">IFERROR(__xludf.DUMMYFUNCTION("""COMPUTED_VALUE"""),"Wounded")</f>
        <v>Wounded</v>
      </c>
      <c r="D992" s="8" t="str">
        <f ca="1">IFERROR(__xludf.DUMMYFUNCTION("""COMPUTED_VALUE"""),"Male")</f>
        <v>Male</v>
      </c>
      <c r="E992" s="8" t="str">
        <f ca="1">IFERROR(__xludf.DUMMYFUNCTION("""COMPUTED_VALUE"""),"No Relation")</f>
        <v>No Relation</v>
      </c>
      <c r="F992" s="8">
        <f ca="1">IFERROR(__xludf.DUMMYFUNCTION("""COMPUTED_VALUE"""),17)</f>
        <v>17</v>
      </c>
    </row>
    <row r="993" spans="1:6" ht="12.75">
      <c r="A993" s="4">
        <v>992</v>
      </c>
      <c r="B993" s="8" t="str">
        <f ca="1">IFERROR(__xludf.DUMMYFUNCTION("""COMPUTED_VALUE"""),"20180208NYTHN")</f>
        <v>20180208NYTHN</v>
      </c>
      <c r="C993" s="8" t="str">
        <f ca="1">IFERROR(__xludf.DUMMYFUNCTION("""COMPUTED_VALUE"""),"None")</f>
        <v>None</v>
      </c>
      <c r="D993" s="8"/>
      <c r="E993" s="8"/>
      <c r="F993" s="8"/>
    </row>
    <row r="994" spans="1:6" ht="12.75">
      <c r="A994" s="4">
        <v>993</v>
      </c>
      <c r="B994" s="8" t="str">
        <f ca="1">IFERROR(__xludf.DUMMYFUNCTION("""COMPUTED_VALUE"""),"20180205MNHAM")</f>
        <v>20180205MNHAM</v>
      </c>
      <c r="C994" s="8" t="str">
        <f ca="1">IFERROR(__xludf.DUMMYFUNCTION("""COMPUTED_VALUE"""),"None")</f>
        <v>None</v>
      </c>
      <c r="D994" s="8"/>
      <c r="E994" s="8"/>
      <c r="F994" s="8"/>
    </row>
    <row r="995" spans="1:6" ht="12.75">
      <c r="A995" s="4">
        <v>994</v>
      </c>
      <c r="B995" s="8" t="str">
        <f ca="1">IFERROR(__xludf.DUMMYFUNCTION("""COMPUTED_VALUE"""),"20180205MDOXO")</f>
        <v>20180205MDOXO</v>
      </c>
      <c r="C995" s="8" t="str">
        <f ca="1">IFERROR(__xludf.DUMMYFUNCTION("""COMPUTED_VALUE"""),"Wounded")</f>
        <v>Wounded</v>
      </c>
      <c r="D995" s="8" t="str">
        <f ca="1">IFERROR(__xludf.DUMMYFUNCTION("""COMPUTED_VALUE"""),"Male")</f>
        <v>Male</v>
      </c>
      <c r="E995" s="8" t="str">
        <f ca="1">IFERROR(__xludf.DUMMYFUNCTION("""COMPUTED_VALUE"""),"Student")</f>
        <v>Student</v>
      </c>
      <c r="F995" s="8">
        <f ca="1">IFERROR(__xludf.DUMMYFUNCTION("""COMPUTED_VALUE"""),17)</f>
        <v>17</v>
      </c>
    </row>
    <row r="996" spans="1:6" ht="12.75">
      <c r="A996" s="4">
        <v>995</v>
      </c>
      <c r="B996" s="8" t="str">
        <f ca="1">IFERROR(__xludf.DUMMYFUNCTION("""COMPUTED_VALUE"""),"20180201CASAL")</f>
        <v>20180201CASAL</v>
      </c>
      <c r="C996" s="8" t="str">
        <f ca="1">IFERROR(__xludf.DUMMYFUNCTION("""COMPUTED_VALUE"""),"Minor Injuries")</f>
        <v>Minor Injuries</v>
      </c>
      <c r="D996" s="8"/>
      <c r="E996" s="8" t="str">
        <f ca="1">IFERROR(__xludf.DUMMYFUNCTION("""COMPUTED_VALUE"""),"Student")</f>
        <v>Student</v>
      </c>
      <c r="F996" s="8" t="str">
        <f ca="1">IFERROR(__xludf.DUMMYFUNCTION("""COMPUTED_VALUE"""),"Child")</f>
        <v>Child</v>
      </c>
    </row>
    <row r="997" spans="1:6" ht="12.75">
      <c r="A997" s="4">
        <v>996</v>
      </c>
      <c r="B997" s="8" t="str">
        <f ca="1">IFERROR(__xludf.DUMMYFUNCTION("""COMPUTED_VALUE"""),"20180201CASAL")</f>
        <v>20180201CASAL</v>
      </c>
      <c r="C997" s="8" t="str">
        <f ca="1">IFERROR(__xludf.DUMMYFUNCTION("""COMPUTED_VALUE"""),"Minor Injuries")</f>
        <v>Minor Injuries</v>
      </c>
      <c r="D997" s="8"/>
      <c r="E997" s="8" t="str">
        <f ca="1">IFERROR(__xludf.DUMMYFUNCTION("""COMPUTED_VALUE"""),"Student")</f>
        <v>Student</v>
      </c>
      <c r="F997" s="8" t="str">
        <f ca="1">IFERROR(__xludf.DUMMYFUNCTION("""COMPUTED_VALUE"""),"Child")</f>
        <v>Child</v>
      </c>
    </row>
    <row r="998" spans="1:6" ht="12.75">
      <c r="A998" s="4">
        <v>997</v>
      </c>
      <c r="B998" s="8" t="str">
        <f ca="1">IFERROR(__xludf.DUMMYFUNCTION("""COMPUTED_VALUE"""),"20180201CASAL")</f>
        <v>20180201CASAL</v>
      </c>
      <c r="C998" s="8" t="str">
        <f ca="1">IFERROR(__xludf.DUMMYFUNCTION("""COMPUTED_VALUE"""),"Wounded")</f>
        <v>Wounded</v>
      </c>
      <c r="D998" s="8"/>
      <c r="E998" s="8" t="str">
        <f ca="1">IFERROR(__xludf.DUMMYFUNCTION("""COMPUTED_VALUE"""),"Student")</f>
        <v>Student</v>
      </c>
      <c r="F998" s="8">
        <f ca="1">IFERROR(__xludf.DUMMYFUNCTION("""COMPUTED_VALUE"""),11)</f>
        <v>11</v>
      </c>
    </row>
    <row r="999" spans="1:6" ht="12.75">
      <c r="A999" s="4">
        <v>998</v>
      </c>
      <c r="B999" s="8" t="str">
        <f ca="1">IFERROR(__xludf.DUMMYFUNCTION("""COMPUTED_VALUE"""),"20180201CASAL")</f>
        <v>20180201CASAL</v>
      </c>
      <c r="C999" s="8" t="str">
        <f ca="1">IFERROR(__xludf.DUMMYFUNCTION("""COMPUTED_VALUE"""),"Wounded")</f>
        <v>Wounded</v>
      </c>
      <c r="D999" s="8"/>
      <c r="E999" s="8" t="str">
        <f ca="1">IFERROR(__xludf.DUMMYFUNCTION("""COMPUTED_VALUE"""),"Student")</f>
        <v>Student</v>
      </c>
      <c r="F999" s="8">
        <f ca="1">IFERROR(__xludf.DUMMYFUNCTION("""COMPUTED_VALUE"""),12)</f>
        <v>12</v>
      </c>
    </row>
    <row r="1000" spans="1:6" ht="12.75">
      <c r="A1000" s="4">
        <v>999</v>
      </c>
      <c r="B1000" s="8" t="str">
        <f ca="1">IFERROR(__xludf.DUMMYFUNCTION("""COMPUTED_VALUE"""),"20180201CASAL")</f>
        <v>20180201CASAL</v>
      </c>
      <c r="C1000" s="8" t="str">
        <f ca="1">IFERROR(__xludf.DUMMYFUNCTION("""COMPUTED_VALUE"""),"Minor Injuries")</f>
        <v>Minor Injuries</v>
      </c>
      <c r="D1000" s="8"/>
      <c r="E1000" s="8" t="str">
        <f ca="1">IFERROR(__xludf.DUMMYFUNCTION("""COMPUTED_VALUE"""),"Teacher")</f>
        <v>Teacher</v>
      </c>
      <c r="F1000" s="8">
        <f ca="1">IFERROR(__xludf.DUMMYFUNCTION("""COMPUTED_VALUE"""),30)</f>
        <v>30</v>
      </c>
    </row>
    <row r="1001" spans="1:6" ht="12.75">
      <c r="A1001" s="4">
        <v>1000</v>
      </c>
      <c r="B1001" s="8" t="str">
        <f ca="1">IFERROR(__xludf.DUMMYFUNCTION("""COMPUTED_VALUE"""),"20180131PALIP")</f>
        <v>20180131PALIP</v>
      </c>
      <c r="C1001" s="8" t="str">
        <f ca="1">IFERROR(__xludf.DUMMYFUNCTION("""COMPUTED_VALUE"""),"Fatal")</f>
        <v>Fatal</v>
      </c>
      <c r="D1001" s="8" t="str">
        <f ca="1">IFERROR(__xludf.DUMMYFUNCTION("""COMPUTED_VALUE"""),"Male")</f>
        <v>Male</v>
      </c>
      <c r="E1001" s="8" t="str">
        <f ca="1">IFERROR(__xludf.DUMMYFUNCTION("""COMPUTED_VALUE"""),"No Relation")</f>
        <v>No Relation</v>
      </c>
      <c r="F1001" s="8">
        <f ca="1">IFERROR(__xludf.DUMMYFUNCTION("""COMPUTED_VALUE"""),32)</f>
        <v>32</v>
      </c>
    </row>
    <row r="1002" spans="1:6" ht="12.75">
      <c r="A1002" s="4">
        <v>1001</v>
      </c>
      <c r="B1002" s="8" t="str">
        <f ca="1">IFERROR(__xludf.DUMMYFUNCTION("""COMPUTED_VALUE"""),"20180126MIDED")</f>
        <v>20180126MIDED</v>
      </c>
      <c r="C1002" s="8" t="str">
        <f ca="1">IFERROR(__xludf.DUMMYFUNCTION("""COMPUTED_VALUE"""),"None")</f>
        <v>None</v>
      </c>
      <c r="D1002" s="8"/>
      <c r="E1002" s="8"/>
      <c r="F1002" s="8"/>
    </row>
    <row r="1003" spans="1:6" ht="12.75">
      <c r="A1003" s="4">
        <v>1002</v>
      </c>
      <c r="B1003" s="8" t="str">
        <f ca="1">IFERROR(__xludf.DUMMYFUNCTION("""COMPUTED_VALUE"""),"20180125ALMUM")</f>
        <v>20180125ALMUM</v>
      </c>
      <c r="C1003" s="8" t="str">
        <f ca="1">IFERROR(__xludf.DUMMYFUNCTION("""COMPUTED_VALUE"""),"None")</f>
        <v>None</v>
      </c>
      <c r="D1003" s="8"/>
      <c r="E1003" s="8"/>
      <c r="F1003" s="8"/>
    </row>
    <row r="1004" spans="1:6" ht="12.75">
      <c r="A1004" s="4">
        <v>1003</v>
      </c>
      <c r="B1004" s="8" t="str">
        <f ca="1">IFERROR(__xludf.DUMMYFUNCTION("""COMPUTED_VALUE"""),"20180123KYMAB")</f>
        <v>20180123KYMAB</v>
      </c>
      <c r="C1004" s="8" t="str">
        <f ca="1">IFERROR(__xludf.DUMMYFUNCTION("""COMPUTED_VALUE"""),"Fatal")</f>
        <v>Fatal</v>
      </c>
      <c r="D1004" s="8" t="str">
        <f ca="1">IFERROR(__xludf.DUMMYFUNCTION("""COMPUTED_VALUE"""),"Male")</f>
        <v>Male</v>
      </c>
      <c r="E1004" s="8" t="str">
        <f ca="1">IFERROR(__xludf.DUMMYFUNCTION("""COMPUTED_VALUE"""),"Student")</f>
        <v>Student</v>
      </c>
      <c r="F1004" s="8">
        <f ca="1">IFERROR(__xludf.DUMMYFUNCTION("""COMPUTED_VALUE"""),15)</f>
        <v>15</v>
      </c>
    </row>
    <row r="1005" spans="1:6" ht="12.75">
      <c r="A1005" s="4">
        <v>1004</v>
      </c>
      <c r="B1005" s="8" t="str">
        <f ca="1">IFERROR(__xludf.DUMMYFUNCTION("""COMPUTED_VALUE"""),"20180123KYMAB")</f>
        <v>20180123KYMAB</v>
      </c>
      <c r="C1005" s="8" t="str">
        <f ca="1">IFERROR(__xludf.DUMMYFUNCTION("""COMPUTED_VALUE"""),"Wounded")</f>
        <v>Wounded</v>
      </c>
      <c r="D1005" s="8" t="str">
        <f ca="1">IFERROR(__xludf.DUMMYFUNCTION("""COMPUTED_VALUE"""),"Male")</f>
        <v>Male</v>
      </c>
      <c r="E1005" s="8" t="str">
        <f ca="1">IFERROR(__xludf.DUMMYFUNCTION("""COMPUTED_VALUE"""),"Student")</f>
        <v>Student</v>
      </c>
      <c r="F1005" s="8" t="str">
        <f ca="1">IFERROR(__xludf.DUMMYFUNCTION("""COMPUTED_VALUE"""),"Teen")</f>
        <v>Teen</v>
      </c>
    </row>
    <row r="1006" spans="1:6" ht="12.75">
      <c r="A1006" s="4">
        <v>1005</v>
      </c>
      <c r="B1006" s="8" t="str">
        <f ca="1">IFERROR(__xludf.DUMMYFUNCTION("""COMPUTED_VALUE"""),"20180123KYMAB")</f>
        <v>20180123KYMAB</v>
      </c>
      <c r="C1006" s="8" t="str">
        <f ca="1">IFERROR(__xludf.DUMMYFUNCTION("""COMPUTED_VALUE"""),"Fatal")</f>
        <v>Fatal</v>
      </c>
      <c r="D1006" s="8" t="str">
        <f ca="1">IFERROR(__xludf.DUMMYFUNCTION("""COMPUTED_VALUE"""),"Male")</f>
        <v>Male</v>
      </c>
      <c r="E1006" s="8" t="str">
        <f ca="1">IFERROR(__xludf.DUMMYFUNCTION("""COMPUTED_VALUE"""),"Student")</f>
        <v>Student</v>
      </c>
      <c r="F1006" s="8">
        <f ca="1">IFERROR(__xludf.DUMMYFUNCTION("""COMPUTED_VALUE"""),15)</f>
        <v>15</v>
      </c>
    </row>
    <row r="1007" spans="1:6" ht="12.75">
      <c r="A1007" s="4">
        <v>1006</v>
      </c>
      <c r="B1007" s="8" t="str">
        <f ca="1">IFERROR(__xludf.DUMMYFUNCTION("""COMPUTED_VALUE"""),"20180123KYMAB")</f>
        <v>20180123KYMAB</v>
      </c>
      <c r="C1007" s="8" t="str">
        <f ca="1">IFERROR(__xludf.DUMMYFUNCTION("""COMPUTED_VALUE"""),"Wounded")</f>
        <v>Wounded</v>
      </c>
      <c r="D1007" s="8" t="str">
        <f ca="1">IFERROR(__xludf.DUMMYFUNCTION("""COMPUTED_VALUE"""),"Male")</f>
        <v>Male</v>
      </c>
      <c r="E1007" s="8" t="str">
        <f ca="1">IFERROR(__xludf.DUMMYFUNCTION("""COMPUTED_VALUE"""),"Student")</f>
        <v>Student</v>
      </c>
      <c r="F1007" s="8" t="str">
        <f ca="1">IFERROR(__xludf.DUMMYFUNCTION("""COMPUTED_VALUE"""),"Teen")</f>
        <v>Teen</v>
      </c>
    </row>
    <row r="1008" spans="1:6" ht="12.75">
      <c r="A1008" s="4">
        <v>1007</v>
      </c>
      <c r="B1008" s="8" t="str">
        <f ca="1">IFERROR(__xludf.DUMMYFUNCTION("""COMPUTED_VALUE"""),"20180123KYMAB")</f>
        <v>20180123KYMAB</v>
      </c>
      <c r="C1008" s="8" t="str">
        <f ca="1">IFERROR(__xludf.DUMMYFUNCTION("""COMPUTED_VALUE"""),"Wounded")</f>
        <v>Wounded</v>
      </c>
      <c r="D1008" s="8" t="str">
        <f ca="1">IFERROR(__xludf.DUMMYFUNCTION("""COMPUTED_VALUE"""),"Male")</f>
        <v>Male</v>
      </c>
      <c r="E1008" s="8" t="str">
        <f ca="1">IFERROR(__xludf.DUMMYFUNCTION("""COMPUTED_VALUE"""),"Student")</f>
        <v>Student</v>
      </c>
      <c r="F1008" s="8" t="str">
        <f ca="1">IFERROR(__xludf.DUMMYFUNCTION("""COMPUTED_VALUE"""),"Teen")</f>
        <v>Teen</v>
      </c>
    </row>
    <row r="1009" spans="1:6" ht="12.75">
      <c r="A1009" s="4">
        <v>1008</v>
      </c>
      <c r="B1009" s="8" t="str">
        <f ca="1">IFERROR(__xludf.DUMMYFUNCTION("""COMPUTED_VALUE"""),"20180123KYMAB")</f>
        <v>20180123KYMAB</v>
      </c>
      <c r="C1009" s="8" t="str">
        <f ca="1">IFERROR(__xludf.DUMMYFUNCTION("""COMPUTED_VALUE"""),"Wounded")</f>
        <v>Wounded</v>
      </c>
      <c r="D1009" s="8" t="str">
        <f ca="1">IFERROR(__xludf.DUMMYFUNCTION("""COMPUTED_VALUE"""),"Male")</f>
        <v>Male</v>
      </c>
      <c r="E1009" s="8" t="str">
        <f ca="1">IFERROR(__xludf.DUMMYFUNCTION("""COMPUTED_VALUE"""),"Student")</f>
        <v>Student</v>
      </c>
      <c r="F1009" s="8" t="str">
        <f ca="1">IFERROR(__xludf.DUMMYFUNCTION("""COMPUTED_VALUE"""),"Teen")</f>
        <v>Teen</v>
      </c>
    </row>
    <row r="1010" spans="1:6" ht="12.75">
      <c r="A1010" s="4">
        <v>1009</v>
      </c>
      <c r="B1010" s="8" t="str">
        <f ca="1">IFERROR(__xludf.DUMMYFUNCTION("""COMPUTED_VALUE"""),"20180123KYMAB")</f>
        <v>20180123KYMAB</v>
      </c>
      <c r="C1010" s="8" t="str">
        <f ca="1">IFERROR(__xludf.DUMMYFUNCTION("""COMPUTED_VALUE"""),"Wounded")</f>
        <v>Wounded</v>
      </c>
      <c r="D1010" s="8" t="str">
        <f ca="1">IFERROR(__xludf.DUMMYFUNCTION("""COMPUTED_VALUE"""),"Female")</f>
        <v>Female</v>
      </c>
      <c r="E1010" s="8" t="str">
        <f ca="1">IFERROR(__xludf.DUMMYFUNCTION("""COMPUTED_VALUE"""),"Student")</f>
        <v>Student</v>
      </c>
      <c r="F1010" s="8" t="str">
        <f ca="1">IFERROR(__xludf.DUMMYFUNCTION("""COMPUTED_VALUE"""),"Teen")</f>
        <v>Teen</v>
      </c>
    </row>
    <row r="1011" spans="1:6" ht="12.75">
      <c r="A1011" s="4">
        <v>1010</v>
      </c>
      <c r="B1011" s="8" t="str">
        <f ca="1">IFERROR(__xludf.DUMMYFUNCTION("""COMPUTED_VALUE"""),"20180123KYMAB")</f>
        <v>20180123KYMAB</v>
      </c>
      <c r="C1011" s="8" t="str">
        <f ca="1">IFERROR(__xludf.DUMMYFUNCTION("""COMPUTED_VALUE"""),"Wounded")</f>
        <v>Wounded</v>
      </c>
      <c r="D1011" s="8" t="str">
        <f ca="1">IFERROR(__xludf.DUMMYFUNCTION("""COMPUTED_VALUE"""),"Female")</f>
        <v>Female</v>
      </c>
      <c r="E1011" s="8" t="str">
        <f ca="1">IFERROR(__xludf.DUMMYFUNCTION("""COMPUTED_VALUE"""),"Student")</f>
        <v>Student</v>
      </c>
      <c r="F1011" s="8" t="str">
        <f ca="1">IFERROR(__xludf.DUMMYFUNCTION("""COMPUTED_VALUE"""),"Teen")</f>
        <v>Teen</v>
      </c>
    </row>
    <row r="1012" spans="1:6" ht="12.75">
      <c r="A1012" s="4">
        <v>1011</v>
      </c>
      <c r="B1012" s="8" t="str">
        <f ca="1">IFERROR(__xludf.DUMMYFUNCTION("""COMPUTED_VALUE"""),"20180123KYMAB")</f>
        <v>20180123KYMAB</v>
      </c>
      <c r="C1012" s="8" t="str">
        <f ca="1">IFERROR(__xludf.DUMMYFUNCTION("""COMPUTED_VALUE"""),"Wounded")</f>
        <v>Wounded</v>
      </c>
      <c r="D1012" s="8" t="str">
        <f ca="1">IFERROR(__xludf.DUMMYFUNCTION("""COMPUTED_VALUE"""),"Male")</f>
        <v>Male</v>
      </c>
      <c r="E1012" s="8" t="str">
        <f ca="1">IFERROR(__xludf.DUMMYFUNCTION("""COMPUTED_VALUE"""),"Student")</f>
        <v>Student</v>
      </c>
      <c r="F1012" s="8" t="str">
        <f ca="1">IFERROR(__xludf.DUMMYFUNCTION("""COMPUTED_VALUE"""),"Teen")</f>
        <v>Teen</v>
      </c>
    </row>
    <row r="1013" spans="1:6" ht="12.75">
      <c r="A1013" s="4">
        <v>1012</v>
      </c>
      <c r="B1013" s="8" t="str">
        <f ca="1">IFERROR(__xludf.DUMMYFUNCTION("""COMPUTED_VALUE"""),"20180123KYMAB")</f>
        <v>20180123KYMAB</v>
      </c>
      <c r="C1013" s="8" t="str">
        <f ca="1">IFERROR(__xludf.DUMMYFUNCTION("""COMPUTED_VALUE"""),"Wounded")</f>
        <v>Wounded</v>
      </c>
      <c r="D1013" s="8" t="str">
        <f ca="1">IFERROR(__xludf.DUMMYFUNCTION("""COMPUTED_VALUE"""),"Male")</f>
        <v>Male</v>
      </c>
      <c r="E1013" s="8" t="str">
        <f ca="1">IFERROR(__xludf.DUMMYFUNCTION("""COMPUTED_VALUE"""),"Student")</f>
        <v>Student</v>
      </c>
      <c r="F1013" s="8" t="str">
        <f ca="1">IFERROR(__xludf.DUMMYFUNCTION("""COMPUTED_VALUE"""),"Teen")</f>
        <v>Teen</v>
      </c>
    </row>
    <row r="1014" spans="1:6" ht="12.75">
      <c r="A1014" s="4">
        <v>1013</v>
      </c>
      <c r="B1014" s="8" t="str">
        <f ca="1">IFERROR(__xludf.DUMMYFUNCTION("""COMPUTED_VALUE"""),"20180123KYMAB")</f>
        <v>20180123KYMAB</v>
      </c>
      <c r="C1014" s="8" t="str">
        <f ca="1">IFERROR(__xludf.DUMMYFUNCTION("""COMPUTED_VALUE"""),"Wounded")</f>
        <v>Wounded</v>
      </c>
      <c r="D1014" s="8" t="str">
        <f ca="1">IFERROR(__xludf.DUMMYFUNCTION("""COMPUTED_VALUE"""),"Male")</f>
        <v>Male</v>
      </c>
      <c r="E1014" s="8" t="str">
        <f ca="1">IFERROR(__xludf.DUMMYFUNCTION("""COMPUTED_VALUE"""),"Student")</f>
        <v>Student</v>
      </c>
      <c r="F1014" s="8" t="str">
        <f ca="1">IFERROR(__xludf.DUMMYFUNCTION("""COMPUTED_VALUE"""),"Teen")</f>
        <v>Teen</v>
      </c>
    </row>
    <row r="1015" spans="1:6" ht="12.75">
      <c r="A1015" s="4">
        <v>1014</v>
      </c>
      <c r="B1015" s="8" t="str">
        <f ca="1">IFERROR(__xludf.DUMMYFUNCTION("""COMPUTED_VALUE"""),"20180123KYMAB")</f>
        <v>20180123KYMAB</v>
      </c>
      <c r="C1015" s="8" t="str">
        <f ca="1">IFERROR(__xludf.DUMMYFUNCTION("""COMPUTED_VALUE"""),"Wounded")</f>
        <v>Wounded</v>
      </c>
      <c r="D1015" s="8" t="str">
        <f ca="1">IFERROR(__xludf.DUMMYFUNCTION("""COMPUTED_VALUE"""),"Female")</f>
        <v>Female</v>
      </c>
      <c r="E1015" s="8" t="str">
        <f ca="1">IFERROR(__xludf.DUMMYFUNCTION("""COMPUTED_VALUE"""),"Student")</f>
        <v>Student</v>
      </c>
      <c r="F1015" s="8" t="str">
        <f ca="1">IFERROR(__xludf.DUMMYFUNCTION("""COMPUTED_VALUE"""),"Teen")</f>
        <v>Teen</v>
      </c>
    </row>
    <row r="1016" spans="1:6" ht="12.75">
      <c r="A1016" s="4">
        <v>1015</v>
      </c>
      <c r="B1016" s="8" t="str">
        <f ca="1">IFERROR(__xludf.DUMMYFUNCTION("""COMPUTED_VALUE"""),"20180123KYMAB")</f>
        <v>20180123KYMAB</v>
      </c>
      <c r="C1016" s="8" t="str">
        <f ca="1">IFERROR(__xludf.DUMMYFUNCTION("""COMPUTED_VALUE"""),"Wounded")</f>
        <v>Wounded</v>
      </c>
      <c r="D1016" s="8" t="str">
        <f ca="1">IFERROR(__xludf.DUMMYFUNCTION("""COMPUTED_VALUE"""),"Male")</f>
        <v>Male</v>
      </c>
      <c r="E1016" s="8" t="str">
        <f ca="1">IFERROR(__xludf.DUMMYFUNCTION("""COMPUTED_VALUE"""),"Student")</f>
        <v>Student</v>
      </c>
      <c r="F1016" s="8" t="str">
        <f ca="1">IFERROR(__xludf.DUMMYFUNCTION("""COMPUTED_VALUE"""),"Teen")</f>
        <v>Teen</v>
      </c>
    </row>
    <row r="1017" spans="1:6" ht="12.75">
      <c r="A1017" s="4">
        <v>1016</v>
      </c>
      <c r="B1017" s="8" t="str">
        <f ca="1">IFERROR(__xludf.DUMMYFUNCTION("""COMPUTED_VALUE"""),"20180123KYMAB")</f>
        <v>20180123KYMAB</v>
      </c>
      <c r="C1017" s="8" t="str">
        <f ca="1">IFERROR(__xludf.DUMMYFUNCTION("""COMPUTED_VALUE"""),"Wounded")</f>
        <v>Wounded</v>
      </c>
      <c r="D1017" s="8" t="str">
        <f ca="1">IFERROR(__xludf.DUMMYFUNCTION("""COMPUTED_VALUE"""),"Male")</f>
        <v>Male</v>
      </c>
      <c r="E1017" s="8" t="str">
        <f ca="1">IFERROR(__xludf.DUMMYFUNCTION("""COMPUTED_VALUE"""),"Student")</f>
        <v>Student</v>
      </c>
      <c r="F1017" s="8" t="str">
        <f ca="1">IFERROR(__xludf.DUMMYFUNCTION("""COMPUTED_VALUE"""),"Teen")</f>
        <v>Teen</v>
      </c>
    </row>
    <row r="1018" spans="1:6" ht="12.75">
      <c r="A1018" s="4">
        <v>1017</v>
      </c>
      <c r="B1018" s="8" t="str">
        <f ca="1">IFERROR(__xludf.DUMMYFUNCTION("""COMPUTED_VALUE"""),"20180123KYMAB")</f>
        <v>20180123KYMAB</v>
      </c>
      <c r="C1018" s="8" t="str">
        <f ca="1">IFERROR(__xludf.DUMMYFUNCTION("""COMPUTED_VALUE"""),"Wounded")</f>
        <v>Wounded</v>
      </c>
      <c r="D1018" s="8" t="str">
        <f ca="1">IFERROR(__xludf.DUMMYFUNCTION("""COMPUTED_VALUE"""),"Male")</f>
        <v>Male</v>
      </c>
      <c r="E1018" s="8" t="str">
        <f ca="1">IFERROR(__xludf.DUMMYFUNCTION("""COMPUTED_VALUE"""),"Student")</f>
        <v>Student</v>
      </c>
      <c r="F1018" s="8" t="str">
        <f ca="1">IFERROR(__xludf.DUMMYFUNCTION("""COMPUTED_VALUE"""),"Teen")</f>
        <v>Teen</v>
      </c>
    </row>
    <row r="1019" spans="1:6" ht="12.75">
      <c r="A1019" s="4">
        <v>1018</v>
      </c>
      <c r="B1019" s="8" t="str">
        <f ca="1">IFERROR(__xludf.DUMMYFUNCTION("""COMPUTED_VALUE"""),"20180123KYMAB")</f>
        <v>20180123KYMAB</v>
      </c>
      <c r="C1019" s="8" t="str">
        <f ca="1">IFERROR(__xludf.DUMMYFUNCTION("""COMPUTED_VALUE"""),"Wounded")</f>
        <v>Wounded</v>
      </c>
      <c r="D1019" s="8" t="str">
        <f ca="1">IFERROR(__xludf.DUMMYFUNCTION("""COMPUTED_VALUE"""),"Female")</f>
        <v>Female</v>
      </c>
      <c r="E1019" s="8" t="str">
        <f ca="1">IFERROR(__xludf.DUMMYFUNCTION("""COMPUTED_VALUE"""),"Student")</f>
        <v>Student</v>
      </c>
      <c r="F1019" s="8" t="str">
        <f ca="1">IFERROR(__xludf.DUMMYFUNCTION("""COMPUTED_VALUE"""),"Teen")</f>
        <v>Teen</v>
      </c>
    </row>
    <row r="1020" spans="1:6" ht="12.75">
      <c r="A1020" s="4">
        <v>1019</v>
      </c>
      <c r="B1020" s="8" t="str">
        <f ca="1">IFERROR(__xludf.DUMMYFUNCTION("""COMPUTED_VALUE"""),"20180123KYMAB")</f>
        <v>20180123KYMAB</v>
      </c>
      <c r="C1020" s="8" t="str">
        <f ca="1">IFERROR(__xludf.DUMMYFUNCTION("""COMPUTED_VALUE"""),"Wounded")</f>
        <v>Wounded</v>
      </c>
      <c r="D1020" s="8" t="str">
        <f ca="1">IFERROR(__xludf.DUMMYFUNCTION("""COMPUTED_VALUE"""),"Male")</f>
        <v>Male</v>
      </c>
      <c r="E1020" s="8" t="str">
        <f ca="1">IFERROR(__xludf.DUMMYFUNCTION("""COMPUTED_VALUE"""),"Student")</f>
        <v>Student</v>
      </c>
      <c r="F1020" s="8" t="str">
        <f ca="1">IFERROR(__xludf.DUMMYFUNCTION("""COMPUTED_VALUE"""),"Teen")</f>
        <v>Teen</v>
      </c>
    </row>
    <row r="1021" spans="1:6" ht="12.75">
      <c r="A1021" s="4">
        <v>1020</v>
      </c>
      <c r="B1021" s="8" t="str">
        <f ca="1">IFERROR(__xludf.DUMMYFUNCTION("""COMPUTED_VALUE"""),"20180123KYMAB")</f>
        <v>20180123KYMAB</v>
      </c>
      <c r="C1021" s="8" t="str">
        <f ca="1">IFERROR(__xludf.DUMMYFUNCTION("""COMPUTED_VALUE"""),"Wounded")</f>
        <v>Wounded</v>
      </c>
      <c r="D1021" s="8" t="str">
        <f ca="1">IFERROR(__xludf.DUMMYFUNCTION("""COMPUTED_VALUE"""),"Male")</f>
        <v>Male</v>
      </c>
      <c r="E1021" s="8" t="str">
        <f ca="1">IFERROR(__xludf.DUMMYFUNCTION("""COMPUTED_VALUE"""),"Student")</f>
        <v>Student</v>
      </c>
      <c r="F1021" s="8" t="str">
        <f ca="1">IFERROR(__xludf.DUMMYFUNCTION("""COMPUTED_VALUE"""),"Teen")</f>
        <v>Teen</v>
      </c>
    </row>
    <row r="1022" spans="1:6" ht="12.75">
      <c r="A1022" s="4">
        <v>1021</v>
      </c>
      <c r="B1022" s="8" t="str">
        <f ca="1">IFERROR(__xludf.DUMMYFUNCTION("""COMPUTED_VALUE"""),"20180123KYMAB")</f>
        <v>20180123KYMAB</v>
      </c>
      <c r="C1022" s="8" t="str">
        <f ca="1">IFERROR(__xludf.DUMMYFUNCTION("""COMPUTED_VALUE"""),"Wounded")</f>
        <v>Wounded</v>
      </c>
      <c r="D1022" s="8" t="str">
        <f ca="1">IFERROR(__xludf.DUMMYFUNCTION("""COMPUTED_VALUE"""),"Female")</f>
        <v>Female</v>
      </c>
      <c r="E1022" s="8" t="str">
        <f ca="1">IFERROR(__xludf.DUMMYFUNCTION("""COMPUTED_VALUE"""),"Student")</f>
        <v>Student</v>
      </c>
      <c r="F1022" s="8" t="str">
        <f ca="1">IFERROR(__xludf.DUMMYFUNCTION("""COMPUTED_VALUE"""),"Teen")</f>
        <v>Teen</v>
      </c>
    </row>
    <row r="1023" spans="1:6" ht="12.75">
      <c r="A1023" s="4">
        <v>1022</v>
      </c>
      <c r="B1023" s="8" t="str">
        <f ca="1">IFERROR(__xludf.DUMMYFUNCTION("""COMPUTED_VALUE"""),"20180123KYMAB")</f>
        <v>20180123KYMAB</v>
      </c>
      <c r="C1023" s="8" t="str">
        <f ca="1">IFERROR(__xludf.DUMMYFUNCTION("""COMPUTED_VALUE"""),"Wounded")</f>
        <v>Wounded</v>
      </c>
      <c r="D1023" s="8" t="str">
        <f ca="1">IFERROR(__xludf.DUMMYFUNCTION("""COMPUTED_VALUE"""),"Male")</f>
        <v>Male</v>
      </c>
      <c r="E1023" s="8" t="str">
        <f ca="1">IFERROR(__xludf.DUMMYFUNCTION("""COMPUTED_VALUE"""),"Student")</f>
        <v>Student</v>
      </c>
      <c r="F1023" s="8" t="str">
        <f ca="1">IFERROR(__xludf.DUMMYFUNCTION("""COMPUTED_VALUE"""),"Teen")</f>
        <v>Teen</v>
      </c>
    </row>
    <row r="1024" spans="1:6" ht="12.75">
      <c r="A1024" s="4">
        <v>1023</v>
      </c>
      <c r="B1024" s="8" t="str">
        <f ca="1">IFERROR(__xludf.DUMMYFUNCTION("""COMPUTED_VALUE"""),"20180122TXITI")</f>
        <v>20180122TXITI</v>
      </c>
      <c r="C1024" s="8" t="str">
        <f ca="1">IFERROR(__xludf.DUMMYFUNCTION("""COMPUTED_VALUE"""),"Wounded")</f>
        <v>Wounded</v>
      </c>
      <c r="D1024" s="8" t="str">
        <f ca="1">IFERROR(__xludf.DUMMYFUNCTION("""COMPUTED_VALUE"""),"Female")</f>
        <v>Female</v>
      </c>
      <c r="E1024" s="8" t="str">
        <f ca="1">IFERROR(__xludf.DUMMYFUNCTION("""COMPUTED_VALUE"""),"Student")</f>
        <v>Student</v>
      </c>
      <c r="F1024" s="8" t="str">
        <f ca="1">IFERROR(__xludf.DUMMYFUNCTION("""COMPUTED_VALUE"""),"Teen")</f>
        <v>Teen</v>
      </c>
    </row>
    <row r="1025" spans="1:6" ht="12.75">
      <c r="A1025" s="4">
        <v>1024</v>
      </c>
      <c r="B1025" s="8" t="str">
        <f ca="1">IFERROR(__xludf.DUMMYFUNCTION("""COMPUTED_VALUE"""),"20180122LANEN")</f>
        <v>20180122LANEN</v>
      </c>
      <c r="C1025" s="8" t="str">
        <f ca="1">IFERROR(__xludf.DUMMYFUNCTION("""COMPUTED_VALUE"""),"None")</f>
        <v>None</v>
      </c>
      <c r="D1025" s="8"/>
      <c r="E1025" s="8"/>
      <c r="F1025" s="8"/>
    </row>
    <row r="1026" spans="1:6" ht="12.75">
      <c r="A1026" s="4">
        <v>1025</v>
      </c>
      <c r="B1026" s="8" t="str">
        <f ca="1">IFERROR(__xludf.DUMMYFUNCTION("""COMPUTED_VALUE"""),"20180116VTMOM")</f>
        <v>20180116VTMOM</v>
      </c>
      <c r="C1026" s="8" t="str">
        <f ca="1">IFERROR(__xludf.DUMMYFUNCTION("""COMPUTED_VALUE"""),"None")</f>
        <v>None</v>
      </c>
      <c r="D1026" s="8" t="str">
        <f ca="1">IFERROR(__xludf.DUMMYFUNCTION("""COMPUTED_VALUE"""),"Male")</f>
        <v>Male</v>
      </c>
      <c r="E1026" s="8" t="str">
        <f ca="1">IFERROR(__xludf.DUMMYFUNCTION("""COMPUTED_VALUE"""),"No Relation")</f>
        <v>No Relation</v>
      </c>
      <c r="F1026" s="8">
        <f ca="1">IFERROR(__xludf.DUMMYFUNCTION("""COMPUTED_VALUE"""),32)</f>
        <v>32</v>
      </c>
    </row>
    <row r="1027" spans="1:6" ht="12.75">
      <c r="A1027" s="4">
        <v>1026</v>
      </c>
      <c r="B1027" s="8" t="str">
        <f ca="1">IFERROR(__xludf.DUMMYFUNCTION("""COMPUTED_VALUE"""),"20180109AZCOS")</f>
        <v>20180109AZCOS</v>
      </c>
      <c r="C1027" s="8" t="str">
        <f ca="1">IFERROR(__xludf.DUMMYFUNCTION("""COMPUTED_VALUE"""),"None")</f>
        <v>None</v>
      </c>
      <c r="D1027" s="8" t="str">
        <f ca="1">IFERROR(__xludf.DUMMYFUNCTION("""COMPUTED_VALUE"""),"Male")</f>
        <v>Male</v>
      </c>
      <c r="E1027" s="8" t="str">
        <f ca="1">IFERROR(__xludf.DUMMYFUNCTION("""COMPUTED_VALUE"""),"Student")</f>
        <v>Student</v>
      </c>
      <c r="F1027" s="8" t="str">
        <f ca="1">IFERROR(__xludf.DUMMYFUNCTION("""COMPUTED_VALUE"""),"Teen")</f>
        <v>Teen</v>
      </c>
    </row>
    <row r="1028" spans="1:6" ht="12.75">
      <c r="A1028" s="4">
        <v>1027</v>
      </c>
      <c r="B1028" s="8" t="str">
        <f ca="1">IFERROR(__xludf.DUMMYFUNCTION("""COMPUTED_VALUE"""),"20180105IAFOF")</f>
        <v>20180105IAFOF</v>
      </c>
      <c r="C1028" s="8" t="str">
        <f ca="1">IFERROR(__xludf.DUMMYFUNCTION("""COMPUTED_VALUE"""),"None")</f>
        <v>None</v>
      </c>
      <c r="D1028" s="8"/>
      <c r="E1028" s="8"/>
      <c r="F1028" s="8"/>
    </row>
    <row r="1029" spans="1:6" ht="12.75">
      <c r="A1029" s="4">
        <v>1028</v>
      </c>
      <c r="B1029" s="8" t="str">
        <f ca="1">IFERROR(__xludf.DUMMYFUNCTION("""COMPUTED_VALUE"""),"20180104WANES")</f>
        <v>20180104WANES</v>
      </c>
      <c r="C1029" s="8" t="str">
        <f ca="1">IFERROR(__xludf.DUMMYFUNCTION("""COMPUTED_VALUE"""),"None")</f>
        <v>None</v>
      </c>
      <c r="D1029" s="8"/>
      <c r="E1029" s="8"/>
      <c r="F1029" s="8"/>
    </row>
    <row r="1030" spans="1:6" ht="12.75">
      <c r="A1030" s="4">
        <v>1029</v>
      </c>
      <c r="B1030" s="8" t="str">
        <f ca="1">IFERROR(__xludf.DUMMYFUNCTION("""COMPUTED_VALUE"""),"20171231WAPIM")</f>
        <v>20171231WAPIM</v>
      </c>
      <c r="C1030" s="8" t="str">
        <f ca="1">IFERROR(__xludf.DUMMYFUNCTION("""COMPUTED_VALUE"""),"None")</f>
        <v>None</v>
      </c>
      <c r="D1030" s="8"/>
      <c r="E1030" s="8"/>
      <c r="F1030" s="8"/>
    </row>
    <row r="1031" spans="1:6" ht="12.75">
      <c r="A1031" s="4">
        <v>1030</v>
      </c>
      <c r="B1031" s="8" t="str">
        <f ca="1">IFERROR(__xludf.DUMMYFUNCTION("""COMPUTED_VALUE"""),"20171231LAEDA")</f>
        <v>20171231LAEDA</v>
      </c>
      <c r="C1031" s="8" t="str">
        <f ca="1">IFERROR(__xludf.DUMMYFUNCTION("""COMPUTED_VALUE"""),"Fatal")</f>
        <v>Fatal</v>
      </c>
      <c r="D1031" s="8" t="str">
        <f ca="1">IFERROR(__xludf.DUMMYFUNCTION("""COMPUTED_VALUE"""),"Male")</f>
        <v>Male</v>
      </c>
      <c r="E1031" s="8" t="str">
        <f ca="1">IFERROR(__xludf.DUMMYFUNCTION("""COMPUTED_VALUE"""),"Nonstudent Using Athletic Facilities/Attending Game")</f>
        <v>Nonstudent Using Athletic Facilities/Attending Game</v>
      </c>
      <c r="F1031" s="8" t="str">
        <f ca="1">IFERROR(__xludf.DUMMYFUNCTION("""COMPUTED_VALUE"""),"Adult")</f>
        <v>Adult</v>
      </c>
    </row>
    <row r="1032" spans="1:6" ht="12.75">
      <c r="A1032" s="4">
        <v>1031</v>
      </c>
      <c r="B1032" s="8" t="str">
        <f ca="1">IFERROR(__xludf.DUMMYFUNCTION("""COMPUTED_VALUE"""),"20171231LAEDA")</f>
        <v>20171231LAEDA</v>
      </c>
      <c r="C1032" s="8" t="str">
        <f ca="1">IFERROR(__xludf.DUMMYFUNCTION("""COMPUTED_VALUE"""),"Fatal")</f>
        <v>Fatal</v>
      </c>
      <c r="D1032" s="8" t="str">
        <f ca="1">IFERROR(__xludf.DUMMYFUNCTION("""COMPUTED_VALUE"""),"Male")</f>
        <v>Male</v>
      </c>
      <c r="E1032" s="8" t="str">
        <f ca="1">IFERROR(__xludf.DUMMYFUNCTION("""COMPUTED_VALUE"""),"Nonstudent Using Athletic Facilities/Attending Game")</f>
        <v>Nonstudent Using Athletic Facilities/Attending Game</v>
      </c>
      <c r="F1032" s="8" t="str">
        <f ca="1">IFERROR(__xludf.DUMMYFUNCTION("""COMPUTED_VALUE"""),"Adult")</f>
        <v>Adult</v>
      </c>
    </row>
    <row r="1033" spans="1:6" ht="12.75">
      <c r="A1033" s="4">
        <v>1032</v>
      </c>
      <c r="B1033" s="8" t="str">
        <f ca="1">IFERROR(__xludf.DUMMYFUNCTION("""COMPUTED_VALUE"""),"20171227CALIL")</f>
        <v>20171227CALIL</v>
      </c>
      <c r="C1033" s="8" t="str">
        <f ca="1">IFERROR(__xludf.DUMMYFUNCTION("""COMPUTED_VALUE"""),"Wounded")</f>
        <v>Wounded</v>
      </c>
      <c r="D1033" s="8" t="str">
        <f ca="1">IFERROR(__xludf.DUMMYFUNCTION("""COMPUTED_VALUE"""),"Male")</f>
        <v>Male</v>
      </c>
      <c r="E1033" s="8" t="str">
        <f ca="1">IFERROR(__xludf.DUMMYFUNCTION("""COMPUTED_VALUE"""),"No Relation")</f>
        <v>No Relation</v>
      </c>
      <c r="F1033" s="8" t="str">
        <f ca="1">IFERROR(__xludf.DUMMYFUNCTION("""COMPUTED_VALUE"""),"Adult")</f>
        <v>Adult</v>
      </c>
    </row>
    <row r="1034" spans="1:6" ht="12.75">
      <c r="A1034" s="4">
        <v>1033</v>
      </c>
      <c r="B1034" s="8" t="str">
        <f ca="1">IFERROR(__xludf.DUMMYFUNCTION("""COMPUTED_VALUE"""),"20171219MIBEB")</f>
        <v>20171219MIBEB</v>
      </c>
      <c r="C1034" s="8" t="str">
        <f ca="1">IFERROR(__xludf.DUMMYFUNCTION("""COMPUTED_VALUE"""),"Wounded")</f>
        <v>Wounded</v>
      </c>
      <c r="D1034" s="8" t="str">
        <f ca="1">IFERROR(__xludf.DUMMYFUNCTION("""COMPUTED_VALUE"""),"Male")</f>
        <v>Male</v>
      </c>
      <c r="E1034" s="8" t="str">
        <f ca="1">IFERROR(__xludf.DUMMYFUNCTION("""COMPUTED_VALUE"""),"Student")</f>
        <v>Student</v>
      </c>
      <c r="F1034" s="8" t="str">
        <f ca="1">IFERROR(__xludf.DUMMYFUNCTION("""COMPUTED_VALUE"""),"Teen")</f>
        <v>Teen</v>
      </c>
    </row>
    <row r="1035" spans="1:6" ht="12.75">
      <c r="A1035" s="4">
        <v>1034</v>
      </c>
      <c r="B1035" s="8" t="str">
        <f ca="1">IFERROR(__xludf.DUMMYFUNCTION("""COMPUTED_VALUE"""),"20171214TXELD")</f>
        <v>20171214TXELD</v>
      </c>
      <c r="C1035" s="8" t="str">
        <f ca="1">IFERROR(__xludf.DUMMYFUNCTION("""COMPUTED_VALUE"""),"None")</f>
        <v>None</v>
      </c>
      <c r="D1035" s="8"/>
      <c r="E1035" s="8"/>
      <c r="F1035" s="8"/>
    </row>
    <row r="1036" spans="1:6" ht="12.75">
      <c r="A1036" s="4">
        <v>1035</v>
      </c>
      <c r="B1036" s="8" t="str">
        <f ca="1">IFERROR(__xludf.DUMMYFUNCTION("""COMPUTED_VALUE"""),"20171212TXSAP")</f>
        <v>20171212TXSAP</v>
      </c>
      <c r="C1036" s="8" t="str">
        <f ca="1">IFERROR(__xludf.DUMMYFUNCTION("""COMPUTED_VALUE"""),"Wounded")</f>
        <v>Wounded</v>
      </c>
      <c r="D1036" s="8" t="str">
        <f ca="1">IFERROR(__xludf.DUMMYFUNCTION("""COMPUTED_VALUE"""),"Male")</f>
        <v>Male</v>
      </c>
      <c r="E1036" s="8" t="str">
        <f ca="1">IFERROR(__xludf.DUMMYFUNCTION("""COMPUTED_VALUE"""),"Relative")</f>
        <v>Relative</v>
      </c>
      <c r="F1036" s="8">
        <f ca="1">IFERROR(__xludf.DUMMYFUNCTION("""COMPUTED_VALUE"""),21)</f>
        <v>21</v>
      </c>
    </row>
    <row r="1037" spans="1:6" ht="12.75">
      <c r="A1037" s="4">
        <v>1036</v>
      </c>
      <c r="B1037" s="8" t="str">
        <f ca="1">IFERROR(__xludf.DUMMYFUNCTION("""COMPUTED_VALUE"""),"20171212TXSAP")</f>
        <v>20171212TXSAP</v>
      </c>
      <c r="C1037" s="8" t="str">
        <f ca="1">IFERROR(__xludf.DUMMYFUNCTION("""COMPUTED_VALUE"""),"Wounded")</f>
        <v>Wounded</v>
      </c>
      <c r="D1037" s="8" t="str">
        <f ca="1">IFERROR(__xludf.DUMMYFUNCTION("""COMPUTED_VALUE"""),"Male")</f>
        <v>Male</v>
      </c>
      <c r="E1037" s="8" t="str">
        <f ca="1">IFERROR(__xludf.DUMMYFUNCTION("""COMPUTED_VALUE"""),"Relative")</f>
        <v>Relative</v>
      </c>
      <c r="F1037" s="8">
        <f ca="1">IFERROR(__xludf.DUMMYFUNCTION("""COMPUTED_VALUE"""),20)</f>
        <v>20</v>
      </c>
    </row>
    <row r="1038" spans="1:6" ht="12.75">
      <c r="A1038" s="4">
        <v>1037</v>
      </c>
      <c r="B1038" s="8" t="str">
        <f ca="1">IFERROR(__xludf.DUMMYFUNCTION("""COMPUTED_VALUE"""),"20171211NCHIH")</f>
        <v>20171211NCHIH</v>
      </c>
      <c r="C1038" s="8" t="str">
        <f ca="1">IFERROR(__xludf.DUMMYFUNCTION("""COMPUTED_VALUE"""),"None")</f>
        <v>None</v>
      </c>
      <c r="D1038" s="8"/>
      <c r="E1038" s="8"/>
      <c r="F1038" s="8"/>
    </row>
    <row r="1039" spans="1:6" ht="12.75">
      <c r="A1039" s="4">
        <v>1038</v>
      </c>
      <c r="B1039" s="8" t="str">
        <f ca="1">IFERROR(__xludf.DUMMYFUNCTION("""COMPUTED_VALUE"""),"20171209ILCHC")</f>
        <v>20171209ILCHC</v>
      </c>
      <c r="C1039" s="8" t="str">
        <f ca="1">IFERROR(__xludf.DUMMYFUNCTION("""COMPUTED_VALUE"""),"Wounded")</f>
        <v>Wounded</v>
      </c>
      <c r="D1039" s="8" t="str">
        <f ca="1">IFERROR(__xludf.DUMMYFUNCTION("""COMPUTED_VALUE"""),"Female")</f>
        <v>Female</v>
      </c>
      <c r="E1039" s="8" t="str">
        <f ca="1">IFERROR(__xludf.DUMMYFUNCTION("""COMPUTED_VALUE"""),"Student")</f>
        <v>Student</v>
      </c>
      <c r="F1039" s="8">
        <f ca="1">IFERROR(__xludf.DUMMYFUNCTION("""COMPUTED_VALUE"""),15)</f>
        <v>15</v>
      </c>
    </row>
    <row r="1040" spans="1:6" ht="12.75">
      <c r="A1040" s="4">
        <v>1039</v>
      </c>
      <c r="B1040" s="8" t="str">
        <f ca="1">IFERROR(__xludf.DUMMYFUNCTION("""COMPUTED_VALUE"""),"20171209ILCHC")</f>
        <v>20171209ILCHC</v>
      </c>
      <c r="C1040" s="8" t="str">
        <f ca="1">IFERROR(__xludf.DUMMYFUNCTION("""COMPUTED_VALUE"""),"Wounded")</f>
        <v>Wounded</v>
      </c>
      <c r="D1040" s="8" t="str">
        <f ca="1">IFERROR(__xludf.DUMMYFUNCTION("""COMPUTED_VALUE"""),"Female")</f>
        <v>Female</v>
      </c>
      <c r="E1040" s="8" t="str">
        <f ca="1">IFERROR(__xludf.DUMMYFUNCTION("""COMPUTED_VALUE"""),"Student")</f>
        <v>Student</v>
      </c>
      <c r="F1040" s="8">
        <f ca="1">IFERROR(__xludf.DUMMYFUNCTION("""COMPUTED_VALUE"""),17)</f>
        <v>17</v>
      </c>
    </row>
    <row r="1041" spans="1:6" ht="12.75">
      <c r="A1041" s="4">
        <v>1040</v>
      </c>
      <c r="B1041" s="8" t="str">
        <f ca="1">IFERROR(__xludf.DUMMYFUNCTION("""COMPUTED_VALUE"""),"20171209ILCHC")</f>
        <v>20171209ILCHC</v>
      </c>
      <c r="C1041" s="8" t="str">
        <f ca="1">IFERROR(__xludf.DUMMYFUNCTION("""COMPUTED_VALUE"""),"Wounded")</f>
        <v>Wounded</v>
      </c>
      <c r="D1041" s="8" t="str">
        <f ca="1">IFERROR(__xludf.DUMMYFUNCTION("""COMPUTED_VALUE"""),"Female")</f>
        <v>Female</v>
      </c>
      <c r="E1041" s="8" t="str">
        <f ca="1">IFERROR(__xludf.DUMMYFUNCTION("""COMPUTED_VALUE"""),"Student")</f>
        <v>Student</v>
      </c>
      <c r="F1041" s="8">
        <f ca="1">IFERROR(__xludf.DUMMYFUNCTION("""COMPUTED_VALUE"""),18)</f>
        <v>18</v>
      </c>
    </row>
    <row r="1042" spans="1:6" ht="12.75">
      <c r="A1042" s="4">
        <v>1041</v>
      </c>
      <c r="B1042" s="8" t="str">
        <f ca="1">IFERROR(__xludf.DUMMYFUNCTION("""COMPUTED_VALUE"""),"20171207NMAZA")</f>
        <v>20171207NMAZA</v>
      </c>
      <c r="C1042" s="8" t="str">
        <f ca="1">IFERROR(__xludf.DUMMYFUNCTION("""COMPUTED_VALUE"""),"Fatal")</f>
        <v>Fatal</v>
      </c>
      <c r="D1042" s="8" t="str">
        <f ca="1">IFERROR(__xludf.DUMMYFUNCTION("""COMPUTED_VALUE"""),"Male")</f>
        <v>Male</v>
      </c>
      <c r="E1042" s="8" t="str">
        <f ca="1">IFERROR(__xludf.DUMMYFUNCTION("""COMPUTED_VALUE"""),"Student")</f>
        <v>Student</v>
      </c>
      <c r="F1042" s="8" t="str">
        <f ca="1">IFERROR(__xludf.DUMMYFUNCTION("""COMPUTED_VALUE"""),"Teen")</f>
        <v>Teen</v>
      </c>
    </row>
    <row r="1043" spans="1:6" ht="12.75">
      <c r="A1043" s="4">
        <v>1042</v>
      </c>
      <c r="B1043" s="8" t="str">
        <f ca="1">IFERROR(__xludf.DUMMYFUNCTION("""COMPUTED_VALUE"""),"20171207NMAZA")</f>
        <v>20171207NMAZA</v>
      </c>
      <c r="C1043" s="8" t="str">
        <f ca="1">IFERROR(__xludf.DUMMYFUNCTION("""COMPUTED_VALUE"""),"Fatal")</f>
        <v>Fatal</v>
      </c>
      <c r="D1043" s="8" t="str">
        <f ca="1">IFERROR(__xludf.DUMMYFUNCTION("""COMPUTED_VALUE"""),"Female")</f>
        <v>Female</v>
      </c>
      <c r="E1043" s="8" t="str">
        <f ca="1">IFERROR(__xludf.DUMMYFUNCTION("""COMPUTED_VALUE"""),"Student")</f>
        <v>Student</v>
      </c>
      <c r="F1043" s="8" t="str">
        <f ca="1">IFERROR(__xludf.DUMMYFUNCTION("""COMPUTED_VALUE"""),"Teen")</f>
        <v>Teen</v>
      </c>
    </row>
    <row r="1044" spans="1:6" ht="12.75">
      <c r="A1044" s="4">
        <v>1043</v>
      </c>
      <c r="B1044" s="8" t="str">
        <f ca="1">IFERROR(__xludf.DUMMYFUNCTION("""COMPUTED_VALUE"""),"20171130VASAV")</f>
        <v>20171130VASAV</v>
      </c>
      <c r="C1044" s="8" t="str">
        <f ca="1">IFERROR(__xludf.DUMMYFUNCTION("""COMPUTED_VALUE"""),"None")</f>
        <v>None</v>
      </c>
      <c r="D1044" s="8" t="str">
        <f ca="1">IFERROR(__xludf.DUMMYFUNCTION("""COMPUTED_VALUE"""),"Male")</f>
        <v>Male</v>
      </c>
      <c r="E1044" s="8" t="str">
        <f ca="1">IFERROR(__xludf.DUMMYFUNCTION("""COMPUTED_VALUE"""),"Student")</f>
        <v>Student</v>
      </c>
      <c r="F1044" s="8" t="str">
        <f ca="1">IFERROR(__xludf.DUMMYFUNCTION("""COMPUTED_VALUE"""),"Teen")</f>
        <v>Teen</v>
      </c>
    </row>
    <row r="1045" spans="1:6" ht="12.75">
      <c r="A1045" s="4">
        <v>1044</v>
      </c>
      <c r="B1045" s="8" t="str">
        <f ca="1">IFERROR(__xludf.DUMMYFUNCTION("""COMPUTED_VALUE"""),"20171129OHBAL")</f>
        <v>20171129OHBAL</v>
      </c>
      <c r="C1045" s="8" t="str">
        <f ca="1">IFERROR(__xludf.DUMMYFUNCTION("""COMPUTED_VALUE"""),"None")</f>
        <v>None</v>
      </c>
      <c r="D1045" s="8"/>
      <c r="E1045" s="8"/>
      <c r="F1045" s="8"/>
    </row>
    <row r="1046" spans="1:6" ht="12.75">
      <c r="A1046" s="4">
        <v>1045</v>
      </c>
      <c r="B1046" s="8" t="str">
        <f ca="1">IFERROR(__xludf.DUMMYFUNCTION("""COMPUTED_VALUE"""),"20171128CABOS")</f>
        <v>20171128CABOS</v>
      </c>
      <c r="C1046" s="8" t="str">
        <f ca="1">IFERROR(__xludf.DUMMYFUNCTION("""COMPUTED_VALUE"""),"None")</f>
        <v>None</v>
      </c>
      <c r="D1046" s="8"/>
      <c r="E1046" s="8"/>
      <c r="F1046" s="8"/>
    </row>
    <row r="1047" spans="1:6" ht="12.75">
      <c r="A1047" s="4">
        <v>1046</v>
      </c>
      <c r="B1047" s="8" t="str">
        <f ca="1">IFERROR(__xludf.DUMMYFUNCTION("""COMPUTED_VALUE"""),"20171123COMAD")</f>
        <v>20171123COMAD</v>
      </c>
      <c r="C1047" s="8" t="str">
        <f ca="1">IFERROR(__xludf.DUMMYFUNCTION("""COMPUTED_VALUE"""),"Wounded")</f>
        <v>Wounded</v>
      </c>
      <c r="D1047" s="8" t="str">
        <f ca="1">IFERROR(__xludf.DUMMYFUNCTION("""COMPUTED_VALUE"""),"Female")</f>
        <v>Female</v>
      </c>
      <c r="E1047" s="8" t="str">
        <f ca="1">IFERROR(__xludf.DUMMYFUNCTION("""COMPUTED_VALUE"""),"No Relation")</f>
        <v>No Relation</v>
      </c>
      <c r="F1047" s="8" t="str">
        <f ca="1">IFERROR(__xludf.DUMMYFUNCTION("""COMPUTED_VALUE"""),"Adult")</f>
        <v>Adult</v>
      </c>
    </row>
    <row r="1048" spans="1:6" ht="12.75">
      <c r="A1048" s="4">
        <v>1047</v>
      </c>
      <c r="B1048" s="8" t="str">
        <f ca="1">IFERROR(__xludf.DUMMYFUNCTION("""COMPUTED_VALUE"""),"20171123COMAD")</f>
        <v>20171123COMAD</v>
      </c>
      <c r="C1048" s="8" t="str">
        <f ca="1">IFERROR(__xludf.DUMMYFUNCTION("""COMPUTED_VALUE"""),"Wounded")</f>
        <v>Wounded</v>
      </c>
      <c r="D1048" s="8" t="str">
        <f ca="1">IFERROR(__xludf.DUMMYFUNCTION("""COMPUTED_VALUE"""),"Male")</f>
        <v>Male</v>
      </c>
      <c r="E1048" s="8" t="str">
        <f ca="1">IFERROR(__xludf.DUMMYFUNCTION("""COMPUTED_VALUE"""),"No Relation")</f>
        <v>No Relation</v>
      </c>
      <c r="F1048" s="8" t="str">
        <f ca="1">IFERROR(__xludf.DUMMYFUNCTION("""COMPUTED_VALUE"""),"Child")</f>
        <v>Child</v>
      </c>
    </row>
    <row r="1049" spans="1:6" ht="12.75">
      <c r="A1049" s="4">
        <v>1048</v>
      </c>
      <c r="B1049" s="8" t="str">
        <f ca="1">IFERROR(__xludf.DUMMYFUNCTION("""COMPUTED_VALUE"""),"20171123COMAD")</f>
        <v>20171123COMAD</v>
      </c>
      <c r="C1049" s="8" t="str">
        <f ca="1">IFERROR(__xludf.DUMMYFUNCTION("""COMPUTED_VALUE"""),"Wounded")</f>
        <v>Wounded</v>
      </c>
      <c r="D1049" s="8" t="str">
        <f ca="1">IFERROR(__xludf.DUMMYFUNCTION("""COMPUTED_VALUE"""),"Male")</f>
        <v>Male</v>
      </c>
      <c r="E1049" s="8" t="str">
        <f ca="1">IFERROR(__xludf.DUMMYFUNCTION("""COMPUTED_VALUE"""),"No Relation")</f>
        <v>No Relation</v>
      </c>
      <c r="F1049" s="8" t="str">
        <f ca="1">IFERROR(__xludf.DUMMYFUNCTION("""COMPUTED_VALUE"""),"Child")</f>
        <v>Child</v>
      </c>
    </row>
    <row r="1050" spans="1:6" ht="12.75">
      <c r="A1050" s="4">
        <v>1049</v>
      </c>
      <c r="B1050" s="8" t="str">
        <f ca="1">IFERROR(__xludf.DUMMYFUNCTION("""COMPUTED_VALUE"""),"20171117TNNOJ")</f>
        <v>20171117TNNOJ</v>
      </c>
      <c r="C1050" s="8" t="str">
        <f ca="1">IFERROR(__xludf.DUMMYFUNCTION("""COMPUTED_VALUE"""),"None")</f>
        <v>None</v>
      </c>
      <c r="D1050" s="8"/>
      <c r="E1050" s="8"/>
      <c r="F1050" s="8"/>
    </row>
    <row r="1051" spans="1:6" ht="12.75">
      <c r="A1051" s="4">
        <v>1050</v>
      </c>
      <c r="B1051" s="8" t="str">
        <f ca="1">IFERROR(__xludf.DUMMYFUNCTION("""COMPUTED_VALUE"""),"20171114FLLAM")</f>
        <v>20171114FLLAM</v>
      </c>
      <c r="C1051" s="8" t="str">
        <f ca="1">IFERROR(__xludf.DUMMYFUNCTION("""COMPUTED_VALUE"""),"None")</f>
        <v>None</v>
      </c>
      <c r="D1051" s="8" t="str">
        <f ca="1">IFERROR(__xludf.DUMMYFUNCTION("""COMPUTED_VALUE"""),"Male")</f>
        <v>Male</v>
      </c>
      <c r="E1051" s="8" t="str">
        <f ca="1">IFERROR(__xludf.DUMMYFUNCTION("""COMPUTED_VALUE"""),"Student")</f>
        <v>Student</v>
      </c>
      <c r="F1051" s="8">
        <f ca="1">IFERROR(__xludf.DUMMYFUNCTION("""COMPUTED_VALUE"""),17)</f>
        <v>17</v>
      </c>
    </row>
    <row r="1052" spans="1:6" ht="12.75">
      <c r="A1052" s="4">
        <v>1051</v>
      </c>
      <c r="B1052" s="8" t="str">
        <f ca="1">IFERROR(__xludf.DUMMYFUNCTION("""COMPUTED_VALUE"""),"20171114CARAR")</f>
        <v>20171114CARAR</v>
      </c>
      <c r="C1052" s="8" t="str">
        <f ca="1">IFERROR(__xludf.DUMMYFUNCTION("""COMPUTED_VALUE"""),"Wounded")</f>
        <v>Wounded</v>
      </c>
      <c r="D1052" s="8" t="str">
        <f ca="1">IFERROR(__xludf.DUMMYFUNCTION("""COMPUTED_VALUE"""),"Female")</f>
        <v>Female</v>
      </c>
      <c r="E1052" s="8" t="str">
        <f ca="1">IFERROR(__xludf.DUMMYFUNCTION("""COMPUTED_VALUE"""),"Unknown")</f>
        <v>Unknown</v>
      </c>
      <c r="F1052" s="8">
        <f ca="1">IFERROR(__xludf.DUMMYFUNCTION("""COMPUTED_VALUE"""),31)</f>
        <v>31</v>
      </c>
    </row>
    <row r="1053" spans="1:6" ht="12.75">
      <c r="A1053" s="4">
        <v>1052</v>
      </c>
      <c r="B1053" s="8" t="str">
        <f ca="1">IFERROR(__xludf.DUMMYFUNCTION("""COMPUTED_VALUE"""),"20171114CARAR")</f>
        <v>20171114CARAR</v>
      </c>
      <c r="C1053" s="8" t="str">
        <f ca="1">IFERROR(__xludf.DUMMYFUNCTION("""COMPUTED_VALUE"""),"Wounded")</f>
        <v>Wounded</v>
      </c>
      <c r="D1053" s="8" t="str">
        <f ca="1">IFERROR(__xludf.DUMMYFUNCTION("""COMPUTED_VALUE"""),"Male")</f>
        <v>Male</v>
      </c>
      <c r="E1053" s="8" t="str">
        <f ca="1">IFERROR(__xludf.DUMMYFUNCTION("""COMPUTED_VALUE"""),"Student")</f>
        <v>Student</v>
      </c>
      <c r="F1053" s="8">
        <f ca="1">IFERROR(__xludf.DUMMYFUNCTION("""COMPUTED_VALUE"""),6)</f>
        <v>6</v>
      </c>
    </row>
    <row r="1054" spans="1:6" ht="12.75">
      <c r="A1054" s="4">
        <v>1053</v>
      </c>
      <c r="B1054" s="8" t="str">
        <f ca="1">IFERROR(__xludf.DUMMYFUNCTION("""COMPUTED_VALUE"""),"20171114CARAR")</f>
        <v>20171114CARAR</v>
      </c>
      <c r="C1054" s="8" t="str">
        <f ca="1">IFERROR(__xludf.DUMMYFUNCTION("""COMPUTED_VALUE"""),"Wounded")</f>
        <v>Wounded</v>
      </c>
      <c r="D1054" s="8" t="str">
        <f ca="1">IFERROR(__xludf.DUMMYFUNCTION("""COMPUTED_VALUE"""),"Male")</f>
        <v>Male</v>
      </c>
      <c r="E1054" s="8" t="str">
        <f ca="1">IFERROR(__xludf.DUMMYFUNCTION("""COMPUTED_VALUE"""),"Student")</f>
        <v>Student</v>
      </c>
      <c r="F1054" s="8">
        <f ca="1">IFERROR(__xludf.DUMMYFUNCTION("""COMPUTED_VALUE"""),6)</f>
        <v>6</v>
      </c>
    </row>
    <row r="1055" spans="1:6" ht="12.75">
      <c r="A1055" s="4">
        <v>1054</v>
      </c>
      <c r="B1055" s="8" t="str">
        <f ca="1">IFERROR(__xludf.DUMMYFUNCTION("""COMPUTED_VALUE"""),"20171114CARAR")</f>
        <v>20171114CARAR</v>
      </c>
      <c r="C1055" s="8" t="str">
        <f ca="1">IFERROR(__xludf.DUMMYFUNCTION("""COMPUTED_VALUE"""),"Wounded")</f>
        <v>Wounded</v>
      </c>
      <c r="D1055" s="8"/>
      <c r="E1055" s="8" t="str">
        <f ca="1">IFERROR(__xludf.DUMMYFUNCTION("""COMPUTED_VALUE"""),"Student")</f>
        <v>Student</v>
      </c>
      <c r="F1055" s="8" t="str">
        <f ca="1">IFERROR(__xludf.DUMMYFUNCTION("""COMPUTED_VALUE"""),"Child")</f>
        <v>Child</v>
      </c>
    </row>
    <row r="1056" spans="1:6" ht="12.75">
      <c r="A1056" s="4">
        <v>1055</v>
      </c>
      <c r="B1056" s="8" t="str">
        <f ca="1">IFERROR(__xludf.DUMMYFUNCTION("""COMPUTED_VALUE"""),"20171114CARAR")</f>
        <v>20171114CARAR</v>
      </c>
      <c r="C1056" s="8" t="str">
        <f ca="1">IFERROR(__xludf.DUMMYFUNCTION("""COMPUTED_VALUE"""),"Wounded")</f>
        <v>Wounded</v>
      </c>
      <c r="D1056" s="8"/>
      <c r="E1056" s="8"/>
      <c r="F1056" s="8" t="str">
        <f ca="1">IFERROR(__xludf.DUMMYFUNCTION("""COMPUTED_VALUE"""),"Adult")</f>
        <v>Adult</v>
      </c>
    </row>
    <row r="1057" spans="1:6" ht="12.75">
      <c r="A1057" s="4">
        <v>1056</v>
      </c>
      <c r="B1057" s="8" t="str">
        <f ca="1">IFERROR(__xludf.DUMMYFUNCTION("""COMPUTED_VALUE"""),"20171114CARAR")</f>
        <v>20171114CARAR</v>
      </c>
      <c r="C1057" s="8" t="str">
        <f ca="1">IFERROR(__xludf.DUMMYFUNCTION("""COMPUTED_VALUE"""),"Wounded")</f>
        <v>Wounded</v>
      </c>
      <c r="D1057" s="8"/>
      <c r="E1057" s="8"/>
      <c r="F1057" s="8" t="str">
        <f ca="1">IFERROR(__xludf.DUMMYFUNCTION("""COMPUTED_VALUE"""),"Adult")</f>
        <v>Adult</v>
      </c>
    </row>
    <row r="1058" spans="1:6" ht="12.75">
      <c r="A1058" s="4">
        <v>1057</v>
      </c>
      <c r="B1058" s="8" t="str">
        <f ca="1">IFERROR(__xludf.DUMMYFUNCTION("""COMPUTED_VALUE"""),"20171114CARAR")</f>
        <v>20171114CARAR</v>
      </c>
      <c r="C1058" s="8" t="str">
        <f ca="1">IFERROR(__xludf.DUMMYFUNCTION("""COMPUTED_VALUE"""),"Wounded")</f>
        <v>Wounded</v>
      </c>
      <c r="D1058" s="8" t="str">
        <f ca="1">IFERROR(__xludf.DUMMYFUNCTION("""COMPUTED_VALUE"""),"Male")</f>
        <v>Male</v>
      </c>
      <c r="E1058" s="8" t="str">
        <f ca="1">IFERROR(__xludf.DUMMYFUNCTION("""COMPUTED_VALUE"""),"Parent")</f>
        <v>Parent</v>
      </c>
      <c r="F1058" s="8" t="str">
        <f ca="1">IFERROR(__xludf.DUMMYFUNCTION("""COMPUTED_VALUE"""),"Adult")</f>
        <v>Adult</v>
      </c>
    </row>
    <row r="1059" spans="1:6" ht="12.75">
      <c r="A1059" s="4">
        <v>1058</v>
      </c>
      <c r="B1059" s="8" t="str">
        <f ca="1">IFERROR(__xludf.DUMMYFUNCTION("""COMPUTED_VALUE"""),"20171114CARAR")</f>
        <v>20171114CARAR</v>
      </c>
      <c r="C1059" s="8" t="str">
        <f ca="1">IFERROR(__xludf.DUMMYFUNCTION("""COMPUTED_VALUE"""),"Wounded")</f>
        <v>Wounded</v>
      </c>
      <c r="D1059" s="8"/>
      <c r="E1059" s="8" t="str">
        <f ca="1">IFERROR(__xludf.DUMMYFUNCTION("""COMPUTED_VALUE"""),"Student")</f>
        <v>Student</v>
      </c>
      <c r="F1059" s="8" t="str">
        <f ca="1">IFERROR(__xludf.DUMMYFUNCTION("""COMPUTED_VALUE"""),"Child")</f>
        <v>Child</v>
      </c>
    </row>
    <row r="1060" spans="1:6" ht="12.75">
      <c r="A1060" s="4">
        <v>1059</v>
      </c>
      <c r="B1060" s="8" t="str">
        <f ca="1">IFERROR(__xludf.DUMMYFUNCTION("""COMPUTED_VALUE"""),"20171114CARAR")</f>
        <v>20171114CARAR</v>
      </c>
      <c r="C1060" s="8" t="str">
        <f ca="1">IFERROR(__xludf.DUMMYFUNCTION("""COMPUTED_VALUE"""),"Wounded")</f>
        <v>Wounded</v>
      </c>
      <c r="D1060" s="8" t="str">
        <f ca="1">IFERROR(__xludf.DUMMYFUNCTION("""COMPUTED_VALUE"""),"Male")</f>
        <v>Male</v>
      </c>
      <c r="E1060" s="8" t="str">
        <f ca="1">IFERROR(__xludf.DUMMYFUNCTION("""COMPUTED_VALUE"""),"Relative")</f>
        <v>Relative</v>
      </c>
      <c r="F1060" s="8">
        <f ca="1">IFERROR(__xludf.DUMMYFUNCTION("""COMPUTED_VALUE"""),2)</f>
        <v>2</v>
      </c>
    </row>
    <row r="1061" spans="1:6" ht="12.75">
      <c r="A1061" s="4">
        <v>1060</v>
      </c>
      <c r="B1061" s="8" t="str">
        <f ca="1">IFERROR(__xludf.DUMMYFUNCTION("""COMPUTED_VALUE"""),"20171114CARAR")</f>
        <v>20171114CARAR</v>
      </c>
      <c r="C1061" s="8" t="str">
        <f ca="1">IFERROR(__xludf.DUMMYFUNCTION("""COMPUTED_VALUE"""),"Wounded")</f>
        <v>Wounded</v>
      </c>
      <c r="D1061" s="8" t="str">
        <f ca="1">IFERROR(__xludf.DUMMYFUNCTION("""COMPUTED_VALUE"""),"Male")</f>
        <v>Male</v>
      </c>
      <c r="E1061" s="8" t="str">
        <f ca="1">IFERROR(__xludf.DUMMYFUNCTION("""COMPUTED_VALUE"""),"Parent")</f>
        <v>Parent</v>
      </c>
      <c r="F1061" s="8">
        <f ca="1">IFERROR(__xludf.DUMMYFUNCTION("""COMPUTED_VALUE"""),20)</f>
        <v>20</v>
      </c>
    </row>
    <row r="1062" spans="1:6" ht="12.75">
      <c r="A1062" s="4">
        <v>1061</v>
      </c>
      <c r="B1062" s="8" t="str">
        <f ca="1">IFERROR(__xludf.DUMMYFUNCTION("""COMPUTED_VALUE"""),"20171114CARAR")</f>
        <v>20171114CARAR</v>
      </c>
      <c r="C1062" s="8" t="str">
        <f ca="1">IFERROR(__xludf.DUMMYFUNCTION("""COMPUTED_VALUE"""),"Wounded")</f>
        <v>Wounded</v>
      </c>
      <c r="D1062" s="8"/>
      <c r="E1062" s="8" t="str">
        <f ca="1">IFERROR(__xludf.DUMMYFUNCTION("""COMPUTED_VALUE"""),"Student")</f>
        <v>Student</v>
      </c>
      <c r="F1062" s="8" t="str">
        <f ca="1">IFERROR(__xludf.DUMMYFUNCTION("""COMPUTED_VALUE"""),"Child")</f>
        <v>Child</v>
      </c>
    </row>
    <row r="1063" spans="1:6" ht="12.75">
      <c r="A1063" s="4">
        <v>1062</v>
      </c>
      <c r="B1063" s="8" t="str">
        <f ca="1">IFERROR(__xludf.DUMMYFUNCTION("""COMPUTED_VALUE"""),"20171114CARAR")</f>
        <v>20171114CARAR</v>
      </c>
      <c r="C1063" s="8" t="str">
        <f ca="1">IFERROR(__xludf.DUMMYFUNCTION("""COMPUTED_VALUE"""),"Wounded")</f>
        <v>Wounded</v>
      </c>
      <c r="D1063" s="8"/>
      <c r="E1063" s="8" t="str">
        <f ca="1">IFERROR(__xludf.DUMMYFUNCTION("""COMPUTED_VALUE"""),"Student")</f>
        <v>Student</v>
      </c>
      <c r="F1063" s="8" t="str">
        <f ca="1">IFERROR(__xludf.DUMMYFUNCTION("""COMPUTED_VALUE"""),"Child")</f>
        <v>Child</v>
      </c>
    </row>
    <row r="1064" spans="1:6" ht="12.75">
      <c r="A1064" s="4">
        <v>1063</v>
      </c>
      <c r="B1064" s="8" t="str">
        <f ca="1">IFERROR(__xludf.DUMMYFUNCTION("""COMPUTED_VALUE"""),"20171114CARAR")</f>
        <v>20171114CARAR</v>
      </c>
      <c r="C1064" s="8" t="str">
        <f ca="1">IFERROR(__xludf.DUMMYFUNCTION("""COMPUTED_VALUE"""),"Wounded")</f>
        <v>Wounded</v>
      </c>
      <c r="D1064" s="8" t="str">
        <f ca="1">IFERROR(__xludf.DUMMYFUNCTION("""COMPUTED_VALUE"""),"Male")</f>
        <v>Male</v>
      </c>
      <c r="E1064" s="8"/>
      <c r="F1064" s="8">
        <f ca="1">IFERROR(__xludf.DUMMYFUNCTION("""COMPUTED_VALUE"""),39)</f>
        <v>39</v>
      </c>
    </row>
    <row r="1065" spans="1:6" ht="12.75">
      <c r="A1065" s="4">
        <v>1064</v>
      </c>
      <c r="B1065" s="8" t="str">
        <f ca="1">IFERROR(__xludf.DUMMYFUNCTION("""COMPUTED_VALUE"""),"20171114CARAR")</f>
        <v>20171114CARAR</v>
      </c>
      <c r="C1065" s="8" t="str">
        <f ca="1">IFERROR(__xludf.DUMMYFUNCTION("""COMPUTED_VALUE"""),"Wounded")</f>
        <v>Wounded</v>
      </c>
      <c r="D1065" s="8"/>
      <c r="E1065" s="8" t="str">
        <f ca="1">IFERROR(__xludf.DUMMYFUNCTION("""COMPUTED_VALUE"""),"Student")</f>
        <v>Student</v>
      </c>
      <c r="F1065" s="8" t="str">
        <f ca="1">IFERROR(__xludf.DUMMYFUNCTION("""COMPUTED_VALUE"""),"Child")</f>
        <v>Child</v>
      </c>
    </row>
    <row r="1066" spans="1:6" ht="12.75">
      <c r="A1066" s="4">
        <v>1065</v>
      </c>
      <c r="B1066" s="8" t="str">
        <f ca="1">IFERROR(__xludf.DUMMYFUNCTION("""COMPUTED_VALUE"""),"20171114CARAR")</f>
        <v>20171114CARAR</v>
      </c>
      <c r="C1066" s="8" t="str">
        <f ca="1">IFERROR(__xludf.DUMMYFUNCTION("""COMPUTED_VALUE"""),"Wounded")</f>
        <v>Wounded</v>
      </c>
      <c r="D1066" s="8"/>
      <c r="E1066" s="8" t="str">
        <f ca="1">IFERROR(__xludf.DUMMYFUNCTION("""COMPUTED_VALUE"""),"Student")</f>
        <v>Student</v>
      </c>
      <c r="F1066" s="8" t="str">
        <f ca="1">IFERROR(__xludf.DUMMYFUNCTION("""COMPUTED_VALUE"""),"Child")</f>
        <v>Child</v>
      </c>
    </row>
    <row r="1067" spans="1:6" ht="12.75">
      <c r="A1067" s="4">
        <v>1066</v>
      </c>
      <c r="B1067" s="8" t="str">
        <f ca="1">IFERROR(__xludf.DUMMYFUNCTION("""COMPUTED_VALUE"""),"20171114CARAR")</f>
        <v>20171114CARAR</v>
      </c>
      <c r="C1067" s="8" t="str">
        <f ca="1">IFERROR(__xludf.DUMMYFUNCTION("""COMPUTED_VALUE"""),"Wounded")</f>
        <v>Wounded</v>
      </c>
      <c r="D1067" s="8" t="str">
        <f ca="1">IFERROR(__xludf.DUMMYFUNCTION("""COMPUTED_VALUE"""),"Female")</f>
        <v>Female</v>
      </c>
      <c r="E1067" s="8"/>
      <c r="F1067" s="8"/>
    </row>
    <row r="1068" spans="1:6" ht="12.75">
      <c r="A1068" s="4">
        <v>1067</v>
      </c>
      <c r="B1068" s="8" t="str">
        <f ca="1">IFERROR(__xludf.DUMMYFUNCTION("""COMPUTED_VALUE"""),"20171114CARAR")</f>
        <v>20171114CARAR</v>
      </c>
      <c r="C1068" s="8" t="str">
        <f ca="1">IFERROR(__xludf.DUMMYFUNCTION("""COMPUTED_VALUE"""),"Wounded")</f>
        <v>Wounded</v>
      </c>
      <c r="D1068" s="8" t="str">
        <f ca="1">IFERROR(__xludf.DUMMYFUNCTION("""COMPUTED_VALUE"""),"Male")</f>
        <v>Male</v>
      </c>
      <c r="E1068" s="8" t="str">
        <f ca="1">IFERROR(__xludf.DUMMYFUNCTION("""COMPUTED_VALUE"""),"Student")</f>
        <v>Student</v>
      </c>
      <c r="F1068" s="8">
        <f ca="1">IFERROR(__xludf.DUMMYFUNCTION("""COMPUTED_VALUE"""),10)</f>
        <v>10</v>
      </c>
    </row>
    <row r="1069" spans="1:6" ht="12.75">
      <c r="A1069" s="4">
        <v>1068</v>
      </c>
      <c r="B1069" s="8" t="str">
        <f ca="1">IFERROR(__xludf.DUMMYFUNCTION("""COMPUTED_VALUE"""),"20171114CARAR")</f>
        <v>20171114CARAR</v>
      </c>
      <c r="C1069" s="8" t="str">
        <f ca="1">IFERROR(__xludf.DUMMYFUNCTION("""COMPUTED_VALUE"""),"Wounded")</f>
        <v>Wounded</v>
      </c>
      <c r="D1069" s="8"/>
      <c r="E1069" s="8" t="str">
        <f ca="1">IFERROR(__xludf.DUMMYFUNCTION("""COMPUTED_VALUE"""),"Student")</f>
        <v>Student</v>
      </c>
      <c r="F1069" s="8" t="str">
        <f ca="1">IFERROR(__xludf.DUMMYFUNCTION("""COMPUTED_VALUE"""),"Child")</f>
        <v>Child</v>
      </c>
    </row>
    <row r="1070" spans="1:6" ht="12.75">
      <c r="A1070" s="4">
        <v>1069</v>
      </c>
      <c r="B1070" s="8" t="str">
        <f ca="1">IFERROR(__xludf.DUMMYFUNCTION("""COMPUTED_VALUE"""),"20171110GALAM")</f>
        <v>20171110GALAM</v>
      </c>
      <c r="C1070" s="8" t="str">
        <f ca="1">IFERROR(__xludf.DUMMYFUNCTION("""COMPUTED_VALUE"""),"None")</f>
        <v>None</v>
      </c>
      <c r="D1070" s="8"/>
      <c r="E1070" s="8"/>
      <c r="F1070" s="8"/>
    </row>
    <row r="1071" spans="1:6" ht="12.75">
      <c r="A1071" s="4">
        <v>1070</v>
      </c>
      <c r="B1071" s="8" t="str">
        <f ca="1">IFERROR(__xludf.DUMMYFUNCTION("""COMPUTED_VALUE"""),"20171109GABEC")</f>
        <v>20171109GABEC</v>
      </c>
      <c r="C1071" s="8" t="str">
        <f ca="1">IFERROR(__xludf.DUMMYFUNCTION("""COMPUTED_VALUE"""),"Wounded")</f>
        <v>Wounded</v>
      </c>
      <c r="D1071" s="8" t="str">
        <f ca="1">IFERROR(__xludf.DUMMYFUNCTION("""COMPUTED_VALUE"""),"Male")</f>
        <v>Male</v>
      </c>
      <c r="E1071" s="8" t="str">
        <f ca="1">IFERROR(__xludf.DUMMYFUNCTION("""COMPUTED_VALUE"""),"Student")</f>
        <v>Student</v>
      </c>
      <c r="F1071" s="8">
        <f ca="1">IFERROR(__xludf.DUMMYFUNCTION("""COMPUTED_VALUE"""),15)</f>
        <v>15</v>
      </c>
    </row>
    <row r="1072" spans="1:6" ht="12.75">
      <c r="A1072" s="4">
        <v>1071</v>
      </c>
      <c r="B1072" s="8" t="str">
        <f ca="1">IFERROR(__xludf.DUMMYFUNCTION("""COMPUTED_VALUE"""),"20171109GABEC")</f>
        <v>20171109GABEC</v>
      </c>
      <c r="C1072" s="8" t="str">
        <f ca="1">IFERROR(__xludf.DUMMYFUNCTION("""COMPUTED_VALUE"""),"Wounded")</f>
        <v>Wounded</v>
      </c>
      <c r="D1072" s="8" t="str">
        <f ca="1">IFERROR(__xludf.DUMMYFUNCTION("""COMPUTED_VALUE"""),"Female")</f>
        <v>Female</v>
      </c>
      <c r="E1072" s="8" t="str">
        <f ca="1">IFERROR(__xludf.DUMMYFUNCTION("""COMPUTED_VALUE"""),"Student")</f>
        <v>Student</v>
      </c>
      <c r="F1072" s="8">
        <f ca="1">IFERROR(__xludf.DUMMYFUNCTION("""COMPUTED_VALUE"""),15)</f>
        <v>15</v>
      </c>
    </row>
    <row r="1073" spans="1:6" ht="12.75">
      <c r="A1073" s="4">
        <v>1072</v>
      </c>
      <c r="B1073" s="8" t="str">
        <f ca="1">IFERROR(__xludf.DUMMYFUNCTION("""COMPUTED_VALUE"""),"20171103MIPAL")</f>
        <v>20171103MIPAL</v>
      </c>
      <c r="C1073" s="8" t="str">
        <f ca="1">IFERROR(__xludf.DUMMYFUNCTION("""COMPUTED_VALUE"""),"Wounded")</f>
        <v>Wounded</v>
      </c>
      <c r="D1073" s="8" t="str">
        <f ca="1">IFERROR(__xludf.DUMMYFUNCTION("""COMPUTED_VALUE"""),"Female")</f>
        <v>Female</v>
      </c>
      <c r="E1073" s="8" t="str">
        <f ca="1">IFERROR(__xludf.DUMMYFUNCTION("""COMPUTED_VALUE"""),"No Relation")</f>
        <v>No Relation</v>
      </c>
      <c r="F1073" s="8">
        <f ca="1">IFERROR(__xludf.DUMMYFUNCTION("""COMPUTED_VALUE"""),15)</f>
        <v>15</v>
      </c>
    </row>
    <row r="1074" spans="1:6" ht="12.75">
      <c r="A1074" s="4">
        <v>1073</v>
      </c>
      <c r="B1074" s="8" t="str">
        <f ca="1">IFERROR(__xludf.DUMMYFUNCTION("""COMPUTED_VALUE"""),"20171027NYPRU")</f>
        <v>20171027NYPRU</v>
      </c>
      <c r="C1074" s="8" t="str">
        <f ca="1">IFERROR(__xludf.DUMMYFUNCTION("""COMPUTED_VALUE"""),"None")</f>
        <v>None</v>
      </c>
      <c r="D1074" s="8"/>
      <c r="E1074" s="8"/>
      <c r="F1074" s="8"/>
    </row>
    <row r="1075" spans="1:6" ht="12.75">
      <c r="A1075" s="4">
        <v>1074</v>
      </c>
      <c r="B1075" s="8" t="str">
        <f ca="1">IFERROR(__xludf.DUMMYFUNCTION("""COMPUTED_VALUE"""),"20171020OHSTT")</f>
        <v>20171020OHSTT</v>
      </c>
      <c r="C1075" s="8" t="str">
        <f ca="1">IFERROR(__xludf.DUMMYFUNCTION("""COMPUTED_VALUE"""),"None")</f>
        <v>None</v>
      </c>
      <c r="D1075" s="8"/>
      <c r="E1075" s="8"/>
      <c r="F1075" s="8"/>
    </row>
    <row r="1076" spans="1:6" ht="12.75">
      <c r="A1076" s="4">
        <v>1075</v>
      </c>
      <c r="B1076" s="8" t="str">
        <f ca="1">IFERROR(__xludf.DUMMYFUNCTION("""COMPUTED_VALUE"""),"20171014NCKEK")</f>
        <v>20171014NCKEK</v>
      </c>
      <c r="C1076" s="8" t="str">
        <f ca="1">IFERROR(__xludf.DUMMYFUNCTION("""COMPUTED_VALUE"""),"None")</f>
        <v>None</v>
      </c>
      <c r="D1076" s="8"/>
      <c r="E1076" s="8"/>
      <c r="F1076" s="8"/>
    </row>
    <row r="1077" spans="1:6" ht="12.75">
      <c r="A1077" s="4">
        <v>1076</v>
      </c>
      <c r="B1077" s="8" t="str">
        <f ca="1">IFERROR(__xludf.DUMMYFUNCTION("""COMPUTED_VALUE"""),"20171012NCCHC")</f>
        <v>20171012NCCHC</v>
      </c>
      <c r="C1077" s="8" t="str">
        <f ca="1">IFERROR(__xludf.DUMMYFUNCTION("""COMPUTED_VALUE"""),"None")</f>
        <v>None</v>
      </c>
      <c r="D1077" s="8"/>
      <c r="E1077" s="8"/>
      <c r="F1077" s="8"/>
    </row>
    <row r="1078" spans="1:6" ht="12.75">
      <c r="A1078" s="4">
        <v>1077</v>
      </c>
      <c r="B1078" s="8" t="str">
        <f ca="1">IFERROR(__xludf.DUMMYFUNCTION("""COMPUTED_VALUE"""),"20170930PAPUC")</f>
        <v>20170930PAPUC</v>
      </c>
      <c r="C1078" s="8" t="str">
        <f ca="1">IFERROR(__xludf.DUMMYFUNCTION("""COMPUTED_VALUE"""),"Wounded")</f>
        <v>Wounded</v>
      </c>
      <c r="D1078" s="8" t="str">
        <f ca="1">IFERROR(__xludf.DUMMYFUNCTION("""COMPUTED_VALUE"""),"Male")</f>
        <v>Male</v>
      </c>
      <c r="E1078" s="8" t="str">
        <f ca="1">IFERROR(__xludf.DUMMYFUNCTION("""COMPUTED_VALUE"""),"No Relation")</f>
        <v>No Relation</v>
      </c>
      <c r="F1078" s="8">
        <f ca="1">IFERROR(__xludf.DUMMYFUNCTION("""COMPUTED_VALUE"""),42)</f>
        <v>42</v>
      </c>
    </row>
    <row r="1079" spans="1:6" ht="12.75">
      <c r="A1079" s="4">
        <v>1078</v>
      </c>
      <c r="B1079" s="8" t="str">
        <f ca="1">IFERROR(__xludf.DUMMYFUNCTION("""COMPUTED_VALUE"""),"20170929MOLEL")</f>
        <v>20170929MOLEL</v>
      </c>
      <c r="C1079" s="8" t="str">
        <f ca="1">IFERROR(__xludf.DUMMYFUNCTION("""COMPUTED_VALUE"""),"None")</f>
        <v>None</v>
      </c>
      <c r="D1079" s="8" t="str">
        <f ca="1">IFERROR(__xludf.DUMMYFUNCTION("""COMPUTED_VALUE"""),"Female")</f>
        <v>Female</v>
      </c>
      <c r="E1079" s="8" t="str">
        <f ca="1">IFERROR(__xludf.DUMMYFUNCTION("""COMPUTED_VALUE"""),"Student")</f>
        <v>Student</v>
      </c>
      <c r="F1079" s="8" t="str">
        <f ca="1">IFERROR(__xludf.DUMMYFUNCTION("""COMPUTED_VALUE"""),"Teen")</f>
        <v>Teen</v>
      </c>
    </row>
    <row r="1080" spans="1:6" ht="12.75">
      <c r="A1080" s="4">
        <v>1079</v>
      </c>
      <c r="B1080" s="8" t="str">
        <f ca="1">IFERROR(__xludf.DUMMYFUNCTION("""COMPUTED_VALUE"""),"20170929CASUL")</f>
        <v>20170929CASUL</v>
      </c>
      <c r="C1080" s="8" t="str">
        <f ca="1">IFERROR(__xludf.DUMMYFUNCTION("""COMPUTED_VALUE"""),"Wounded")</f>
        <v>Wounded</v>
      </c>
      <c r="D1080" s="8"/>
      <c r="E1080" s="8" t="str">
        <f ca="1">IFERROR(__xludf.DUMMYFUNCTION("""COMPUTED_VALUE"""),"Teacher")</f>
        <v>Teacher</v>
      </c>
      <c r="F1080" s="8" t="str">
        <f ca="1">IFERROR(__xludf.DUMMYFUNCTION("""COMPUTED_VALUE"""),"Adult")</f>
        <v>Adult</v>
      </c>
    </row>
    <row r="1081" spans="1:6" ht="12.75">
      <c r="A1081" s="4">
        <v>1080</v>
      </c>
      <c r="B1081" s="8" t="str">
        <f ca="1">IFERROR(__xludf.DUMMYFUNCTION("""COMPUTED_VALUE"""),"20170929CASUL")</f>
        <v>20170929CASUL</v>
      </c>
      <c r="C1081" s="8" t="str">
        <f ca="1">IFERROR(__xludf.DUMMYFUNCTION("""COMPUTED_VALUE"""),"Wounded")</f>
        <v>Wounded</v>
      </c>
      <c r="D1081" s="8"/>
      <c r="E1081" s="8" t="str">
        <f ca="1">IFERROR(__xludf.DUMMYFUNCTION("""COMPUTED_VALUE"""),"Student")</f>
        <v>Student</v>
      </c>
      <c r="F1081" s="8" t="str">
        <f ca="1">IFERROR(__xludf.DUMMYFUNCTION("""COMPUTED_VALUE"""),"Child")</f>
        <v>Child</v>
      </c>
    </row>
    <row r="1082" spans="1:6" ht="12.75">
      <c r="A1082" s="4">
        <v>1081</v>
      </c>
      <c r="B1082" s="8" t="str">
        <f ca="1">IFERROR(__xludf.DUMMYFUNCTION("""COMPUTED_VALUE"""),"20170929CASUL")</f>
        <v>20170929CASUL</v>
      </c>
      <c r="C1082" s="8" t="str">
        <f ca="1">IFERROR(__xludf.DUMMYFUNCTION("""COMPUTED_VALUE"""),"Wounded")</f>
        <v>Wounded</v>
      </c>
      <c r="D1082" s="8"/>
      <c r="E1082" s="8" t="str">
        <f ca="1">IFERROR(__xludf.DUMMYFUNCTION("""COMPUTED_VALUE"""),"Student")</f>
        <v>Student</v>
      </c>
      <c r="F1082" s="8" t="str">
        <f ca="1">IFERROR(__xludf.DUMMYFUNCTION("""COMPUTED_VALUE"""),"Child")</f>
        <v>Child</v>
      </c>
    </row>
    <row r="1083" spans="1:6" ht="12.75">
      <c r="A1083" s="4">
        <v>1082</v>
      </c>
      <c r="B1083" s="8" t="str">
        <f ca="1">IFERROR(__xludf.DUMMYFUNCTION("""COMPUTED_VALUE"""),"20170929CASUL")</f>
        <v>20170929CASUL</v>
      </c>
      <c r="C1083" s="8" t="str">
        <f ca="1">IFERROR(__xludf.DUMMYFUNCTION("""COMPUTED_VALUE"""),"Wounded")</f>
        <v>Wounded</v>
      </c>
      <c r="D1083" s="8"/>
      <c r="E1083" s="8" t="str">
        <f ca="1">IFERROR(__xludf.DUMMYFUNCTION("""COMPUTED_VALUE"""),"Student")</f>
        <v>Student</v>
      </c>
      <c r="F1083" s="8" t="str">
        <f ca="1">IFERROR(__xludf.DUMMYFUNCTION("""COMPUTED_VALUE"""),"Child")</f>
        <v>Child</v>
      </c>
    </row>
    <row r="1084" spans="1:6" ht="12.75">
      <c r="A1084" s="4">
        <v>1083</v>
      </c>
      <c r="B1084" s="8" t="str">
        <f ca="1">IFERROR(__xludf.DUMMYFUNCTION("""COMPUTED_VALUE"""),"20170929CASUL")</f>
        <v>20170929CASUL</v>
      </c>
      <c r="C1084" s="8" t="str">
        <f ca="1">IFERROR(__xludf.DUMMYFUNCTION("""COMPUTED_VALUE"""),"Wounded")</f>
        <v>Wounded</v>
      </c>
      <c r="D1084" s="8"/>
      <c r="E1084" s="8" t="str">
        <f ca="1">IFERROR(__xludf.DUMMYFUNCTION("""COMPUTED_VALUE"""),"Teacher")</f>
        <v>Teacher</v>
      </c>
      <c r="F1084" s="8" t="str">
        <f ca="1">IFERROR(__xludf.DUMMYFUNCTION("""COMPUTED_VALUE"""),"Adult")</f>
        <v>Adult</v>
      </c>
    </row>
    <row r="1085" spans="1:6" ht="12.75">
      <c r="A1085" s="4">
        <v>1084</v>
      </c>
      <c r="B1085" s="8" t="str">
        <f ca="1">IFERROR(__xludf.DUMMYFUNCTION("""COMPUTED_VALUE"""),"20170928KYSOL")</f>
        <v>20170928KYSOL</v>
      </c>
      <c r="C1085" s="8" t="str">
        <f ca="1">IFERROR(__xludf.DUMMYFUNCTION("""COMPUTED_VALUE"""),"None")</f>
        <v>None</v>
      </c>
      <c r="D1085" s="8" t="str">
        <f ca="1">IFERROR(__xludf.DUMMYFUNCTION("""COMPUTED_VALUE"""),"Male")</f>
        <v>Male</v>
      </c>
      <c r="E1085" s="8" t="str">
        <f ca="1">IFERROR(__xludf.DUMMYFUNCTION("""COMPUTED_VALUE"""),"No Relation")</f>
        <v>No Relation</v>
      </c>
      <c r="F1085" s="8">
        <f ca="1">IFERROR(__xludf.DUMMYFUNCTION("""COMPUTED_VALUE"""),20)</f>
        <v>20</v>
      </c>
    </row>
    <row r="1086" spans="1:6" ht="12.75">
      <c r="A1086" s="4">
        <v>1085</v>
      </c>
      <c r="B1086" s="8" t="str">
        <f ca="1">IFERROR(__xludf.DUMMYFUNCTION("""COMPUTED_VALUE"""),"20170920ILMAM")</f>
        <v>20170920ILMAM</v>
      </c>
      <c r="C1086" s="8" t="str">
        <f ca="1">IFERROR(__xludf.DUMMYFUNCTION("""COMPUTED_VALUE"""),"Wounded")</f>
        <v>Wounded</v>
      </c>
      <c r="D1086" s="8" t="str">
        <f ca="1">IFERROR(__xludf.DUMMYFUNCTION("""COMPUTED_VALUE"""),"Male")</f>
        <v>Male</v>
      </c>
      <c r="E1086" s="8" t="str">
        <f ca="1">IFERROR(__xludf.DUMMYFUNCTION("""COMPUTED_VALUE"""),"Student")</f>
        <v>Student</v>
      </c>
      <c r="F1086" s="8" t="str">
        <f ca="1">IFERROR(__xludf.DUMMYFUNCTION("""COMPUTED_VALUE"""),"Teen")</f>
        <v>Teen</v>
      </c>
    </row>
    <row r="1087" spans="1:6" ht="12.75">
      <c r="A1087" s="4">
        <v>1086</v>
      </c>
      <c r="B1087" s="8" t="str">
        <f ca="1">IFERROR(__xludf.DUMMYFUNCTION("""COMPUTED_VALUE"""),"20170913WAFRR")</f>
        <v>20170913WAFRR</v>
      </c>
      <c r="C1087" s="8" t="str">
        <f ca="1">IFERROR(__xludf.DUMMYFUNCTION("""COMPUTED_VALUE"""),"Wounded")</f>
        <v>Wounded</v>
      </c>
      <c r="D1087" s="8"/>
      <c r="E1087" s="8" t="str">
        <f ca="1">IFERROR(__xludf.DUMMYFUNCTION("""COMPUTED_VALUE"""),"Student")</f>
        <v>Student</v>
      </c>
      <c r="F1087" s="8" t="str">
        <f ca="1">IFERROR(__xludf.DUMMYFUNCTION("""COMPUTED_VALUE"""),"Teen")</f>
        <v>Teen</v>
      </c>
    </row>
    <row r="1088" spans="1:6" ht="12.75">
      <c r="A1088" s="4">
        <v>1087</v>
      </c>
      <c r="B1088" s="8" t="str">
        <f ca="1">IFERROR(__xludf.DUMMYFUNCTION("""COMPUTED_VALUE"""),"20170913WAFRR")</f>
        <v>20170913WAFRR</v>
      </c>
      <c r="C1088" s="8" t="str">
        <f ca="1">IFERROR(__xludf.DUMMYFUNCTION("""COMPUTED_VALUE"""),"Fatal")</f>
        <v>Fatal</v>
      </c>
      <c r="D1088" s="8" t="str">
        <f ca="1">IFERROR(__xludf.DUMMYFUNCTION("""COMPUTED_VALUE"""),"Male")</f>
        <v>Male</v>
      </c>
      <c r="E1088" s="8" t="str">
        <f ca="1">IFERROR(__xludf.DUMMYFUNCTION("""COMPUTED_VALUE"""),"Student")</f>
        <v>Student</v>
      </c>
      <c r="F1088" s="8" t="str">
        <f ca="1">IFERROR(__xludf.DUMMYFUNCTION("""COMPUTED_VALUE"""),"Teen")</f>
        <v>Teen</v>
      </c>
    </row>
    <row r="1089" spans="1:6" ht="12.75">
      <c r="A1089" s="4">
        <v>1088</v>
      </c>
      <c r="B1089" s="8" t="str">
        <f ca="1">IFERROR(__xludf.DUMMYFUNCTION("""COMPUTED_VALUE"""),"20170913WAFRR")</f>
        <v>20170913WAFRR</v>
      </c>
      <c r="C1089" s="8" t="str">
        <f ca="1">IFERROR(__xludf.DUMMYFUNCTION("""COMPUTED_VALUE"""),"Wounded")</f>
        <v>Wounded</v>
      </c>
      <c r="D1089" s="8"/>
      <c r="E1089" s="8" t="str">
        <f ca="1">IFERROR(__xludf.DUMMYFUNCTION("""COMPUTED_VALUE"""),"Student")</f>
        <v>Student</v>
      </c>
      <c r="F1089" s="8" t="str">
        <f ca="1">IFERROR(__xludf.DUMMYFUNCTION("""COMPUTED_VALUE"""),"Teen")</f>
        <v>Teen</v>
      </c>
    </row>
    <row r="1090" spans="1:6" ht="12.75">
      <c r="A1090" s="4">
        <v>1089</v>
      </c>
      <c r="B1090" s="8" t="str">
        <f ca="1">IFERROR(__xludf.DUMMYFUNCTION("""COMPUTED_VALUE"""),"20170913WAFRR")</f>
        <v>20170913WAFRR</v>
      </c>
      <c r="C1090" s="8" t="str">
        <f ca="1">IFERROR(__xludf.DUMMYFUNCTION("""COMPUTED_VALUE"""),"Wounded")</f>
        <v>Wounded</v>
      </c>
      <c r="D1090" s="8"/>
      <c r="E1090" s="8" t="str">
        <f ca="1">IFERROR(__xludf.DUMMYFUNCTION("""COMPUTED_VALUE"""),"Student")</f>
        <v>Student</v>
      </c>
      <c r="F1090" s="8" t="str">
        <f ca="1">IFERROR(__xludf.DUMMYFUNCTION("""COMPUTED_VALUE"""),"Teen")</f>
        <v>Teen</v>
      </c>
    </row>
    <row r="1091" spans="1:6" ht="12.75">
      <c r="A1091" s="4">
        <v>1090</v>
      </c>
      <c r="B1091" s="8" t="str">
        <f ca="1">IFERROR(__xludf.DUMMYFUNCTION("""COMPUTED_VALUE"""),"20170908OHCOC")</f>
        <v>20170908OHCOC</v>
      </c>
      <c r="C1091" s="8" t="str">
        <f ca="1">IFERROR(__xludf.DUMMYFUNCTION("""COMPUTED_VALUE"""),"None")</f>
        <v>None</v>
      </c>
      <c r="D1091" s="8"/>
      <c r="E1091" s="8"/>
      <c r="F1091" s="8"/>
    </row>
    <row r="1092" spans="1:6" ht="12.75">
      <c r="A1092" s="4">
        <v>1091</v>
      </c>
      <c r="B1092" s="8" t="str">
        <f ca="1">IFERROR(__xludf.DUMMYFUNCTION("""COMPUTED_VALUE"""),"20170908ARNON")</f>
        <v>20170908ARNON</v>
      </c>
      <c r="C1092" s="8" t="str">
        <f ca="1">IFERROR(__xludf.DUMMYFUNCTION("""COMPUTED_VALUE"""),"Wounded")</f>
        <v>Wounded</v>
      </c>
      <c r="D1092" s="8" t="str">
        <f ca="1">IFERROR(__xludf.DUMMYFUNCTION("""COMPUTED_VALUE"""),"Male")</f>
        <v>Male</v>
      </c>
      <c r="E1092" s="8" t="str">
        <f ca="1">IFERROR(__xludf.DUMMYFUNCTION("""COMPUTED_VALUE"""),"No Relation")</f>
        <v>No Relation</v>
      </c>
      <c r="F1092" s="8" t="str">
        <f ca="1">IFERROR(__xludf.DUMMYFUNCTION("""COMPUTED_VALUE"""),"Teen")</f>
        <v>Teen</v>
      </c>
    </row>
    <row r="1093" spans="1:6" ht="12.75">
      <c r="A1093" s="4">
        <v>1092</v>
      </c>
      <c r="B1093" s="8" t="str">
        <f ca="1">IFERROR(__xludf.DUMMYFUNCTION("""COMPUTED_VALUE"""),"20170831CAARS")</f>
        <v>20170831CAARS</v>
      </c>
      <c r="C1093" s="8" t="str">
        <f ca="1">IFERROR(__xludf.DUMMYFUNCTION("""COMPUTED_VALUE"""),"None")</f>
        <v>None</v>
      </c>
      <c r="D1093" s="8"/>
      <c r="E1093" s="8"/>
      <c r="F1093" s="8"/>
    </row>
    <row r="1094" spans="1:6" ht="12.75">
      <c r="A1094" s="4">
        <v>1093</v>
      </c>
      <c r="B1094" s="8" t="str">
        <f ca="1">IFERROR(__xludf.DUMMYFUNCTION("""COMPUTED_VALUE"""),"20170817GALIL")</f>
        <v>20170817GALIL</v>
      </c>
      <c r="C1094" s="8" t="str">
        <f ca="1">IFERROR(__xludf.DUMMYFUNCTION("""COMPUTED_VALUE"""),"None")</f>
        <v>None</v>
      </c>
      <c r="D1094" s="8" t="str">
        <f ca="1">IFERROR(__xludf.DUMMYFUNCTION("""COMPUTED_VALUE"""),"Male")</f>
        <v>Male</v>
      </c>
      <c r="E1094" s="8" t="str">
        <f ca="1">IFERROR(__xludf.DUMMYFUNCTION("""COMPUTED_VALUE"""),"Teacher")</f>
        <v>Teacher</v>
      </c>
      <c r="F1094" s="8" t="str">
        <f ca="1">IFERROR(__xludf.DUMMYFUNCTION("""COMPUTED_VALUE"""),"Adult")</f>
        <v>Adult</v>
      </c>
    </row>
    <row r="1095" spans="1:6" ht="12.75">
      <c r="A1095" s="4">
        <v>1094</v>
      </c>
      <c r="B1095" s="8" t="str">
        <f ca="1">IFERROR(__xludf.DUMMYFUNCTION("""COMPUTED_VALUE"""),"20170813NYHUH")</f>
        <v>20170813NYHUH</v>
      </c>
      <c r="C1095" s="8" t="str">
        <f ca="1">IFERROR(__xludf.DUMMYFUNCTION("""COMPUTED_VALUE"""),"Wounded")</f>
        <v>Wounded</v>
      </c>
      <c r="D1095" s="8"/>
      <c r="E1095" s="8" t="str">
        <f ca="1">IFERROR(__xludf.DUMMYFUNCTION("""COMPUTED_VALUE"""),"Student")</f>
        <v>Student</v>
      </c>
      <c r="F1095" s="8" t="str">
        <f ca="1">IFERROR(__xludf.DUMMYFUNCTION("""COMPUTED_VALUE"""),"Child")</f>
        <v>Child</v>
      </c>
    </row>
    <row r="1096" spans="1:6" ht="12.75">
      <c r="A1096" s="4">
        <v>1095</v>
      </c>
      <c r="B1096" s="8" t="str">
        <f ca="1">IFERROR(__xludf.DUMMYFUNCTION("""COMPUTED_VALUE"""),"20170813NYHUH")</f>
        <v>20170813NYHUH</v>
      </c>
      <c r="C1096" s="8" t="str">
        <f ca="1">IFERROR(__xludf.DUMMYFUNCTION("""COMPUTED_VALUE"""),"Wounded")</f>
        <v>Wounded</v>
      </c>
      <c r="D1096" s="8"/>
      <c r="E1096" s="8" t="str">
        <f ca="1">IFERROR(__xludf.DUMMYFUNCTION("""COMPUTED_VALUE"""),"Student")</f>
        <v>Student</v>
      </c>
      <c r="F1096" s="8" t="str">
        <f ca="1">IFERROR(__xludf.DUMMYFUNCTION("""COMPUTED_VALUE"""),"Child")</f>
        <v>Child</v>
      </c>
    </row>
    <row r="1097" spans="1:6" ht="12.75">
      <c r="A1097" s="4">
        <v>1096</v>
      </c>
      <c r="B1097" s="8" t="str">
        <f ca="1">IFERROR(__xludf.DUMMYFUNCTION("""COMPUTED_VALUE"""),"20170801GABAV")</f>
        <v>20170801GABAV</v>
      </c>
      <c r="C1097" s="8" t="str">
        <f ca="1">IFERROR(__xludf.DUMMYFUNCTION("""COMPUTED_VALUE"""),"Wounded")</f>
        <v>Wounded</v>
      </c>
      <c r="D1097" s="8" t="str">
        <f ca="1">IFERROR(__xludf.DUMMYFUNCTION("""COMPUTED_VALUE"""),"Female")</f>
        <v>Female</v>
      </c>
      <c r="E1097" s="8" t="str">
        <f ca="1">IFERROR(__xludf.DUMMYFUNCTION("""COMPUTED_VALUE"""),"Student")</f>
        <v>Student</v>
      </c>
      <c r="F1097" s="8" t="str">
        <f ca="1">IFERROR(__xludf.DUMMYFUNCTION("""COMPUTED_VALUE"""),"Teen")</f>
        <v>Teen</v>
      </c>
    </row>
    <row r="1098" spans="1:6" ht="12.75">
      <c r="A1098" s="4">
        <v>1097</v>
      </c>
      <c r="B1098" s="8" t="str">
        <f ca="1">IFERROR(__xludf.DUMMYFUNCTION("""COMPUTED_VALUE"""),"20170721UTSPS")</f>
        <v>20170721UTSPS</v>
      </c>
      <c r="C1098" s="8" t="str">
        <f ca="1">IFERROR(__xludf.DUMMYFUNCTION("""COMPUTED_VALUE"""),"Wounded")</f>
        <v>Wounded</v>
      </c>
      <c r="D1098" s="8" t="str">
        <f ca="1">IFERROR(__xludf.DUMMYFUNCTION("""COMPUTED_VALUE"""),"Male")</f>
        <v>Male</v>
      </c>
      <c r="E1098" s="8" t="str">
        <f ca="1">IFERROR(__xludf.DUMMYFUNCTION("""COMPUTED_VALUE"""),"Unknown")</f>
        <v>Unknown</v>
      </c>
      <c r="F1098" s="8">
        <f ca="1">IFERROR(__xludf.DUMMYFUNCTION("""COMPUTED_VALUE"""),18)</f>
        <v>18</v>
      </c>
    </row>
    <row r="1099" spans="1:6" ht="12.75">
      <c r="A1099" s="4">
        <v>1098</v>
      </c>
      <c r="B1099" s="8" t="str">
        <f ca="1">IFERROR(__xludf.DUMMYFUNCTION("""COMPUTED_VALUE"""),"20170719WIHIM")</f>
        <v>20170719WIHIM</v>
      </c>
      <c r="C1099" s="8" t="str">
        <f ca="1">IFERROR(__xludf.DUMMYFUNCTION("""COMPUTED_VALUE"""),"Wounded")</f>
        <v>Wounded</v>
      </c>
      <c r="D1099" s="8" t="str">
        <f ca="1">IFERROR(__xludf.DUMMYFUNCTION("""COMPUTED_VALUE"""),"Male")</f>
        <v>Male</v>
      </c>
      <c r="E1099" s="8" t="str">
        <f ca="1">IFERROR(__xludf.DUMMYFUNCTION("""COMPUTED_VALUE"""),"No Relation")</f>
        <v>No Relation</v>
      </c>
      <c r="F1099" s="8">
        <f ca="1">IFERROR(__xludf.DUMMYFUNCTION("""COMPUTED_VALUE"""),32)</f>
        <v>32</v>
      </c>
    </row>
    <row r="1100" spans="1:6" ht="12.75">
      <c r="A1100" s="4">
        <v>1099</v>
      </c>
      <c r="B1100" s="8" t="str">
        <f ca="1">IFERROR(__xludf.DUMMYFUNCTION("""COMPUTED_VALUE"""),"20170622SCWIF")</f>
        <v>20170622SCWIF</v>
      </c>
      <c r="C1100" s="8" t="str">
        <f ca="1">IFERROR(__xludf.DUMMYFUNCTION("""COMPUTED_VALUE"""),"None")</f>
        <v>None</v>
      </c>
      <c r="D1100" s="8" t="str">
        <f ca="1">IFERROR(__xludf.DUMMYFUNCTION("""COMPUTED_VALUE"""),"Male")</f>
        <v>Male</v>
      </c>
      <c r="E1100" s="8" t="str">
        <f ca="1">IFERROR(__xludf.DUMMYFUNCTION("""COMPUTED_VALUE"""),"Student")</f>
        <v>Student</v>
      </c>
      <c r="F1100" s="8" t="str">
        <f ca="1">IFERROR(__xludf.DUMMYFUNCTION("""COMPUTED_VALUE"""),"Teen")</f>
        <v>Teen</v>
      </c>
    </row>
    <row r="1101" spans="1:6" ht="12.75">
      <c r="A1101" s="4">
        <v>1100</v>
      </c>
      <c r="B1101" s="8" t="str">
        <f ca="1">IFERROR(__xludf.DUMMYFUNCTION("""COMPUTED_VALUE"""),"20170616ILWAC")</f>
        <v>20170616ILWAC</v>
      </c>
      <c r="C1101" s="8" t="str">
        <f ca="1">IFERROR(__xludf.DUMMYFUNCTION("""COMPUTED_VALUE"""),"Wounded")</f>
        <v>Wounded</v>
      </c>
      <c r="D1101" s="8" t="str">
        <f ca="1">IFERROR(__xludf.DUMMYFUNCTION("""COMPUTED_VALUE"""),"Female")</f>
        <v>Female</v>
      </c>
      <c r="E1101" s="8" t="str">
        <f ca="1">IFERROR(__xludf.DUMMYFUNCTION("""COMPUTED_VALUE"""),"Student")</f>
        <v>Student</v>
      </c>
      <c r="F1101" s="8">
        <f ca="1">IFERROR(__xludf.DUMMYFUNCTION("""COMPUTED_VALUE"""),12)</f>
        <v>12</v>
      </c>
    </row>
    <row r="1102" spans="1:6" ht="12.75">
      <c r="A1102" s="4">
        <v>1101</v>
      </c>
      <c r="B1102" s="8" t="str">
        <f ca="1">IFERROR(__xludf.DUMMYFUNCTION("""COMPUTED_VALUE"""),"20170616ILWAC")</f>
        <v>20170616ILWAC</v>
      </c>
      <c r="C1102" s="8" t="str">
        <f ca="1">IFERROR(__xludf.DUMMYFUNCTION("""COMPUTED_VALUE"""),"Wounded")</f>
        <v>Wounded</v>
      </c>
      <c r="D1102" s="8" t="str">
        <f ca="1">IFERROR(__xludf.DUMMYFUNCTION("""COMPUTED_VALUE"""),"Female")</f>
        <v>Female</v>
      </c>
      <c r="E1102" s="8" t="str">
        <f ca="1">IFERROR(__xludf.DUMMYFUNCTION("""COMPUTED_VALUE"""),"Student")</f>
        <v>Student</v>
      </c>
      <c r="F1102" s="8">
        <f ca="1">IFERROR(__xludf.DUMMYFUNCTION("""COMPUTED_VALUE"""),7)</f>
        <v>7</v>
      </c>
    </row>
    <row r="1103" spans="1:6" ht="12.75">
      <c r="A1103" s="4">
        <v>1102</v>
      </c>
      <c r="B1103" s="8" t="str">
        <f ca="1">IFERROR(__xludf.DUMMYFUNCTION("""COMPUTED_VALUE"""),"20170526OKMCT")</f>
        <v>20170526OKMCT</v>
      </c>
      <c r="C1103" s="8" t="str">
        <f ca="1">IFERROR(__xludf.DUMMYFUNCTION("""COMPUTED_VALUE"""),"Wounded")</f>
        <v>Wounded</v>
      </c>
      <c r="D1103" s="8" t="str">
        <f ca="1">IFERROR(__xludf.DUMMYFUNCTION("""COMPUTED_VALUE"""),"Male")</f>
        <v>Male</v>
      </c>
      <c r="E1103" s="8" t="str">
        <f ca="1">IFERROR(__xludf.DUMMYFUNCTION("""COMPUTED_VALUE"""),"Student")</f>
        <v>Student</v>
      </c>
      <c r="F1103" s="8">
        <f ca="1">IFERROR(__xludf.DUMMYFUNCTION("""COMPUTED_VALUE"""),13)</f>
        <v>13</v>
      </c>
    </row>
    <row r="1104" spans="1:6" ht="12.75">
      <c r="A1104" s="4">
        <v>1103</v>
      </c>
      <c r="B1104" s="8" t="str">
        <f ca="1">IFERROR(__xludf.DUMMYFUNCTION("""COMPUTED_VALUE"""),"20170524NEMCO")</f>
        <v>20170524NEMCO</v>
      </c>
      <c r="C1104" s="8" t="str">
        <f ca="1">IFERROR(__xludf.DUMMYFUNCTION("""COMPUTED_VALUE"""),"Fatal")</f>
        <v>Fatal</v>
      </c>
      <c r="D1104" s="8" t="str">
        <f ca="1">IFERROR(__xludf.DUMMYFUNCTION("""COMPUTED_VALUE"""),"Male")</f>
        <v>Male</v>
      </c>
      <c r="E1104" s="8"/>
      <c r="F1104" s="8">
        <f ca="1">IFERROR(__xludf.DUMMYFUNCTION("""COMPUTED_VALUE"""),21)</f>
        <v>21</v>
      </c>
    </row>
    <row r="1105" spans="1:6" ht="12.75">
      <c r="A1105" s="4">
        <v>1104</v>
      </c>
      <c r="B1105" s="8" t="str">
        <f ca="1">IFERROR(__xludf.DUMMYFUNCTION("""COMPUTED_VALUE"""),"20170524ALGRG")</f>
        <v>20170524ALGRG</v>
      </c>
      <c r="C1105" s="8" t="str">
        <f ca="1">IFERROR(__xludf.DUMMYFUNCTION("""COMPUTED_VALUE"""),"None")</f>
        <v>None</v>
      </c>
      <c r="D1105" s="8"/>
      <c r="E1105" s="8" t="str">
        <f ca="1">IFERROR(__xludf.DUMMYFUNCTION("""COMPUTED_VALUE"""),"Student")</f>
        <v>Student</v>
      </c>
      <c r="F1105" s="8" t="str">
        <f ca="1">IFERROR(__xludf.DUMMYFUNCTION("""COMPUTED_VALUE"""),"Teen")</f>
        <v>Teen</v>
      </c>
    </row>
    <row r="1106" spans="1:6" ht="12.75">
      <c r="A1106" s="4">
        <v>1105</v>
      </c>
      <c r="B1106" s="8" t="str">
        <f ca="1">IFERROR(__xludf.DUMMYFUNCTION("""COMPUTED_VALUE"""),"20170523TXKEK")</f>
        <v>20170523TXKEK</v>
      </c>
      <c r="C1106" s="8" t="str">
        <f ca="1">IFERROR(__xludf.DUMMYFUNCTION("""COMPUTED_VALUE"""),"None")</f>
        <v>None</v>
      </c>
      <c r="D1106" s="8" t="str">
        <f ca="1">IFERROR(__xludf.DUMMYFUNCTION("""COMPUTED_VALUE"""),"Male")</f>
        <v>Male</v>
      </c>
      <c r="E1106" s="8" t="str">
        <f ca="1">IFERROR(__xludf.DUMMYFUNCTION("""COMPUTED_VALUE"""),"Principal/Vice-Principal")</f>
        <v>Principal/Vice-Principal</v>
      </c>
      <c r="F1106" s="8" t="str">
        <f ca="1">IFERROR(__xludf.DUMMYFUNCTION("""COMPUTED_VALUE"""),"Adult")</f>
        <v>Adult</v>
      </c>
    </row>
    <row r="1107" spans="1:6" ht="12.75">
      <c r="A1107" s="4">
        <v>1106</v>
      </c>
      <c r="B1107" s="8" t="str">
        <f ca="1">IFERROR(__xludf.DUMMYFUNCTION("""COMPUTED_VALUE"""),"20170515LAMOL")</f>
        <v>20170515LAMOL</v>
      </c>
      <c r="C1107" s="8" t="str">
        <f ca="1">IFERROR(__xludf.DUMMYFUNCTION("""COMPUTED_VALUE"""),"Wounded")</f>
        <v>Wounded</v>
      </c>
      <c r="D1107" s="8" t="str">
        <f ca="1">IFERROR(__xludf.DUMMYFUNCTION("""COMPUTED_VALUE"""),"Male")</f>
        <v>Male</v>
      </c>
      <c r="E1107" s="8" t="str">
        <f ca="1">IFERROR(__xludf.DUMMYFUNCTION("""COMPUTED_VALUE"""),"Student")</f>
        <v>Student</v>
      </c>
      <c r="F1107" s="8" t="str">
        <f ca="1">IFERROR(__xludf.DUMMYFUNCTION("""COMPUTED_VALUE"""),"Teen")</f>
        <v>Teen</v>
      </c>
    </row>
    <row r="1108" spans="1:6" ht="12.75">
      <c r="A1108" s="4">
        <v>1107</v>
      </c>
      <c r="B1108" s="8" t="str">
        <f ca="1">IFERROR(__xludf.DUMMYFUNCTION("""COMPUTED_VALUE"""),"20170415ORMEP")</f>
        <v>20170415ORMEP</v>
      </c>
      <c r="C1108" s="8" t="str">
        <f ca="1">IFERROR(__xludf.DUMMYFUNCTION("""COMPUTED_VALUE"""),"Fatal")</f>
        <v>Fatal</v>
      </c>
      <c r="D1108" s="8" t="str">
        <f ca="1">IFERROR(__xludf.DUMMYFUNCTION("""COMPUTED_VALUE"""),"Male")</f>
        <v>Male</v>
      </c>
      <c r="E1108" s="8" t="str">
        <f ca="1">IFERROR(__xludf.DUMMYFUNCTION("""COMPUTED_VALUE"""),"Nonstudent Using Athletic Facilities/Attending Game")</f>
        <v>Nonstudent Using Athletic Facilities/Attending Game</v>
      </c>
      <c r="F1108" s="8">
        <f ca="1">IFERROR(__xludf.DUMMYFUNCTION("""COMPUTED_VALUE"""),38)</f>
        <v>38</v>
      </c>
    </row>
    <row r="1109" spans="1:6" ht="12.75">
      <c r="A1109" s="4">
        <v>1108</v>
      </c>
      <c r="B1109" s="8" t="str">
        <f ca="1">IFERROR(__xludf.DUMMYFUNCTION("""COMPUTED_VALUE"""),"20170415OKBOT")</f>
        <v>20170415OKBOT</v>
      </c>
      <c r="C1109" s="8" t="str">
        <f ca="1">IFERROR(__xludf.DUMMYFUNCTION("""COMPUTED_VALUE"""),"Wounded")</f>
        <v>Wounded</v>
      </c>
      <c r="D1109" s="8" t="str">
        <f ca="1">IFERROR(__xludf.DUMMYFUNCTION("""COMPUTED_VALUE"""),"Male")</f>
        <v>Male</v>
      </c>
      <c r="E1109" s="8" t="str">
        <f ca="1">IFERROR(__xludf.DUMMYFUNCTION("""COMPUTED_VALUE"""),"Former Student")</f>
        <v>Former Student</v>
      </c>
      <c r="F1109" s="8">
        <f ca="1">IFERROR(__xludf.DUMMYFUNCTION("""COMPUTED_VALUE"""),52)</f>
        <v>52</v>
      </c>
    </row>
    <row r="1110" spans="1:6" ht="12.75">
      <c r="A1110" s="4">
        <v>1109</v>
      </c>
      <c r="B1110" s="8" t="str">
        <f ca="1">IFERROR(__xludf.DUMMYFUNCTION("""COMPUTED_VALUE"""),"20170410CANOS")</f>
        <v>20170410CANOS</v>
      </c>
      <c r="C1110" s="8" t="str">
        <f ca="1">IFERROR(__xludf.DUMMYFUNCTION("""COMPUTED_VALUE"""),"Wounded")</f>
        <v>Wounded</v>
      </c>
      <c r="D1110" s="8"/>
      <c r="E1110" s="8" t="str">
        <f ca="1">IFERROR(__xludf.DUMMYFUNCTION("""COMPUTED_VALUE"""),"Student")</f>
        <v>Student</v>
      </c>
      <c r="F1110" s="8">
        <f ca="1">IFERROR(__xludf.DUMMYFUNCTION("""COMPUTED_VALUE"""),8)</f>
        <v>8</v>
      </c>
    </row>
    <row r="1111" spans="1:6" ht="12.75">
      <c r="A1111" s="4">
        <v>1110</v>
      </c>
      <c r="B1111" s="8" t="str">
        <f ca="1">IFERROR(__xludf.DUMMYFUNCTION("""COMPUTED_VALUE"""),"20170410CANOS")</f>
        <v>20170410CANOS</v>
      </c>
      <c r="C1111" s="8" t="str">
        <f ca="1">IFERROR(__xludf.DUMMYFUNCTION("""COMPUTED_VALUE"""),"Wounded")</f>
        <v>Wounded</v>
      </c>
      <c r="D1111" s="8"/>
      <c r="E1111" s="8" t="str">
        <f ca="1">IFERROR(__xludf.DUMMYFUNCTION("""COMPUTED_VALUE"""),"Student")</f>
        <v>Student</v>
      </c>
      <c r="F1111" s="8">
        <f ca="1">IFERROR(__xludf.DUMMYFUNCTION("""COMPUTED_VALUE"""),9)</f>
        <v>9</v>
      </c>
    </row>
    <row r="1112" spans="1:6" ht="12.75">
      <c r="A1112" s="4">
        <v>1111</v>
      </c>
      <c r="B1112" s="8" t="str">
        <f ca="1">IFERROR(__xludf.DUMMYFUNCTION("""COMPUTED_VALUE"""),"20170410CANOS")</f>
        <v>20170410CANOS</v>
      </c>
      <c r="C1112" s="8" t="str">
        <f ca="1">IFERROR(__xludf.DUMMYFUNCTION("""COMPUTED_VALUE"""),"Fatal")</f>
        <v>Fatal</v>
      </c>
      <c r="D1112" s="8" t="str">
        <f ca="1">IFERROR(__xludf.DUMMYFUNCTION("""COMPUTED_VALUE"""),"Female")</f>
        <v>Female</v>
      </c>
      <c r="E1112" s="8" t="str">
        <f ca="1">IFERROR(__xludf.DUMMYFUNCTION("""COMPUTED_VALUE"""),"Teacher")</f>
        <v>Teacher</v>
      </c>
      <c r="F1112" s="8">
        <f ca="1">IFERROR(__xludf.DUMMYFUNCTION("""COMPUTED_VALUE"""),53)</f>
        <v>53</v>
      </c>
    </row>
    <row r="1113" spans="1:6" ht="12.75">
      <c r="A1113" s="4">
        <v>1112</v>
      </c>
      <c r="B1113" s="8" t="str">
        <f ca="1">IFERROR(__xludf.DUMMYFUNCTION("""COMPUTED_VALUE"""),"20170328PALIP")</f>
        <v>20170328PALIP</v>
      </c>
      <c r="C1113" s="8" t="str">
        <f ca="1">IFERROR(__xludf.DUMMYFUNCTION("""COMPUTED_VALUE"""),"Wounded")</f>
        <v>Wounded</v>
      </c>
      <c r="D1113" s="8" t="str">
        <f ca="1">IFERROR(__xludf.DUMMYFUNCTION("""COMPUTED_VALUE"""),"Male")</f>
        <v>Male</v>
      </c>
      <c r="E1113" s="8" t="str">
        <f ca="1">IFERROR(__xludf.DUMMYFUNCTION("""COMPUTED_VALUE"""),"Nonstudent Using Athletic Facilities/Attending Game")</f>
        <v>Nonstudent Using Athletic Facilities/Attending Game</v>
      </c>
      <c r="F1113" s="8">
        <f ca="1">IFERROR(__xludf.DUMMYFUNCTION("""COMPUTED_VALUE"""),22)</f>
        <v>22</v>
      </c>
    </row>
    <row r="1114" spans="1:6" ht="12.75">
      <c r="A1114" s="4">
        <v>1113</v>
      </c>
      <c r="B1114" s="8" t="str">
        <f ca="1">IFERROR(__xludf.DUMMYFUNCTION("""COMPUTED_VALUE"""),"20170321CAKIK")</f>
        <v>20170321CAKIK</v>
      </c>
      <c r="C1114" s="8" t="str">
        <f ca="1">IFERROR(__xludf.DUMMYFUNCTION("""COMPUTED_VALUE"""),"Wounded")</f>
        <v>Wounded</v>
      </c>
      <c r="D1114" s="8" t="str">
        <f ca="1">IFERROR(__xludf.DUMMYFUNCTION("""COMPUTED_VALUE"""),"Male")</f>
        <v>Male</v>
      </c>
      <c r="E1114" s="8" t="str">
        <f ca="1">IFERROR(__xludf.DUMMYFUNCTION("""COMPUTED_VALUE"""),"Student")</f>
        <v>Student</v>
      </c>
      <c r="F1114" s="8">
        <f ca="1">IFERROR(__xludf.DUMMYFUNCTION("""COMPUTED_VALUE"""),18)</f>
        <v>18</v>
      </c>
    </row>
    <row r="1115" spans="1:6" ht="12.75">
      <c r="A1115" s="4">
        <v>1114</v>
      </c>
      <c r="B1115" s="8" t="str">
        <f ca="1">IFERROR(__xludf.DUMMYFUNCTION("""COMPUTED_VALUE"""),"20170316ALROM")</f>
        <v>20170316ALROM</v>
      </c>
      <c r="C1115" s="8" t="str">
        <f ca="1">IFERROR(__xludf.DUMMYFUNCTION("""COMPUTED_VALUE"""),"Wounded")</f>
        <v>Wounded</v>
      </c>
      <c r="D1115" s="8" t="str">
        <f ca="1">IFERROR(__xludf.DUMMYFUNCTION("""COMPUTED_VALUE"""),"Female")</f>
        <v>Female</v>
      </c>
      <c r="E1115" s="8" t="str">
        <f ca="1">IFERROR(__xludf.DUMMYFUNCTION("""COMPUTED_VALUE"""),"Student")</f>
        <v>Student</v>
      </c>
      <c r="F1115" s="8" t="str">
        <f ca="1">IFERROR(__xludf.DUMMYFUNCTION("""COMPUTED_VALUE"""),"Teen")</f>
        <v>Teen</v>
      </c>
    </row>
    <row r="1116" spans="1:6" ht="12.75">
      <c r="A1116" s="4">
        <v>1115</v>
      </c>
      <c r="B1116" s="8" t="str">
        <f ca="1">IFERROR(__xludf.DUMMYFUNCTION("""COMPUTED_VALUE"""),"20170218MNMAM")</f>
        <v>20170218MNMAM</v>
      </c>
      <c r="C1116" s="8" t="str">
        <f ca="1">IFERROR(__xludf.DUMMYFUNCTION("""COMPUTED_VALUE"""),"None")</f>
        <v>None</v>
      </c>
      <c r="D1116" s="8" t="str">
        <f ca="1">IFERROR(__xludf.DUMMYFUNCTION("""COMPUTED_VALUE"""),"Female")</f>
        <v>Female</v>
      </c>
      <c r="E1116" s="8" t="str">
        <f ca="1">IFERROR(__xludf.DUMMYFUNCTION("""COMPUTED_VALUE"""),"Intimate Relationship")</f>
        <v>Intimate Relationship</v>
      </c>
      <c r="F1116" s="8" t="str">
        <f ca="1">IFERROR(__xludf.DUMMYFUNCTION("""COMPUTED_VALUE"""),"Adult")</f>
        <v>Adult</v>
      </c>
    </row>
    <row r="1117" spans="1:6" ht="12.75">
      <c r="A1117" s="4">
        <v>1116</v>
      </c>
      <c r="B1117" s="8" t="str">
        <f ca="1">IFERROR(__xludf.DUMMYFUNCTION("""COMPUTED_VALUE"""),"20170206LASCB")</f>
        <v>20170206LASCB</v>
      </c>
      <c r="C1117" s="8" t="str">
        <f ca="1">IFERROR(__xludf.DUMMYFUNCTION("""COMPUTED_VALUE"""),"None")</f>
        <v>None</v>
      </c>
      <c r="D1117" s="8"/>
      <c r="E1117" s="8"/>
      <c r="F1117" s="8"/>
    </row>
    <row r="1118" spans="1:6" ht="12.75">
      <c r="A1118" s="4">
        <v>1117</v>
      </c>
      <c r="B1118" s="8" t="str">
        <f ca="1">IFERROR(__xludf.DUMMYFUNCTION("""COMPUTED_VALUE"""),"20170127SCSOA")</f>
        <v>20170127SCSOA</v>
      </c>
      <c r="C1118" s="8" t="str">
        <f ca="1">IFERROR(__xludf.DUMMYFUNCTION("""COMPUTED_VALUE"""),"Wounded")</f>
        <v>Wounded</v>
      </c>
      <c r="D1118" s="8" t="str">
        <f ca="1">IFERROR(__xludf.DUMMYFUNCTION("""COMPUTED_VALUE"""),"Female")</f>
        <v>Female</v>
      </c>
      <c r="E1118" s="8" t="str">
        <f ca="1">IFERROR(__xludf.DUMMYFUNCTION("""COMPUTED_VALUE"""),"Student")</f>
        <v>Student</v>
      </c>
      <c r="F1118" s="8">
        <f ca="1">IFERROR(__xludf.DUMMYFUNCTION("""COMPUTED_VALUE"""),15)</f>
        <v>15</v>
      </c>
    </row>
    <row r="1119" spans="1:6" ht="12.75">
      <c r="A1119" s="4">
        <v>1118</v>
      </c>
      <c r="B1119" s="8" t="str">
        <f ca="1">IFERROR(__xludf.DUMMYFUNCTION("""COMPUTED_VALUE"""),"20170127SCSOA")</f>
        <v>20170127SCSOA</v>
      </c>
      <c r="C1119" s="8" t="str">
        <f ca="1">IFERROR(__xludf.DUMMYFUNCTION("""COMPUTED_VALUE"""),"Wounded")</f>
        <v>Wounded</v>
      </c>
      <c r="D1119" s="8" t="str">
        <f ca="1">IFERROR(__xludf.DUMMYFUNCTION("""COMPUTED_VALUE"""),"Male")</f>
        <v>Male</v>
      </c>
      <c r="E1119" s="8" t="str">
        <f ca="1">IFERROR(__xludf.DUMMYFUNCTION("""COMPUTED_VALUE"""),"Nonstudent Using Athletic Facilities/Attending Game")</f>
        <v>Nonstudent Using Athletic Facilities/Attending Game</v>
      </c>
      <c r="F1119" s="8">
        <f ca="1">IFERROR(__xludf.DUMMYFUNCTION("""COMPUTED_VALUE"""),19)</f>
        <v>19</v>
      </c>
    </row>
    <row r="1120" spans="1:6" ht="12.75">
      <c r="A1120" s="4">
        <v>1119</v>
      </c>
      <c r="B1120" s="8" t="str">
        <f ca="1">IFERROR(__xludf.DUMMYFUNCTION("""COMPUTED_VALUE"""),"20170127SCSOA")</f>
        <v>20170127SCSOA</v>
      </c>
      <c r="C1120" s="8" t="str">
        <f ca="1">IFERROR(__xludf.DUMMYFUNCTION("""COMPUTED_VALUE"""),"Wounded")</f>
        <v>Wounded</v>
      </c>
      <c r="D1120" s="8" t="str">
        <f ca="1">IFERROR(__xludf.DUMMYFUNCTION("""COMPUTED_VALUE"""),"Female")</f>
        <v>Female</v>
      </c>
      <c r="E1120" s="8" t="str">
        <f ca="1">IFERROR(__xludf.DUMMYFUNCTION("""COMPUTED_VALUE"""),"Student")</f>
        <v>Student</v>
      </c>
      <c r="F1120" s="8">
        <f ca="1">IFERROR(__xludf.DUMMYFUNCTION("""COMPUTED_VALUE"""),13)</f>
        <v>13</v>
      </c>
    </row>
    <row r="1121" spans="1:6" ht="12.75">
      <c r="A1121" s="4">
        <v>1120</v>
      </c>
      <c r="B1121" s="8" t="str">
        <f ca="1">IFERROR(__xludf.DUMMYFUNCTION("""COMPUTED_VALUE"""),"20170127ILSCN")</f>
        <v>20170127ILSCN</v>
      </c>
      <c r="C1121" s="8" t="str">
        <f ca="1">IFERROR(__xludf.DUMMYFUNCTION("""COMPUTED_VALUE"""),"Fatal")</f>
        <v>Fatal</v>
      </c>
      <c r="D1121" s="8" t="str">
        <f ca="1">IFERROR(__xludf.DUMMYFUNCTION("""COMPUTED_VALUE"""),"Male")</f>
        <v>Male</v>
      </c>
      <c r="E1121" s="8" t="str">
        <f ca="1">IFERROR(__xludf.DUMMYFUNCTION("""COMPUTED_VALUE"""),"Parent")</f>
        <v>Parent</v>
      </c>
      <c r="F1121" s="8">
        <f ca="1">IFERROR(__xludf.DUMMYFUNCTION("""COMPUTED_VALUE"""),37)</f>
        <v>37</v>
      </c>
    </row>
    <row r="1122" spans="1:6" ht="12.75">
      <c r="A1122" s="4">
        <v>1121</v>
      </c>
      <c r="B1122" s="8" t="str">
        <f ca="1">IFERROR(__xludf.DUMMYFUNCTION("""COMPUTED_VALUE"""),"20170120OHWEW")</f>
        <v>20170120OHWEW</v>
      </c>
      <c r="C1122" s="8" t="str">
        <f ca="1">IFERROR(__xludf.DUMMYFUNCTION("""COMPUTED_VALUE"""),"Wounded")</f>
        <v>Wounded</v>
      </c>
      <c r="D1122" s="8" t="str">
        <f ca="1">IFERROR(__xludf.DUMMYFUNCTION("""COMPUTED_VALUE"""),"Male")</f>
        <v>Male</v>
      </c>
      <c r="E1122" s="8" t="str">
        <f ca="1">IFERROR(__xludf.DUMMYFUNCTION("""COMPUTED_VALUE"""),"Student")</f>
        <v>Student</v>
      </c>
      <c r="F1122" s="8">
        <f ca="1">IFERROR(__xludf.DUMMYFUNCTION("""COMPUTED_VALUE"""),16)</f>
        <v>16</v>
      </c>
    </row>
    <row r="1123" spans="1:6" ht="12.75">
      <c r="A1123" s="4">
        <v>1122</v>
      </c>
      <c r="B1123" s="8" t="str">
        <f ca="1">IFERROR(__xludf.DUMMYFUNCTION("""COMPUTED_VALUE"""),"20170117FLFRE")</f>
        <v>20170117FLFRE</v>
      </c>
      <c r="C1123" s="8" t="str">
        <f ca="1">IFERROR(__xludf.DUMMYFUNCTION("""COMPUTED_VALUE"""),"None")</f>
        <v>None</v>
      </c>
      <c r="D1123" s="8"/>
      <c r="E1123" s="8"/>
      <c r="F1123" s="8"/>
    </row>
    <row r="1124" spans="1:6" ht="12.75">
      <c r="A1124" s="4">
        <v>1123</v>
      </c>
      <c r="B1124" s="8" t="str">
        <f ca="1">IFERROR(__xludf.DUMMYFUNCTION("""COMPUTED_VALUE"""),"20170110ALALA")</f>
        <v>20170110ALALA</v>
      </c>
      <c r="C1124" s="8" t="str">
        <f ca="1">IFERROR(__xludf.DUMMYFUNCTION("""COMPUTED_VALUE"""),"None")</f>
        <v>None</v>
      </c>
      <c r="D1124" s="8"/>
      <c r="E1124" s="8"/>
      <c r="F1124" s="8"/>
    </row>
    <row r="1125" spans="1:6" ht="12.75">
      <c r="A1125" s="4">
        <v>1124</v>
      </c>
      <c r="B1125" s="8" t="str">
        <f ca="1">IFERROR(__xludf.DUMMYFUNCTION("""COMPUTED_VALUE"""),"20170101DELAH")</f>
        <v>20170101DELAH</v>
      </c>
      <c r="C1125" s="8" t="str">
        <f ca="1">IFERROR(__xludf.DUMMYFUNCTION("""COMPUTED_VALUE"""),"Wounded")</f>
        <v>Wounded</v>
      </c>
      <c r="D1125" s="8" t="str">
        <f ca="1">IFERROR(__xludf.DUMMYFUNCTION("""COMPUTED_VALUE"""),"Male")</f>
        <v>Male</v>
      </c>
      <c r="E1125" s="8" t="str">
        <f ca="1">IFERROR(__xludf.DUMMYFUNCTION("""COMPUTED_VALUE"""),"Unknown")</f>
        <v>Unknown</v>
      </c>
      <c r="F1125" s="8">
        <f ca="1">IFERROR(__xludf.DUMMYFUNCTION("""COMPUTED_VALUE"""),17)</f>
        <v>17</v>
      </c>
    </row>
    <row r="1126" spans="1:6" ht="12.75">
      <c r="A1126" s="4">
        <v>1125</v>
      </c>
      <c r="B1126" s="8" t="str">
        <f ca="1">IFERROR(__xludf.DUMMYFUNCTION("""COMPUTED_VALUE"""),"20161216FLSAJ")</f>
        <v>20161216FLSAJ</v>
      </c>
      <c r="C1126" s="8" t="str">
        <f ca="1">IFERROR(__xludf.DUMMYFUNCTION("""COMPUTED_VALUE"""),"Minor Injuries")</f>
        <v>Minor Injuries</v>
      </c>
      <c r="D1126" s="8"/>
      <c r="E1126" s="8" t="str">
        <f ca="1">IFERROR(__xludf.DUMMYFUNCTION("""COMPUTED_VALUE"""),"Student")</f>
        <v>Student</v>
      </c>
      <c r="F1126" s="8" t="str">
        <f ca="1">IFERROR(__xludf.DUMMYFUNCTION("""COMPUTED_VALUE"""),"Teen")</f>
        <v>Teen</v>
      </c>
    </row>
    <row r="1127" spans="1:6" ht="12.75">
      <c r="A1127" s="4">
        <v>1126</v>
      </c>
      <c r="B1127" s="8" t="str">
        <f ca="1">IFERROR(__xludf.DUMMYFUNCTION("""COMPUTED_VALUE"""),"20161209NVHUR")</f>
        <v>20161209NVHUR</v>
      </c>
      <c r="C1127" s="8" t="str">
        <f ca="1">IFERROR(__xludf.DUMMYFUNCTION("""COMPUTED_VALUE"""),"Wounded")</f>
        <v>Wounded</v>
      </c>
      <c r="D1127" s="8" t="str">
        <f ca="1">IFERROR(__xludf.DUMMYFUNCTION("""COMPUTED_VALUE"""),"Male")</f>
        <v>Male</v>
      </c>
      <c r="E1127" s="8" t="str">
        <f ca="1">IFERROR(__xludf.DUMMYFUNCTION("""COMPUTED_VALUE"""),"Student")</f>
        <v>Student</v>
      </c>
      <c r="F1127" s="8">
        <f ca="1">IFERROR(__xludf.DUMMYFUNCTION("""COMPUTED_VALUE"""),14)</f>
        <v>14</v>
      </c>
    </row>
    <row r="1128" spans="1:6" ht="12.75">
      <c r="A1128" s="4">
        <v>1127</v>
      </c>
      <c r="B1128" s="8" t="str">
        <f ca="1">IFERROR(__xludf.DUMMYFUNCTION("""COMPUTED_VALUE"""),"20161209MOBAS")</f>
        <v>20161209MOBAS</v>
      </c>
      <c r="C1128" s="8" t="str">
        <f ca="1">IFERROR(__xludf.DUMMYFUNCTION("""COMPUTED_VALUE"""),"Wounded")</f>
        <v>Wounded</v>
      </c>
      <c r="D1128" s="8" t="str">
        <f ca="1">IFERROR(__xludf.DUMMYFUNCTION("""COMPUTED_VALUE"""),"Male")</f>
        <v>Male</v>
      </c>
      <c r="E1128" s="8" t="str">
        <f ca="1">IFERROR(__xludf.DUMMYFUNCTION("""COMPUTED_VALUE"""),"Former Student")</f>
        <v>Former Student</v>
      </c>
      <c r="F1128" s="8">
        <f ca="1">IFERROR(__xludf.DUMMYFUNCTION("""COMPUTED_VALUE"""),19)</f>
        <v>19</v>
      </c>
    </row>
    <row r="1129" spans="1:6" ht="12.75">
      <c r="A1129" s="4">
        <v>1128</v>
      </c>
      <c r="B1129" s="8" t="str">
        <f ca="1">IFERROR(__xludf.DUMMYFUNCTION("""COMPUTED_VALUE"""),"20161201UTMUB")</f>
        <v>20161201UTMUB</v>
      </c>
      <c r="C1129" s="8" t="str">
        <f ca="1">IFERROR(__xludf.DUMMYFUNCTION("""COMPUTED_VALUE"""),"None")</f>
        <v>None</v>
      </c>
      <c r="D1129" s="8"/>
      <c r="E1129" s="8"/>
      <c r="F1129" s="8"/>
    </row>
    <row r="1130" spans="1:6" ht="12.75">
      <c r="A1130" s="4">
        <v>1129</v>
      </c>
      <c r="B1130" s="8" t="str">
        <f ca="1">IFERROR(__xludf.DUMMYFUNCTION("""COMPUTED_VALUE"""),"20161117MNCRS")</f>
        <v>20161117MNCRS</v>
      </c>
      <c r="C1130" s="8" t="str">
        <f ca="1">IFERROR(__xludf.DUMMYFUNCTION("""COMPUTED_VALUE"""),"None")</f>
        <v>None</v>
      </c>
      <c r="D1130" s="8"/>
      <c r="E1130" s="8"/>
      <c r="F1130" s="8"/>
    </row>
    <row r="1131" spans="1:6" ht="12.75">
      <c r="A1131" s="4">
        <v>1130</v>
      </c>
      <c r="B1131" s="8" t="str">
        <f ca="1">IFERROR(__xludf.DUMMYFUNCTION("""COMPUTED_VALUE"""),"20161111MIBAA")</f>
        <v>20161111MIBAA</v>
      </c>
      <c r="C1131" s="8" t="str">
        <f ca="1">IFERROR(__xludf.DUMMYFUNCTION("""COMPUTED_VALUE"""),"Wounded")</f>
        <v>Wounded</v>
      </c>
      <c r="D1131" s="8" t="str">
        <f ca="1">IFERROR(__xludf.DUMMYFUNCTION("""COMPUTED_VALUE"""),"Female")</f>
        <v>Female</v>
      </c>
      <c r="E1131" s="8" t="str">
        <f ca="1">IFERROR(__xludf.DUMMYFUNCTION("""COMPUTED_VALUE"""),"Teacher")</f>
        <v>Teacher</v>
      </c>
      <c r="F1131" s="8" t="str">
        <f ca="1">IFERROR(__xludf.DUMMYFUNCTION("""COMPUTED_VALUE"""),"Adult")</f>
        <v>Adult</v>
      </c>
    </row>
    <row r="1132" spans="1:6" ht="12.75">
      <c r="A1132" s="4">
        <v>1131</v>
      </c>
      <c r="B1132" s="8" t="str">
        <f ca="1">IFERROR(__xludf.DUMMYFUNCTION("""COMPUTED_VALUE"""),"20161103COBEB")</f>
        <v>20161103COBEB</v>
      </c>
      <c r="C1132" s="8" t="str">
        <f ca="1">IFERROR(__xludf.DUMMYFUNCTION("""COMPUTED_VALUE"""),"None")</f>
        <v>None</v>
      </c>
      <c r="D1132" s="8" t="str">
        <f ca="1">IFERROR(__xludf.DUMMYFUNCTION("""COMPUTED_VALUE"""),"Male")</f>
        <v>Male</v>
      </c>
      <c r="E1132" s="8" t="str">
        <f ca="1">IFERROR(__xludf.DUMMYFUNCTION("""COMPUTED_VALUE"""),"Student")</f>
        <v>Student</v>
      </c>
      <c r="F1132" s="8">
        <f ca="1">IFERROR(__xludf.DUMMYFUNCTION("""COMPUTED_VALUE"""),15)</f>
        <v>15</v>
      </c>
    </row>
    <row r="1133" spans="1:6" ht="12.75">
      <c r="A1133" s="4">
        <v>1132</v>
      </c>
      <c r="B1133" s="8" t="str">
        <f ca="1">IFERROR(__xludf.DUMMYFUNCTION("""COMPUTED_VALUE"""),"20161102COGRG")</f>
        <v>20161102COGRG</v>
      </c>
      <c r="C1133" s="8" t="str">
        <f ca="1">IFERROR(__xludf.DUMMYFUNCTION("""COMPUTED_VALUE"""),"None")</f>
        <v>None</v>
      </c>
      <c r="D1133" s="8" t="str">
        <f ca="1">IFERROR(__xludf.DUMMYFUNCTION("""COMPUTED_VALUE"""),"Male")</f>
        <v>Male</v>
      </c>
      <c r="E1133" s="8" t="str">
        <f ca="1">IFERROR(__xludf.DUMMYFUNCTION("""COMPUTED_VALUE"""),"Student")</f>
        <v>Student</v>
      </c>
      <c r="F1133" s="8">
        <f ca="1">IFERROR(__xludf.DUMMYFUNCTION("""COMPUTED_VALUE"""),17)</f>
        <v>17</v>
      </c>
    </row>
    <row r="1134" spans="1:6" ht="12.75">
      <c r="A1134" s="4">
        <v>1133</v>
      </c>
      <c r="B1134" s="8" t="str">
        <f ca="1">IFERROR(__xludf.DUMMYFUNCTION("""COMPUTED_VALUE"""),"20161025UTUNS")</f>
        <v>20161025UTUNS</v>
      </c>
      <c r="C1134" s="8" t="str">
        <f ca="1">IFERROR(__xludf.DUMMYFUNCTION("""COMPUTED_VALUE"""),"Wounded")</f>
        <v>Wounded</v>
      </c>
      <c r="D1134" s="8" t="str">
        <f ca="1">IFERROR(__xludf.DUMMYFUNCTION("""COMPUTED_VALUE"""),"Male")</f>
        <v>Male</v>
      </c>
      <c r="E1134" s="8" t="str">
        <f ca="1">IFERROR(__xludf.DUMMYFUNCTION("""COMPUTED_VALUE"""),"Student")</f>
        <v>Student</v>
      </c>
      <c r="F1134" s="8">
        <f ca="1">IFERROR(__xludf.DUMMYFUNCTION("""COMPUTED_VALUE"""),16)</f>
        <v>16</v>
      </c>
    </row>
    <row r="1135" spans="1:6" ht="12.75">
      <c r="A1135" s="4">
        <v>1134</v>
      </c>
      <c r="B1135" s="8" t="str">
        <f ca="1">IFERROR(__xludf.DUMMYFUNCTION("""COMPUTED_VALUE"""),"20161018CAJUS")</f>
        <v>20161018CAJUS</v>
      </c>
      <c r="C1135" s="8" t="str">
        <f ca="1">IFERROR(__xludf.DUMMYFUNCTION("""COMPUTED_VALUE"""),"Wounded")</f>
        <v>Wounded</v>
      </c>
      <c r="D1135" s="8" t="str">
        <f ca="1">IFERROR(__xludf.DUMMYFUNCTION("""COMPUTED_VALUE"""),"Male")</f>
        <v>Male</v>
      </c>
      <c r="E1135" s="8" t="str">
        <f ca="1">IFERROR(__xludf.DUMMYFUNCTION("""COMPUTED_VALUE"""),"Student")</f>
        <v>Student</v>
      </c>
      <c r="F1135" s="8" t="str">
        <f ca="1">IFERROR(__xludf.DUMMYFUNCTION("""COMPUTED_VALUE"""),"Teen")</f>
        <v>Teen</v>
      </c>
    </row>
    <row r="1136" spans="1:6" ht="12.75">
      <c r="A1136" s="4">
        <v>1135</v>
      </c>
      <c r="B1136" s="8" t="str">
        <f ca="1">IFERROR(__xludf.DUMMYFUNCTION("""COMPUTED_VALUE"""),"20161018CAJUS")</f>
        <v>20161018CAJUS</v>
      </c>
      <c r="C1136" s="8" t="str">
        <f ca="1">IFERROR(__xludf.DUMMYFUNCTION("""COMPUTED_VALUE"""),"Wounded")</f>
        <v>Wounded</v>
      </c>
      <c r="D1136" s="8" t="str">
        <f ca="1">IFERROR(__xludf.DUMMYFUNCTION("""COMPUTED_VALUE"""),"Male")</f>
        <v>Male</v>
      </c>
      <c r="E1136" s="8" t="str">
        <f ca="1">IFERROR(__xludf.DUMMYFUNCTION("""COMPUTED_VALUE"""),"Student")</f>
        <v>Student</v>
      </c>
      <c r="F1136" s="8" t="str">
        <f ca="1">IFERROR(__xludf.DUMMYFUNCTION("""COMPUTED_VALUE"""),"Teen")</f>
        <v>Teen</v>
      </c>
    </row>
    <row r="1137" spans="1:6" ht="12.75">
      <c r="A1137" s="4">
        <v>1136</v>
      </c>
      <c r="B1137" s="8" t="str">
        <f ca="1">IFERROR(__xludf.DUMMYFUNCTION("""COMPUTED_VALUE"""),"20161018CAJUS")</f>
        <v>20161018CAJUS</v>
      </c>
      <c r="C1137" s="8" t="str">
        <f ca="1">IFERROR(__xludf.DUMMYFUNCTION("""COMPUTED_VALUE"""),"Wounded")</f>
        <v>Wounded</v>
      </c>
      <c r="D1137" s="8" t="str">
        <f ca="1">IFERROR(__xludf.DUMMYFUNCTION("""COMPUTED_VALUE"""),"Female")</f>
        <v>Female</v>
      </c>
      <c r="E1137" s="8" t="str">
        <f ca="1">IFERROR(__xludf.DUMMYFUNCTION("""COMPUTED_VALUE"""),"Student")</f>
        <v>Student</v>
      </c>
      <c r="F1137" s="8">
        <f ca="1">IFERROR(__xludf.DUMMYFUNCTION("""COMPUTED_VALUE"""),15)</f>
        <v>15</v>
      </c>
    </row>
    <row r="1138" spans="1:6" ht="12.75">
      <c r="A1138" s="4">
        <v>1137</v>
      </c>
      <c r="B1138" s="8" t="str">
        <f ca="1">IFERROR(__xludf.DUMMYFUNCTION("""COMPUTED_VALUE"""),"20161018CAJUS")</f>
        <v>20161018CAJUS</v>
      </c>
      <c r="C1138" s="8" t="str">
        <f ca="1">IFERROR(__xludf.DUMMYFUNCTION("""COMPUTED_VALUE"""),"Wounded")</f>
        <v>Wounded</v>
      </c>
      <c r="D1138" s="8" t="str">
        <f ca="1">IFERROR(__xludf.DUMMYFUNCTION("""COMPUTED_VALUE"""),"Male")</f>
        <v>Male</v>
      </c>
      <c r="E1138" s="8" t="str">
        <f ca="1">IFERROR(__xludf.DUMMYFUNCTION("""COMPUTED_VALUE"""),"Student")</f>
        <v>Student</v>
      </c>
      <c r="F1138" s="8" t="str">
        <f ca="1">IFERROR(__xludf.DUMMYFUNCTION("""COMPUTED_VALUE"""),"Teen")</f>
        <v>Teen</v>
      </c>
    </row>
    <row r="1139" spans="1:6" ht="12.75">
      <c r="A1139" s="4">
        <v>1138</v>
      </c>
      <c r="B1139" s="8" t="str">
        <f ca="1">IFERROR(__xludf.DUMMYFUNCTION("""COMPUTED_VALUE"""),"20161015GABEA")</f>
        <v>20161015GABEA</v>
      </c>
      <c r="C1139" s="8" t="str">
        <f ca="1">IFERROR(__xludf.DUMMYFUNCTION("""COMPUTED_VALUE"""),"Wounded")</f>
        <v>Wounded</v>
      </c>
      <c r="D1139" s="8" t="str">
        <f ca="1">IFERROR(__xludf.DUMMYFUNCTION("""COMPUTED_VALUE"""),"Female")</f>
        <v>Female</v>
      </c>
      <c r="E1139" s="8" t="str">
        <f ca="1">IFERROR(__xludf.DUMMYFUNCTION("""COMPUTED_VALUE"""),"Student")</f>
        <v>Student</v>
      </c>
      <c r="F1139" s="8">
        <f ca="1">IFERROR(__xludf.DUMMYFUNCTION("""COMPUTED_VALUE"""),17)</f>
        <v>17</v>
      </c>
    </row>
    <row r="1140" spans="1:6" ht="12.75">
      <c r="A1140" s="4">
        <v>1139</v>
      </c>
      <c r="B1140" s="8" t="str">
        <f ca="1">IFERROR(__xludf.DUMMYFUNCTION("""COMPUTED_VALUE"""),"20161013OHLIC")</f>
        <v>20161013OHLIC</v>
      </c>
      <c r="C1140" s="8" t="str">
        <f ca="1">IFERROR(__xludf.DUMMYFUNCTION("""COMPUTED_VALUE"""),"Wounded")</f>
        <v>Wounded</v>
      </c>
      <c r="D1140" s="8" t="str">
        <f ca="1">IFERROR(__xludf.DUMMYFUNCTION("""COMPUTED_VALUE"""),"Male")</f>
        <v>Male</v>
      </c>
      <c r="E1140" s="8" t="str">
        <f ca="1">IFERROR(__xludf.DUMMYFUNCTION("""COMPUTED_VALUE"""),"Student")</f>
        <v>Student</v>
      </c>
      <c r="F1140" s="8" t="str">
        <f ca="1">IFERROR(__xludf.DUMMYFUNCTION("""COMPUTED_VALUE"""),"Teen")</f>
        <v>Teen</v>
      </c>
    </row>
    <row r="1141" spans="1:6" ht="12.75">
      <c r="A1141" s="4">
        <v>1140</v>
      </c>
      <c r="B1141" s="8" t="str">
        <f ca="1">IFERROR(__xludf.DUMMYFUNCTION("""COMPUTED_VALUE"""),"20161013OHLIC")</f>
        <v>20161013OHLIC</v>
      </c>
      <c r="C1141" s="8" t="str">
        <f ca="1">IFERROR(__xludf.DUMMYFUNCTION("""COMPUTED_VALUE"""),"Wounded")</f>
        <v>Wounded</v>
      </c>
      <c r="D1141" s="8" t="str">
        <f ca="1">IFERROR(__xludf.DUMMYFUNCTION("""COMPUTED_VALUE"""),"Male")</f>
        <v>Male</v>
      </c>
      <c r="E1141" s="8" t="str">
        <f ca="1">IFERROR(__xludf.DUMMYFUNCTION("""COMPUTED_VALUE"""),"Student")</f>
        <v>Student</v>
      </c>
      <c r="F1141" s="8" t="str">
        <f ca="1">IFERROR(__xludf.DUMMYFUNCTION("""COMPUTED_VALUE"""),"Teen")</f>
        <v>Teen</v>
      </c>
    </row>
    <row r="1142" spans="1:6" ht="12.75">
      <c r="A1142" s="4">
        <v>1141</v>
      </c>
      <c r="B1142" s="8" t="str">
        <f ca="1">IFERROR(__xludf.DUMMYFUNCTION("""COMPUTED_VALUE"""),"20161011ALVIM")</f>
        <v>20161011ALVIM</v>
      </c>
      <c r="C1142" s="8" t="str">
        <f ca="1">IFERROR(__xludf.DUMMYFUNCTION("""COMPUTED_VALUE"""),"Wounded")</f>
        <v>Wounded</v>
      </c>
      <c r="D1142" s="8" t="str">
        <f ca="1">IFERROR(__xludf.DUMMYFUNCTION("""COMPUTED_VALUE"""),"Male")</f>
        <v>Male</v>
      </c>
      <c r="E1142" s="8" t="str">
        <f ca="1">IFERROR(__xludf.DUMMYFUNCTION("""COMPUTED_VALUE"""),"Student")</f>
        <v>Student</v>
      </c>
      <c r="F1142" s="8" t="str">
        <f ca="1">IFERROR(__xludf.DUMMYFUNCTION("""COMPUTED_VALUE"""),"Teen")</f>
        <v>Teen</v>
      </c>
    </row>
    <row r="1143" spans="1:6" ht="12.75">
      <c r="A1143" s="4">
        <v>1142</v>
      </c>
      <c r="B1143" s="8" t="str">
        <f ca="1">IFERROR(__xludf.DUMMYFUNCTION("""COMPUTED_VALUE"""),"20161006TXDUF")</f>
        <v>20161006TXDUF</v>
      </c>
      <c r="C1143" s="8" t="str">
        <f ca="1">IFERROR(__xludf.DUMMYFUNCTION("""COMPUTED_VALUE"""),"Wounded")</f>
        <v>Wounded</v>
      </c>
      <c r="D1143" s="8" t="str">
        <f ca="1">IFERROR(__xludf.DUMMYFUNCTION("""COMPUTED_VALUE"""),"Male")</f>
        <v>Male</v>
      </c>
      <c r="E1143" s="8" t="str">
        <f ca="1">IFERROR(__xludf.DUMMYFUNCTION("""COMPUTED_VALUE"""),"Unknown")</f>
        <v>Unknown</v>
      </c>
      <c r="F1143" s="8">
        <f ca="1">IFERROR(__xludf.DUMMYFUNCTION("""COMPUTED_VALUE"""),18)</f>
        <v>18</v>
      </c>
    </row>
    <row r="1144" spans="1:6" ht="12.75">
      <c r="A1144" s="4">
        <v>1143</v>
      </c>
      <c r="B1144" s="8" t="str">
        <f ca="1">IFERROR(__xludf.DUMMYFUNCTION("""COMPUTED_VALUE"""),"20160930ILCHC")</f>
        <v>20160930ILCHC</v>
      </c>
      <c r="C1144" s="8" t="str">
        <f ca="1">IFERROR(__xludf.DUMMYFUNCTION("""COMPUTED_VALUE"""),"Wounded")</f>
        <v>Wounded</v>
      </c>
      <c r="D1144" s="8" t="str">
        <f ca="1">IFERROR(__xludf.DUMMYFUNCTION("""COMPUTED_VALUE"""),"Male")</f>
        <v>Male</v>
      </c>
      <c r="E1144" s="8" t="str">
        <f ca="1">IFERROR(__xludf.DUMMYFUNCTION("""COMPUTED_VALUE"""),"Bus Driver")</f>
        <v>Bus Driver</v>
      </c>
      <c r="F1144" s="8">
        <f ca="1">IFERROR(__xludf.DUMMYFUNCTION("""COMPUTED_VALUE"""),31)</f>
        <v>31</v>
      </c>
    </row>
    <row r="1145" spans="1:6" ht="12.75">
      <c r="A1145" s="4">
        <v>1144</v>
      </c>
      <c r="B1145" s="8" t="str">
        <f ca="1">IFERROR(__xludf.DUMMYFUNCTION("""COMPUTED_VALUE"""),"20160928SCTOT")</f>
        <v>20160928SCTOT</v>
      </c>
      <c r="C1145" s="8" t="str">
        <f ca="1">IFERROR(__xludf.DUMMYFUNCTION("""COMPUTED_VALUE"""),"Wounded")</f>
        <v>Wounded</v>
      </c>
      <c r="D1145" s="8"/>
      <c r="E1145" s="8" t="str">
        <f ca="1">IFERROR(__xludf.DUMMYFUNCTION("""COMPUTED_VALUE"""),"Student")</f>
        <v>Student</v>
      </c>
      <c r="F1145" s="8" t="str">
        <f ca="1">IFERROR(__xludf.DUMMYFUNCTION("""COMPUTED_VALUE"""),"Child")</f>
        <v>Child</v>
      </c>
    </row>
    <row r="1146" spans="1:6" ht="12.75">
      <c r="A1146" s="4">
        <v>1145</v>
      </c>
      <c r="B1146" s="8" t="str">
        <f ca="1">IFERROR(__xludf.DUMMYFUNCTION("""COMPUTED_VALUE"""),"20160928SCTOT")</f>
        <v>20160928SCTOT</v>
      </c>
      <c r="C1146" s="8" t="str">
        <f ca="1">IFERROR(__xludf.DUMMYFUNCTION("""COMPUTED_VALUE"""),"Fatal")</f>
        <v>Fatal</v>
      </c>
      <c r="D1146" s="8"/>
      <c r="E1146" s="8" t="str">
        <f ca="1">IFERROR(__xludf.DUMMYFUNCTION("""COMPUTED_VALUE"""),"Student")</f>
        <v>Student</v>
      </c>
      <c r="F1146" s="8">
        <f ca="1">IFERROR(__xludf.DUMMYFUNCTION("""COMPUTED_VALUE"""),6)</f>
        <v>6</v>
      </c>
    </row>
    <row r="1147" spans="1:6" ht="12.75">
      <c r="A1147" s="4">
        <v>1146</v>
      </c>
      <c r="B1147" s="8" t="str">
        <f ca="1">IFERROR(__xludf.DUMMYFUNCTION("""COMPUTED_VALUE"""),"20160928SCTOT")</f>
        <v>20160928SCTOT</v>
      </c>
      <c r="C1147" s="8" t="str">
        <f ca="1">IFERROR(__xludf.DUMMYFUNCTION("""COMPUTED_VALUE"""),"Wounded")</f>
        <v>Wounded</v>
      </c>
      <c r="D1147" s="8"/>
      <c r="E1147" s="8" t="str">
        <f ca="1">IFERROR(__xludf.DUMMYFUNCTION("""COMPUTED_VALUE"""),"Student")</f>
        <v>Student</v>
      </c>
      <c r="F1147" s="8">
        <f ca="1">IFERROR(__xludf.DUMMYFUNCTION("""COMPUTED_VALUE"""),6)</f>
        <v>6</v>
      </c>
    </row>
    <row r="1148" spans="1:6" ht="12.75">
      <c r="A1148" s="4">
        <v>1147</v>
      </c>
      <c r="B1148" s="8" t="str">
        <f ca="1">IFERROR(__xludf.DUMMYFUNCTION("""COMPUTED_VALUE"""),"20160928SCTOT")</f>
        <v>20160928SCTOT</v>
      </c>
      <c r="C1148" s="8" t="str">
        <f ca="1">IFERROR(__xludf.DUMMYFUNCTION("""COMPUTED_VALUE"""),"Wounded")</f>
        <v>Wounded</v>
      </c>
      <c r="D1148" s="8"/>
      <c r="E1148" s="8" t="str">
        <f ca="1">IFERROR(__xludf.DUMMYFUNCTION("""COMPUTED_VALUE"""),"Teacher")</f>
        <v>Teacher</v>
      </c>
      <c r="F1148" s="8">
        <f ca="1">IFERROR(__xludf.DUMMYFUNCTION("""COMPUTED_VALUE"""),47)</f>
        <v>47</v>
      </c>
    </row>
    <row r="1149" spans="1:6" ht="12.75">
      <c r="A1149" s="4">
        <v>1148</v>
      </c>
      <c r="B1149" s="8" t="str">
        <f ca="1">IFERROR(__xludf.DUMMYFUNCTION("""COMPUTED_VALUE"""),"20160927OHELC")</f>
        <v>20160927OHELC</v>
      </c>
      <c r="C1149" s="8" t="str">
        <f ca="1">IFERROR(__xludf.DUMMYFUNCTION("""COMPUTED_VALUE"""),"Wounded")</f>
        <v>Wounded</v>
      </c>
      <c r="D1149" s="8" t="str">
        <f ca="1">IFERROR(__xludf.DUMMYFUNCTION("""COMPUTED_VALUE"""),"Male")</f>
        <v>Male</v>
      </c>
      <c r="E1149" s="8" t="str">
        <f ca="1">IFERROR(__xludf.DUMMYFUNCTION("""COMPUTED_VALUE"""),"Other Staff")</f>
        <v>Other Staff</v>
      </c>
      <c r="F1149" s="8" t="str">
        <f ca="1">IFERROR(__xludf.DUMMYFUNCTION("""COMPUTED_VALUE"""),"Adult")</f>
        <v>Adult</v>
      </c>
    </row>
    <row r="1150" spans="1:6" ht="12.75">
      <c r="A1150" s="4">
        <v>1149</v>
      </c>
      <c r="B1150" s="8" t="str">
        <f ca="1">IFERROR(__xludf.DUMMYFUNCTION("""COMPUTED_VALUE"""),"20160927OHELC")</f>
        <v>20160927OHELC</v>
      </c>
      <c r="C1150" s="8" t="str">
        <f ca="1">IFERROR(__xludf.DUMMYFUNCTION("""COMPUTED_VALUE"""),"Wounded")</f>
        <v>Wounded</v>
      </c>
      <c r="D1150" s="8" t="str">
        <f ca="1">IFERROR(__xludf.DUMMYFUNCTION("""COMPUTED_VALUE"""),"Male")</f>
        <v>Male</v>
      </c>
      <c r="E1150" s="8" t="str">
        <f ca="1">IFERROR(__xludf.DUMMYFUNCTION("""COMPUTED_VALUE"""),"Nonstudent Using Athletic Facilities/Attending Game")</f>
        <v>Nonstudent Using Athletic Facilities/Attending Game</v>
      </c>
      <c r="F1150" s="8" t="str">
        <f ca="1">IFERROR(__xludf.DUMMYFUNCTION("""COMPUTED_VALUE"""),"Adult")</f>
        <v>Adult</v>
      </c>
    </row>
    <row r="1151" spans="1:6" ht="12.75">
      <c r="A1151" s="4">
        <v>1150</v>
      </c>
      <c r="B1151" s="8" t="str">
        <f ca="1">IFERROR(__xludf.DUMMYFUNCTION("""COMPUTED_VALUE"""),"20160927OHELC")</f>
        <v>20160927OHELC</v>
      </c>
      <c r="C1151" s="8" t="str">
        <f ca="1">IFERROR(__xludf.DUMMYFUNCTION("""COMPUTED_VALUE"""),"Wounded")</f>
        <v>Wounded</v>
      </c>
      <c r="D1151" s="8" t="str">
        <f ca="1">IFERROR(__xludf.DUMMYFUNCTION("""COMPUTED_VALUE"""),"Male")</f>
        <v>Male</v>
      </c>
      <c r="E1151" s="8" t="str">
        <f ca="1">IFERROR(__xludf.DUMMYFUNCTION("""COMPUTED_VALUE"""),"Nonstudent Using Athletic Facilities/Attending Game")</f>
        <v>Nonstudent Using Athletic Facilities/Attending Game</v>
      </c>
      <c r="F1151" s="8">
        <f ca="1">IFERROR(__xludf.DUMMYFUNCTION("""COMPUTED_VALUE"""),20)</f>
        <v>20</v>
      </c>
    </row>
    <row r="1152" spans="1:6" ht="12.75">
      <c r="A1152" s="4">
        <v>1151</v>
      </c>
      <c r="B1152" s="8" t="str">
        <f ca="1">IFERROR(__xludf.DUMMYFUNCTION("""COMPUTED_VALUE"""),"20160926MSTAJ")</f>
        <v>20160926MSTAJ</v>
      </c>
      <c r="C1152" s="8" t="str">
        <f ca="1">IFERROR(__xludf.DUMMYFUNCTION("""COMPUTED_VALUE"""),"Wounded")</f>
        <v>Wounded</v>
      </c>
      <c r="D1152" s="8" t="str">
        <f ca="1">IFERROR(__xludf.DUMMYFUNCTION("""COMPUTED_VALUE"""),"Male")</f>
        <v>Male</v>
      </c>
      <c r="E1152" s="8" t="str">
        <f ca="1">IFERROR(__xludf.DUMMYFUNCTION("""COMPUTED_VALUE"""),"Student")</f>
        <v>Student</v>
      </c>
      <c r="F1152" s="8">
        <f ca="1">IFERROR(__xludf.DUMMYFUNCTION("""COMPUTED_VALUE"""),17)</f>
        <v>17</v>
      </c>
    </row>
    <row r="1153" spans="1:6" ht="12.75">
      <c r="A1153" s="4">
        <v>1152</v>
      </c>
      <c r="B1153" s="8" t="str">
        <f ca="1">IFERROR(__xludf.DUMMYFUNCTION("""COMPUTED_VALUE"""),"20160909PASMY")</f>
        <v>20160909PASMY</v>
      </c>
      <c r="C1153" s="8" t="str">
        <f ca="1">IFERROR(__xludf.DUMMYFUNCTION("""COMPUTED_VALUE"""),"Wounded")</f>
        <v>Wounded</v>
      </c>
      <c r="D1153" s="8" t="str">
        <f ca="1">IFERROR(__xludf.DUMMYFUNCTION("""COMPUTED_VALUE"""),"Male")</f>
        <v>Male</v>
      </c>
      <c r="E1153" s="8" t="str">
        <f ca="1">IFERROR(__xludf.DUMMYFUNCTION("""COMPUTED_VALUE"""),"Nonstudent Using Athletic Facilities/Attending Game")</f>
        <v>Nonstudent Using Athletic Facilities/Attending Game</v>
      </c>
      <c r="F1153" s="8">
        <f ca="1">IFERROR(__xludf.DUMMYFUNCTION("""COMPUTED_VALUE"""),23)</f>
        <v>23</v>
      </c>
    </row>
    <row r="1154" spans="1:6" ht="12.75">
      <c r="A1154" s="4">
        <v>1153</v>
      </c>
      <c r="B1154" s="8" t="str">
        <f ca="1">IFERROR(__xludf.DUMMYFUNCTION("""COMPUTED_VALUE"""),"20160909PASMY")</f>
        <v>20160909PASMY</v>
      </c>
      <c r="C1154" s="8" t="str">
        <f ca="1">IFERROR(__xludf.DUMMYFUNCTION("""COMPUTED_VALUE"""),"Wounded")</f>
        <v>Wounded</v>
      </c>
      <c r="D1154" s="8" t="str">
        <f ca="1">IFERROR(__xludf.DUMMYFUNCTION("""COMPUTED_VALUE"""),"Male")</f>
        <v>Male</v>
      </c>
      <c r="E1154" s="8" t="str">
        <f ca="1">IFERROR(__xludf.DUMMYFUNCTION("""COMPUTED_VALUE"""),"Nonstudent Using Athletic Facilities/Attending Game")</f>
        <v>Nonstudent Using Athletic Facilities/Attending Game</v>
      </c>
      <c r="F1154" s="8">
        <f ca="1">IFERROR(__xludf.DUMMYFUNCTION("""COMPUTED_VALUE"""),20)</f>
        <v>20</v>
      </c>
    </row>
    <row r="1155" spans="1:6" ht="12.75">
      <c r="A1155" s="4">
        <v>1154</v>
      </c>
      <c r="B1155" s="8" t="str">
        <f ca="1">IFERROR(__xludf.DUMMYFUNCTION("""COMPUTED_VALUE"""),"20160909IACEC")</f>
        <v>20160909IACEC</v>
      </c>
      <c r="C1155" s="8" t="str">
        <f ca="1">IFERROR(__xludf.DUMMYFUNCTION("""COMPUTED_VALUE"""),"None")</f>
        <v>None</v>
      </c>
      <c r="D1155" s="8" t="str">
        <f ca="1">IFERROR(__xludf.DUMMYFUNCTION("""COMPUTED_VALUE"""),"Male")</f>
        <v>Male</v>
      </c>
      <c r="E1155" s="8" t="str">
        <f ca="1">IFERROR(__xludf.DUMMYFUNCTION("""COMPUTED_VALUE"""),"Student")</f>
        <v>Student</v>
      </c>
      <c r="F1155" s="8">
        <f ca="1">IFERROR(__xludf.DUMMYFUNCTION("""COMPUTED_VALUE"""),15)</f>
        <v>15</v>
      </c>
    </row>
    <row r="1156" spans="1:6" ht="12.75">
      <c r="A1156" s="4">
        <v>1155</v>
      </c>
      <c r="B1156" s="8" t="str">
        <f ca="1">IFERROR(__xludf.DUMMYFUNCTION("""COMPUTED_VALUE"""),"20160908TXALA")</f>
        <v>20160908TXALA</v>
      </c>
      <c r="C1156" s="8" t="str">
        <f ca="1">IFERROR(__xludf.DUMMYFUNCTION("""COMPUTED_VALUE"""),"Wounded")</f>
        <v>Wounded</v>
      </c>
      <c r="D1156" s="8" t="str">
        <f ca="1">IFERROR(__xludf.DUMMYFUNCTION("""COMPUTED_VALUE"""),"Female")</f>
        <v>Female</v>
      </c>
      <c r="E1156" s="8" t="str">
        <f ca="1">IFERROR(__xludf.DUMMYFUNCTION("""COMPUTED_VALUE"""),"Student")</f>
        <v>Student</v>
      </c>
      <c r="F1156" s="8">
        <f ca="1">IFERROR(__xludf.DUMMYFUNCTION("""COMPUTED_VALUE"""),17)</f>
        <v>17</v>
      </c>
    </row>
    <row r="1157" spans="1:6" ht="12.75">
      <c r="A1157" s="4">
        <v>1156</v>
      </c>
      <c r="B1157" s="8" t="str">
        <f ca="1">IFERROR(__xludf.DUMMYFUNCTION("""COMPUTED_VALUE"""),"20160908TXALA")</f>
        <v>20160908TXALA</v>
      </c>
      <c r="C1157" s="8" t="str">
        <f ca="1">IFERROR(__xludf.DUMMYFUNCTION("""COMPUTED_VALUE"""),"Wounded")</f>
        <v>Wounded</v>
      </c>
      <c r="D1157" s="8" t="str">
        <f ca="1">IFERROR(__xludf.DUMMYFUNCTION("""COMPUTED_VALUE"""),"Female")</f>
        <v>Female</v>
      </c>
      <c r="E1157" s="8" t="str">
        <f ca="1">IFERROR(__xludf.DUMMYFUNCTION("""COMPUTED_VALUE"""),"Student")</f>
        <v>Student</v>
      </c>
      <c r="F1157" s="8">
        <f ca="1">IFERROR(__xludf.DUMMYFUNCTION("""COMPUTED_VALUE"""),17)</f>
        <v>17</v>
      </c>
    </row>
    <row r="1158" spans="1:6" ht="12.75">
      <c r="A1158" s="4">
        <v>1157</v>
      </c>
      <c r="B1158" s="8" t="str">
        <f ca="1">IFERROR(__xludf.DUMMYFUNCTION("""COMPUTED_VALUE"""),"20160907MIDED")</f>
        <v>20160907MIDED</v>
      </c>
      <c r="C1158" s="8" t="str">
        <f ca="1">IFERROR(__xludf.DUMMYFUNCTION("""COMPUTED_VALUE"""),"None")</f>
        <v>None</v>
      </c>
      <c r="D1158" s="8" t="str">
        <f ca="1">IFERROR(__xludf.DUMMYFUNCTION("""COMPUTED_VALUE"""),"Male")</f>
        <v>Male</v>
      </c>
      <c r="E1158" s="8" t="str">
        <f ca="1">IFERROR(__xludf.DUMMYFUNCTION("""COMPUTED_VALUE"""),"Principal/Vice-Principal")</f>
        <v>Principal/Vice-Principal</v>
      </c>
      <c r="F1158" s="8" t="str">
        <f ca="1">IFERROR(__xludf.DUMMYFUNCTION("""COMPUTED_VALUE"""),"Adult")</f>
        <v>Adult</v>
      </c>
    </row>
    <row r="1159" spans="1:6" ht="12.75">
      <c r="A1159" s="4">
        <v>1158</v>
      </c>
      <c r="B1159" s="8" t="str">
        <f ca="1">IFERROR(__xludf.DUMMYFUNCTION("""COMPUTED_VALUE"""),"20160902OKMCT")</f>
        <v>20160902OKMCT</v>
      </c>
      <c r="C1159" s="8" t="str">
        <f ca="1">IFERROR(__xludf.DUMMYFUNCTION("""COMPUTED_VALUE"""),"Wounded")</f>
        <v>Wounded</v>
      </c>
      <c r="D1159" s="8" t="str">
        <f ca="1">IFERROR(__xludf.DUMMYFUNCTION("""COMPUTED_VALUE"""),"Male")</f>
        <v>Male</v>
      </c>
      <c r="E1159" s="8" t="str">
        <f ca="1">IFERROR(__xludf.DUMMYFUNCTION("""COMPUTED_VALUE"""),"Student")</f>
        <v>Student</v>
      </c>
      <c r="F1159" s="8">
        <f ca="1">IFERROR(__xludf.DUMMYFUNCTION("""COMPUTED_VALUE"""),13)</f>
        <v>13</v>
      </c>
    </row>
    <row r="1160" spans="1:6" ht="12.75">
      <c r="A1160" s="4">
        <v>1159</v>
      </c>
      <c r="B1160" s="8" t="str">
        <f ca="1">IFERROR(__xludf.DUMMYFUNCTION("""COMPUTED_VALUE"""),"20160819FLSOM")</f>
        <v>20160819FLSOM</v>
      </c>
      <c r="C1160" s="8" t="str">
        <f ca="1">IFERROR(__xludf.DUMMYFUNCTION("""COMPUTED_VALUE"""),"None")</f>
        <v>None</v>
      </c>
      <c r="D1160" s="8"/>
      <c r="E1160" s="8"/>
      <c r="F1160" s="8"/>
    </row>
    <row r="1161" spans="1:6" ht="12.75">
      <c r="A1161" s="4">
        <v>1160</v>
      </c>
      <c r="B1161" s="8" t="str">
        <f ca="1">IFERROR(__xludf.DUMMYFUNCTION("""COMPUTED_VALUE"""),"20160817OHWEC")</f>
        <v>20160817OHWEC</v>
      </c>
      <c r="C1161" s="8" t="str">
        <f ca="1">IFERROR(__xludf.DUMMYFUNCTION("""COMPUTED_VALUE"""),"Wounded")</f>
        <v>Wounded</v>
      </c>
      <c r="D1161" s="8" t="str">
        <f ca="1">IFERROR(__xludf.DUMMYFUNCTION("""COMPUTED_VALUE"""),"Male")</f>
        <v>Male</v>
      </c>
      <c r="E1161" s="8" t="str">
        <f ca="1">IFERROR(__xludf.DUMMYFUNCTION("""COMPUTED_VALUE"""),"No Relation")</f>
        <v>No Relation</v>
      </c>
      <c r="F1161" s="8">
        <f ca="1">IFERROR(__xludf.DUMMYFUNCTION("""COMPUTED_VALUE"""),18)</f>
        <v>18</v>
      </c>
    </row>
    <row r="1162" spans="1:6" ht="12.75">
      <c r="A1162" s="4">
        <v>1161</v>
      </c>
      <c r="B1162" s="8" t="str">
        <f ca="1">IFERROR(__xludf.DUMMYFUNCTION("""COMPUTED_VALUE"""),"20160817OHWEC")</f>
        <v>20160817OHWEC</v>
      </c>
      <c r="C1162" s="8" t="str">
        <f ca="1">IFERROR(__xludf.DUMMYFUNCTION("""COMPUTED_VALUE"""),"Wounded")</f>
        <v>Wounded</v>
      </c>
      <c r="D1162" s="8" t="str">
        <f ca="1">IFERROR(__xludf.DUMMYFUNCTION("""COMPUTED_VALUE"""),"Male")</f>
        <v>Male</v>
      </c>
      <c r="E1162" s="8" t="str">
        <f ca="1">IFERROR(__xludf.DUMMYFUNCTION("""COMPUTED_VALUE"""),"No Relation")</f>
        <v>No Relation</v>
      </c>
      <c r="F1162" s="8">
        <f ca="1">IFERROR(__xludf.DUMMYFUNCTION("""COMPUTED_VALUE"""),19)</f>
        <v>19</v>
      </c>
    </row>
    <row r="1163" spans="1:6" ht="12.75">
      <c r="A1163" s="4">
        <v>1162</v>
      </c>
      <c r="B1163" s="8" t="str">
        <f ca="1">IFERROR(__xludf.DUMMYFUNCTION("""COMPUTED_VALUE"""),"20160725MOAVA")</f>
        <v>20160725MOAVA</v>
      </c>
      <c r="C1163" s="8" t="str">
        <f ca="1">IFERROR(__xludf.DUMMYFUNCTION("""COMPUTED_VALUE"""),"Wounded")</f>
        <v>Wounded</v>
      </c>
      <c r="D1163" s="8" t="str">
        <f ca="1">IFERROR(__xludf.DUMMYFUNCTION("""COMPUTED_VALUE"""),"Male")</f>
        <v>Male</v>
      </c>
      <c r="E1163" s="8" t="str">
        <f ca="1">IFERROR(__xludf.DUMMYFUNCTION("""COMPUTED_VALUE"""),"Former Student")</f>
        <v>Former Student</v>
      </c>
      <c r="F1163" s="8">
        <f ca="1">IFERROR(__xludf.DUMMYFUNCTION("""COMPUTED_VALUE"""),18)</f>
        <v>18</v>
      </c>
    </row>
    <row r="1164" spans="1:6" ht="12.75">
      <c r="A1164" s="4">
        <v>1163</v>
      </c>
      <c r="B1164" s="8" t="str">
        <f ca="1">IFERROR(__xludf.DUMMYFUNCTION("""COMPUTED_VALUE"""),"20160630CAWOH")</f>
        <v>20160630CAWOH</v>
      </c>
      <c r="C1164" s="8" t="str">
        <f ca="1">IFERROR(__xludf.DUMMYFUNCTION("""COMPUTED_VALUE"""),"Wounded")</f>
        <v>Wounded</v>
      </c>
      <c r="D1164" s="8" t="str">
        <f ca="1">IFERROR(__xludf.DUMMYFUNCTION("""COMPUTED_VALUE"""),"Female")</f>
        <v>Female</v>
      </c>
      <c r="E1164" s="8" t="str">
        <f ca="1">IFERROR(__xludf.DUMMYFUNCTION("""COMPUTED_VALUE"""),"No Relation")</f>
        <v>No Relation</v>
      </c>
      <c r="F1164" s="8">
        <f ca="1">IFERROR(__xludf.DUMMYFUNCTION("""COMPUTED_VALUE"""),23)</f>
        <v>23</v>
      </c>
    </row>
    <row r="1165" spans="1:6" ht="12.75">
      <c r="A1165" s="4">
        <v>1164</v>
      </c>
      <c r="B1165" s="8" t="str">
        <f ca="1">IFERROR(__xludf.DUMMYFUNCTION("""COMPUTED_VALUE"""),"20160616ILMCC")</f>
        <v>20160616ILMCC</v>
      </c>
      <c r="C1165" s="8" t="str">
        <f ca="1">IFERROR(__xludf.DUMMYFUNCTION("""COMPUTED_VALUE"""),"Fatal")</f>
        <v>Fatal</v>
      </c>
      <c r="D1165" s="8" t="str">
        <f ca="1">IFERROR(__xludf.DUMMYFUNCTION("""COMPUTED_VALUE"""),"Male")</f>
        <v>Male</v>
      </c>
      <c r="E1165" s="8" t="str">
        <f ca="1">IFERROR(__xludf.DUMMYFUNCTION("""COMPUTED_VALUE"""),"Other Staff")</f>
        <v>Other Staff</v>
      </c>
      <c r="F1165" s="8">
        <f ca="1">IFERROR(__xludf.DUMMYFUNCTION("""COMPUTED_VALUE"""),25)</f>
        <v>25</v>
      </c>
    </row>
    <row r="1166" spans="1:6" ht="12.75">
      <c r="A1166" s="4">
        <v>1165</v>
      </c>
      <c r="B1166" s="8" t="str">
        <f ca="1">IFERROR(__xludf.DUMMYFUNCTION("""COMPUTED_VALUE"""),"20160608MAJED")</f>
        <v>20160608MAJED</v>
      </c>
      <c r="C1166" s="8" t="str">
        <f ca="1">IFERROR(__xludf.DUMMYFUNCTION("""COMPUTED_VALUE"""),"Wounded")</f>
        <v>Wounded</v>
      </c>
      <c r="D1166" s="8" t="str">
        <f ca="1">IFERROR(__xludf.DUMMYFUNCTION("""COMPUTED_VALUE"""),"Female")</f>
        <v>Female</v>
      </c>
      <c r="E1166" s="8" t="str">
        <f ca="1">IFERROR(__xludf.DUMMYFUNCTION("""COMPUTED_VALUE"""),"Unknown")</f>
        <v>Unknown</v>
      </c>
      <c r="F1166" s="8">
        <f ca="1">IFERROR(__xludf.DUMMYFUNCTION("""COMPUTED_VALUE"""),67)</f>
        <v>67</v>
      </c>
    </row>
    <row r="1167" spans="1:6" ht="12.75">
      <c r="A1167" s="4">
        <v>1166</v>
      </c>
      <c r="B1167" s="8" t="str">
        <f ca="1">IFERROR(__xludf.DUMMYFUNCTION("""COMPUTED_VALUE"""),"20160608MAJED")</f>
        <v>20160608MAJED</v>
      </c>
      <c r="C1167" s="8" t="str">
        <f ca="1">IFERROR(__xludf.DUMMYFUNCTION("""COMPUTED_VALUE"""),"Fatal")</f>
        <v>Fatal</v>
      </c>
      <c r="D1167" s="8" t="str">
        <f ca="1">IFERROR(__xludf.DUMMYFUNCTION("""COMPUTED_VALUE"""),"Male")</f>
        <v>Male</v>
      </c>
      <c r="E1167" s="8" t="str">
        <f ca="1">IFERROR(__xludf.DUMMYFUNCTION("""COMPUTED_VALUE"""),"Student")</f>
        <v>Student</v>
      </c>
      <c r="F1167" s="8">
        <f ca="1">IFERROR(__xludf.DUMMYFUNCTION("""COMPUTED_VALUE"""),17)</f>
        <v>17</v>
      </c>
    </row>
    <row r="1168" spans="1:6" ht="12.75">
      <c r="A1168" s="4">
        <v>1167</v>
      </c>
      <c r="B1168" s="8" t="str">
        <f ca="1">IFERROR(__xludf.DUMMYFUNCTION("""COMPUTED_VALUE"""),"20160608MAJED")</f>
        <v>20160608MAJED</v>
      </c>
      <c r="C1168" s="8" t="str">
        <f ca="1">IFERROR(__xludf.DUMMYFUNCTION("""COMPUTED_VALUE"""),"Wounded")</f>
        <v>Wounded</v>
      </c>
      <c r="D1168" s="8" t="str">
        <f ca="1">IFERROR(__xludf.DUMMYFUNCTION("""COMPUTED_VALUE"""),"Male")</f>
        <v>Male</v>
      </c>
      <c r="E1168" s="8" t="str">
        <f ca="1">IFERROR(__xludf.DUMMYFUNCTION("""COMPUTED_VALUE"""),"Student")</f>
        <v>Student</v>
      </c>
      <c r="F1168" s="8" t="str">
        <f ca="1">IFERROR(__xludf.DUMMYFUNCTION("""COMPUTED_VALUE"""),"Teen")</f>
        <v>Teen</v>
      </c>
    </row>
    <row r="1169" spans="1:6" ht="12.75">
      <c r="A1169" s="4">
        <v>1168</v>
      </c>
      <c r="B1169" s="8" t="str">
        <f ca="1">IFERROR(__xludf.DUMMYFUNCTION("""COMPUTED_VALUE"""),"20160608MAJED")</f>
        <v>20160608MAJED</v>
      </c>
      <c r="C1169" s="8" t="str">
        <f ca="1">IFERROR(__xludf.DUMMYFUNCTION("""COMPUTED_VALUE"""),"Wounded")</f>
        <v>Wounded</v>
      </c>
      <c r="D1169" s="8" t="str">
        <f ca="1">IFERROR(__xludf.DUMMYFUNCTION("""COMPUTED_VALUE"""),"Male")</f>
        <v>Male</v>
      </c>
      <c r="E1169" s="8" t="str">
        <f ca="1">IFERROR(__xludf.DUMMYFUNCTION("""COMPUTED_VALUE"""),"Student")</f>
        <v>Student</v>
      </c>
      <c r="F1169" s="8" t="str">
        <f ca="1">IFERROR(__xludf.DUMMYFUNCTION("""COMPUTED_VALUE"""),"Teen")</f>
        <v>Teen</v>
      </c>
    </row>
    <row r="1170" spans="1:6" ht="12.75">
      <c r="A1170" s="4">
        <v>1169</v>
      </c>
      <c r="B1170" s="8" t="str">
        <f ca="1">IFERROR(__xludf.DUMMYFUNCTION("""COMPUTED_VALUE"""),"20160515KSAUA")</f>
        <v>20160515KSAUA</v>
      </c>
      <c r="C1170" s="8" t="str">
        <f ca="1">IFERROR(__xludf.DUMMYFUNCTION("""COMPUTED_VALUE"""),"Wounded")</f>
        <v>Wounded</v>
      </c>
      <c r="D1170" s="8" t="str">
        <f ca="1">IFERROR(__xludf.DUMMYFUNCTION("""COMPUTED_VALUE"""),"Female")</f>
        <v>Female</v>
      </c>
      <c r="E1170" s="8" t="str">
        <f ca="1">IFERROR(__xludf.DUMMYFUNCTION("""COMPUTED_VALUE"""),"Relative")</f>
        <v>Relative</v>
      </c>
      <c r="F1170" s="8">
        <f ca="1">IFERROR(__xludf.DUMMYFUNCTION("""COMPUTED_VALUE"""),28)</f>
        <v>28</v>
      </c>
    </row>
    <row r="1171" spans="1:6" ht="12.75">
      <c r="A1171" s="4">
        <v>1170</v>
      </c>
      <c r="B1171" s="8" t="str">
        <f ca="1">IFERROR(__xludf.DUMMYFUNCTION("""COMPUTED_VALUE"""),"20160513SCSOG")</f>
        <v>20160513SCSOG</v>
      </c>
      <c r="C1171" s="8" t="str">
        <f ca="1">IFERROR(__xludf.DUMMYFUNCTION("""COMPUTED_VALUE"""),"None")</f>
        <v>None</v>
      </c>
      <c r="D1171" s="8" t="str">
        <f ca="1">IFERROR(__xludf.DUMMYFUNCTION("""COMPUTED_VALUE"""),"Male")</f>
        <v>Male</v>
      </c>
      <c r="E1171" s="8" t="str">
        <f ca="1">IFERROR(__xludf.DUMMYFUNCTION("""COMPUTED_VALUE"""),"Student")</f>
        <v>Student</v>
      </c>
      <c r="F1171" s="8">
        <f ca="1">IFERROR(__xludf.DUMMYFUNCTION("""COMPUTED_VALUE"""),16)</f>
        <v>16</v>
      </c>
    </row>
    <row r="1172" spans="1:6" ht="12.75">
      <c r="A1172" s="4">
        <v>1171</v>
      </c>
      <c r="B1172" s="8" t="str">
        <f ca="1">IFERROR(__xludf.DUMMYFUNCTION("""COMPUTED_VALUE"""),"20160506IDROT")</f>
        <v>20160506IDROT</v>
      </c>
      <c r="C1172" s="8" t="str">
        <f ca="1">IFERROR(__xludf.DUMMYFUNCTION("""COMPUTED_VALUE"""),"None")</f>
        <v>None</v>
      </c>
      <c r="D1172" s="8"/>
      <c r="E1172" s="8"/>
      <c r="F1172" s="8"/>
    </row>
    <row r="1173" spans="1:6" ht="12.75">
      <c r="A1173" s="4">
        <v>1172</v>
      </c>
      <c r="B1173" s="8" t="str">
        <f ca="1">IFERROR(__xludf.DUMMYFUNCTION("""COMPUTED_VALUE"""),"20160506FLOSP")</f>
        <v>20160506FLOSP</v>
      </c>
      <c r="C1173" s="8" t="str">
        <f ca="1">IFERROR(__xludf.DUMMYFUNCTION("""COMPUTED_VALUE"""),"None")</f>
        <v>None</v>
      </c>
      <c r="D1173" s="8" t="str">
        <f ca="1">IFERROR(__xludf.DUMMYFUNCTION("""COMPUTED_VALUE"""),"Male")</f>
        <v>Male</v>
      </c>
      <c r="E1173" s="8" t="str">
        <f ca="1">IFERROR(__xludf.DUMMYFUNCTION("""COMPUTED_VALUE"""),"No Relation")</f>
        <v>No Relation</v>
      </c>
      <c r="F1173" s="8">
        <f ca="1">IFERROR(__xludf.DUMMYFUNCTION("""COMPUTED_VALUE"""),28)</f>
        <v>28</v>
      </c>
    </row>
    <row r="1174" spans="1:6" ht="12.75">
      <c r="A1174" s="4">
        <v>1173</v>
      </c>
      <c r="B1174" s="8" t="str">
        <f ca="1">IFERROR(__xludf.DUMMYFUNCTION("""COMPUTED_VALUE"""),"20160505MDHIB")</f>
        <v>20160505MDHIB</v>
      </c>
      <c r="C1174" s="8" t="str">
        <f ca="1">IFERROR(__xludf.DUMMYFUNCTION("""COMPUTED_VALUE"""),"Wounded")</f>
        <v>Wounded</v>
      </c>
      <c r="D1174" s="8" t="str">
        <f ca="1">IFERROR(__xludf.DUMMYFUNCTION("""COMPUTED_VALUE"""),"Male")</f>
        <v>Male</v>
      </c>
      <c r="E1174" s="8" t="str">
        <f ca="1">IFERROR(__xludf.DUMMYFUNCTION("""COMPUTED_VALUE"""),"Parent")</f>
        <v>Parent</v>
      </c>
      <c r="F1174" s="8" t="str">
        <f ca="1">IFERROR(__xludf.DUMMYFUNCTION("""COMPUTED_VALUE"""),"Adult")</f>
        <v>Adult</v>
      </c>
    </row>
    <row r="1175" spans="1:6" ht="12.75">
      <c r="A1175" s="4">
        <v>1174</v>
      </c>
      <c r="B1175" s="8" t="str">
        <f ca="1">IFERROR(__xludf.DUMMYFUNCTION("""COMPUTED_VALUE"""),"20160505MDHIB")</f>
        <v>20160505MDHIB</v>
      </c>
      <c r="C1175" s="8" t="str">
        <f ca="1">IFERROR(__xludf.DUMMYFUNCTION("""COMPUTED_VALUE"""),"Fatal")</f>
        <v>Fatal</v>
      </c>
      <c r="D1175" s="8" t="str">
        <f ca="1">IFERROR(__xludf.DUMMYFUNCTION("""COMPUTED_VALUE"""),"Female")</f>
        <v>Female</v>
      </c>
      <c r="E1175" s="8" t="str">
        <f ca="1">IFERROR(__xludf.DUMMYFUNCTION("""COMPUTED_VALUE"""),"Parent")</f>
        <v>Parent</v>
      </c>
      <c r="F1175" s="8">
        <f ca="1">IFERROR(__xludf.DUMMYFUNCTION("""COMPUTED_VALUE"""),44)</f>
        <v>44</v>
      </c>
    </row>
    <row r="1176" spans="1:6" ht="12.75">
      <c r="A1176" s="4">
        <v>1175</v>
      </c>
      <c r="B1176" s="8" t="str">
        <f ca="1">IFERROR(__xludf.DUMMYFUNCTION("""COMPUTED_VALUE"""),"20160504COEAP")</f>
        <v>20160504COEAP</v>
      </c>
      <c r="C1176" s="8" t="str">
        <f ca="1">IFERROR(__xludf.DUMMYFUNCTION("""COMPUTED_VALUE"""),"Wounded")</f>
        <v>Wounded</v>
      </c>
      <c r="D1176" s="8" t="str">
        <f ca="1">IFERROR(__xludf.DUMMYFUNCTION("""COMPUTED_VALUE"""),"Female")</f>
        <v>Female</v>
      </c>
      <c r="E1176" s="8" t="str">
        <f ca="1">IFERROR(__xludf.DUMMYFUNCTION("""COMPUTED_VALUE"""),"Teacher")</f>
        <v>Teacher</v>
      </c>
      <c r="F1176" s="8" t="str">
        <f ca="1">IFERROR(__xludf.DUMMYFUNCTION("""COMPUTED_VALUE"""),"Adult")</f>
        <v>Adult</v>
      </c>
    </row>
    <row r="1177" spans="1:6" ht="12.75">
      <c r="A1177" s="4">
        <v>1176</v>
      </c>
      <c r="B1177" s="8" t="str">
        <f ca="1">IFERROR(__xludf.DUMMYFUNCTION("""COMPUTED_VALUE"""),"20160502TXKID")</f>
        <v>20160502TXKID</v>
      </c>
      <c r="C1177" s="8" t="str">
        <f ca="1">IFERROR(__xludf.DUMMYFUNCTION("""COMPUTED_VALUE"""),"None")</f>
        <v>None</v>
      </c>
      <c r="D1177" s="8" t="str">
        <f ca="1">IFERROR(__xludf.DUMMYFUNCTION("""COMPUTED_VALUE"""),"Male")</f>
        <v>Male</v>
      </c>
      <c r="E1177" s="8" t="str">
        <f ca="1">IFERROR(__xludf.DUMMYFUNCTION("""COMPUTED_VALUE"""),"Student")</f>
        <v>Student</v>
      </c>
      <c r="F1177" s="8">
        <f ca="1">IFERROR(__xludf.DUMMYFUNCTION("""COMPUTED_VALUE"""),15)</f>
        <v>15</v>
      </c>
    </row>
    <row r="1178" spans="1:6" ht="12.75">
      <c r="A1178" s="4">
        <v>1177</v>
      </c>
      <c r="B1178" s="8" t="str">
        <f ca="1">IFERROR(__xludf.DUMMYFUNCTION("""COMPUTED_VALUE"""),"20160423WIANA")</f>
        <v>20160423WIANA</v>
      </c>
      <c r="C1178" s="8" t="str">
        <f ca="1">IFERROR(__xludf.DUMMYFUNCTION("""COMPUTED_VALUE"""),"Wounded")</f>
        <v>Wounded</v>
      </c>
      <c r="D1178" s="8" t="str">
        <f ca="1">IFERROR(__xludf.DUMMYFUNCTION("""COMPUTED_VALUE"""),"Male")</f>
        <v>Male</v>
      </c>
      <c r="E1178" s="8" t="str">
        <f ca="1">IFERROR(__xludf.DUMMYFUNCTION("""COMPUTED_VALUE"""),"Student")</f>
        <v>Student</v>
      </c>
      <c r="F1178" s="8" t="str">
        <f ca="1">IFERROR(__xludf.DUMMYFUNCTION("""COMPUTED_VALUE"""),"Teen")</f>
        <v>Teen</v>
      </c>
    </row>
    <row r="1179" spans="1:6" ht="12.75">
      <c r="A1179" s="4">
        <v>1178</v>
      </c>
      <c r="B1179" s="8" t="str">
        <f ca="1">IFERROR(__xludf.DUMMYFUNCTION("""COMPUTED_VALUE"""),"20160423WIANA")</f>
        <v>20160423WIANA</v>
      </c>
      <c r="C1179" s="8" t="str">
        <f ca="1">IFERROR(__xludf.DUMMYFUNCTION("""COMPUTED_VALUE"""),"Wounded")</f>
        <v>Wounded</v>
      </c>
      <c r="D1179" s="8" t="str">
        <f ca="1">IFERROR(__xludf.DUMMYFUNCTION("""COMPUTED_VALUE"""),"Female")</f>
        <v>Female</v>
      </c>
      <c r="E1179" s="8" t="str">
        <f ca="1">IFERROR(__xludf.DUMMYFUNCTION("""COMPUTED_VALUE"""),"Student")</f>
        <v>Student</v>
      </c>
      <c r="F1179" s="8" t="str">
        <f ca="1">IFERROR(__xludf.DUMMYFUNCTION("""COMPUTED_VALUE"""),"Teen")</f>
        <v>Teen</v>
      </c>
    </row>
    <row r="1180" spans="1:6" ht="12.75">
      <c r="A1180" s="4">
        <v>1179</v>
      </c>
      <c r="B1180" s="8" t="str">
        <f ca="1">IFERROR(__xludf.DUMMYFUNCTION("""COMPUTED_VALUE"""),"20160315ALHUB")</f>
        <v>20160315ALHUB</v>
      </c>
      <c r="C1180" s="8" t="str">
        <f ca="1">IFERROR(__xludf.DUMMYFUNCTION("""COMPUTED_VALUE"""),"Wounded")</f>
        <v>Wounded</v>
      </c>
      <c r="D1180" s="8" t="str">
        <f ca="1">IFERROR(__xludf.DUMMYFUNCTION("""COMPUTED_VALUE"""),"Male")</f>
        <v>Male</v>
      </c>
      <c r="E1180" s="8" t="str">
        <f ca="1">IFERROR(__xludf.DUMMYFUNCTION("""COMPUTED_VALUE"""),"Student")</f>
        <v>Student</v>
      </c>
      <c r="F1180" s="8" t="str">
        <f ca="1">IFERROR(__xludf.DUMMYFUNCTION("""COMPUTED_VALUE"""),"Teen")</f>
        <v>Teen</v>
      </c>
    </row>
    <row r="1181" spans="1:6" ht="12.75">
      <c r="A1181" s="4">
        <v>1180</v>
      </c>
      <c r="B1181" s="8" t="str">
        <f ca="1">IFERROR(__xludf.DUMMYFUNCTION("""COMPUTED_VALUE"""),"20160229OHMAM")</f>
        <v>20160229OHMAM</v>
      </c>
      <c r="C1181" s="8" t="str">
        <f ca="1">IFERROR(__xludf.DUMMYFUNCTION("""COMPUTED_VALUE"""),"Wounded")</f>
        <v>Wounded</v>
      </c>
      <c r="D1181" s="8" t="str">
        <f ca="1">IFERROR(__xludf.DUMMYFUNCTION("""COMPUTED_VALUE"""),"Female")</f>
        <v>Female</v>
      </c>
      <c r="E1181" s="8" t="str">
        <f ca="1">IFERROR(__xludf.DUMMYFUNCTION("""COMPUTED_VALUE"""),"Student")</f>
        <v>Student</v>
      </c>
      <c r="F1181" s="8">
        <f ca="1">IFERROR(__xludf.DUMMYFUNCTION("""COMPUTED_VALUE"""),14)</f>
        <v>14</v>
      </c>
    </row>
    <row r="1182" spans="1:6" ht="12.75">
      <c r="A1182" s="4">
        <v>1181</v>
      </c>
      <c r="B1182" s="8" t="str">
        <f ca="1">IFERROR(__xludf.DUMMYFUNCTION("""COMPUTED_VALUE"""),"20160229OHMAM")</f>
        <v>20160229OHMAM</v>
      </c>
      <c r="C1182" s="8" t="str">
        <f ca="1">IFERROR(__xludf.DUMMYFUNCTION("""COMPUTED_VALUE"""),"Wounded")</f>
        <v>Wounded</v>
      </c>
      <c r="D1182" s="8" t="str">
        <f ca="1">IFERROR(__xludf.DUMMYFUNCTION("""COMPUTED_VALUE"""),"Male")</f>
        <v>Male</v>
      </c>
      <c r="E1182" s="8" t="str">
        <f ca="1">IFERROR(__xludf.DUMMYFUNCTION("""COMPUTED_VALUE"""),"Student")</f>
        <v>Student</v>
      </c>
      <c r="F1182" s="8">
        <f ca="1">IFERROR(__xludf.DUMMYFUNCTION("""COMPUTED_VALUE"""),14)</f>
        <v>14</v>
      </c>
    </row>
    <row r="1183" spans="1:6" ht="12.75">
      <c r="A1183" s="4">
        <v>1182</v>
      </c>
      <c r="B1183" s="8" t="str">
        <f ca="1">IFERROR(__xludf.DUMMYFUNCTION("""COMPUTED_VALUE"""),"20160229OHMAM")</f>
        <v>20160229OHMAM</v>
      </c>
      <c r="C1183" s="8" t="str">
        <f ca="1">IFERROR(__xludf.DUMMYFUNCTION("""COMPUTED_VALUE"""),"Wounded")</f>
        <v>Wounded</v>
      </c>
      <c r="D1183" s="8" t="str">
        <f ca="1">IFERROR(__xludf.DUMMYFUNCTION("""COMPUTED_VALUE"""),"Male")</f>
        <v>Male</v>
      </c>
      <c r="E1183" s="8" t="str">
        <f ca="1">IFERROR(__xludf.DUMMYFUNCTION("""COMPUTED_VALUE"""),"Student")</f>
        <v>Student</v>
      </c>
      <c r="F1183" s="8">
        <f ca="1">IFERROR(__xludf.DUMMYFUNCTION("""COMPUTED_VALUE"""),14)</f>
        <v>14</v>
      </c>
    </row>
    <row r="1184" spans="1:6" ht="12.75">
      <c r="A1184" s="4">
        <v>1183</v>
      </c>
      <c r="B1184" s="8" t="str">
        <f ca="1">IFERROR(__xludf.DUMMYFUNCTION("""COMPUTED_VALUE"""),"20160229OHMAM")</f>
        <v>20160229OHMAM</v>
      </c>
      <c r="C1184" s="8" t="str">
        <f ca="1">IFERROR(__xludf.DUMMYFUNCTION("""COMPUTED_VALUE"""),"Wounded")</f>
        <v>Wounded</v>
      </c>
      <c r="D1184" s="8" t="str">
        <f ca="1">IFERROR(__xludf.DUMMYFUNCTION("""COMPUTED_VALUE"""),"Male")</f>
        <v>Male</v>
      </c>
      <c r="E1184" s="8" t="str">
        <f ca="1">IFERROR(__xludf.DUMMYFUNCTION("""COMPUTED_VALUE"""),"Student")</f>
        <v>Student</v>
      </c>
      <c r="F1184" s="8">
        <f ca="1">IFERROR(__xludf.DUMMYFUNCTION("""COMPUTED_VALUE"""),15)</f>
        <v>15</v>
      </c>
    </row>
    <row r="1185" spans="1:6" ht="12.75">
      <c r="A1185" s="4">
        <v>1184</v>
      </c>
      <c r="B1185" s="8" t="str">
        <f ca="1">IFERROR(__xludf.DUMMYFUNCTION("""COMPUTED_VALUE"""),"20160226TXPAP")</f>
        <v>20160226TXPAP</v>
      </c>
      <c r="C1185" s="8" t="str">
        <f ca="1">IFERROR(__xludf.DUMMYFUNCTION("""COMPUTED_VALUE"""),"Wounded")</f>
        <v>Wounded</v>
      </c>
      <c r="D1185" s="8" t="str">
        <f ca="1">IFERROR(__xludf.DUMMYFUNCTION("""COMPUTED_VALUE"""),"Male")</f>
        <v>Male</v>
      </c>
      <c r="E1185" s="8" t="str">
        <f ca="1">IFERROR(__xludf.DUMMYFUNCTION("""COMPUTED_VALUE"""),"Nonstudent Using Athletic Facilities/Attending Game")</f>
        <v>Nonstudent Using Athletic Facilities/Attending Game</v>
      </c>
      <c r="F1185" s="8">
        <f ca="1">IFERROR(__xludf.DUMMYFUNCTION("""COMPUTED_VALUE"""),63)</f>
        <v>63</v>
      </c>
    </row>
    <row r="1186" spans="1:6" ht="12.75">
      <c r="A1186" s="4">
        <v>1185</v>
      </c>
      <c r="B1186" s="8" t="str">
        <f ca="1">IFERROR(__xludf.DUMMYFUNCTION("""COMPUTED_VALUE"""),"20160226TXPAP")</f>
        <v>20160226TXPAP</v>
      </c>
      <c r="C1186" s="8" t="str">
        <f ca="1">IFERROR(__xludf.DUMMYFUNCTION("""COMPUTED_VALUE"""),"Wounded")</f>
        <v>Wounded</v>
      </c>
      <c r="D1186" s="8" t="str">
        <f ca="1">IFERROR(__xludf.DUMMYFUNCTION("""COMPUTED_VALUE"""),"Female")</f>
        <v>Female</v>
      </c>
      <c r="E1186" s="8" t="str">
        <f ca="1">IFERROR(__xludf.DUMMYFUNCTION("""COMPUTED_VALUE"""),"Nonstudent Using Athletic Facilities/Attending Game")</f>
        <v>Nonstudent Using Athletic Facilities/Attending Game</v>
      </c>
      <c r="F1186" s="8">
        <f ca="1">IFERROR(__xludf.DUMMYFUNCTION("""COMPUTED_VALUE"""),59)</f>
        <v>59</v>
      </c>
    </row>
    <row r="1187" spans="1:6" ht="12.75">
      <c r="A1187" s="4">
        <v>1186</v>
      </c>
      <c r="B1187" s="8" t="str">
        <f ca="1">IFERROR(__xludf.DUMMYFUNCTION("""COMPUTED_VALUE"""),"20160217PACHC")</f>
        <v>20160217PACHC</v>
      </c>
      <c r="C1187" s="8" t="str">
        <f ca="1">IFERROR(__xludf.DUMMYFUNCTION("""COMPUTED_VALUE"""),"Wounded")</f>
        <v>Wounded</v>
      </c>
      <c r="D1187" s="8" t="str">
        <f ca="1">IFERROR(__xludf.DUMMYFUNCTION("""COMPUTED_VALUE"""),"Male")</f>
        <v>Male</v>
      </c>
      <c r="E1187" s="8" t="str">
        <f ca="1">IFERROR(__xludf.DUMMYFUNCTION("""COMPUTED_VALUE"""),"Student")</f>
        <v>Student</v>
      </c>
      <c r="F1187" s="8">
        <f ca="1">IFERROR(__xludf.DUMMYFUNCTION("""COMPUTED_VALUE"""),16)</f>
        <v>16</v>
      </c>
    </row>
    <row r="1188" spans="1:6" ht="12.75">
      <c r="A1188" s="4">
        <v>1187</v>
      </c>
      <c r="B1188" s="8" t="str">
        <f ca="1">IFERROR(__xludf.DUMMYFUNCTION("""COMPUTED_VALUE"""),"20160217FLROH")</f>
        <v>20160217FLROH</v>
      </c>
      <c r="C1188" s="8" t="str">
        <f ca="1">IFERROR(__xludf.DUMMYFUNCTION("""COMPUTED_VALUE"""),"None")</f>
        <v>None</v>
      </c>
      <c r="D1188" s="8"/>
      <c r="E1188" s="8"/>
      <c r="F1188" s="8"/>
    </row>
    <row r="1189" spans="1:6" ht="12.75">
      <c r="A1189" s="4">
        <v>1188</v>
      </c>
      <c r="B1189" s="8" t="str">
        <f ca="1">IFERROR(__xludf.DUMMYFUNCTION("""COMPUTED_VALUE"""),"20160212AZING")</f>
        <v>20160212AZING</v>
      </c>
      <c r="C1189" s="8" t="str">
        <f ca="1">IFERROR(__xludf.DUMMYFUNCTION("""COMPUTED_VALUE"""),"Fatal")</f>
        <v>Fatal</v>
      </c>
      <c r="D1189" s="8" t="str">
        <f ca="1">IFERROR(__xludf.DUMMYFUNCTION("""COMPUTED_VALUE"""),"Female")</f>
        <v>Female</v>
      </c>
      <c r="E1189" s="8" t="str">
        <f ca="1">IFERROR(__xludf.DUMMYFUNCTION("""COMPUTED_VALUE"""),"Student")</f>
        <v>Student</v>
      </c>
      <c r="F1189" s="8">
        <f ca="1">IFERROR(__xludf.DUMMYFUNCTION("""COMPUTED_VALUE"""),15)</f>
        <v>15</v>
      </c>
    </row>
    <row r="1190" spans="1:6" ht="12.75">
      <c r="A1190" s="4">
        <v>1189</v>
      </c>
      <c r="B1190" s="8" t="str">
        <f ca="1">IFERROR(__xludf.DUMMYFUNCTION("""COMPUTED_VALUE"""),"20160209MIMUM")</f>
        <v>20160209MIMUM</v>
      </c>
      <c r="C1190" s="8" t="str">
        <f ca="1">IFERROR(__xludf.DUMMYFUNCTION("""COMPUTED_VALUE"""),"Wounded")</f>
        <v>Wounded</v>
      </c>
      <c r="D1190" s="8" t="str">
        <f ca="1">IFERROR(__xludf.DUMMYFUNCTION("""COMPUTED_VALUE"""),"Male")</f>
        <v>Male</v>
      </c>
      <c r="E1190" s="8" t="str">
        <f ca="1">IFERROR(__xludf.DUMMYFUNCTION("""COMPUTED_VALUE"""),"Student")</f>
        <v>Student</v>
      </c>
      <c r="F1190" s="8" t="str">
        <f ca="1">IFERROR(__xludf.DUMMYFUNCTION("""COMPUTED_VALUE"""),"Teen")</f>
        <v>Teen</v>
      </c>
    </row>
    <row r="1191" spans="1:6" ht="12.75">
      <c r="A1191" s="4">
        <v>1190</v>
      </c>
      <c r="B1191" s="8" t="str">
        <f ca="1">IFERROR(__xludf.DUMMYFUNCTION("""COMPUTED_VALUE"""),"20160209MIMUM")</f>
        <v>20160209MIMUM</v>
      </c>
      <c r="C1191" s="8" t="str">
        <f ca="1">IFERROR(__xludf.DUMMYFUNCTION("""COMPUTED_VALUE"""),"Wounded")</f>
        <v>Wounded</v>
      </c>
      <c r="D1191" s="8" t="str">
        <f ca="1">IFERROR(__xludf.DUMMYFUNCTION("""COMPUTED_VALUE"""),"Female")</f>
        <v>Female</v>
      </c>
      <c r="E1191" s="8" t="str">
        <f ca="1">IFERROR(__xludf.DUMMYFUNCTION("""COMPUTED_VALUE"""),"Student")</f>
        <v>Student</v>
      </c>
      <c r="F1191" s="8" t="str">
        <f ca="1">IFERROR(__xludf.DUMMYFUNCTION("""COMPUTED_VALUE"""),"Teen")</f>
        <v>Teen</v>
      </c>
    </row>
    <row r="1192" spans="1:6" ht="12.75">
      <c r="A1192" s="4">
        <v>1191</v>
      </c>
      <c r="B1192" s="8" t="str">
        <f ca="1">IFERROR(__xludf.DUMMYFUNCTION("""COMPUTED_VALUE"""),"20160209MIMUM")</f>
        <v>20160209MIMUM</v>
      </c>
      <c r="C1192" s="8" t="str">
        <f ca="1">IFERROR(__xludf.DUMMYFUNCTION("""COMPUTED_VALUE"""),"Wounded")</f>
        <v>Wounded</v>
      </c>
      <c r="D1192" s="8" t="str">
        <f ca="1">IFERROR(__xludf.DUMMYFUNCTION("""COMPUTED_VALUE"""),"Male")</f>
        <v>Male</v>
      </c>
      <c r="E1192" s="8" t="str">
        <f ca="1">IFERROR(__xludf.DUMMYFUNCTION("""COMPUTED_VALUE"""),"Student")</f>
        <v>Student</v>
      </c>
      <c r="F1192" s="8" t="str">
        <f ca="1">IFERROR(__xludf.DUMMYFUNCTION("""COMPUTED_VALUE"""),"Teen")</f>
        <v>Teen</v>
      </c>
    </row>
    <row r="1193" spans="1:6" ht="12.75">
      <c r="A1193" s="4">
        <v>1192</v>
      </c>
      <c r="B1193" s="8" t="str">
        <f ca="1">IFERROR(__xludf.DUMMYFUNCTION("""COMPUTED_VALUE"""),"20160129PABEP")</f>
        <v>20160129PABEP</v>
      </c>
      <c r="C1193" s="8" t="str">
        <f ca="1">IFERROR(__xludf.DUMMYFUNCTION("""COMPUTED_VALUE"""),"None")</f>
        <v>None</v>
      </c>
      <c r="D1193" s="8"/>
      <c r="E1193" s="8"/>
      <c r="F1193" s="8"/>
    </row>
    <row r="1194" spans="1:6" ht="12.75">
      <c r="A1194" s="4">
        <v>1193</v>
      </c>
      <c r="B1194" s="8" t="str">
        <f ca="1">IFERROR(__xludf.DUMMYFUNCTION("""COMPUTED_VALUE"""),"20160122INLAI")</f>
        <v>20160122INLAI</v>
      </c>
      <c r="C1194" s="8" t="str">
        <f ca="1">IFERROR(__xludf.DUMMYFUNCTION("""COMPUTED_VALUE"""),"Wounded")</f>
        <v>Wounded</v>
      </c>
      <c r="D1194" s="8" t="str">
        <f ca="1">IFERROR(__xludf.DUMMYFUNCTION("""COMPUTED_VALUE"""),"Male")</f>
        <v>Male</v>
      </c>
      <c r="E1194" s="8" t="str">
        <f ca="1">IFERROR(__xludf.DUMMYFUNCTION("""COMPUTED_VALUE"""),"Student")</f>
        <v>Student</v>
      </c>
      <c r="F1194" s="8">
        <f ca="1">IFERROR(__xludf.DUMMYFUNCTION("""COMPUTED_VALUE"""),15)</f>
        <v>15</v>
      </c>
    </row>
    <row r="1195" spans="1:6" ht="12.75">
      <c r="A1195" s="4">
        <v>1194</v>
      </c>
      <c r="B1195" s="8" t="str">
        <f ca="1">IFERROR(__xludf.DUMMYFUNCTION("""COMPUTED_VALUE"""),"20160120INNOI")</f>
        <v>20160120INNOI</v>
      </c>
      <c r="C1195" s="8" t="str">
        <f ca="1">IFERROR(__xludf.DUMMYFUNCTION("""COMPUTED_VALUE"""),"None")</f>
        <v>None</v>
      </c>
      <c r="D1195" s="8"/>
      <c r="E1195" s="8"/>
      <c r="F1195" s="8"/>
    </row>
    <row r="1196" spans="1:6" ht="12.75">
      <c r="A1196" s="4">
        <v>1195</v>
      </c>
      <c r="B1196" s="8" t="str">
        <f ca="1">IFERROR(__xludf.DUMMYFUNCTION("""COMPUTED_VALUE"""),"20160113ARHAB")</f>
        <v>20160113ARHAB</v>
      </c>
      <c r="C1196" s="8" t="str">
        <f ca="1">IFERROR(__xludf.DUMMYFUNCTION("""COMPUTED_VALUE"""),"Wounded")</f>
        <v>Wounded</v>
      </c>
      <c r="D1196" s="8" t="str">
        <f ca="1">IFERROR(__xludf.DUMMYFUNCTION("""COMPUTED_VALUE"""),"Male")</f>
        <v>Male</v>
      </c>
      <c r="E1196" s="8" t="str">
        <f ca="1">IFERROR(__xludf.DUMMYFUNCTION("""COMPUTED_VALUE"""),"Student")</f>
        <v>Student</v>
      </c>
      <c r="F1196" s="8">
        <f ca="1">IFERROR(__xludf.DUMMYFUNCTION("""COMPUTED_VALUE"""),18)</f>
        <v>18</v>
      </c>
    </row>
    <row r="1197" spans="1:6" ht="12.75">
      <c r="A1197" s="4">
        <v>1196</v>
      </c>
      <c r="B1197" s="8" t="str">
        <f ca="1">IFERROR(__xludf.DUMMYFUNCTION("""COMPUTED_VALUE"""),"20160112DECED")</f>
        <v>20160112DECED</v>
      </c>
      <c r="C1197" s="8" t="str">
        <f ca="1">IFERROR(__xludf.DUMMYFUNCTION("""COMPUTED_VALUE"""),"None")</f>
        <v>None</v>
      </c>
      <c r="D1197" s="8"/>
      <c r="E1197" s="8"/>
      <c r="F1197" s="8"/>
    </row>
    <row r="1198" spans="1:6" ht="12.75">
      <c r="A1198" s="4">
        <v>1197</v>
      </c>
      <c r="B1198" s="8" t="str">
        <f ca="1">IFERROR(__xludf.DUMMYFUNCTION("""COMPUTED_VALUE"""),"20151204KSWEW")</f>
        <v>20151204KSWEW</v>
      </c>
      <c r="C1198" s="8" t="str">
        <f ca="1">IFERROR(__xludf.DUMMYFUNCTION("""COMPUTED_VALUE"""),"Wounded")</f>
        <v>Wounded</v>
      </c>
      <c r="D1198" s="8" t="str">
        <f ca="1">IFERROR(__xludf.DUMMYFUNCTION("""COMPUTED_VALUE"""),"Male")</f>
        <v>Male</v>
      </c>
      <c r="E1198" s="8" t="str">
        <f ca="1">IFERROR(__xludf.DUMMYFUNCTION("""COMPUTED_VALUE"""),"Student")</f>
        <v>Student</v>
      </c>
      <c r="F1198" s="8">
        <f ca="1">IFERROR(__xludf.DUMMYFUNCTION("""COMPUTED_VALUE"""),17)</f>
        <v>17</v>
      </c>
    </row>
    <row r="1199" spans="1:6" ht="12.75">
      <c r="A1199" s="4">
        <v>1198</v>
      </c>
      <c r="B1199" s="8" t="str">
        <f ca="1">IFERROR(__xludf.DUMMYFUNCTION("""COMPUTED_VALUE"""),"20151120FLNAM")</f>
        <v>20151120FLNAM</v>
      </c>
      <c r="C1199" s="8" t="str">
        <f ca="1">IFERROR(__xludf.DUMMYFUNCTION("""COMPUTED_VALUE"""),"None")</f>
        <v>None</v>
      </c>
      <c r="D1199" s="8"/>
      <c r="E1199" s="8"/>
      <c r="F1199" s="8"/>
    </row>
    <row r="1200" spans="1:6" ht="12.75">
      <c r="A1200" s="4">
        <v>1199</v>
      </c>
      <c r="B1200" s="8" t="str">
        <f ca="1">IFERROR(__xludf.DUMMYFUNCTION("""COMPUTED_VALUE"""),"20151111ARSUS")</f>
        <v>20151111ARSUS</v>
      </c>
      <c r="C1200" s="8" t="str">
        <f ca="1">IFERROR(__xludf.DUMMYFUNCTION("""COMPUTED_VALUE"""),"Wounded")</f>
        <v>Wounded</v>
      </c>
      <c r="D1200" s="8" t="str">
        <f ca="1">IFERROR(__xludf.DUMMYFUNCTION("""COMPUTED_VALUE"""),"Male")</f>
        <v>Male</v>
      </c>
      <c r="E1200" s="8" t="str">
        <f ca="1">IFERROR(__xludf.DUMMYFUNCTION("""COMPUTED_VALUE"""),"Student")</f>
        <v>Student</v>
      </c>
      <c r="F1200" s="8" t="str">
        <f ca="1">IFERROR(__xludf.DUMMYFUNCTION("""COMPUTED_VALUE"""),"Teen")</f>
        <v>Teen</v>
      </c>
    </row>
    <row r="1201" spans="1:6" ht="12.75">
      <c r="A1201" s="4">
        <v>1200</v>
      </c>
      <c r="B1201" s="8" t="str">
        <f ca="1">IFERROR(__xludf.DUMMYFUNCTION("""COMPUTED_VALUE"""),"20151105GAVEM")</f>
        <v>20151105GAVEM</v>
      </c>
      <c r="C1201" s="8" t="str">
        <f ca="1">IFERROR(__xludf.DUMMYFUNCTION("""COMPUTED_VALUE"""),"None")</f>
        <v>None</v>
      </c>
      <c r="D1201" s="8"/>
      <c r="E1201" s="8"/>
      <c r="F1201" s="8"/>
    </row>
    <row r="1202" spans="1:6" ht="12.75">
      <c r="A1202" s="4">
        <v>1201</v>
      </c>
      <c r="B1202" s="8" t="str">
        <f ca="1">IFERROR(__xludf.DUMMYFUNCTION("""COMPUTED_VALUE"""),"20151024TXEDS")</f>
        <v>20151024TXEDS</v>
      </c>
      <c r="C1202" s="8" t="str">
        <f ca="1">IFERROR(__xludf.DUMMYFUNCTION("""COMPUTED_VALUE"""),"Fatal")</f>
        <v>Fatal</v>
      </c>
      <c r="D1202" s="8" t="str">
        <f ca="1">IFERROR(__xludf.DUMMYFUNCTION("""COMPUTED_VALUE"""),"Male")</f>
        <v>Male</v>
      </c>
      <c r="E1202" s="8" t="str">
        <f ca="1">IFERROR(__xludf.DUMMYFUNCTION("""COMPUTED_VALUE"""),"No Relation")</f>
        <v>No Relation</v>
      </c>
      <c r="F1202" s="8">
        <f ca="1">IFERROR(__xludf.DUMMYFUNCTION("""COMPUTED_VALUE"""),25)</f>
        <v>25</v>
      </c>
    </row>
    <row r="1203" spans="1:6" ht="12.75">
      <c r="A1203" s="4">
        <v>1202</v>
      </c>
      <c r="B1203" s="8" t="str">
        <f ca="1">IFERROR(__xludf.DUMMYFUNCTION("""COMPUTED_VALUE"""),"20151015TXKAS")</f>
        <v>20151015TXKAS</v>
      </c>
      <c r="C1203" s="8" t="str">
        <f ca="1">IFERROR(__xludf.DUMMYFUNCTION("""COMPUTED_VALUE"""),"None")</f>
        <v>None</v>
      </c>
      <c r="D1203" s="8"/>
      <c r="E1203" s="8"/>
      <c r="F1203" s="8"/>
    </row>
    <row r="1204" spans="1:6" ht="12.75">
      <c r="A1204" s="4">
        <v>1203</v>
      </c>
      <c r="B1204" s="8" t="str">
        <f ca="1">IFERROR(__xludf.DUMMYFUNCTION("""COMPUTED_VALUE"""),"20150930SDHAH")</f>
        <v>20150930SDHAH</v>
      </c>
      <c r="C1204" s="8" t="str">
        <f ca="1">IFERROR(__xludf.DUMMYFUNCTION("""COMPUTED_VALUE"""),"Wounded")</f>
        <v>Wounded</v>
      </c>
      <c r="D1204" s="8" t="str">
        <f ca="1">IFERROR(__xludf.DUMMYFUNCTION("""COMPUTED_VALUE"""),"Male")</f>
        <v>Male</v>
      </c>
      <c r="E1204" s="8" t="str">
        <f ca="1">IFERROR(__xludf.DUMMYFUNCTION("""COMPUTED_VALUE"""),"Principal/Vice-Principal")</f>
        <v>Principal/Vice-Principal</v>
      </c>
      <c r="F1204" s="8" t="str">
        <f ca="1">IFERROR(__xludf.DUMMYFUNCTION("""COMPUTED_VALUE"""),"Adult")</f>
        <v>Adult</v>
      </c>
    </row>
    <row r="1205" spans="1:6" ht="12.75">
      <c r="A1205" s="4">
        <v>1204</v>
      </c>
      <c r="B1205" s="8" t="str">
        <f ca="1">IFERROR(__xludf.DUMMYFUNCTION("""COMPUTED_VALUE"""),"20150922NCCES")</f>
        <v>20150922NCCES</v>
      </c>
      <c r="C1205" s="8" t="str">
        <f ca="1">IFERROR(__xludf.DUMMYFUNCTION("""COMPUTED_VALUE"""),"Wounded")</f>
        <v>Wounded</v>
      </c>
      <c r="D1205" s="8" t="str">
        <f ca="1">IFERROR(__xludf.DUMMYFUNCTION("""COMPUTED_VALUE"""),"Male")</f>
        <v>Male</v>
      </c>
      <c r="E1205" s="8" t="str">
        <f ca="1">IFERROR(__xludf.DUMMYFUNCTION("""COMPUTED_VALUE"""),"Parent")</f>
        <v>Parent</v>
      </c>
      <c r="F1205" s="8">
        <f ca="1">IFERROR(__xludf.DUMMYFUNCTION("""COMPUTED_VALUE"""),33)</f>
        <v>33</v>
      </c>
    </row>
    <row r="1206" spans="1:6" ht="12.75">
      <c r="A1206" s="4">
        <v>1205</v>
      </c>
      <c r="B1206" s="8" t="str">
        <f ca="1">IFERROR(__xludf.DUMMYFUNCTION("""COMPUTED_VALUE"""),"20150911LANOL")</f>
        <v>20150911LANOL</v>
      </c>
      <c r="C1206" s="8" t="str">
        <f ca="1">IFERROR(__xludf.DUMMYFUNCTION("""COMPUTED_VALUE"""),"Wounded")</f>
        <v>Wounded</v>
      </c>
      <c r="D1206" s="8" t="str">
        <f ca="1">IFERROR(__xludf.DUMMYFUNCTION("""COMPUTED_VALUE"""),"Female")</f>
        <v>Female</v>
      </c>
      <c r="E1206" s="8" t="str">
        <f ca="1">IFERROR(__xludf.DUMMYFUNCTION("""COMPUTED_VALUE"""),"Unknown")</f>
        <v>Unknown</v>
      </c>
      <c r="F1206" s="8">
        <f ca="1">IFERROR(__xludf.DUMMYFUNCTION("""COMPUTED_VALUE"""),17)</f>
        <v>17</v>
      </c>
    </row>
    <row r="1207" spans="1:6" ht="12.75">
      <c r="A1207" s="4">
        <v>1206</v>
      </c>
      <c r="B1207" s="8" t="str">
        <f ca="1">IFERROR(__xludf.DUMMYFUNCTION("""COMPUTED_VALUE"""),"20150903ORNEN")</f>
        <v>20150903ORNEN</v>
      </c>
      <c r="C1207" s="8" t="str">
        <f ca="1">IFERROR(__xludf.DUMMYFUNCTION("""COMPUTED_VALUE"""),"None")</f>
        <v>None</v>
      </c>
      <c r="D1207" s="8"/>
      <c r="E1207" s="8"/>
      <c r="F1207" s="8"/>
    </row>
    <row r="1208" spans="1:6" ht="12.75">
      <c r="A1208" s="4">
        <v>1207</v>
      </c>
      <c r="B1208" s="8" t="str">
        <f ca="1">IFERROR(__xludf.DUMMYFUNCTION("""COMPUTED_VALUE"""),"20150825GAWSA")</f>
        <v>20150825GAWSA</v>
      </c>
      <c r="C1208" s="8" t="str">
        <f ca="1">IFERROR(__xludf.DUMMYFUNCTION("""COMPUTED_VALUE"""),"Wounded")</f>
        <v>Wounded</v>
      </c>
      <c r="D1208" s="8" t="str">
        <f ca="1">IFERROR(__xludf.DUMMYFUNCTION("""COMPUTED_VALUE"""),"Female")</f>
        <v>Female</v>
      </c>
      <c r="E1208" s="8" t="str">
        <f ca="1">IFERROR(__xludf.DUMMYFUNCTION("""COMPUTED_VALUE"""),"Student")</f>
        <v>Student</v>
      </c>
      <c r="F1208" s="8" t="str">
        <f ca="1">IFERROR(__xludf.DUMMYFUNCTION("""COMPUTED_VALUE"""),"Child")</f>
        <v>Child</v>
      </c>
    </row>
    <row r="1209" spans="1:6" ht="12.75">
      <c r="A1209" s="4">
        <v>1208</v>
      </c>
      <c r="B1209" s="8" t="str">
        <f ca="1">IFERROR(__xludf.DUMMYFUNCTION("""COMPUTED_VALUE"""),"20150823TXWIR")</f>
        <v>20150823TXWIR</v>
      </c>
      <c r="C1209" s="8" t="str">
        <f ca="1">IFERROR(__xludf.DUMMYFUNCTION("""COMPUTED_VALUE"""),"None")</f>
        <v>None</v>
      </c>
      <c r="D1209" s="8"/>
      <c r="E1209" s="8"/>
      <c r="F1209" s="8"/>
    </row>
    <row r="1210" spans="1:6" ht="12.75">
      <c r="A1210" s="4">
        <v>1209</v>
      </c>
      <c r="B1210" s="8" t="str">
        <f ca="1">IFERROR(__xludf.DUMMYFUNCTION("""COMPUTED_VALUE"""),"20150808TXPAP")</f>
        <v>20150808TXPAP</v>
      </c>
      <c r="C1210" s="8" t="str">
        <f ca="1">IFERROR(__xludf.DUMMYFUNCTION("""COMPUTED_VALUE"""),"None")</f>
        <v>None</v>
      </c>
      <c r="D1210" s="8"/>
      <c r="E1210" s="8"/>
      <c r="F1210" s="8"/>
    </row>
    <row r="1211" spans="1:6" ht="12.75">
      <c r="A1211" s="4">
        <v>1210</v>
      </c>
      <c r="B1211" s="8" t="str">
        <f ca="1">IFERROR(__xludf.DUMMYFUNCTION("""COMPUTED_VALUE"""),"20150724TXELC")</f>
        <v>20150724TXELC</v>
      </c>
      <c r="C1211" s="8" t="str">
        <f ca="1">IFERROR(__xludf.DUMMYFUNCTION("""COMPUTED_VALUE"""),"Fatal")</f>
        <v>Fatal</v>
      </c>
      <c r="D1211" s="8" t="str">
        <f ca="1">IFERROR(__xludf.DUMMYFUNCTION("""COMPUTED_VALUE"""),"Male")</f>
        <v>Male</v>
      </c>
      <c r="E1211" s="8" t="str">
        <f ca="1">IFERROR(__xludf.DUMMYFUNCTION("""COMPUTED_VALUE"""),"No Relation")</f>
        <v>No Relation</v>
      </c>
      <c r="F1211" s="8">
        <f ca="1">IFERROR(__xludf.DUMMYFUNCTION("""COMPUTED_VALUE"""),19)</f>
        <v>19</v>
      </c>
    </row>
    <row r="1212" spans="1:6" ht="12.75">
      <c r="A1212" s="4">
        <v>1211</v>
      </c>
      <c r="B1212" s="8" t="str">
        <f ca="1">IFERROR(__xludf.DUMMYFUNCTION("""COMPUTED_VALUE"""),"20150705TXCOD")</f>
        <v>20150705TXCOD</v>
      </c>
      <c r="C1212" s="8" t="str">
        <f ca="1">IFERROR(__xludf.DUMMYFUNCTION("""COMPUTED_VALUE"""),"Wounded")</f>
        <v>Wounded</v>
      </c>
      <c r="D1212" s="8" t="str">
        <f ca="1">IFERROR(__xludf.DUMMYFUNCTION("""COMPUTED_VALUE"""),"Male")</f>
        <v>Male</v>
      </c>
      <c r="E1212" s="8" t="str">
        <f ca="1">IFERROR(__xludf.DUMMYFUNCTION("""COMPUTED_VALUE"""),"Former Student")</f>
        <v>Former Student</v>
      </c>
      <c r="F1212" s="8">
        <f ca="1">IFERROR(__xludf.DUMMYFUNCTION("""COMPUTED_VALUE"""),18)</f>
        <v>18</v>
      </c>
    </row>
    <row r="1213" spans="1:6" ht="12.75">
      <c r="A1213" s="4">
        <v>1212</v>
      </c>
      <c r="B1213" s="8" t="str">
        <f ca="1">IFERROR(__xludf.DUMMYFUNCTION("""COMPUTED_VALUE"""),"20150629TXJOS")</f>
        <v>20150629TXJOS</v>
      </c>
      <c r="C1213" s="8" t="str">
        <f ca="1">IFERROR(__xludf.DUMMYFUNCTION("""COMPUTED_VALUE"""),"None")</f>
        <v>None</v>
      </c>
      <c r="D1213" s="8" t="str">
        <f ca="1">IFERROR(__xludf.DUMMYFUNCTION("""COMPUTED_VALUE"""),"Male")</f>
        <v>Male</v>
      </c>
      <c r="E1213" s="8" t="str">
        <f ca="1">IFERROR(__xludf.DUMMYFUNCTION("""COMPUTED_VALUE"""),"No Relation")</f>
        <v>No Relation</v>
      </c>
      <c r="F1213" s="8">
        <f ca="1">IFERROR(__xludf.DUMMYFUNCTION("""COMPUTED_VALUE"""),28)</f>
        <v>28</v>
      </c>
    </row>
    <row r="1214" spans="1:6" ht="12.75">
      <c r="A1214" s="4">
        <v>1213</v>
      </c>
      <c r="B1214" s="8" t="str">
        <f ca="1">IFERROR(__xludf.DUMMYFUNCTION("""COMPUTED_VALUE"""),"20150627CTSAH")</f>
        <v>20150627CTSAH</v>
      </c>
      <c r="C1214" s="8" t="str">
        <f ca="1">IFERROR(__xludf.DUMMYFUNCTION("""COMPUTED_VALUE"""),"Wounded")</f>
        <v>Wounded</v>
      </c>
      <c r="D1214" s="8" t="str">
        <f ca="1">IFERROR(__xludf.DUMMYFUNCTION("""COMPUTED_VALUE"""),"Male")</f>
        <v>Male</v>
      </c>
      <c r="E1214" s="8" t="str">
        <f ca="1">IFERROR(__xludf.DUMMYFUNCTION("""COMPUTED_VALUE"""),"Nonstudent Using Athletic Facilities/Attending Game")</f>
        <v>Nonstudent Using Athletic Facilities/Attending Game</v>
      </c>
      <c r="F1214" s="8" t="str">
        <f ca="1">IFERROR(__xludf.DUMMYFUNCTION("""COMPUTED_VALUE"""),"Teen")</f>
        <v>Teen</v>
      </c>
    </row>
    <row r="1215" spans="1:6" ht="12.75">
      <c r="A1215" s="4">
        <v>1214</v>
      </c>
      <c r="B1215" s="8" t="str">
        <f ca="1">IFERROR(__xludf.DUMMYFUNCTION("""COMPUTED_VALUE"""),"20150627CTSAH")</f>
        <v>20150627CTSAH</v>
      </c>
      <c r="C1215" s="8" t="str">
        <f ca="1">IFERROR(__xludf.DUMMYFUNCTION("""COMPUTED_VALUE"""),"Fatal")</f>
        <v>Fatal</v>
      </c>
      <c r="D1215" s="8" t="str">
        <f ca="1">IFERROR(__xludf.DUMMYFUNCTION("""COMPUTED_VALUE"""),"Male")</f>
        <v>Male</v>
      </c>
      <c r="E1215" s="8" t="str">
        <f ca="1">IFERROR(__xludf.DUMMYFUNCTION("""COMPUTED_VALUE"""),"Nonstudent Using Athletic Facilities/Attending Game")</f>
        <v>Nonstudent Using Athletic Facilities/Attending Game</v>
      </c>
      <c r="F1215" s="8" t="str">
        <f ca="1">IFERROR(__xludf.DUMMYFUNCTION("""COMPUTED_VALUE"""),"Teen")</f>
        <v>Teen</v>
      </c>
    </row>
    <row r="1216" spans="1:6" ht="12.75">
      <c r="A1216" s="4">
        <v>1215</v>
      </c>
      <c r="B1216" s="8" t="str">
        <f ca="1">IFERROR(__xludf.DUMMYFUNCTION("""COMPUTED_VALUE"""),"20150627CTSAH")</f>
        <v>20150627CTSAH</v>
      </c>
      <c r="C1216" s="8" t="str">
        <f ca="1">IFERROR(__xludf.DUMMYFUNCTION("""COMPUTED_VALUE"""),"Wounded")</f>
        <v>Wounded</v>
      </c>
      <c r="D1216" s="8" t="str">
        <f ca="1">IFERROR(__xludf.DUMMYFUNCTION("""COMPUTED_VALUE"""),"Male")</f>
        <v>Male</v>
      </c>
      <c r="E1216" s="8" t="str">
        <f ca="1">IFERROR(__xludf.DUMMYFUNCTION("""COMPUTED_VALUE"""),"Nonstudent Using Athletic Facilities/Attending Game")</f>
        <v>Nonstudent Using Athletic Facilities/Attending Game</v>
      </c>
      <c r="F1216" s="8" t="str">
        <f ca="1">IFERROR(__xludf.DUMMYFUNCTION("""COMPUTED_VALUE"""),"Teen")</f>
        <v>Teen</v>
      </c>
    </row>
    <row r="1217" spans="1:6" ht="12.75">
      <c r="A1217" s="4">
        <v>1216</v>
      </c>
      <c r="B1217" s="8" t="str">
        <f ca="1">IFERROR(__xludf.DUMMYFUNCTION("""COMPUTED_VALUE"""),"20150627CTSAH")</f>
        <v>20150627CTSAH</v>
      </c>
      <c r="C1217" s="8" t="str">
        <f ca="1">IFERROR(__xludf.DUMMYFUNCTION("""COMPUTED_VALUE"""),"Wounded")</f>
        <v>Wounded</v>
      </c>
      <c r="D1217" s="8" t="str">
        <f ca="1">IFERROR(__xludf.DUMMYFUNCTION("""COMPUTED_VALUE"""),"Male")</f>
        <v>Male</v>
      </c>
      <c r="E1217" s="8" t="str">
        <f ca="1">IFERROR(__xludf.DUMMYFUNCTION("""COMPUTED_VALUE"""),"Nonstudent Using Athletic Facilities/Attending Game")</f>
        <v>Nonstudent Using Athletic Facilities/Attending Game</v>
      </c>
      <c r="F1217" s="8" t="str">
        <f ca="1">IFERROR(__xludf.DUMMYFUNCTION("""COMPUTED_VALUE"""),"Teen")</f>
        <v>Teen</v>
      </c>
    </row>
    <row r="1218" spans="1:6" ht="12.75">
      <c r="A1218" s="4">
        <v>1217</v>
      </c>
      <c r="B1218" s="8" t="str">
        <f ca="1">IFERROR(__xludf.DUMMYFUNCTION("""COMPUTED_VALUE"""),"20150623NEFOF")</f>
        <v>20150623NEFOF</v>
      </c>
      <c r="C1218" s="8" t="str">
        <f ca="1">IFERROR(__xludf.DUMMYFUNCTION("""COMPUTED_VALUE"""),"None")</f>
        <v>None</v>
      </c>
      <c r="D1218" s="8"/>
      <c r="E1218" s="8"/>
      <c r="F1218" s="8"/>
    </row>
    <row r="1219" spans="1:6" ht="12.75">
      <c r="A1219" s="4">
        <v>1218</v>
      </c>
      <c r="B1219" s="8" t="str">
        <f ca="1">IFERROR(__xludf.DUMMYFUNCTION("""COMPUTED_VALUE"""),"20150604NCSOF")</f>
        <v>20150604NCSOF</v>
      </c>
      <c r="C1219" s="8" t="str">
        <f ca="1">IFERROR(__xludf.DUMMYFUNCTION("""COMPUTED_VALUE"""),"None")</f>
        <v>None</v>
      </c>
      <c r="D1219" s="8"/>
      <c r="E1219" s="8"/>
      <c r="F1219" s="8"/>
    </row>
    <row r="1220" spans="1:6" ht="12.75">
      <c r="A1220" s="4">
        <v>1219</v>
      </c>
      <c r="B1220" s="8" t="str">
        <f ca="1">IFERROR(__xludf.DUMMYFUNCTION("""COMPUTED_VALUE"""),"20150527FLEVE")</f>
        <v>20150527FLEVE</v>
      </c>
      <c r="C1220" s="8" t="str">
        <f ca="1">IFERROR(__xludf.DUMMYFUNCTION("""COMPUTED_VALUE"""),"Wounded")</f>
        <v>Wounded</v>
      </c>
      <c r="D1220" s="8" t="str">
        <f ca="1">IFERROR(__xludf.DUMMYFUNCTION("""COMPUTED_VALUE"""),"Male")</f>
        <v>Male</v>
      </c>
      <c r="E1220" s="8" t="str">
        <f ca="1">IFERROR(__xludf.DUMMYFUNCTION("""COMPUTED_VALUE"""),"No Relation")</f>
        <v>No Relation</v>
      </c>
      <c r="F1220" s="8">
        <f ca="1">IFERROR(__xludf.DUMMYFUNCTION("""COMPUTED_VALUE"""),30)</f>
        <v>30</v>
      </c>
    </row>
    <row r="1221" spans="1:6" ht="12.75">
      <c r="A1221" s="4">
        <v>1220</v>
      </c>
      <c r="B1221" s="8" t="str">
        <f ca="1">IFERROR(__xludf.DUMMYFUNCTION("""COMPUTED_VALUE"""),"20150524MISOF")</f>
        <v>20150524MISOF</v>
      </c>
      <c r="C1221" s="8" t="str">
        <f ca="1">IFERROR(__xludf.DUMMYFUNCTION("""COMPUTED_VALUE"""),"Wounded")</f>
        <v>Wounded</v>
      </c>
      <c r="D1221" s="8"/>
      <c r="E1221" s="8"/>
      <c r="F1221" s="8"/>
    </row>
    <row r="1222" spans="1:6" ht="12.75">
      <c r="A1222" s="4">
        <v>1221</v>
      </c>
      <c r="B1222" s="8" t="str">
        <f ca="1">IFERROR(__xludf.DUMMYFUNCTION("""COMPUTED_VALUE"""),"20150524MISOF")</f>
        <v>20150524MISOF</v>
      </c>
      <c r="C1222" s="8" t="str">
        <f ca="1">IFERROR(__xludf.DUMMYFUNCTION("""COMPUTED_VALUE"""),"Wounded")</f>
        <v>Wounded</v>
      </c>
      <c r="D1222" s="8"/>
      <c r="E1222" s="8"/>
      <c r="F1222" s="8"/>
    </row>
    <row r="1223" spans="1:6" ht="12.75">
      <c r="A1223" s="4">
        <v>1222</v>
      </c>
      <c r="B1223" s="8" t="str">
        <f ca="1">IFERROR(__xludf.DUMMYFUNCTION("""COMPUTED_VALUE"""),"20150524MISOF")</f>
        <v>20150524MISOF</v>
      </c>
      <c r="C1223" s="8" t="str">
        <f ca="1">IFERROR(__xludf.DUMMYFUNCTION("""COMPUTED_VALUE"""),"Wounded")</f>
        <v>Wounded</v>
      </c>
      <c r="D1223" s="8"/>
      <c r="E1223" s="8"/>
      <c r="F1223" s="8"/>
    </row>
    <row r="1224" spans="1:6" ht="12.75">
      <c r="A1224" s="4">
        <v>1223</v>
      </c>
      <c r="B1224" s="8" t="str">
        <f ca="1">IFERROR(__xludf.DUMMYFUNCTION("""COMPUTED_VALUE"""),"20150524MISOF")</f>
        <v>20150524MISOF</v>
      </c>
      <c r="C1224" s="8" t="str">
        <f ca="1">IFERROR(__xludf.DUMMYFUNCTION("""COMPUTED_VALUE"""),"Wounded")</f>
        <v>Wounded</v>
      </c>
      <c r="D1224" s="8"/>
      <c r="E1224" s="8"/>
      <c r="F1224" s="8"/>
    </row>
    <row r="1225" spans="1:6" ht="12.75">
      <c r="A1225" s="4">
        <v>1224</v>
      </c>
      <c r="B1225" s="8" t="str">
        <f ca="1">IFERROR(__xludf.DUMMYFUNCTION("""COMPUTED_VALUE"""),"20150524MISOF")</f>
        <v>20150524MISOF</v>
      </c>
      <c r="C1225" s="8" t="str">
        <f ca="1">IFERROR(__xludf.DUMMYFUNCTION("""COMPUTED_VALUE"""),"Wounded")</f>
        <v>Wounded</v>
      </c>
      <c r="D1225" s="8"/>
      <c r="E1225" s="8"/>
      <c r="F1225" s="8"/>
    </row>
    <row r="1226" spans="1:6" ht="12.75">
      <c r="A1226" s="4">
        <v>1225</v>
      </c>
      <c r="B1226" s="8" t="str">
        <f ca="1">IFERROR(__xludf.DUMMYFUNCTION("""COMPUTED_VALUE"""),"20150524MISOF")</f>
        <v>20150524MISOF</v>
      </c>
      <c r="C1226" s="8" t="str">
        <f ca="1">IFERROR(__xludf.DUMMYFUNCTION("""COMPUTED_VALUE"""),"Wounded")</f>
        <v>Wounded</v>
      </c>
      <c r="D1226" s="8"/>
      <c r="E1226" s="8"/>
      <c r="F1226" s="8"/>
    </row>
    <row r="1227" spans="1:6" ht="12.75">
      <c r="A1227" s="4">
        <v>1226</v>
      </c>
      <c r="B1227" s="8" t="str">
        <f ca="1">IFERROR(__xludf.DUMMYFUNCTION("""COMPUTED_VALUE"""),"20150524MISOF")</f>
        <v>20150524MISOF</v>
      </c>
      <c r="C1227" s="8" t="str">
        <f ca="1">IFERROR(__xludf.DUMMYFUNCTION("""COMPUTED_VALUE"""),"Wounded")</f>
        <v>Wounded</v>
      </c>
      <c r="D1227" s="8"/>
      <c r="E1227" s="8"/>
      <c r="F1227" s="8"/>
    </row>
    <row r="1228" spans="1:6" ht="12.75">
      <c r="A1228" s="4">
        <v>1227</v>
      </c>
      <c r="B1228" s="8" t="str">
        <f ca="1">IFERROR(__xludf.DUMMYFUNCTION("""COMPUTED_VALUE"""),"20150521FLDUJ")</f>
        <v>20150521FLDUJ</v>
      </c>
      <c r="C1228" s="8" t="str">
        <f ca="1">IFERROR(__xludf.DUMMYFUNCTION("""COMPUTED_VALUE"""),"Wounded")</f>
        <v>Wounded</v>
      </c>
      <c r="D1228" s="8" t="str">
        <f ca="1">IFERROR(__xludf.DUMMYFUNCTION("""COMPUTED_VALUE"""),"Female")</f>
        <v>Female</v>
      </c>
      <c r="E1228" s="8" t="str">
        <f ca="1">IFERROR(__xludf.DUMMYFUNCTION("""COMPUTED_VALUE"""),"Student")</f>
        <v>Student</v>
      </c>
      <c r="F1228" s="8" t="str">
        <f ca="1">IFERROR(__xludf.DUMMYFUNCTION("""COMPUTED_VALUE"""),"Teen")</f>
        <v>Teen</v>
      </c>
    </row>
    <row r="1229" spans="1:6" ht="12.75">
      <c r="A1229" s="4">
        <v>1228</v>
      </c>
      <c r="B1229" s="8" t="str">
        <f ca="1">IFERROR(__xludf.DUMMYFUNCTION("""COMPUTED_VALUE"""),"20150521FLDUJ")</f>
        <v>20150521FLDUJ</v>
      </c>
      <c r="C1229" s="8" t="str">
        <f ca="1">IFERROR(__xludf.DUMMYFUNCTION("""COMPUTED_VALUE"""),"Wounded")</f>
        <v>Wounded</v>
      </c>
      <c r="D1229" s="8" t="str">
        <f ca="1">IFERROR(__xludf.DUMMYFUNCTION("""COMPUTED_VALUE"""),"Female")</f>
        <v>Female</v>
      </c>
      <c r="E1229" s="8" t="str">
        <f ca="1">IFERROR(__xludf.DUMMYFUNCTION("""COMPUTED_VALUE"""),"Student")</f>
        <v>Student</v>
      </c>
      <c r="F1229" s="8" t="str">
        <f ca="1">IFERROR(__xludf.DUMMYFUNCTION("""COMPUTED_VALUE"""),"Teen")</f>
        <v>Teen</v>
      </c>
    </row>
    <row r="1230" spans="1:6" ht="12.75">
      <c r="A1230" s="4">
        <v>1229</v>
      </c>
      <c r="B1230" s="8" t="str">
        <f ca="1">IFERROR(__xludf.DUMMYFUNCTION("""COMPUTED_VALUE"""),"20150520TXROR")</f>
        <v>20150520TXROR</v>
      </c>
      <c r="C1230" s="8" t="str">
        <f ca="1">IFERROR(__xludf.DUMMYFUNCTION("""COMPUTED_VALUE"""),"None")</f>
        <v>None</v>
      </c>
      <c r="D1230" s="8" t="str">
        <f ca="1">IFERROR(__xludf.DUMMYFUNCTION("""COMPUTED_VALUE"""),"Male")</f>
        <v>Male</v>
      </c>
      <c r="E1230" s="8" t="str">
        <f ca="1">IFERROR(__xludf.DUMMYFUNCTION("""COMPUTED_VALUE"""),"Student")</f>
        <v>Student</v>
      </c>
      <c r="F1230" s="8">
        <f ca="1">IFERROR(__xludf.DUMMYFUNCTION("""COMPUTED_VALUE"""),18)</f>
        <v>18</v>
      </c>
    </row>
    <row r="1231" spans="1:6" ht="12.75">
      <c r="A1231" s="4">
        <v>1230</v>
      </c>
      <c r="B1231" s="8" t="str">
        <f ca="1">IFERROR(__xludf.DUMMYFUNCTION("""COMPUTED_VALUE"""),"20150512FLUNJ")</f>
        <v>20150512FLUNJ</v>
      </c>
      <c r="C1231" s="8" t="str">
        <f ca="1">IFERROR(__xludf.DUMMYFUNCTION("""COMPUTED_VALUE"""),"Wounded")</f>
        <v>Wounded</v>
      </c>
      <c r="D1231" s="8" t="str">
        <f ca="1">IFERROR(__xludf.DUMMYFUNCTION("""COMPUTED_VALUE"""),"Female")</f>
        <v>Female</v>
      </c>
      <c r="E1231" s="8" t="str">
        <f ca="1">IFERROR(__xludf.DUMMYFUNCTION("""COMPUTED_VALUE"""),"Student")</f>
        <v>Student</v>
      </c>
      <c r="F1231" s="8">
        <f ca="1">IFERROR(__xludf.DUMMYFUNCTION("""COMPUTED_VALUE"""),14)</f>
        <v>14</v>
      </c>
    </row>
    <row r="1232" spans="1:6" ht="12.75">
      <c r="A1232" s="4">
        <v>1231</v>
      </c>
      <c r="B1232" s="8" t="str">
        <f ca="1">IFERROR(__xludf.DUMMYFUNCTION("""COMPUTED_VALUE"""),"20150512FLUNJ")</f>
        <v>20150512FLUNJ</v>
      </c>
      <c r="C1232" s="8" t="str">
        <f ca="1">IFERROR(__xludf.DUMMYFUNCTION("""COMPUTED_VALUE"""),"Wounded")</f>
        <v>Wounded</v>
      </c>
      <c r="D1232" s="8" t="str">
        <f ca="1">IFERROR(__xludf.DUMMYFUNCTION("""COMPUTED_VALUE"""),"Female")</f>
        <v>Female</v>
      </c>
      <c r="E1232" s="8" t="str">
        <f ca="1">IFERROR(__xludf.DUMMYFUNCTION("""COMPUTED_VALUE"""),"Student")</f>
        <v>Student</v>
      </c>
      <c r="F1232" s="8">
        <f ca="1">IFERROR(__xludf.DUMMYFUNCTION("""COMPUTED_VALUE"""),15)</f>
        <v>15</v>
      </c>
    </row>
    <row r="1233" spans="1:6" ht="12.75">
      <c r="A1233" s="4">
        <v>1232</v>
      </c>
      <c r="B1233" s="8" t="str">
        <f ca="1">IFERROR(__xludf.DUMMYFUNCTION("""COMPUTED_VALUE"""),"20150512AZCOT")</f>
        <v>20150512AZCOT</v>
      </c>
      <c r="C1233" s="8" t="str">
        <f ca="1">IFERROR(__xludf.DUMMYFUNCTION("""COMPUTED_VALUE"""),"None")</f>
        <v>None</v>
      </c>
      <c r="D1233" s="8" t="str">
        <f ca="1">IFERROR(__xludf.DUMMYFUNCTION("""COMPUTED_VALUE"""),"Male")</f>
        <v>Male</v>
      </c>
      <c r="E1233" s="8" t="str">
        <f ca="1">IFERROR(__xludf.DUMMYFUNCTION("""COMPUTED_VALUE"""),"Student")</f>
        <v>Student</v>
      </c>
      <c r="F1233" s="8">
        <f ca="1">IFERROR(__xludf.DUMMYFUNCTION("""COMPUTED_VALUE"""),18)</f>
        <v>18</v>
      </c>
    </row>
    <row r="1234" spans="1:6" ht="12.75">
      <c r="A1234" s="4">
        <v>1233</v>
      </c>
      <c r="B1234" s="8" t="str">
        <f ca="1">IFERROR(__xludf.DUMMYFUNCTION("""COMPUTED_VALUE"""),"20150505GACOC")</f>
        <v>20150505GACOC</v>
      </c>
      <c r="C1234" s="8" t="str">
        <f ca="1">IFERROR(__xludf.DUMMYFUNCTION("""COMPUTED_VALUE"""),"None")</f>
        <v>None</v>
      </c>
      <c r="D1234" s="8"/>
      <c r="E1234" s="8"/>
      <c r="F1234" s="8"/>
    </row>
    <row r="1235" spans="1:6" ht="12.75">
      <c r="A1235" s="4">
        <v>1234</v>
      </c>
      <c r="B1235" s="8" t="str">
        <f ca="1">IFERROR(__xludf.DUMMYFUNCTION("""COMPUTED_VALUE"""),"20150504OHWIC")</f>
        <v>20150504OHWIC</v>
      </c>
      <c r="C1235" s="8" t="str">
        <f ca="1">IFERROR(__xludf.DUMMYFUNCTION("""COMPUTED_VALUE"""),"Fatal")</f>
        <v>Fatal</v>
      </c>
      <c r="D1235" s="8" t="str">
        <f ca="1">IFERROR(__xludf.DUMMYFUNCTION("""COMPUTED_VALUE"""),"Male")</f>
        <v>Male</v>
      </c>
      <c r="E1235" s="8" t="str">
        <f ca="1">IFERROR(__xludf.DUMMYFUNCTION("""COMPUTED_VALUE"""),"No Relation")</f>
        <v>No Relation</v>
      </c>
      <c r="F1235" s="8">
        <f ca="1">IFERROR(__xludf.DUMMYFUNCTION("""COMPUTED_VALUE"""),22)</f>
        <v>22</v>
      </c>
    </row>
    <row r="1236" spans="1:6" ht="12.75">
      <c r="A1236" s="4">
        <v>1235</v>
      </c>
      <c r="B1236" s="8" t="str">
        <f ca="1">IFERROR(__xludf.DUMMYFUNCTION("""COMPUTED_VALUE"""),"20150504OHWIC")</f>
        <v>20150504OHWIC</v>
      </c>
      <c r="C1236" s="8" t="str">
        <f ca="1">IFERROR(__xludf.DUMMYFUNCTION("""COMPUTED_VALUE"""),"Wounded")</f>
        <v>Wounded</v>
      </c>
      <c r="D1236" s="8" t="str">
        <f ca="1">IFERROR(__xludf.DUMMYFUNCTION("""COMPUTED_VALUE"""),"Male")</f>
        <v>Male</v>
      </c>
      <c r="E1236" s="8" t="str">
        <f ca="1">IFERROR(__xludf.DUMMYFUNCTION("""COMPUTED_VALUE"""),"No Relation")</f>
        <v>No Relation</v>
      </c>
      <c r="F1236" s="8">
        <f ca="1">IFERROR(__xludf.DUMMYFUNCTION("""COMPUTED_VALUE"""),26)</f>
        <v>26</v>
      </c>
    </row>
    <row r="1237" spans="1:6" ht="12.75">
      <c r="A1237" s="4">
        <v>1236</v>
      </c>
      <c r="B1237" s="8" t="str">
        <f ca="1">IFERROR(__xludf.DUMMYFUNCTION("""COMPUTED_VALUE"""),"20150428MDDRW")</f>
        <v>20150428MDDRW</v>
      </c>
      <c r="C1237" s="8" t="str">
        <f ca="1">IFERROR(__xludf.DUMMYFUNCTION("""COMPUTED_VALUE"""),"Wounded")</f>
        <v>Wounded</v>
      </c>
      <c r="D1237" s="8" t="str">
        <f ca="1">IFERROR(__xludf.DUMMYFUNCTION("""COMPUTED_VALUE"""),"Male")</f>
        <v>Male</v>
      </c>
      <c r="E1237" s="8" t="str">
        <f ca="1">IFERROR(__xludf.DUMMYFUNCTION("""COMPUTED_VALUE"""),"No Relation")</f>
        <v>No Relation</v>
      </c>
      <c r="F1237" s="8">
        <f ca="1">IFERROR(__xludf.DUMMYFUNCTION("""COMPUTED_VALUE"""),22)</f>
        <v>22</v>
      </c>
    </row>
    <row r="1238" spans="1:6" ht="12.75">
      <c r="A1238" s="4">
        <v>1237</v>
      </c>
      <c r="B1238" s="8" t="str">
        <f ca="1">IFERROR(__xludf.DUMMYFUNCTION("""COMPUTED_VALUE"""),"20150427WANOL")</f>
        <v>20150427WANOL</v>
      </c>
      <c r="C1238" s="8" t="str">
        <f ca="1">IFERROR(__xludf.DUMMYFUNCTION("""COMPUTED_VALUE"""),"None")</f>
        <v>None</v>
      </c>
      <c r="D1238" s="8"/>
      <c r="E1238" s="8"/>
      <c r="F1238" s="8"/>
    </row>
    <row r="1239" spans="1:6" ht="12.75">
      <c r="A1239" s="4">
        <v>1238</v>
      </c>
      <c r="B1239" s="8" t="str">
        <f ca="1">IFERROR(__xludf.DUMMYFUNCTION("""COMPUTED_VALUE"""),"20150422NVRUL")</f>
        <v>20150422NVRUL</v>
      </c>
      <c r="C1239" s="8" t="str">
        <f ca="1">IFERROR(__xludf.DUMMYFUNCTION("""COMPUTED_VALUE"""),"None")</f>
        <v>None</v>
      </c>
      <c r="D1239" s="8"/>
      <c r="E1239" s="8"/>
      <c r="F1239" s="8"/>
    </row>
    <row r="1240" spans="1:6" ht="12.75">
      <c r="A1240" s="4">
        <v>1239</v>
      </c>
      <c r="B1240" s="8" t="str">
        <f ca="1">IFERROR(__xludf.DUMMYFUNCTION("""COMPUTED_VALUE"""),"20150417TXSES")</f>
        <v>20150417TXSES</v>
      </c>
      <c r="C1240" s="8" t="str">
        <f ca="1">IFERROR(__xludf.DUMMYFUNCTION("""COMPUTED_VALUE"""),"None")</f>
        <v>None</v>
      </c>
      <c r="D1240" s="8" t="str">
        <f ca="1">IFERROR(__xludf.DUMMYFUNCTION("""COMPUTED_VALUE"""),"Male")</f>
        <v>Male</v>
      </c>
      <c r="E1240" s="8" t="str">
        <f ca="1">IFERROR(__xludf.DUMMYFUNCTION("""COMPUTED_VALUE"""),"Student")</f>
        <v>Student</v>
      </c>
      <c r="F1240" s="8">
        <f ca="1">IFERROR(__xludf.DUMMYFUNCTION("""COMPUTED_VALUE"""),18)</f>
        <v>18</v>
      </c>
    </row>
    <row r="1241" spans="1:6" ht="12.75">
      <c r="A1241" s="4">
        <v>1240</v>
      </c>
      <c r="B1241" s="8" t="str">
        <f ca="1">IFERROR(__xludf.DUMMYFUNCTION("""COMPUTED_VALUE"""),"20150330MOPEU")</f>
        <v>20150330MOPEU</v>
      </c>
      <c r="C1241" s="8" t="str">
        <f ca="1">IFERROR(__xludf.DUMMYFUNCTION("""COMPUTED_VALUE"""),"Wounded")</f>
        <v>Wounded</v>
      </c>
      <c r="D1241" s="8" t="str">
        <f ca="1">IFERROR(__xludf.DUMMYFUNCTION("""COMPUTED_VALUE"""),"Male")</f>
        <v>Male</v>
      </c>
      <c r="E1241" s="8" t="str">
        <f ca="1">IFERROR(__xludf.DUMMYFUNCTION("""COMPUTED_VALUE"""),"No Relation")</f>
        <v>No Relation</v>
      </c>
      <c r="F1241" s="8">
        <f ca="1">IFERROR(__xludf.DUMMYFUNCTION("""COMPUTED_VALUE"""),34)</f>
        <v>34</v>
      </c>
    </row>
    <row r="1242" spans="1:6" ht="12.75">
      <c r="A1242" s="4">
        <v>1241</v>
      </c>
      <c r="B1242" s="8" t="str">
        <f ca="1">IFERROR(__xludf.DUMMYFUNCTION("""COMPUTED_VALUE"""),"20150215CATEM")</f>
        <v>20150215CATEM</v>
      </c>
      <c r="C1242" s="8" t="str">
        <f ca="1">IFERROR(__xludf.DUMMYFUNCTION("""COMPUTED_VALUE"""),"Fatal")</f>
        <v>Fatal</v>
      </c>
      <c r="D1242" s="8" t="str">
        <f ca="1">IFERROR(__xludf.DUMMYFUNCTION("""COMPUTED_VALUE"""),"Male")</f>
        <v>Male</v>
      </c>
      <c r="E1242" s="8" t="str">
        <f ca="1">IFERROR(__xludf.DUMMYFUNCTION("""COMPUTED_VALUE"""),"Student")</f>
        <v>Student</v>
      </c>
      <c r="F1242" s="8">
        <f ca="1">IFERROR(__xludf.DUMMYFUNCTION("""COMPUTED_VALUE"""),16)</f>
        <v>16</v>
      </c>
    </row>
    <row r="1243" spans="1:6" ht="12.75">
      <c r="A1243" s="4">
        <v>1242</v>
      </c>
      <c r="B1243" s="8" t="str">
        <f ca="1">IFERROR(__xludf.DUMMYFUNCTION("""COMPUTED_VALUE"""),"20150215ARLAL")</f>
        <v>20150215ARLAL</v>
      </c>
      <c r="C1243" s="8" t="str">
        <f ca="1">IFERROR(__xludf.DUMMYFUNCTION("""COMPUTED_VALUE"""),"Wounded")</f>
        <v>Wounded</v>
      </c>
      <c r="D1243" s="8" t="str">
        <f ca="1">IFERROR(__xludf.DUMMYFUNCTION("""COMPUTED_VALUE"""),"Male")</f>
        <v>Male</v>
      </c>
      <c r="E1243" s="8" t="str">
        <f ca="1">IFERROR(__xludf.DUMMYFUNCTION("""COMPUTED_VALUE"""),"No Relation")</f>
        <v>No Relation</v>
      </c>
      <c r="F1243" s="8">
        <f ca="1">IFERROR(__xludf.DUMMYFUNCTION("""COMPUTED_VALUE"""),37)</f>
        <v>37</v>
      </c>
    </row>
    <row r="1244" spans="1:6" ht="12.75">
      <c r="A1244" s="4">
        <v>1243</v>
      </c>
      <c r="B1244" s="8" t="str">
        <f ca="1">IFERROR(__xludf.DUMMYFUNCTION("""COMPUTED_VALUE"""),"20150215ARLAL")</f>
        <v>20150215ARLAL</v>
      </c>
      <c r="C1244" s="8" t="str">
        <f ca="1">IFERROR(__xludf.DUMMYFUNCTION("""COMPUTED_VALUE"""),"Wounded")</f>
        <v>Wounded</v>
      </c>
      <c r="D1244" s="8" t="str">
        <f ca="1">IFERROR(__xludf.DUMMYFUNCTION("""COMPUTED_VALUE"""),"Male")</f>
        <v>Male</v>
      </c>
      <c r="E1244" s="8" t="str">
        <f ca="1">IFERROR(__xludf.DUMMYFUNCTION("""COMPUTED_VALUE"""),"No Relation")</f>
        <v>No Relation</v>
      </c>
      <c r="F1244" s="8">
        <f ca="1">IFERROR(__xludf.DUMMYFUNCTION("""COMPUTED_VALUE"""),13)</f>
        <v>13</v>
      </c>
    </row>
    <row r="1245" spans="1:6" ht="12.75">
      <c r="A1245" s="4">
        <v>1244</v>
      </c>
      <c r="B1245" s="8" t="str">
        <f ca="1">IFERROR(__xludf.DUMMYFUNCTION("""COMPUTED_VALUE"""),"20150204MDFRF")</f>
        <v>20150204MDFRF</v>
      </c>
      <c r="C1245" s="8" t="str">
        <f ca="1">IFERROR(__xludf.DUMMYFUNCTION("""COMPUTED_VALUE"""),"Wounded")</f>
        <v>Wounded</v>
      </c>
      <c r="D1245" s="8" t="str">
        <f ca="1">IFERROR(__xludf.DUMMYFUNCTION("""COMPUTED_VALUE"""),"Male")</f>
        <v>Male</v>
      </c>
      <c r="E1245" s="8" t="str">
        <f ca="1">IFERROR(__xludf.DUMMYFUNCTION("""COMPUTED_VALUE"""),"Student")</f>
        <v>Student</v>
      </c>
      <c r="F1245" s="8">
        <f ca="1">IFERROR(__xludf.DUMMYFUNCTION("""COMPUTED_VALUE"""),14)</f>
        <v>14</v>
      </c>
    </row>
    <row r="1246" spans="1:6" ht="12.75">
      <c r="A1246" s="4">
        <v>1245</v>
      </c>
      <c r="B1246" s="8" t="str">
        <f ca="1">IFERROR(__xludf.DUMMYFUNCTION("""COMPUTED_VALUE"""),"20150204MDFRF")</f>
        <v>20150204MDFRF</v>
      </c>
      <c r="C1246" s="8" t="str">
        <f ca="1">IFERROR(__xludf.DUMMYFUNCTION("""COMPUTED_VALUE"""),"Wounded")</f>
        <v>Wounded</v>
      </c>
      <c r="D1246" s="8" t="str">
        <f ca="1">IFERROR(__xludf.DUMMYFUNCTION("""COMPUTED_VALUE"""),"Male")</f>
        <v>Male</v>
      </c>
      <c r="E1246" s="8" t="str">
        <f ca="1">IFERROR(__xludf.DUMMYFUNCTION("""COMPUTED_VALUE"""),"Student")</f>
        <v>Student</v>
      </c>
      <c r="F1246" s="8">
        <f ca="1">IFERROR(__xludf.DUMMYFUNCTION("""COMPUTED_VALUE"""),15)</f>
        <v>15</v>
      </c>
    </row>
    <row r="1247" spans="1:6" ht="12.75">
      <c r="A1247" s="4">
        <v>1246</v>
      </c>
      <c r="B1247" s="8" t="str">
        <f ca="1">IFERROR(__xludf.DUMMYFUNCTION("""COMPUTED_VALUE"""),"20150126MNHAR")</f>
        <v>20150126MNHAR</v>
      </c>
      <c r="C1247" s="8" t="str">
        <f ca="1">IFERROR(__xludf.DUMMYFUNCTION("""COMPUTED_VALUE"""),"None")</f>
        <v>None</v>
      </c>
      <c r="D1247" s="8" t="str">
        <f ca="1">IFERROR(__xludf.DUMMYFUNCTION("""COMPUTED_VALUE"""),"Male")</f>
        <v>Male</v>
      </c>
      <c r="E1247" s="8" t="str">
        <f ca="1">IFERROR(__xludf.DUMMYFUNCTION("""COMPUTED_VALUE"""),"Unknown")</f>
        <v>Unknown</v>
      </c>
      <c r="F1247" s="8">
        <f ca="1">IFERROR(__xludf.DUMMYFUNCTION("""COMPUTED_VALUE"""),48)</f>
        <v>48</v>
      </c>
    </row>
    <row r="1248" spans="1:6" ht="12.75">
      <c r="A1248" s="4">
        <v>1247</v>
      </c>
      <c r="B1248" s="8" t="str">
        <f ca="1">IFERROR(__xludf.DUMMYFUNCTION("""COMPUTED_VALUE"""),"20150122SCROH")</f>
        <v>20150122SCROH</v>
      </c>
      <c r="C1248" s="8" t="str">
        <f ca="1">IFERROR(__xludf.DUMMYFUNCTION("""COMPUTED_VALUE"""),"None")</f>
        <v>None</v>
      </c>
      <c r="D1248" s="8"/>
      <c r="E1248" s="8"/>
      <c r="F1248" s="8"/>
    </row>
    <row r="1249" spans="1:6" ht="12.75">
      <c r="A1249" s="4">
        <v>1248</v>
      </c>
      <c r="B1249" s="8" t="str">
        <f ca="1">IFERROR(__xludf.DUMMYFUNCTION("""COMPUTED_VALUE"""),"20150120ALWIM")</f>
        <v>20150120ALWIM</v>
      </c>
      <c r="C1249" s="8" t="str">
        <f ca="1">IFERROR(__xludf.DUMMYFUNCTION("""COMPUTED_VALUE"""),"Wounded")</f>
        <v>Wounded</v>
      </c>
      <c r="D1249" s="8" t="str">
        <f ca="1">IFERROR(__xludf.DUMMYFUNCTION("""COMPUTED_VALUE"""),"Male")</f>
        <v>Male</v>
      </c>
      <c r="E1249" s="8" t="str">
        <f ca="1">IFERROR(__xludf.DUMMYFUNCTION("""COMPUTED_VALUE"""),"No Relation")</f>
        <v>No Relation</v>
      </c>
      <c r="F1249" s="8" t="str">
        <f ca="1">IFERROR(__xludf.DUMMYFUNCTION("""COMPUTED_VALUE"""),"Adult")</f>
        <v>Adult</v>
      </c>
    </row>
    <row r="1250" spans="1:6" ht="12.75">
      <c r="A1250" s="4">
        <v>1249</v>
      </c>
      <c r="B1250" s="8" t="str">
        <f ca="1">IFERROR(__xludf.DUMMYFUNCTION("""COMPUTED_VALUE"""),"20150116FLVAO")</f>
        <v>20150116FLVAO</v>
      </c>
      <c r="C1250" s="8" t="str">
        <f ca="1">IFERROR(__xludf.DUMMYFUNCTION("""COMPUTED_VALUE"""),"Wounded")</f>
        <v>Wounded</v>
      </c>
      <c r="D1250" s="8" t="str">
        <f ca="1">IFERROR(__xludf.DUMMYFUNCTION("""COMPUTED_VALUE"""),"Female")</f>
        <v>Female</v>
      </c>
      <c r="E1250" s="8" t="str">
        <f ca="1">IFERROR(__xludf.DUMMYFUNCTION("""COMPUTED_VALUE"""),"Student")</f>
        <v>Student</v>
      </c>
      <c r="F1250" s="8">
        <f ca="1">IFERROR(__xludf.DUMMYFUNCTION("""COMPUTED_VALUE"""),19)</f>
        <v>19</v>
      </c>
    </row>
    <row r="1251" spans="1:6" ht="12.75">
      <c r="A1251" s="4">
        <v>1250</v>
      </c>
      <c r="B1251" s="8" t="str">
        <f ca="1">IFERROR(__xludf.DUMMYFUNCTION("""COMPUTED_VALUE"""),"20150116FLVAO")</f>
        <v>20150116FLVAO</v>
      </c>
      <c r="C1251" s="8" t="str">
        <f ca="1">IFERROR(__xludf.DUMMYFUNCTION("""COMPUTED_VALUE"""),"Wounded")</f>
        <v>Wounded</v>
      </c>
      <c r="D1251" s="8" t="str">
        <f ca="1">IFERROR(__xludf.DUMMYFUNCTION("""COMPUTED_VALUE"""),"Female")</f>
        <v>Female</v>
      </c>
      <c r="E1251" s="8" t="str">
        <f ca="1">IFERROR(__xludf.DUMMYFUNCTION("""COMPUTED_VALUE"""),"Student")</f>
        <v>Student</v>
      </c>
      <c r="F1251" s="8">
        <f ca="1">IFERROR(__xludf.DUMMYFUNCTION("""COMPUTED_VALUE"""),14)</f>
        <v>14</v>
      </c>
    </row>
    <row r="1252" spans="1:6" ht="12.75">
      <c r="A1252" s="4">
        <v>1251</v>
      </c>
      <c r="B1252" s="8" t="str">
        <f ca="1">IFERROR(__xludf.DUMMYFUNCTION("""COMPUTED_VALUE"""),"20150115WIWIM")</f>
        <v>20150115WIWIM</v>
      </c>
      <c r="C1252" s="8" t="str">
        <f ca="1">IFERROR(__xludf.DUMMYFUNCTION("""COMPUTED_VALUE"""),"Wounded")</f>
        <v>Wounded</v>
      </c>
      <c r="D1252" s="8" t="str">
        <f ca="1">IFERROR(__xludf.DUMMYFUNCTION("""COMPUTED_VALUE"""),"Male")</f>
        <v>Male</v>
      </c>
      <c r="E1252" s="8" t="str">
        <f ca="1">IFERROR(__xludf.DUMMYFUNCTION("""COMPUTED_VALUE"""),"Student")</f>
        <v>Student</v>
      </c>
      <c r="F1252" s="8">
        <f ca="1">IFERROR(__xludf.DUMMYFUNCTION("""COMPUTED_VALUE"""),15)</f>
        <v>15</v>
      </c>
    </row>
    <row r="1253" spans="1:6" ht="12.75">
      <c r="A1253" s="4">
        <v>1252</v>
      </c>
      <c r="B1253" s="8" t="str">
        <f ca="1">IFERROR(__xludf.DUMMYFUNCTION("""COMPUTED_VALUE"""),"20150115WIWIM")</f>
        <v>20150115WIWIM</v>
      </c>
      <c r="C1253" s="8" t="str">
        <f ca="1">IFERROR(__xludf.DUMMYFUNCTION("""COMPUTED_VALUE"""),"Wounded")</f>
        <v>Wounded</v>
      </c>
      <c r="D1253" s="8" t="str">
        <f ca="1">IFERROR(__xludf.DUMMYFUNCTION("""COMPUTED_VALUE"""),"Male")</f>
        <v>Male</v>
      </c>
      <c r="E1253" s="8" t="str">
        <f ca="1">IFERROR(__xludf.DUMMYFUNCTION("""COMPUTED_VALUE"""),"Teacher")</f>
        <v>Teacher</v>
      </c>
      <c r="F1253" s="8" t="str">
        <f ca="1">IFERROR(__xludf.DUMMYFUNCTION("""COMPUTED_VALUE"""),"Adult")</f>
        <v>Adult</v>
      </c>
    </row>
    <row r="1254" spans="1:6" ht="12.75">
      <c r="A1254" s="4">
        <v>1253</v>
      </c>
      <c r="B1254" s="8" t="str">
        <f ca="1">IFERROR(__xludf.DUMMYFUNCTION("""COMPUTED_VALUE"""),"20150115WIWIM")</f>
        <v>20150115WIWIM</v>
      </c>
      <c r="C1254" s="8" t="str">
        <f ca="1">IFERROR(__xludf.DUMMYFUNCTION("""COMPUTED_VALUE"""),"Wounded")</f>
        <v>Wounded</v>
      </c>
      <c r="D1254" s="8" t="str">
        <f ca="1">IFERROR(__xludf.DUMMYFUNCTION("""COMPUTED_VALUE"""),"Male")</f>
        <v>Male</v>
      </c>
      <c r="E1254" s="8" t="str">
        <f ca="1">IFERROR(__xludf.DUMMYFUNCTION("""COMPUTED_VALUE"""),"Nonstudent Using Athletic Facilities/Attending Game")</f>
        <v>Nonstudent Using Athletic Facilities/Attending Game</v>
      </c>
      <c r="F1254" s="8" t="str">
        <f ca="1">IFERROR(__xludf.DUMMYFUNCTION("""COMPUTED_VALUE"""),"Adult")</f>
        <v>Adult</v>
      </c>
    </row>
    <row r="1255" spans="1:6" ht="12.75">
      <c r="A1255" s="4">
        <v>1254</v>
      </c>
      <c r="B1255" s="8" t="str">
        <f ca="1">IFERROR(__xludf.DUMMYFUNCTION("""COMPUTED_VALUE"""),"20141217MIGOW")</f>
        <v>20141217MIGOW</v>
      </c>
      <c r="C1255" s="8" t="str">
        <f ca="1">IFERROR(__xludf.DUMMYFUNCTION("""COMPUTED_VALUE"""),"Wounded")</f>
        <v>Wounded</v>
      </c>
      <c r="D1255" s="8" t="str">
        <f ca="1">IFERROR(__xludf.DUMMYFUNCTION("""COMPUTED_VALUE"""),"Male")</f>
        <v>Male</v>
      </c>
      <c r="E1255" s="8" t="str">
        <f ca="1">IFERROR(__xludf.DUMMYFUNCTION("""COMPUTED_VALUE"""),"Student")</f>
        <v>Student</v>
      </c>
      <c r="F1255" s="8">
        <f ca="1">IFERROR(__xludf.DUMMYFUNCTION("""COMPUTED_VALUE"""),15)</f>
        <v>15</v>
      </c>
    </row>
    <row r="1256" spans="1:6" ht="12.75">
      <c r="A1256" s="4">
        <v>1255</v>
      </c>
      <c r="B1256" s="8" t="str">
        <f ca="1">IFERROR(__xludf.DUMMYFUNCTION("""COMPUTED_VALUE"""),"20141217MEBEW")</f>
        <v>20141217MEBEW</v>
      </c>
      <c r="C1256" s="8" t="str">
        <f ca="1">IFERROR(__xludf.DUMMYFUNCTION("""COMPUTED_VALUE"""),"None")</f>
        <v>None</v>
      </c>
      <c r="D1256" s="8" t="str">
        <f ca="1">IFERROR(__xludf.DUMMYFUNCTION("""COMPUTED_VALUE"""),"Male")</f>
        <v>Male</v>
      </c>
      <c r="E1256" s="8" t="str">
        <f ca="1">IFERROR(__xludf.DUMMYFUNCTION("""COMPUTED_VALUE"""),"No Relation")</f>
        <v>No Relation</v>
      </c>
      <c r="F1256" s="8">
        <f ca="1">IFERROR(__xludf.DUMMYFUNCTION("""COMPUTED_VALUE"""),41)</f>
        <v>41</v>
      </c>
    </row>
    <row r="1257" spans="1:6" ht="12.75">
      <c r="A1257" s="4">
        <v>1256</v>
      </c>
      <c r="B1257" s="8" t="str">
        <f ca="1">IFERROR(__xludf.DUMMYFUNCTION("""COMPUTED_VALUE"""),"20141216PASUP")</f>
        <v>20141216PASUP</v>
      </c>
      <c r="C1257" s="8" t="str">
        <f ca="1">IFERROR(__xludf.DUMMYFUNCTION("""COMPUTED_VALUE"""),"Fatal")</f>
        <v>Fatal</v>
      </c>
      <c r="D1257" s="8" t="str">
        <f ca="1">IFERROR(__xludf.DUMMYFUNCTION("""COMPUTED_VALUE"""),"Male")</f>
        <v>Male</v>
      </c>
      <c r="E1257" s="8" t="str">
        <f ca="1">IFERROR(__xludf.DUMMYFUNCTION("""COMPUTED_VALUE"""),"No Relation")</f>
        <v>No Relation</v>
      </c>
      <c r="F1257" s="8">
        <f ca="1">IFERROR(__xludf.DUMMYFUNCTION("""COMPUTED_VALUE"""),20)</f>
        <v>20</v>
      </c>
    </row>
    <row r="1258" spans="1:6" ht="12.75">
      <c r="A1258" s="4">
        <v>1257</v>
      </c>
      <c r="B1258" s="8" t="str">
        <f ca="1">IFERROR(__xludf.DUMMYFUNCTION("""COMPUTED_VALUE"""),"20141212ORROP")</f>
        <v>20141212ORROP</v>
      </c>
      <c r="C1258" s="8" t="str">
        <f ca="1">IFERROR(__xludf.DUMMYFUNCTION("""COMPUTED_VALUE"""),"Wounded")</f>
        <v>Wounded</v>
      </c>
      <c r="D1258" s="8" t="str">
        <f ca="1">IFERROR(__xludf.DUMMYFUNCTION("""COMPUTED_VALUE"""),"Male")</f>
        <v>Male</v>
      </c>
      <c r="E1258" s="8" t="str">
        <f ca="1">IFERROR(__xludf.DUMMYFUNCTION("""COMPUTED_VALUE"""),"Student")</f>
        <v>Student</v>
      </c>
      <c r="F1258" s="8">
        <f ca="1">IFERROR(__xludf.DUMMYFUNCTION("""COMPUTED_VALUE"""),16)</f>
        <v>16</v>
      </c>
    </row>
    <row r="1259" spans="1:6" ht="12.75">
      <c r="A1259" s="4">
        <v>1258</v>
      </c>
      <c r="B1259" s="8" t="str">
        <f ca="1">IFERROR(__xludf.DUMMYFUNCTION("""COMPUTED_VALUE"""),"20141212ORROP")</f>
        <v>20141212ORROP</v>
      </c>
      <c r="C1259" s="8" t="str">
        <f ca="1">IFERROR(__xludf.DUMMYFUNCTION("""COMPUTED_VALUE"""),"Wounded")</f>
        <v>Wounded</v>
      </c>
      <c r="D1259" s="8" t="str">
        <f ca="1">IFERROR(__xludf.DUMMYFUNCTION("""COMPUTED_VALUE"""),"Female")</f>
        <v>Female</v>
      </c>
      <c r="E1259" s="8" t="str">
        <f ca="1">IFERROR(__xludf.DUMMYFUNCTION("""COMPUTED_VALUE"""),"Student")</f>
        <v>Student</v>
      </c>
      <c r="F1259" s="8">
        <f ca="1">IFERROR(__xludf.DUMMYFUNCTION("""COMPUTED_VALUE"""),17)</f>
        <v>17</v>
      </c>
    </row>
    <row r="1260" spans="1:6" ht="12.75">
      <c r="A1260" s="4">
        <v>1259</v>
      </c>
      <c r="B1260" s="8" t="str">
        <f ca="1">IFERROR(__xludf.DUMMYFUNCTION("""COMPUTED_VALUE"""),"20141212ORROP")</f>
        <v>20141212ORROP</v>
      </c>
      <c r="C1260" s="8" t="str">
        <f ca="1">IFERROR(__xludf.DUMMYFUNCTION("""COMPUTED_VALUE"""),"Wounded")</f>
        <v>Wounded</v>
      </c>
      <c r="D1260" s="8" t="str">
        <f ca="1">IFERROR(__xludf.DUMMYFUNCTION("""COMPUTED_VALUE"""),"Male")</f>
        <v>Male</v>
      </c>
      <c r="E1260" s="8" t="str">
        <f ca="1">IFERROR(__xludf.DUMMYFUNCTION("""COMPUTED_VALUE"""),"Gang Member")</f>
        <v>Gang Member</v>
      </c>
      <c r="F1260" s="8">
        <f ca="1">IFERROR(__xludf.DUMMYFUNCTION("""COMPUTED_VALUE"""),20)</f>
        <v>20</v>
      </c>
    </row>
    <row r="1261" spans="1:6" ht="12.75">
      <c r="A1261" s="4">
        <v>1260</v>
      </c>
      <c r="B1261" s="8" t="str">
        <f ca="1">IFERROR(__xludf.DUMMYFUNCTION("""COMPUTED_VALUE"""),"20141212ORROP")</f>
        <v>20141212ORROP</v>
      </c>
      <c r="C1261" s="8" t="str">
        <f ca="1">IFERROR(__xludf.DUMMYFUNCTION("""COMPUTED_VALUE"""),"Wounded")</f>
        <v>Wounded</v>
      </c>
      <c r="D1261" s="8" t="str">
        <f ca="1">IFERROR(__xludf.DUMMYFUNCTION("""COMPUTED_VALUE"""),"Female")</f>
        <v>Female</v>
      </c>
      <c r="E1261" s="8" t="str">
        <f ca="1">IFERROR(__xludf.DUMMYFUNCTION("""COMPUTED_VALUE"""),"Student")</f>
        <v>Student</v>
      </c>
      <c r="F1261" s="8">
        <f ca="1">IFERROR(__xludf.DUMMYFUNCTION("""COMPUTED_VALUE"""),17)</f>
        <v>17</v>
      </c>
    </row>
    <row r="1262" spans="1:6" ht="12.75">
      <c r="A1262" s="4">
        <v>1261</v>
      </c>
      <c r="B1262" s="8" t="str">
        <f ca="1">IFERROR(__xludf.DUMMYFUNCTION("""COMPUTED_VALUE"""),"20141120FLMIM")</f>
        <v>20141120FLMIM</v>
      </c>
      <c r="C1262" s="8" t="str">
        <f ca="1">IFERROR(__xludf.DUMMYFUNCTION("""COMPUTED_VALUE"""),"Fatal")</f>
        <v>Fatal</v>
      </c>
      <c r="D1262" s="8" t="str">
        <f ca="1">IFERROR(__xludf.DUMMYFUNCTION("""COMPUTED_VALUE"""),"Male")</f>
        <v>Male</v>
      </c>
      <c r="E1262" s="8" t="str">
        <f ca="1">IFERROR(__xludf.DUMMYFUNCTION("""COMPUTED_VALUE"""),"No Relation")</f>
        <v>No Relation</v>
      </c>
      <c r="F1262" s="8">
        <f ca="1">IFERROR(__xludf.DUMMYFUNCTION("""COMPUTED_VALUE"""),16)</f>
        <v>16</v>
      </c>
    </row>
    <row r="1263" spans="1:6" ht="12.75">
      <c r="A1263" s="4">
        <v>1262</v>
      </c>
      <c r="B1263" s="8" t="str">
        <f ca="1">IFERROR(__xludf.DUMMYFUNCTION("""COMPUTED_VALUE"""),"20141120FLMIM")</f>
        <v>20141120FLMIM</v>
      </c>
      <c r="C1263" s="8" t="str">
        <f ca="1">IFERROR(__xludf.DUMMYFUNCTION("""COMPUTED_VALUE"""),"Wounded")</f>
        <v>Wounded</v>
      </c>
      <c r="D1263" s="8" t="str">
        <f ca="1">IFERROR(__xludf.DUMMYFUNCTION("""COMPUTED_VALUE"""),"Male")</f>
        <v>Male</v>
      </c>
      <c r="E1263" s="8" t="str">
        <f ca="1">IFERROR(__xludf.DUMMYFUNCTION("""COMPUTED_VALUE"""),"No Relation")</f>
        <v>No Relation</v>
      </c>
      <c r="F1263" s="8">
        <f ca="1">IFERROR(__xludf.DUMMYFUNCTION("""COMPUTED_VALUE"""),17)</f>
        <v>17</v>
      </c>
    </row>
    <row r="1264" spans="1:6" ht="12.75">
      <c r="A1264" s="4">
        <v>1263</v>
      </c>
      <c r="B1264" s="8" t="str">
        <f ca="1">IFERROR(__xludf.DUMMYFUNCTION("""COMPUTED_VALUE"""),"20141024WAMAM")</f>
        <v>20141024WAMAM</v>
      </c>
      <c r="C1264" s="8" t="str">
        <f ca="1">IFERROR(__xludf.DUMMYFUNCTION("""COMPUTED_VALUE"""),"Fatal")</f>
        <v>Fatal</v>
      </c>
      <c r="D1264" s="8" t="str">
        <f ca="1">IFERROR(__xludf.DUMMYFUNCTION("""COMPUTED_VALUE"""),"Male")</f>
        <v>Male</v>
      </c>
      <c r="E1264" s="8" t="str">
        <f ca="1">IFERROR(__xludf.DUMMYFUNCTION("""COMPUTED_VALUE"""),"Student")</f>
        <v>Student</v>
      </c>
      <c r="F1264" s="8">
        <f ca="1">IFERROR(__xludf.DUMMYFUNCTION("""COMPUTED_VALUE"""),15)</f>
        <v>15</v>
      </c>
    </row>
    <row r="1265" spans="1:6" ht="12.75">
      <c r="A1265" s="4">
        <v>1264</v>
      </c>
      <c r="B1265" s="8" t="str">
        <f ca="1">IFERROR(__xludf.DUMMYFUNCTION("""COMPUTED_VALUE"""),"20141024WAMAM")</f>
        <v>20141024WAMAM</v>
      </c>
      <c r="C1265" s="8" t="str">
        <f ca="1">IFERROR(__xludf.DUMMYFUNCTION("""COMPUTED_VALUE"""),"Wounded")</f>
        <v>Wounded</v>
      </c>
      <c r="D1265" s="8" t="str">
        <f ca="1">IFERROR(__xludf.DUMMYFUNCTION("""COMPUTED_VALUE"""),"Male")</f>
        <v>Male</v>
      </c>
      <c r="E1265" s="8" t="str">
        <f ca="1">IFERROR(__xludf.DUMMYFUNCTION("""COMPUTED_VALUE"""),"Student")</f>
        <v>Student</v>
      </c>
      <c r="F1265" s="8">
        <f ca="1">IFERROR(__xludf.DUMMYFUNCTION("""COMPUTED_VALUE"""),14)</f>
        <v>14</v>
      </c>
    </row>
    <row r="1266" spans="1:6" ht="12.75">
      <c r="A1266" s="4">
        <v>1265</v>
      </c>
      <c r="B1266" s="8" t="str">
        <f ca="1">IFERROR(__xludf.DUMMYFUNCTION("""COMPUTED_VALUE"""),"20141024WAMAM")</f>
        <v>20141024WAMAM</v>
      </c>
      <c r="C1266" s="8" t="str">
        <f ca="1">IFERROR(__xludf.DUMMYFUNCTION("""COMPUTED_VALUE"""),"Wounded")</f>
        <v>Wounded</v>
      </c>
      <c r="D1266" s="8" t="str">
        <f ca="1">IFERROR(__xludf.DUMMYFUNCTION("""COMPUTED_VALUE"""),"Unknown")</f>
        <v>Unknown</v>
      </c>
      <c r="E1266" s="8" t="str">
        <f ca="1">IFERROR(__xludf.DUMMYFUNCTION("""COMPUTED_VALUE"""),"Student")</f>
        <v>Student</v>
      </c>
      <c r="F1266" s="8" t="str">
        <f ca="1">IFERROR(__xludf.DUMMYFUNCTION("""COMPUTED_VALUE"""),"Teen")</f>
        <v>Teen</v>
      </c>
    </row>
    <row r="1267" spans="1:6" ht="12.75">
      <c r="A1267" s="4">
        <v>1266</v>
      </c>
      <c r="B1267" s="8" t="str">
        <f ca="1">IFERROR(__xludf.DUMMYFUNCTION("""COMPUTED_VALUE"""),"20141024WAMAM")</f>
        <v>20141024WAMAM</v>
      </c>
      <c r="C1267" s="8" t="str">
        <f ca="1">IFERROR(__xludf.DUMMYFUNCTION("""COMPUTED_VALUE"""),"Fatal")</f>
        <v>Fatal</v>
      </c>
      <c r="D1267" s="8" t="str">
        <f ca="1">IFERROR(__xludf.DUMMYFUNCTION("""COMPUTED_VALUE"""),"Female")</f>
        <v>Female</v>
      </c>
      <c r="E1267" s="8" t="str">
        <f ca="1">IFERROR(__xludf.DUMMYFUNCTION("""COMPUTED_VALUE"""),"Student")</f>
        <v>Student</v>
      </c>
      <c r="F1267" s="8">
        <f ca="1">IFERROR(__xludf.DUMMYFUNCTION("""COMPUTED_VALUE"""),14)</f>
        <v>14</v>
      </c>
    </row>
    <row r="1268" spans="1:6" ht="12.75">
      <c r="A1268" s="4">
        <v>1267</v>
      </c>
      <c r="B1268" s="8" t="str">
        <f ca="1">IFERROR(__xludf.DUMMYFUNCTION("""COMPUTED_VALUE"""),"20141024WAMAM")</f>
        <v>20141024WAMAM</v>
      </c>
      <c r="C1268" s="8" t="str">
        <f ca="1">IFERROR(__xludf.DUMMYFUNCTION("""COMPUTED_VALUE"""),"Wounded")</f>
        <v>Wounded</v>
      </c>
      <c r="D1268" s="8" t="str">
        <f ca="1">IFERROR(__xludf.DUMMYFUNCTION("""COMPUTED_VALUE"""),"Unknown")</f>
        <v>Unknown</v>
      </c>
      <c r="E1268" s="8" t="str">
        <f ca="1">IFERROR(__xludf.DUMMYFUNCTION("""COMPUTED_VALUE"""),"Student")</f>
        <v>Student</v>
      </c>
      <c r="F1268" s="8" t="str">
        <f ca="1">IFERROR(__xludf.DUMMYFUNCTION("""COMPUTED_VALUE"""),"Teen")</f>
        <v>Teen</v>
      </c>
    </row>
    <row r="1269" spans="1:6" ht="12.75">
      <c r="A1269" s="4">
        <v>1268</v>
      </c>
      <c r="B1269" s="8" t="str">
        <f ca="1">IFERROR(__xludf.DUMMYFUNCTION("""COMPUTED_VALUE"""),"20141024WAMAM")</f>
        <v>20141024WAMAM</v>
      </c>
      <c r="C1269" s="8" t="str">
        <f ca="1">IFERROR(__xludf.DUMMYFUNCTION("""COMPUTED_VALUE"""),"Fatal")</f>
        <v>Fatal</v>
      </c>
      <c r="D1269" s="8" t="str">
        <f ca="1">IFERROR(__xludf.DUMMYFUNCTION("""COMPUTED_VALUE"""),"Female")</f>
        <v>Female</v>
      </c>
      <c r="E1269" s="8" t="str">
        <f ca="1">IFERROR(__xludf.DUMMYFUNCTION("""COMPUTED_VALUE"""),"Student")</f>
        <v>Student</v>
      </c>
      <c r="F1269" s="8">
        <f ca="1">IFERROR(__xludf.DUMMYFUNCTION("""COMPUTED_VALUE"""),14)</f>
        <v>14</v>
      </c>
    </row>
    <row r="1270" spans="1:6" ht="12.75">
      <c r="A1270" s="4">
        <v>1269</v>
      </c>
      <c r="B1270" s="8" t="str">
        <f ca="1">IFERROR(__xludf.DUMMYFUNCTION("""COMPUTED_VALUE"""),"20141024WAMAM")</f>
        <v>20141024WAMAM</v>
      </c>
      <c r="C1270" s="8" t="str">
        <f ca="1">IFERROR(__xludf.DUMMYFUNCTION("""COMPUTED_VALUE"""),"Fatal")</f>
        <v>Fatal</v>
      </c>
      <c r="D1270" s="8" t="str">
        <f ca="1">IFERROR(__xludf.DUMMYFUNCTION("""COMPUTED_VALUE"""),"Female")</f>
        <v>Female</v>
      </c>
      <c r="E1270" s="8" t="str">
        <f ca="1">IFERROR(__xludf.DUMMYFUNCTION("""COMPUTED_VALUE"""),"Student")</f>
        <v>Student</v>
      </c>
      <c r="F1270" s="8">
        <f ca="1">IFERROR(__xludf.DUMMYFUNCTION("""COMPUTED_VALUE"""),14)</f>
        <v>14</v>
      </c>
    </row>
    <row r="1271" spans="1:6" ht="12.75">
      <c r="A1271" s="4">
        <v>1270</v>
      </c>
      <c r="B1271" s="8" t="str">
        <f ca="1">IFERROR(__xludf.DUMMYFUNCTION("""COMPUTED_VALUE"""),"20141024GALAA")</f>
        <v>20141024GALAA</v>
      </c>
      <c r="C1271" s="8" t="str">
        <f ca="1">IFERROR(__xludf.DUMMYFUNCTION("""COMPUTED_VALUE"""),"Wounded")</f>
        <v>Wounded</v>
      </c>
      <c r="D1271" s="8" t="str">
        <f ca="1">IFERROR(__xludf.DUMMYFUNCTION("""COMPUTED_VALUE"""),"Male")</f>
        <v>Male</v>
      </c>
      <c r="E1271" s="8" t="str">
        <f ca="1">IFERROR(__xludf.DUMMYFUNCTION("""COMPUTED_VALUE"""),"Student")</f>
        <v>Student</v>
      </c>
      <c r="F1271" s="8">
        <f ca="1">IFERROR(__xludf.DUMMYFUNCTION("""COMPUTED_VALUE"""),17)</f>
        <v>17</v>
      </c>
    </row>
    <row r="1272" spans="1:6" ht="12.75">
      <c r="A1272" s="4">
        <v>1271</v>
      </c>
      <c r="B1272" s="8" t="str">
        <f ca="1">IFERROR(__xludf.DUMMYFUNCTION("""COMPUTED_VALUE"""),"20141021TNAMM")</f>
        <v>20141021TNAMM</v>
      </c>
      <c r="C1272" s="8" t="str">
        <f ca="1">IFERROR(__xludf.DUMMYFUNCTION("""COMPUTED_VALUE"""),"Wounded")</f>
        <v>Wounded</v>
      </c>
      <c r="D1272" s="8" t="str">
        <f ca="1">IFERROR(__xludf.DUMMYFUNCTION("""COMPUTED_VALUE"""),"Male")</f>
        <v>Male</v>
      </c>
      <c r="E1272" s="8" t="str">
        <f ca="1">IFERROR(__xludf.DUMMYFUNCTION("""COMPUTED_VALUE"""),"Student")</f>
        <v>Student</v>
      </c>
      <c r="F1272" s="8">
        <f ca="1">IFERROR(__xludf.DUMMYFUNCTION("""COMPUTED_VALUE"""),13)</f>
        <v>13</v>
      </c>
    </row>
    <row r="1273" spans="1:6" ht="12.75">
      <c r="A1273" s="4">
        <v>1272</v>
      </c>
      <c r="B1273" s="8" t="str">
        <f ca="1">IFERROR(__xludf.DUMMYFUNCTION("""COMPUTED_VALUE"""),"20141003GALAF")</f>
        <v>20141003GALAF</v>
      </c>
      <c r="C1273" s="8" t="str">
        <f ca="1">IFERROR(__xludf.DUMMYFUNCTION("""COMPUTED_VALUE"""),"Fatal")</f>
        <v>Fatal</v>
      </c>
      <c r="D1273" s="8" t="str">
        <f ca="1">IFERROR(__xludf.DUMMYFUNCTION("""COMPUTED_VALUE"""),"Male")</f>
        <v>Male</v>
      </c>
      <c r="E1273" s="8" t="str">
        <f ca="1">IFERROR(__xludf.DUMMYFUNCTION("""COMPUTED_VALUE"""),"No Relation")</f>
        <v>No Relation</v>
      </c>
      <c r="F1273" s="8">
        <f ca="1">IFERROR(__xludf.DUMMYFUNCTION("""COMPUTED_VALUE"""),17)</f>
        <v>17</v>
      </c>
    </row>
    <row r="1274" spans="1:6" ht="12.75">
      <c r="A1274" s="4">
        <v>1273</v>
      </c>
      <c r="B1274" s="8" t="str">
        <f ca="1">IFERROR(__xludf.DUMMYFUNCTION("""COMPUTED_VALUE"""),"20140930NCALA")</f>
        <v>20140930NCALA</v>
      </c>
      <c r="C1274" s="8" t="str">
        <f ca="1">IFERROR(__xludf.DUMMYFUNCTION("""COMPUTED_VALUE"""),"Wounded")</f>
        <v>Wounded</v>
      </c>
      <c r="D1274" s="8" t="str">
        <f ca="1">IFERROR(__xludf.DUMMYFUNCTION("""COMPUTED_VALUE"""),"Male")</f>
        <v>Male</v>
      </c>
      <c r="E1274" s="8" t="str">
        <f ca="1">IFERROR(__xludf.DUMMYFUNCTION("""COMPUTED_VALUE"""),"Student")</f>
        <v>Student</v>
      </c>
      <c r="F1274" s="8" t="str">
        <f ca="1">IFERROR(__xludf.DUMMYFUNCTION("""COMPUTED_VALUE"""),"Teen")</f>
        <v>Teen</v>
      </c>
    </row>
    <row r="1275" spans="1:6" ht="12.75">
      <c r="A1275" s="4">
        <v>1274</v>
      </c>
      <c r="B1275" s="8" t="str">
        <f ca="1">IFERROR(__xludf.DUMMYFUNCTION("""COMPUTED_VALUE"""),"20140930KYFEL")</f>
        <v>20140930KYFEL</v>
      </c>
      <c r="C1275" s="8" t="str">
        <f ca="1">IFERROR(__xludf.DUMMYFUNCTION("""COMPUTED_VALUE"""),"Wounded")</f>
        <v>Wounded</v>
      </c>
      <c r="D1275" s="8" t="str">
        <f ca="1">IFERROR(__xludf.DUMMYFUNCTION("""COMPUTED_VALUE"""),"Male")</f>
        <v>Male</v>
      </c>
      <c r="E1275" s="8" t="str">
        <f ca="1">IFERROR(__xludf.DUMMYFUNCTION("""COMPUTED_VALUE"""),"Student")</f>
        <v>Student</v>
      </c>
      <c r="F1275" s="8">
        <f ca="1">IFERROR(__xludf.DUMMYFUNCTION("""COMPUTED_VALUE"""),15)</f>
        <v>15</v>
      </c>
    </row>
    <row r="1276" spans="1:6" ht="12.75">
      <c r="A1276" s="4">
        <v>1275</v>
      </c>
      <c r="B1276" s="8" t="str">
        <f ca="1">IFERROR(__xludf.DUMMYFUNCTION("""COMPUTED_VALUE"""),"20140925NHWEM")</f>
        <v>20140925NHWEM</v>
      </c>
      <c r="C1276" s="8" t="str">
        <f ca="1">IFERROR(__xludf.DUMMYFUNCTION("""COMPUTED_VALUE"""),"None")</f>
        <v>None</v>
      </c>
      <c r="D1276" s="8"/>
      <c r="E1276" s="8"/>
      <c r="F1276" s="8"/>
    </row>
    <row r="1277" spans="1:6" ht="12.75">
      <c r="A1277" s="4">
        <v>1276</v>
      </c>
      <c r="B1277" s="8" t="str">
        <f ca="1">IFERROR(__xludf.DUMMYFUNCTION("""COMPUTED_VALUE"""),"20140919IANOD")</f>
        <v>20140919IANOD</v>
      </c>
      <c r="C1277" s="8" t="str">
        <f ca="1">IFERROR(__xludf.DUMMYFUNCTION("""COMPUTED_VALUE"""),"Wounded")</f>
        <v>Wounded</v>
      </c>
      <c r="D1277" s="8" t="str">
        <f ca="1">IFERROR(__xludf.DUMMYFUNCTION("""COMPUTED_VALUE"""),"Male")</f>
        <v>Male</v>
      </c>
      <c r="E1277" s="8" t="str">
        <f ca="1">IFERROR(__xludf.DUMMYFUNCTION("""COMPUTED_VALUE"""),"Student")</f>
        <v>Student</v>
      </c>
      <c r="F1277" s="8" t="str">
        <f ca="1">IFERROR(__xludf.DUMMYFUNCTION("""COMPUTED_VALUE"""),"Teen")</f>
        <v>Teen</v>
      </c>
    </row>
    <row r="1278" spans="1:6" ht="12.75">
      <c r="A1278" s="4">
        <v>1277</v>
      </c>
      <c r="B1278" s="8" t="str">
        <f ca="1">IFERROR(__xludf.DUMMYFUNCTION("""COMPUTED_VALUE"""),"20140911UTWET")</f>
        <v>20140911UTWET</v>
      </c>
      <c r="C1278" s="8" t="str">
        <f ca="1">IFERROR(__xludf.DUMMYFUNCTION("""COMPUTED_VALUE"""),"None")</f>
        <v>None</v>
      </c>
      <c r="D1278" s="8" t="str">
        <f ca="1">IFERROR(__xludf.DUMMYFUNCTION("""COMPUTED_VALUE"""),"Female")</f>
        <v>Female</v>
      </c>
      <c r="E1278" s="8" t="str">
        <f ca="1">IFERROR(__xludf.DUMMYFUNCTION("""COMPUTED_VALUE"""),"Teacher")</f>
        <v>Teacher</v>
      </c>
      <c r="F1278" s="8">
        <f ca="1">IFERROR(__xludf.DUMMYFUNCTION("""COMPUTED_VALUE"""),39)</f>
        <v>39</v>
      </c>
    </row>
    <row r="1279" spans="1:6" ht="12.75">
      <c r="A1279" s="4">
        <v>1278</v>
      </c>
      <c r="B1279" s="8" t="str">
        <f ca="1">IFERROR(__xludf.DUMMYFUNCTION("""COMPUTED_VALUE"""),"20140910FLGRL")</f>
        <v>20140910FLGRL</v>
      </c>
      <c r="C1279" s="8" t="str">
        <f ca="1">IFERROR(__xludf.DUMMYFUNCTION("""COMPUTED_VALUE"""),"None")</f>
        <v>None</v>
      </c>
      <c r="D1279" s="8" t="str">
        <f ca="1">IFERROR(__xludf.DUMMYFUNCTION("""COMPUTED_VALUE"""),"Male")</f>
        <v>Male</v>
      </c>
      <c r="E1279" s="8" t="str">
        <f ca="1">IFERROR(__xludf.DUMMYFUNCTION("""COMPUTED_VALUE"""),"Student")</f>
        <v>Student</v>
      </c>
      <c r="F1279" s="8">
        <f ca="1">IFERROR(__xludf.DUMMYFUNCTION("""COMPUTED_VALUE"""),14)</f>
        <v>14</v>
      </c>
    </row>
    <row r="1280" spans="1:6" ht="12.75">
      <c r="A1280" s="4">
        <v>1279</v>
      </c>
      <c r="B1280" s="8" t="str">
        <f ca="1">IFERROR(__xludf.DUMMYFUNCTION("""COMPUTED_VALUE"""),"20140909FLSTM")</f>
        <v>20140909FLSTM</v>
      </c>
      <c r="C1280" s="8" t="str">
        <f ca="1">IFERROR(__xludf.DUMMYFUNCTION("""COMPUTED_VALUE"""),"Wounded")</f>
        <v>Wounded</v>
      </c>
      <c r="D1280" s="8" t="str">
        <f ca="1">IFERROR(__xludf.DUMMYFUNCTION("""COMPUTED_VALUE"""),"Male")</f>
        <v>Male</v>
      </c>
      <c r="E1280" s="8"/>
      <c r="F1280" s="8"/>
    </row>
    <row r="1281" spans="1:6" ht="12.75">
      <c r="A1281" s="4">
        <v>1280</v>
      </c>
      <c r="B1281" s="8" t="str">
        <f ca="1">IFERROR(__xludf.DUMMYFUNCTION("""COMPUTED_VALUE"""),"20140814VASAN")</f>
        <v>20140814VASAN</v>
      </c>
      <c r="C1281" s="8" t="str">
        <f ca="1">IFERROR(__xludf.DUMMYFUNCTION("""COMPUTED_VALUE"""),"Wounded")</f>
        <v>Wounded</v>
      </c>
      <c r="D1281" s="8" t="str">
        <f ca="1">IFERROR(__xludf.DUMMYFUNCTION("""COMPUTED_VALUE"""),"Male")</f>
        <v>Male</v>
      </c>
      <c r="E1281" s="8" t="str">
        <f ca="1">IFERROR(__xludf.DUMMYFUNCTION("""COMPUTED_VALUE"""),"No Relation")</f>
        <v>No Relation</v>
      </c>
      <c r="F1281" s="8">
        <f ca="1">IFERROR(__xludf.DUMMYFUNCTION("""COMPUTED_VALUE"""),17)</f>
        <v>17</v>
      </c>
    </row>
    <row r="1282" spans="1:6" ht="12.75">
      <c r="A1282" s="4">
        <v>1281</v>
      </c>
      <c r="B1282" s="8" t="str">
        <f ca="1">IFERROR(__xludf.DUMMYFUNCTION("""COMPUTED_VALUE"""),"20140814VASAN")</f>
        <v>20140814VASAN</v>
      </c>
      <c r="C1282" s="8" t="str">
        <f ca="1">IFERROR(__xludf.DUMMYFUNCTION("""COMPUTED_VALUE"""),"Fatal")</f>
        <v>Fatal</v>
      </c>
      <c r="D1282" s="8" t="str">
        <f ca="1">IFERROR(__xludf.DUMMYFUNCTION("""COMPUTED_VALUE"""),"Male")</f>
        <v>Male</v>
      </c>
      <c r="E1282" s="8" t="str">
        <f ca="1">IFERROR(__xludf.DUMMYFUNCTION("""COMPUTED_VALUE"""),"No Relation")</f>
        <v>No Relation</v>
      </c>
      <c r="F1282" s="8">
        <f ca="1">IFERROR(__xludf.DUMMYFUNCTION("""COMPUTED_VALUE"""),16)</f>
        <v>16</v>
      </c>
    </row>
    <row r="1283" spans="1:6" ht="12.75">
      <c r="A1283" s="4">
        <v>1282</v>
      </c>
      <c r="B1283" s="8" t="str">
        <f ca="1">IFERROR(__xludf.DUMMYFUNCTION("""COMPUTED_VALUE"""),"20140814VASAN")</f>
        <v>20140814VASAN</v>
      </c>
      <c r="C1283" s="8" t="str">
        <f ca="1">IFERROR(__xludf.DUMMYFUNCTION("""COMPUTED_VALUE"""),"Fatal")</f>
        <v>Fatal</v>
      </c>
      <c r="D1283" s="8" t="str">
        <f ca="1">IFERROR(__xludf.DUMMYFUNCTION("""COMPUTED_VALUE"""),"Male")</f>
        <v>Male</v>
      </c>
      <c r="E1283" s="8" t="str">
        <f ca="1">IFERROR(__xludf.DUMMYFUNCTION("""COMPUTED_VALUE"""),"No Relation")</f>
        <v>No Relation</v>
      </c>
      <c r="F1283" s="8">
        <f ca="1">IFERROR(__xludf.DUMMYFUNCTION("""COMPUTED_VALUE"""),17)</f>
        <v>17</v>
      </c>
    </row>
    <row r="1284" spans="1:6" ht="12.75">
      <c r="A1284" s="4">
        <v>1283</v>
      </c>
      <c r="B1284" s="8" t="str">
        <f ca="1">IFERROR(__xludf.DUMMYFUNCTION("""COMPUTED_VALUE"""),"20140813MDHEF")</f>
        <v>20140813MDHEF</v>
      </c>
      <c r="C1284" s="8" t="str">
        <f ca="1">IFERROR(__xludf.DUMMYFUNCTION("""COMPUTED_VALUE"""),"None")</f>
        <v>None</v>
      </c>
      <c r="D1284" s="8"/>
      <c r="E1284" s="8"/>
      <c r="F1284" s="8"/>
    </row>
    <row r="1285" spans="1:6" ht="12.75">
      <c r="A1285" s="4">
        <v>1284</v>
      </c>
      <c r="B1285" s="8" t="str">
        <f ca="1">IFERROR(__xludf.DUMMYFUNCTION("""COMPUTED_VALUE"""),"20140623MOKEB")</f>
        <v>20140623MOKEB</v>
      </c>
      <c r="C1285" s="8" t="str">
        <f ca="1">IFERROR(__xludf.DUMMYFUNCTION("""COMPUTED_VALUE"""),"Fatal")</f>
        <v>Fatal</v>
      </c>
      <c r="D1285" s="8" t="str">
        <f ca="1">IFERROR(__xludf.DUMMYFUNCTION("""COMPUTED_VALUE"""),"Male")</f>
        <v>Male</v>
      </c>
      <c r="E1285" s="8" t="str">
        <f ca="1">IFERROR(__xludf.DUMMYFUNCTION("""COMPUTED_VALUE"""),"Student")</f>
        <v>Student</v>
      </c>
      <c r="F1285" s="8">
        <f ca="1">IFERROR(__xludf.DUMMYFUNCTION("""COMPUTED_VALUE"""),15)</f>
        <v>15</v>
      </c>
    </row>
    <row r="1286" spans="1:6" ht="12.75">
      <c r="A1286" s="4">
        <v>1285</v>
      </c>
      <c r="B1286" s="8" t="str">
        <f ca="1">IFERROR(__xludf.DUMMYFUNCTION("""COMPUTED_VALUE"""),"20140610ORRET")</f>
        <v>20140610ORRET</v>
      </c>
      <c r="C1286" s="8" t="str">
        <f ca="1">IFERROR(__xludf.DUMMYFUNCTION("""COMPUTED_VALUE"""),"Fatal")</f>
        <v>Fatal</v>
      </c>
      <c r="D1286" s="8" t="str">
        <f ca="1">IFERROR(__xludf.DUMMYFUNCTION("""COMPUTED_VALUE"""),"Male")</f>
        <v>Male</v>
      </c>
      <c r="E1286" s="8" t="str">
        <f ca="1">IFERROR(__xludf.DUMMYFUNCTION("""COMPUTED_VALUE"""),"Student")</f>
        <v>Student</v>
      </c>
      <c r="F1286" s="8">
        <f ca="1">IFERROR(__xludf.DUMMYFUNCTION("""COMPUTED_VALUE"""),14)</f>
        <v>14</v>
      </c>
    </row>
    <row r="1287" spans="1:6" ht="12.75">
      <c r="A1287" s="4">
        <v>1286</v>
      </c>
      <c r="B1287" s="8" t="str">
        <f ca="1">IFERROR(__xludf.DUMMYFUNCTION("""COMPUTED_VALUE"""),"20140610ORRET")</f>
        <v>20140610ORRET</v>
      </c>
      <c r="C1287" s="8" t="str">
        <f ca="1">IFERROR(__xludf.DUMMYFUNCTION("""COMPUTED_VALUE"""),"Wounded")</f>
        <v>Wounded</v>
      </c>
      <c r="D1287" s="8" t="str">
        <f ca="1">IFERROR(__xludf.DUMMYFUNCTION("""COMPUTED_VALUE"""),"Male")</f>
        <v>Male</v>
      </c>
      <c r="E1287" s="8" t="str">
        <f ca="1">IFERROR(__xludf.DUMMYFUNCTION("""COMPUTED_VALUE"""),"Student")</f>
        <v>Student</v>
      </c>
      <c r="F1287" s="8">
        <f ca="1">IFERROR(__xludf.DUMMYFUNCTION("""COMPUTED_VALUE"""),15)</f>
        <v>15</v>
      </c>
    </row>
    <row r="1288" spans="1:6" ht="12.75">
      <c r="A1288" s="4">
        <v>1287</v>
      </c>
      <c r="B1288" s="8" t="str">
        <f ca="1">IFERROR(__xludf.DUMMYFUNCTION("""COMPUTED_VALUE"""),"20140521WICLM")</f>
        <v>20140521WICLM</v>
      </c>
      <c r="C1288" s="8" t="str">
        <f ca="1">IFERROR(__xludf.DUMMYFUNCTION("""COMPUTED_VALUE"""),"Fatal")</f>
        <v>Fatal</v>
      </c>
      <c r="D1288" s="8" t="str">
        <f ca="1">IFERROR(__xludf.DUMMYFUNCTION("""COMPUTED_VALUE"""),"Female")</f>
        <v>Female</v>
      </c>
      <c r="E1288" s="8" t="str">
        <f ca="1">IFERROR(__xludf.DUMMYFUNCTION("""COMPUTED_VALUE"""),"Student")</f>
        <v>Student</v>
      </c>
      <c r="F1288" s="8">
        <f ca="1">IFERROR(__xludf.DUMMYFUNCTION("""COMPUTED_VALUE"""),10)</f>
        <v>10</v>
      </c>
    </row>
    <row r="1289" spans="1:6" ht="12.75">
      <c r="A1289" s="4">
        <v>1288</v>
      </c>
      <c r="B1289" s="8" t="str">
        <f ca="1">IFERROR(__xludf.DUMMYFUNCTION("""COMPUTED_VALUE"""),"20140514CAJOR")</f>
        <v>20140514CAJOR</v>
      </c>
      <c r="C1289" s="8" t="str">
        <f ca="1">IFERROR(__xludf.DUMMYFUNCTION("""COMPUTED_VALUE"""),"Wounded")</f>
        <v>Wounded</v>
      </c>
      <c r="D1289" s="8" t="str">
        <f ca="1">IFERROR(__xludf.DUMMYFUNCTION("""COMPUTED_VALUE"""),"Male")</f>
        <v>Male</v>
      </c>
      <c r="E1289" s="8" t="str">
        <f ca="1">IFERROR(__xludf.DUMMYFUNCTION("""COMPUTED_VALUE"""),"Student")</f>
        <v>Student</v>
      </c>
      <c r="F1289" s="8">
        <f ca="1">IFERROR(__xludf.DUMMYFUNCTION("""COMPUTED_VALUE"""),14)</f>
        <v>14</v>
      </c>
    </row>
    <row r="1290" spans="1:6" ht="12.75">
      <c r="A1290" s="4">
        <v>1289</v>
      </c>
      <c r="B1290" s="8" t="str">
        <f ca="1">IFERROR(__xludf.DUMMYFUNCTION("""COMPUTED_VALUE"""),"20140503WAHOE")</f>
        <v>20140503WAHOE</v>
      </c>
      <c r="C1290" s="8" t="str">
        <f ca="1">IFERROR(__xludf.DUMMYFUNCTION("""COMPUTED_VALUE"""),"Wounded")</f>
        <v>Wounded</v>
      </c>
      <c r="D1290" s="8" t="str">
        <f ca="1">IFERROR(__xludf.DUMMYFUNCTION("""COMPUTED_VALUE"""),"Male")</f>
        <v>Male</v>
      </c>
      <c r="E1290" s="8" t="str">
        <f ca="1">IFERROR(__xludf.DUMMYFUNCTION("""COMPUTED_VALUE"""),"Gang Member")</f>
        <v>Gang Member</v>
      </c>
      <c r="F1290" s="8">
        <f ca="1">IFERROR(__xludf.DUMMYFUNCTION("""COMPUTED_VALUE"""),15)</f>
        <v>15</v>
      </c>
    </row>
    <row r="1291" spans="1:6" ht="12.75">
      <c r="A1291" s="4">
        <v>1290</v>
      </c>
      <c r="B1291" s="8" t="str">
        <f ca="1">IFERROR(__xludf.DUMMYFUNCTION("""COMPUTED_VALUE"""),"20140421UTPRP")</f>
        <v>20140421UTPRP</v>
      </c>
      <c r="C1291" s="8" t="str">
        <f ca="1">IFERROR(__xludf.DUMMYFUNCTION("""COMPUTED_VALUE"""),"None")</f>
        <v>None</v>
      </c>
      <c r="D1291" s="8" t="str">
        <f ca="1">IFERROR(__xludf.DUMMYFUNCTION("""COMPUTED_VALUE"""),"Male")</f>
        <v>Male</v>
      </c>
      <c r="E1291" s="8" t="str">
        <f ca="1">IFERROR(__xludf.DUMMYFUNCTION("""COMPUTED_VALUE"""),"Student")</f>
        <v>Student</v>
      </c>
      <c r="F1291" s="8">
        <f ca="1">IFERROR(__xludf.DUMMYFUNCTION("""COMPUTED_VALUE"""),14)</f>
        <v>14</v>
      </c>
    </row>
    <row r="1292" spans="1:6" ht="12.75">
      <c r="A1292" s="4">
        <v>1291</v>
      </c>
      <c r="B1292" s="8" t="str">
        <f ca="1">IFERROR(__xludf.DUMMYFUNCTION("""COMPUTED_VALUE"""),"20140421INSTG")</f>
        <v>20140421INSTG</v>
      </c>
      <c r="C1292" s="8" t="str">
        <f ca="1">IFERROR(__xludf.DUMMYFUNCTION("""COMPUTED_VALUE"""),"Fatal")</f>
        <v>Fatal</v>
      </c>
      <c r="D1292" s="8" t="str">
        <f ca="1">IFERROR(__xludf.DUMMYFUNCTION("""COMPUTED_VALUE"""),"Female")</f>
        <v>Female</v>
      </c>
      <c r="E1292" s="8" t="str">
        <f ca="1">IFERROR(__xludf.DUMMYFUNCTION("""COMPUTED_VALUE"""),"Parent")</f>
        <v>Parent</v>
      </c>
      <c r="F1292" s="8">
        <f ca="1">IFERROR(__xludf.DUMMYFUNCTION("""COMPUTED_VALUE"""),42)</f>
        <v>42</v>
      </c>
    </row>
    <row r="1293" spans="1:6" ht="12.75">
      <c r="A1293" s="4">
        <v>1292</v>
      </c>
      <c r="B1293" s="8" t="str">
        <f ca="1">IFERROR(__xludf.DUMMYFUNCTION("""COMPUTED_VALUE"""),"20140411MIEAD")</f>
        <v>20140411MIEAD</v>
      </c>
      <c r="C1293" s="8" t="str">
        <f ca="1">IFERROR(__xludf.DUMMYFUNCTION("""COMPUTED_VALUE"""),"Fatal")</f>
        <v>Fatal</v>
      </c>
      <c r="D1293" s="8" t="str">
        <f ca="1">IFERROR(__xludf.DUMMYFUNCTION("""COMPUTED_VALUE"""),"Male")</f>
        <v>Male</v>
      </c>
      <c r="E1293" s="8" t="str">
        <f ca="1">IFERROR(__xludf.DUMMYFUNCTION("""COMPUTED_VALUE"""),"Relative")</f>
        <v>Relative</v>
      </c>
      <c r="F1293" s="8">
        <f ca="1">IFERROR(__xludf.DUMMYFUNCTION("""COMPUTED_VALUE"""),19)</f>
        <v>19</v>
      </c>
    </row>
    <row r="1294" spans="1:6" ht="12.75">
      <c r="A1294" s="4">
        <v>1293</v>
      </c>
      <c r="B1294" s="8" t="str">
        <f ca="1">IFERROR(__xludf.DUMMYFUNCTION("""COMPUTED_VALUE"""),"20140410OHLIC")</f>
        <v>20140410OHLIC</v>
      </c>
      <c r="C1294" s="8" t="str">
        <f ca="1">IFERROR(__xludf.DUMMYFUNCTION("""COMPUTED_VALUE"""),"Wounded")</f>
        <v>Wounded</v>
      </c>
      <c r="D1294" s="8" t="str">
        <f ca="1">IFERROR(__xludf.DUMMYFUNCTION("""COMPUTED_VALUE"""),"Male")</f>
        <v>Male</v>
      </c>
      <c r="E1294" s="8" t="str">
        <f ca="1">IFERROR(__xludf.DUMMYFUNCTION("""COMPUTED_VALUE"""),"No Relation")</f>
        <v>No Relation</v>
      </c>
      <c r="F1294" s="8">
        <f ca="1">IFERROR(__xludf.DUMMYFUNCTION("""COMPUTED_VALUE"""),14)</f>
        <v>14</v>
      </c>
    </row>
    <row r="1295" spans="1:6" ht="12.75">
      <c r="A1295" s="4">
        <v>1294</v>
      </c>
      <c r="B1295" s="8" t="str">
        <f ca="1">IFERROR(__xludf.DUMMYFUNCTION("""COMPUTED_VALUE"""),"20140410OHLIC")</f>
        <v>20140410OHLIC</v>
      </c>
      <c r="C1295" s="8" t="str">
        <f ca="1">IFERROR(__xludf.DUMMYFUNCTION("""COMPUTED_VALUE"""),"Wounded")</f>
        <v>Wounded</v>
      </c>
      <c r="D1295" s="8" t="str">
        <f ca="1">IFERROR(__xludf.DUMMYFUNCTION("""COMPUTED_VALUE"""),"Male")</f>
        <v>Male</v>
      </c>
      <c r="E1295" s="8" t="str">
        <f ca="1">IFERROR(__xludf.DUMMYFUNCTION("""COMPUTED_VALUE"""),"No Relation")</f>
        <v>No Relation</v>
      </c>
      <c r="F1295" s="8">
        <f ca="1">IFERROR(__xludf.DUMMYFUNCTION("""COMPUTED_VALUE"""),20)</f>
        <v>20</v>
      </c>
    </row>
    <row r="1296" spans="1:6" ht="12.75">
      <c r="A1296" s="4">
        <v>1295</v>
      </c>
      <c r="B1296" s="8" t="str">
        <f ca="1">IFERROR(__xludf.DUMMYFUNCTION("""COMPUTED_VALUE"""),"20140409NCDHG")</f>
        <v>20140409NCDHG</v>
      </c>
      <c r="C1296" s="8" t="str">
        <f ca="1">IFERROR(__xludf.DUMMYFUNCTION("""COMPUTED_VALUE"""),"None")</f>
        <v>None</v>
      </c>
      <c r="D1296" s="8"/>
      <c r="E1296" s="8"/>
      <c r="F1296" s="8"/>
    </row>
    <row r="1297" spans="1:6" ht="12.75">
      <c r="A1297" s="4">
        <v>1296</v>
      </c>
      <c r="B1297" s="8" t="str">
        <f ca="1">IFERROR(__xludf.DUMMYFUNCTION("""COMPUTED_VALUE"""),"20140403NJUNN")</f>
        <v>20140403NJUNN</v>
      </c>
      <c r="C1297" s="8" t="str">
        <f ca="1">IFERROR(__xludf.DUMMYFUNCTION("""COMPUTED_VALUE"""),"None")</f>
        <v>None</v>
      </c>
      <c r="D1297" s="8"/>
      <c r="E1297" s="8"/>
      <c r="F1297" s="8"/>
    </row>
    <row r="1298" spans="1:6" ht="12.75">
      <c r="A1298" s="4">
        <v>1297</v>
      </c>
      <c r="B1298" s="8" t="str">
        <f ca="1">IFERROR(__xludf.DUMMYFUNCTION("""COMPUTED_VALUE"""),"20140325GABEC")</f>
        <v>20140325GABEC</v>
      </c>
      <c r="C1298" s="8" t="str">
        <f ca="1">IFERROR(__xludf.DUMMYFUNCTION("""COMPUTED_VALUE"""),"None")</f>
        <v>None</v>
      </c>
      <c r="D1298" s="8"/>
      <c r="E1298" s="8"/>
      <c r="F1298" s="8"/>
    </row>
    <row r="1299" spans="1:6" ht="12.75">
      <c r="A1299" s="4">
        <v>1298</v>
      </c>
      <c r="B1299" s="8" t="str">
        <f ca="1">IFERROR(__xludf.DUMMYFUNCTION("""COMPUTED_VALUE"""),"20140312FLACM")</f>
        <v>20140312FLACM</v>
      </c>
      <c r="C1299" s="8" t="str">
        <f ca="1">IFERROR(__xludf.DUMMYFUNCTION("""COMPUTED_VALUE"""),"Fatal")</f>
        <v>Fatal</v>
      </c>
      <c r="D1299" s="8" t="str">
        <f ca="1">IFERROR(__xludf.DUMMYFUNCTION("""COMPUTED_VALUE"""),"Female")</f>
        <v>Female</v>
      </c>
      <c r="E1299" s="8" t="str">
        <f ca="1">IFERROR(__xludf.DUMMYFUNCTION("""COMPUTED_VALUE"""),"No Relation")</f>
        <v>No Relation</v>
      </c>
      <c r="F1299" s="8">
        <f ca="1">IFERROR(__xludf.DUMMYFUNCTION("""COMPUTED_VALUE"""),33)</f>
        <v>33</v>
      </c>
    </row>
    <row r="1300" spans="1:6" ht="12.75">
      <c r="A1300" s="4">
        <v>1299</v>
      </c>
      <c r="B1300" s="8" t="str">
        <f ca="1">IFERROR(__xludf.DUMMYFUNCTION("""COMPUTED_VALUE"""),"20140307LAMAT")</f>
        <v>20140307LAMAT</v>
      </c>
      <c r="C1300" s="8" t="str">
        <f ca="1">IFERROR(__xludf.DUMMYFUNCTION("""COMPUTED_VALUE"""),"Wounded")</f>
        <v>Wounded</v>
      </c>
      <c r="D1300" s="8" t="str">
        <f ca="1">IFERROR(__xludf.DUMMYFUNCTION("""COMPUTED_VALUE"""),"Male")</f>
        <v>Male</v>
      </c>
      <c r="E1300" s="8" t="str">
        <f ca="1">IFERROR(__xludf.DUMMYFUNCTION("""COMPUTED_VALUE"""),"Unknown")</f>
        <v>Unknown</v>
      </c>
      <c r="F1300" s="8">
        <f ca="1">IFERROR(__xludf.DUMMYFUNCTION("""COMPUTED_VALUE"""),16)</f>
        <v>16</v>
      </c>
    </row>
    <row r="1301" spans="1:6" ht="12.75">
      <c r="A1301" s="4">
        <v>1300</v>
      </c>
      <c r="B1301" s="8" t="str">
        <f ca="1">IFERROR(__xludf.DUMMYFUNCTION("""COMPUTED_VALUE"""),"20140220MIRAR")</f>
        <v>20140220MIRAR</v>
      </c>
      <c r="C1301" s="8" t="str">
        <f ca="1">IFERROR(__xludf.DUMMYFUNCTION("""COMPUTED_VALUE"""),"Fatal")</f>
        <v>Fatal</v>
      </c>
      <c r="D1301" s="8" t="str">
        <f ca="1">IFERROR(__xludf.DUMMYFUNCTION("""COMPUTED_VALUE"""),"Male")</f>
        <v>Male</v>
      </c>
      <c r="E1301" s="8" t="str">
        <f ca="1">IFERROR(__xludf.DUMMYFUNCTION("""COMPUTED_VALUE"""),"Relative")</f>
        <v>Relative</v>
      </c>
      <c r="F1301" s="8">
        <f ca="1">IFERROR(__xludf.DUMMYFUNCTION("""COMPUTED_VALUE"""),30)</f>
        <v>30</v>
      </c>
    </row>
    <row r="1302" spans="1:6" ht="12.75">
      <c r="A1302" s="4">
        <v>1301</v>
      </c>
      <c r="B1302" s="8" t="str">
        <f ca="1">IFERROR(__xludf.DUMMYFUNCTION("""COMPUTED_VALUE"""),"20140211OHCHL")</f>
        <v>20140211OHCHL</v>
      </c>
      <c r="C1302" s="8" t="str">
        <f ca="1">IFERROR(__xludf.DUMMYFUNCTION("""COMPUTED_VALUE"""),"None")</f>
        <v>None</v>
      </c>
      <c r="D1302" s="8"/>
      <c r="E1302" s="8"/>
      <c r="F1302" s="8"/>
    </row>
    <row r="1303" spans="1:6" ht="12.75">
      <c r="A1303" s="4">
        <v>1302</v>
      </c>
      <c r="B1303" s="8" t="str">
        <f ca="1">IFERROR(__xludf.DUMMYFUNCTION("""COMPUTED_VALUE"""),"20140210NCSAS")</f>
        <v>20140210NCSAS</v>
      </c>
      <c r="C1303" s="8" t="str">
        <f ca="1">IFERROR(__xludf.DUMMYFUNCTION("""COMPUTED_VALUE"""),"Wounded")</f>
        <v>Wounded</v>
      </c>
      <c r="D1303" s="8" t="str">
        <f ca="1">IFERROR(__xludf.DUMMYFUNCTION("""COMPUTED_VALUE"""),"Male")</f>
        <v>Male</v>
      </c>
      <c r="E1303" s="8" t="str">
        <f ca="1">IFERROR(__xludf.DUMMYFUNCTION("""COMPUTED_VALUE"""),"Student")</f>
        <v>Student</v>
      </c>
      <c r="F1303" s="8">
        <f ca="1">IFERROR(__xludf.DUMMYFUNCTION("""COMPUTED_VALUE"""),16)</f>
        <v>16</v>
      </c>
    </row>
    <row r="1304" spans="1:6" ht="12.75">
      <c r="A1304" s="4">
        <v>1303</v>
      </c>
      <c r="B1304" s="8" t="str">
        <f ca="1">IFERROR(__xludf.DUMMYFUNCTION("""COMPUTED_VALUE"""),"20140207ORBEB")</f>
        <v>20140207ORBEB</v>
      </c>
      <c r="C1304" s="8" t="str">
        <f ca="1">IFERROR(__xludf.DUMMYFUNCTION("""COMPUTED_VALUE"""),"None")</f>
        <v>None</v>
      </c>
      <c r="D1304" s="8" t="str">
        <f ca="1">IFERROR(__xludf.DUMMYFUNCTION("""COMPUTED_VALUE"""),"Male")</f>
        <v>Male</v>
      </c>
      <c r="E1304" s="8" t="str">
        <f ca="1">IFERROR(__xludf.DUMMYFUNCTION("""COMPUTED_VALUE"""),"Student")</f>
        <v>Student</v>
      </c>
      <c r="F1304" s="8">
        <f ca="1">IFERROR(__xludf.DUMMYFUNCTION("""COMPUTED_VALUE"""),17)</f>
        <v>17</v>
      </c>
    </row>
    <row r="1305" spans="1:6" ht="12.75">
      <c r="A1305" s="4">
        <v>1304</v>
      </c>
      <c r="B1305" s="8" t="str">
        <f ca="1">IFERROR(__xludf.DUMMYFUNCTION("""COMPUTED_VALUE"""),"20140131IANOD")</f>
        <v>20140131IANOD</v>
      </c>
      <c r="C1305" s="8" t="str">
        <f ca="1">IFERROR(__xludf.DUMMYFUNCTION("""COMPUTED_VALUE"""),"Wounded")</f>
        <v>Wounded</v>
      </c>
      <c r="D1305" s="8" t="str">
        <f ca="1">IFERROR(__xludf.DUMMYFUNCTION("""COMPUTED_VALUE"""),"Female")</f>
        <v>Female</v>
      </c>
      <c r="E1305" s="8" t="str">
        <f ca="1">IFERROR(__xludf.DUMMYFUNCTION("""COMPUTED_VALUE"""),"Student")</f>
        <v>Student</v>
      </c>
      <c r="F1305" s="8">
        <f ca="1">IFERROR(__xludf.DUMMYFUNCTION("""COMPUTED_VALUE"""),15)</f>
        <v>15</v>
      </c>
    </row>
    <row r="1306" spans="1:6" ht="12.75">
      <c r="A1306" s="4">
        <v>1305</v>
      </c>
      <c r="B1306" s="8" t="str">
        <f ca="1">IFERROR(__xludf.DUMMYFUNCTION("""COMPUTED_VALUE"""),"20140131AZCEP")</f>
        <v>20140131AZCEP</v>
      </c>
      <c r="C1306" s="8" t="str">
        <f ca="1">IFERROR(__xludf.DUMMYFUNCTION("""COMPUTED_VALUE"""),"None")</f>
        <v>None</v>
      </c>
      <c r="D1306" s="8"/>
      <c r="E1306" s="8"/>
      <c r="F1306" s="8"/>
    </row>
    <row r="1307" spans="1:6" ht="12.75">
      <c r="A1307" s="4">
        <v>1306</v>
      </c>
      <c r="B1307" s="8" t="str">
        <f ca="1">IFERROR(__xludf.DUMMYFUNCTION("""COMPUTED_VALUE"""),"20140128HIPRH")</f>
        <v>20140128HIPRH</v>
      </c>
      <c r="C1307" s="8" t="str">
        <f ca="1">IFERROR(__xludf.DUMMYFUNCTION("""COMPUTED_VALUE"""),"Wounded")</f>
        <v>Wounded</v>
      </c>
      <c r="D1307" s="8" t="str">
        <f ca="1">IFERROR(__xludf.DUMMYFUNCTION("""COMPUTED_VALUE"""),"Male")</f>
        <v>Male</v>
      </c>
      <c r="E1307" s="8" t="str">
        <f ca="1">IFERROR(__xludf.DUMMYFUNCTION("""COMPUTED_VALUE"""),"Student")</f>
        <v>Student</v>
      </c>
      <c r="F1307" s="8" t="str">
        <f ca="1">IFERROR(__xludf.DUMMYFUNCTION("""COMPUTED_VALUE"""),"Teen")</f>
        <v>Teen</v>
      </c>
    </row>
    <row r="1308" spans="1:6" ht="12.75">
      <c r="A1308" s="4">
        <v>1307</v>
      </c>
      <c r="B1308" s="8" t="str">
        <f ca="1">IFERROR(__xludf.DUMMYFUNCTION("""COMPUTED_VALUE"""),"20140127ILREC")</f>
        <v>20140127ILREC</v>
      </c>
      <c r="C1308" s="8" t="str">
        <f ca="1">IFERROR(__xludf.DUMMYFUNCTION("""COMPUTED_VALUE"""),"Wounded")</f>
        <v>Wounded</v>
      </c>
      <c r="D1308" s="8" t="str">
        <f ca="1">IFERROR(__xludf.DUMMYFUNCTION("""COMPUTED_VALUE"""),"Male")</f>
        <v>Male</v>
      </c>
      <c r="E1308" s="8" t="str">
        <f ca="1">IFERROR(__xludf.DUMMYFUNCTION("""COMPUTED_VALUE"""),"Parent")</f>
        <v>Parent</v>
      </c>
      <c r="F1308" s="8" t="str">
        <f ca="1">IFERROR(__xludf.DUMMYFUNCTION("""COMPUTED_VALUE"""),"Adult")</f>
        <v>Adult</v>
      </c>
    </row>
    <row r="1309" spans="1:6" ht="12.75">
      <c r="A1309" s="4">
        <v>1308</v>
      </c>
      <c r="B1309" s="8" t="str">
        <f ca="1">IFERROR(__xludf.DUMMYFUNCTION("""COMPUTED_VALUE"""),"20140117PADEP")</f>
        <v>20140117PADEP</v>
      </c>
      <c r="C1309" s="8" t="str">
        <f ca="1">IFERROR(__xludf.DUMMYFUNCTION("""COMPUTED_VALUE"""),"Wounded")</f>
        <v>Wounded</v>
      </c>
      <c r="D1309" s="8" t="str">
        <f ca="1">IFERROR(__xludf.DUMMYFUNCTION("""COMPUTED_VALUE"""),"Female")</f>
        <v>Female</v>
      </c>
      <c r="E1309" s="8" t="str">
        <f ca="1">IFERROR(__xludf.DUMMYFUNCTION("""COMPUTED_VALUE"""),"Student")</f>
        <v>Student</v>
      </c>
      <c r="F1309" s="8">
        <f ca="1">IFERROR(__xludf.DUMMYFUNCTION("""COMPUTED_VALUE"""),15)</f>
        <v>15</v>
      </c>
    </row>
    <row r="1310" spans="1:6" ht="12.75">
      <c r="A1310" s="4">
        <v>1309</v>
      </c>
      <c r="B1310" s="8" t="str">
        <f ca="1">IFERROR(__xludf.DUMMYFUNCTION("""COMPUTED_VALUE"""),"20140117PADEP")</f>
        <v>20140117PADEP</v>
      </c>
      <c r="C1310" s="8" t="str">
        <f ca="1">IFERROR(__xludf.DUMMYFUNCTION("""COMPUTED_VALUE"""),"Wounded")</f>
        <v>Wounded</v>
      </c>
      <c r="D1310" s="8" t="str">
        <f ca="1">IFERROR(__xludf.DUMMYFUNCTION("""COMPUTED_VALUE"""),"Male")</f>
        <v>Male</v>
      </c>
      <c r="E1310" s="8" t="str">
        <f ca="1">IFERROR(__xludf.DUMMYFUNCTION("""COMPUTED_VALUE"""),"Student")</f>
        <v>Student</v>
      </c>
      <c r="F1310" s="8">
        <f ca="1">IFERROR(__xludf.DUMMYFUNCTION("""COMPUTED_VALUE"""),15)</f>
        <v>15</v>
      </c>
    </row>
    <row r="1311" spans="1:6" ht="12.75">
      <c r="A1311" s="4">
        <v>1310</v>
      </c>
      <c r="B1311" s="8" t="str">
        <f ca="1">IFERROR(__xludf.DUMMYFUNCTION("""COMPUTED_VALUE"""),"20140114PAKIL")</f>
        <v>20140114PAKIL</v>
      </c>
      <c r="C1311" s="8" t="str">
        <f ca="1">IFERROR(__xludf.DUMMYFUNCTION("""COMPUTED_VALUE"""),"None")</f>
        <v>None</v>
      </c>
      <c r="D1311" s="8"/>
      <c r="E1311" s="8"/>
      <c r="F1311" s="8"/>
    </row>
    <row r="1312" spans="1:6" ht="12.75">
      <c r="A1312" s="4">
        <v>1311</v>
      </c>
      <c r="B1312" s="8" t="str">
        <f ca="1">IFERROR(__xludf.DUMMYFUNCTION("""COMPUTED_VALUE"""),"20140114NMBER")</f>
        <v>20140114NMBER</v>
      </c>
      <c r="C1312" s="8" t="str">
        <f ca="1">IFERROR(__xludf.DUMMYFUNCTION("""COMPUTED_VALUE"""),"Wounded")</f>
        <v>Wounded</v>
      </c>
      <c r="D1312" s="8" t="str">
        <f ca="1">IFERROR(__xludf.DUMMYFUNCTION("""COMPUTED_VALUE"""),"Male")</f>
        <v>Male</v>
      </c>
      <c r="E1312" s="8" t="str">
        <f ca="1">IFERROR(__xludf.DUMMYFUNCTION("""COMPUTED_VALUE"""),"Student")</f>
        <v>Student</v>
      </c>
      <c r="F1312" s="8" t="str">
        <f ca="1">IFERROR(__xludf.DUMMYFUNCTION("""COMPUTED_VALUE"""),"Teen")</f>
        <v>Teen</v>
      </c>
    </row>
    <row r="1313" spans="1:6" ht="12.75">
      <c r="A1313" s="4">
        <v>1312</v>
      </c>
      <c r="B1313" s="8" t="str">
        <f ca="1">IFERROR(__xludf.DUMMYFUNCTION("""COMPUTED_VALUE"""),"20140114NMBER")</f>
        <v>20140114NMBER</v>
      </c>
      <c r="C1313" s="8" t="str">
        <f ca="1">IFERROR(__xludf.DUMMYFUNCTION("""COMPUTED_VALUE"""),"Wounded")</f>
        <v>Wounded</v>
      </c>
      <c r="D1313" s="8" t="str">
        <f ca="1">IFERROR(__xludf.DUMMYFUNCTION("""COMPUTED_VALUE"""),"Female")</f>
        <v>Female</v>
      </c>
      <c r="E1313" s="8" t="str">
        <f ca="1">IFERROR(__xludf.DUMMYFUNCTION("""COMPUTED_VALUE"""),"Student")</f>
        <v>Student</v>
      </c>
      <c r="F1313" s="8" t="str">
        <f ca="1">IFERROR(__xludf.DUMMYFUNCTION("""COMPUTED_VALUE"""),"Teen")</f>
        <v>Teen</v>
      </c>
    </row>
    <row r="1314" spans="1:6" ht="12.75">
      <c r="A1314" s="4">
        <v>1313</v>
      </c>
      <c r="B1314" s="8" t="str">
        <f ca="1">IFERROR(__xludf.DUMMYFUNCTION("""COMPUTED_VALUE"""),"20140114LASTB")</f>
        <v>20140114LASTB</v>
      </c>
      <c r="C1314" s="8" t="str">
        <f ca="1">IFERROR(__xludf.DUMMYFUNCTION("""COMPUTED_VALUE"""),"Wounded")</f>
        <v>Wounded</v>
      </c>
      <c r="D1314" s="8" t="str">
        <f ca="1">IFERROR(__xludf.DUMMYFUNCTION("""COMPUTED_VALUE"""),"Male")</f>
        <v>Male</v>
      </c>
      <c r="E1314" s="8"/>
      <c r="F1314" s="8">
        <f ca="1">IFERROR(__xludf.DUMMYFUNCTION("""COMPUTED_VALUE"""),19)</f>
        <v>19</v>
      </c>
    </row>
    <row r="1315" spans="1:6" ht="12.75">
      <c r="A1315" s="4">
        <v>1314</v>
      </c>
      <c r="B1315" s="8" t="str">
        <f ca="1">IFERROR(__xludf.DUMMYFUNCTION("""COMPUTED_VALUE"""),"20140113CTHIN")</f>
        <v>20140113CTHIN</v>
      </c>
      <c r="C1315" s="8" t="str">
        <f ca="1">IFERROR(__xludf.DUMMYFUNCTION("""COMPUTED_VALUE"""),"Wounded")</f>
        <v>Wounded</v>
      </c>
      <c r="D1315" s="8" t="str">
        <f ca="1">IFERROR(__xludf.DUMMYFUNCTION("""COMPUTED_VALUE"""),"Male")</f>
        <v>Male</v>
      </c>
      <c r="E1315" s="8" t="str">
        <f ca="1">IFERROR(__xludf.DUMMYFUNCTION("""COMPUTED_VALUE"""),"Rival School Student")</f>
        <v>Rival School Student</v>
      </c>
      <c r="F1315" s="8">
        <f ca="1">IFERROR(__xludf.DUMMYFUNCTION("""COMPUTED_VALUE"""),14)</f>
        <v>14</v>
      </c>
    </row>
    <row r="1316" spans="1:6" ht="12.75">
      <c r="A1316" s="4">
        <v>1315</v>
      </c>
      <c r="B1316" s="8" t="str">
        <f ca="1">IFERROR(__xludf.DUMMYFUNCTION("""COMPUTED_VALUE"""),"20140109TNLIJ")</f>
        <v>20140109TNLIJ</v>
      </c>
      <c r="C1316" s="8" t="str">
        <f ca="1">IFERROR(__xludf.DUMMYFUNCTION("""COMPUTED_VALUE"""),"Wounded")</f>
        <v>Wounded</v>
      </c>
      <c r="D1316" s="8" t="str">
        <f ca="1">IFERROR(__xludf.DUMMYFUNCTION("""COMPUTED_VALUE"""),"Male")</f>
        <v>Male</v>
      </c>
      <c r="E1316" s="8" t="str">
        <f ca="1">IFERROR(__xludf.DUMMYFUNCTION("""COMPUTED_VALUE"""),"Student")</f>
        <v>Student</v>
      </c>
      <c r="F1316" s="8">
        <f ca="1">IFERROR(__xludf.DUMMYFUNCTION("""COMPUTED_VALUE"""),17)</f>
        <v>17</v>
      </c>
    </row>
    <row r="1317" spans="1:6" ht="12.75">
      <c r="A1317" s="4">
        <v>1316</v>
      </c>
      <c r="B1317" s="8" t="str">
        <f ca="1">IFERROR(__xludf.DUMMYFUNCTION("""COMPUTED_VALUE"""),"20131219CAEDF")</f>
        <v>20131219CAEDF</v>
      </c>
      <c r="C1317" s="8" t="str">
        <f ca="1">IFERROR(__xludf.DUMMYFUNCTION("""COMPUTED_VALUE"""),"Wounded")</f>
        <v>Wounded</v>
      </c>
      <c r="D1317" s="8" t="str">
        <f ca="1">IFERROR(__xludf.DUMMYFUNCTION("""COMPUTED_VALUE"""),"Male")</f>
        <v>Male</v>
      </c>
      <c r="E1317" s="8" t="str">
        <f ca="1">IFERROR(__xludf.DUMMYFUNCTION("""COMPUTED_VALUE"""),"Teacher")</f>
        <v>Teacher</v>
      </c>
      <c r="F1317" s="8">
        <f ca="1">IFERROR(__xludf.DUMMYFUNCTION("""COMPUTED_VALUE"""),30)</f>
        <v>30</v>
      </c>
    </row>
    <row r="1318" spans="1:6" ht="12.75">
      <c r="A1318" s="4">
        <v>1317</v>
      </c>
      <c r="B1318" s="8" t="str">
        <f ca="1">IFERROR(__xludf.DUMMYFUNCTION("""COMPUTED_VALUE"""),"20131213COARC")</f>
        <v>20131213COARC</v>
      </c>
      <c r="C1318" s="8" t="str">
        <f ca="1">IFERROR(__xludf.DUMMYFUNCTION("""COMPUTED_VALUE"""),"Fatal")</f>
        <v>Fatal</v>
      </c>
      <c r="D1318" s="8" t="str">
        <f ca="1">IFERROR(__xludf.DUMMYFUNCTION("""COMPUTED_VALUE"""),"Female")</f>
        <v>Female</v>
      </c>
      <c r="E1318" s="8" t="str">
        <f ca="1">IFERROR(__xludf.DUMMYFUNCTION("""COMPUTED_VALUE"""),"Student")</f>
        <v>Student</v>
      </c>
      <c r="F1318" s="8">
        <f ca="1">IFERROR(__xludf.DUMMYFUNCTION("""COMPUTED_VALUE"""),17)</f>
        <v>17</v>
      </c>
    </row>
    <row r="1319" spans="1:6" ht="12.75">
      <c r="A1319" s="4">
        <v>1318</v>
      </c>
      <c r="B1319" s="8" t="str">
        <f ca="1">IFERROR(__xludf.DUMMYFUNCTION("""COMPUTED_VALUE"""),"20131204FLWEW")</f>
        <v>20131204FLWEW</v>
      </c>
      <c r="C1319" s="8" t="str">
        <f ca="1">IFERROR(__xludf.DUMMYFUNCTION("""COMPUTED_VALUE"""),"Wounded")</f>
        <v>Wounded</v>
      </c>
      <c r="D1319" s="8" t="str">
        <f ca="1">IFERROR(__xludf.DUMMYFUNCTION("""COMPUTED_VALUE"""),"Male")</f>
        <v>Male</v>
      </c>
      <c r="E1319" s="8" t="str">
        <f ca="1">IFERROR(__xludf.DUMMYFUNCTION("""COMPUTED_VALUE"""),"Student")</f>
        <v>Student</v>
      </c>
      <c r="F1319" s="8">
        <f ca="1">IFERROR(__xludf.DUMMYFUNCTION("""COMPUTED_VALUE"""),15)</f>
        <v>15</v>
      </c>
    </row>
    <row r="1320" spans="1:6" ht="12.75">
      <c r="A1320" s="4">
        <v>1319</v>
      </c>
      <c r="B1320" s="8" t="str">
        <f ca="1">IFERROR(__xludf.DUMMYFUNCTION("""COMPUTED_VALUE"""),"20131113PABRP")</f>
        <v>20131113PABRP</v>
      </c>
      <c r="C1320" s="8" t="str">
        <f ca="1">IFERROR(__xludf.DUMMYFUNCTION("""COMPUTED_VALUE"""),"Wounded")</f>
        <v>Wounded</v>
      </c>
      <c r="D1320" s="8" t="str">
        <f ca="1">IFERROR(__xludf.DUMMYFUNCTION("""COMPUTED_VALUE"""),"Male")</f>
        <v>Male</v>
      </c>
      <c r="E1320" s="8" t="str">
        <f ca="1">IFERROR(__xludf.DUMMYFUNCTION("""COMPUTED_VALUE"""),"Student")</f>
        <v>Student</v>
      </c>
      <c r="F1320" s="8">
        <f ca="1">IFERROR(__xludf.DUMMYFUNCTION("""COMPUTED_VALUE"""),17)</f>
        <v>17</v>
      </c>
    </row>
    <row r="1321" spans="1:6" ht="12.75">
      <c r="A1321" s="4">
        <v>1320</v>
      </c>
      <c r="B1321" s="8" t="str">
        <f ca="1">IFERROR(__xludf.DUMMYFUNCTION("""COMPUTED_VALUE"""),"20131113PABRP")</f>
        <v>20131113PABRP</v>
      </c>
      <c r="C1321" s="8" t="str">
        <f ca="1">IFERROR(__xludf.DUMMYFUNCTION("""COMPUTED_VALUE"""),"Wounded")</f>
        <v>Wounded</v>
      </c>
      <c r="D1321" s="8" t="str">
        <f ca="1">IFERROR(__xludf.DUMMYFUNCTION("""COMPUTED_VALUE"""),"Male")</f>
        <v>Male</v>
      </c>
      <c r="E1321" s="8" t="str">
        <f ca="1">IFERROR(__xludf.DUMMYFUNCTION("""COMPUTED_VALUE"""),"Student")</f>
        <v>Student</v>
      </c>
      <c r="F1321" s="8">
        <f ca="1">IFERROR(__xludf.DUMMYFUNCTION("""COMPUTED_VALUE"""),15)</f>
        <v>15</v>
      </c>
    </row>
    <row r="1322" spans="1:6" ht="12.75">
      <c r="A1322" s="4">
        <v>1321</v>
      </c>
      <c r="B1322" s="8" t="str">
        <f ca="1">IFERROR(__xludf.DUMMYFUNCTION("""COMPUTED_VALUE"""),"20131113PABRP")</f>
        <v>20131113PABRP</v>
      </c>
      <c r="C1322" s="8" t="str">
        <f ca="1">IFERROR(__xludf.DUMMYFUNCTION("""COMPUTED_VALUE"""),"Wounded")</f>
        <v>Wounded</v>
      </c>
      <c r="D1322" s="8" t="str">
        <f ca="1">IFERROR(__xludf.DUMMYFUNCTION("""COMPUTED_VALUE"""),"Male")</f>
        <v>Male</v>
      </c>
      <c r="E1322" s="8" t="str">
        <f ca="1">IFERROR(__xludf.DUMMYFUNCTION("""COMPUTED_VALUE"""),"Student")</f>
        <v>Student</v>
      </c>
      <c r="F1322" s="8">
        <f ca="1">IFERROR(__xludf.DUMMYFUNCTION("""COMPUTED_VALUE"""),17)</f>
        <v>17</v>
      </c>
    </row>
    <row r="1323" spans="1:6" ht="12.75">
      <c r="A1323" s="4">
        <v>1322</v>
      </c>
      <c r="B1323" s="8" t="str">
        <f ca="1">IFERROR(__xludf.DUMMYFUNCTION("""COMPUTED_VALUE"""),"20131103GASTL")</f>
        <v>20131103GASTL</v>
      </c>
      <c r="C1323" s="8" t="str">
        <f ca="1">IFERROR(__xludf.DUMMYFUNCTION("""COMPUTED_VALUE"""),"Wounded")</f>
        <v>Wounded</v>
      </c>
      <c r="D1323" s="8" t="str">
        <f ca="1">IFERROR(__xludf.DUMMYFUNCTION("""COMPUTED_VALUE"""),"Male")</f>
        <v>Male</v>
      </c>
      <c r="E1323" s="8" t="str">
        <f ca="1">IFERROR(__xludf.DUMMYFUNCTION("""COMPUTED_VALUE"""),"Student")</f>
        <v>Student</v>
      </c>
      <c r="F1323" s="8">
        <f ca="1">IFERROR(__xludf.DUMMYFUNCTION("""COMPUTED_VALUE"""),17)</f>
        <v>17</v>
      </c>
    </row>
    <row r="1324" spans="1:6" ht="12.75">
      <c r="A1324" s="4">
        <v>1323</v>
      </c>
      <c r="B1324" s="8" t="str">
        <f ca="1">IFERROR(__xludf.DUMMYFUNCTION("""COMPUTED_VALUE"""),"20131101IAALA")</f>
        <v>20131101IAALA</v>
      </c>
      <c r="C1324" s="8" t="str">
        <f ca="1">IFERROR(__xludf.DUMMYFUNCTION("""COMPUTED_VALUE"""),"None")</f>
        <v>None</v>
      </c>
      <c r="D1324" s="8" t="str">
        <f ca="1">IFERROR(__xludf.DUMMYFUNCTION("""COMPUTED_VALUE"""),"Male")</f>
        <v>Male</v>
      </c>
      <c r="E1324" s="8" t="str">
        <f ca="1">IFERROR(__xludf.DUMMYFUNCTION("""COMPUTED_VALUE"""),"Former Student")</f>
        <v>Former Student</v>
      </c>
      <c r="F1324" s="8">
        <f ca="1">IFERROR(__xludf.DUMMYFUNCTION("""COMPUTED_VALUE"""),23)</f>
        <v>23</v>
      </c>
    </row>
    <row r="1325" spans="1:6" ht="12.75">
      <c r="A1325" s="4">
        <v>1324</v>
      </c>
      <c r="B1325" s="8" t="str">
        <f ca="1">IFERROR(__xludf.DUMMYFUNCTION("""COMPUTED_VALUE"""),"20131023CANEC")</f>
        <v>20131023CANEC</v>
      </c>
      <c r="C1325" s="8" t="str">
        <f ca="1">IFERROR(__xludf.DUMMYFUNCTION("""COMPUTED_VALUE"""),"Wounded")</f>
        <v>Wounded</v>
      </c>
      <c r="D1325" s="8"/>
      <c r="E1325" s="8" t="str">
        <f ca="1">IFERROR(__xludf.DUMMYFUNCTION("""COMPUTED_VALUE"""),"Student")</f>
        <v>Student</v>
      </c>
      <c r="F1325" s="8" t="str">
        <f ca="1">IFERROR(__xludf.DUMMYFUNCTION("""COMPUTED_VALUE"""),"Child")</f>
        <v>Child</v>
      </c>
    </row>
    <row r="1326" spans="1:6" ht="12.75">
      <c r="A1326" s="4">
        <v>1325</v>
      </c>
      <c r="B1326" s="8" t="str">
        <f ca="1">IFERROR(__xludf.DUMMYFUNCTION("""COMPUTED_VALUE"""),"20131023CANEC")</f>
        <v>20131023CANEC</v>
      </c>
      <c r="C1326" s="8" t="str">
        <f ca="1">IFERROR(__xludf.DUMMYFUNCTION("""COMPUTED_VALUE"""),"Wounded")</f>
        <v>Wounded</v>
      </c>
      <c r="D1326" s="8"/>
      <c r="E1326" s="8" t="str">
        <f ca="1">IFERROR(__xludf.DUMMYFUNCTION("""COMPUTED_VALUE"""),"Student")</f>
        <v>Student</v>
      </c>
      <c r="F1326" s="8" t="str">
        <f ca="1">IFERROR(__xludf.DUMMYFUNCTION("""COMPUTED_VALUE"""),"Child")</f>
        <v>Child</v>
      </c>
    </row>
    <row r="1327" spans="1:6" ht="12.75">
      <c r="A1327" s="4">
        <v>1326</v>
      </c>
      <c r="B1327" s="8" t="str">
        <f ca="1">IFERROR(__xludf.DUMMYFUNCTION("""COMPUTED_VALUE"""),"20131023CANEC")</f>
        <v>20131023CANEC</v>
      </c>
      <c r="C1327" s="8" t="str">
        <f ca="1">IFERROR(__xludf.DUMMYFUNCTION("""COMPUTED_VALUE"""),"Wounded")</f>
        <v>Wounded</v>
      </c>
      <c r="D1327" s="8"/>
      <c r="E1327" s="8" t="str">
        <f ca="1">IFERROR(__xludf.DUMMYFUNCTION("""COMPUTED_VALUE"""),"Student")</f>
        <v>Student</v>
      </c>
      <c r="F1327" s="8" t="str">
        <f ca="1">IFERROR(__xludf.DUMMYFUNCTION("""COMPUTED_VALUE"""),"Child")</f>
        <v>Child</v>
      </c>
    </row>
    <row r="1328" spans="1:6" ht="12.75">
      <c r="A1328" s="4">
        <v>1327</v>
      </c>
      <c r="B1328" s="8" t="str">
        <f ca="1">IFERROR(__xludf.DUMMYFUNCTION("""COMPUTED_VALUE"""),"20131021NVSPS")</f>
        <v>20131021NVSPS</v>
      </c>
      <c r="C1328" s="8" t="str">
        <f ca="1">IFERROR(__xludf.DUMMYFUNCTION("""COMPUTED_VALUE"""),"Wounded")</f>
        <v>Wounded</v>
      </c>
      <c r="D1328" s="8" t="str">
        <f ca="1">IFERROR(__xludf.DUMMYFUNCTION("""COMPUTED_VALUE"""),"Male")</f>
        <v>Male</v>
      </c>
      <c r="E1328" s="8" t="str">
        <f ca="1">IFERROR(__xludf.DUMMYFUNCTION("""COMPUTED_VALUE"""),"Student")</f>
        <v>Student</v>
      </c>
      <c r="F1328" s="8">
        <f ca="1">IFERROR(__xludf.DUMMYFUNCTION("""COMPUTED_VALUE"""),12)</f>
        <v>12</v>
      </c>
    </row>
    <row r="1329" spans="1:6" ht="12.75">
      <c r="A1329" s="4">
        <v>1328</v>
      </c>
      <c r="B1329" s="8" t="str">
        <f ca="1">IFERROR(__xludf.DUMMYFUNCTION("""COMPUTED_VALUE"""),"20131021NVSPS")</f>
        <v>20131021NVSPS</v>
      </c>
      <c r="C1329" s="8" t="str">
        <f ca="1">IFERROR(__xludf.DUMMYFUNCTION("""COMPUTED_VALUE"""),"Wounded")</f>
        <v>Wounded</v>
      </c>
      <c r="D1329" s="8" t="str">
        <f ca="1">IFERROR(__xludf.DUMMYFUNCTION("""COMPUTED_VALUE"""),"Male")</f>
        <v>Male</v>
      </c>
      <c r="E1329" s="8" t="str">
        <f ca="1">IFERROR(__xludf.DUMMYFUNCTION("""COMPUTED_VALUE"""),"Student")</f>
        <v>Student</v>
      </c>
      <c r="F1329" s="8">
        <f ca="1">IFERROR(__xludf.DUMMYFUNCTION("""COMPUTED_VALUE"""),12)</f>
        <v>12</v>
      </c>
    </row>
    <row r="1330" spans="1:6" ht="12.75">
      <c r="A1330" s="4">
        <v>1329</v>
      </c>
      <c r="B1330" s="8" t="str">
        <f ca="1">IFERROR(__xludf.DUMMYFUNCTION("""COMPUTED_VALUE"""),"20131021NVSPS")</f>
        <v>20131021NVSPS</v>
      </c>
      <c r="C1330" s="8" t="str">
        <f ca="1">IFERROR(__xludf.DUMMYFUNCTION("""COMPUTED_VALUE"""),"Fatal")</f>
        <v>Fatal</v>
      </c>
      <c r="D1330" s="8" t="str">
        <f ca="1">IFERROR(__xludf.DUMMYFUNCTION("""COMPUTED_VALUE"""),"Male")</f>
        <v>Male</v>
      </c>
      <c r="E1330" s="8" t="str">
        <f ca="1">IFERROR(__xludf.DUMMYFUNCTION("""COMPUTED_VALUE"""),"Teacher")</f>
        <v>Teacher</v>
      </c>
      <c r="F1330" s="8">
        <f ca="1">IFERROR(__xludf.DUMMYFUNCTION("""COMPUTED_VALUE"""),45)</f>
        <v>45</v>
      </c>
    </row>
    <row r="1331" spans="1:6" ht="12.75">
      <c r="A1331" s="4">
        <v>1330</v>
      </c>
      <c r="B1331" s="8" t="str">
        <f ca="1">IFERROR(__xludf.DUMMYFUNCTION("""COMPUTED_VALUE"""),"20131015TXLAA")</f>
        <v>20131015TXLAA</v>
      </c>
      <c r="C1331" s="8" t="str">
        <f ca="1">IFERROR(__xludf.DUMMYFUNCTION("""COMPUTED_VALUE"""),"None")</f>
        <v>None</v>
      </c>
      <c r="D1331" s="8" t="str">
        <f ca="1">IFERROR(__xludf.DUMMYFUNCTION("""COMPUTED_VALUE"""),"Male")</f>
        <v>Male</v>
      </c>
      <c r="E1331" s="8" t="str">
        <f ca="1">IFERROR(__xludf.DUMMYFUNCTION("""COMPUTED_VALUE"""),"Student")</f>
        <v>Student</v>
      </c>
      <c r="F1331" s="8">
        <f ca="1">IFERROR(__xludf.DUMMYFUNCTION("""COMPUTED_VALUE"""),16)</f>
        <v>16</v>
      </c>
    </row>
    <row r="1332" spans="1:6" ht="12.75">
      <c r="A1332" s="4">
        <v>1331</v>
      </c>
      <c r="B1332" s="8" t="str">
        <f ca="1">IFERROR(__xludf.DUMMYFUNCTION("""COMPUTED_VALUE"""),"20131004FLAGP")</f>
        <v>20131004FLAGP</v>
      </c>
      <c r="C1332" s="8" t="str">
        <f ca="1">IFERROR(__xludf.DUMMYFUNCTION("""COMPUTED_VALUE"""),"Wounded")</f>
        <v>Wounded</v>
      </c>
      <c r="D1332" s="8" t="str">
        <f ca="1">IFERROR(__xludf.DUMMYFUNCTION("""COMPUTED_VALUE"""),"Male")</f>
        <v>Male</v>
      </c>
      <c r="E1332" s="8" t="str">
        <f ca="1">IFERROR(__xludf.DUMMYFUNCTION("""COMPUTED_VALUE"""),"Student")</f>
        <v>Student</v>
      </c>
      <c r="F1332" s="8">
        <f ca="1">IFERROR(__xludf.DUMMYFUNCTION("""COMPUTED_VALUE"""),16)</f>
        <v>16</v>
      </c>
    </row>
    <row r="1333" spans="1:6" ht="12.75">
      <c r="A1333" s="4">
        <v>1332</v>
      </c>
      <c r="B1333" s="8" t="str">
        <f ca="1">IFERROR(__xludf.DUMMYFUNCTION("""COMPUTED_VALUE"""),"20131004FLAGP")</f>
        <v>20131004FLAGP</v>
      </c>
      <c r="C1333" s="8" t="str">
        <f ca="1">IFERROR(__xludf.DUMMYFUNCTION("""COMPUTED_VALUE"""),"Wounded")</f>
        <v>Wounded</v>
      </c>
      <c r="D1333" s="8" t="str">
        <f ca="1">IFERROR(__xludf.DUMMYFUNCTION("""COMPUTED_VALUE"""),"Male")</f>
        <v>Male</v>
      </c>
      <c r="E1333" s="8" t="str">
        <f ca="1">IFERROR(__xludf.DUMMYFUNCTION("""COMPUTED_VALUE"""),"Student")</f>
        <v>Student</v>
      </c>
      <c r="F1333" s="8">
        <f ca="1">IFERROR(__xludf.DUMMYFUNCTION("""COMPUTED_VALUE"""),17)</f>
        <v>17</v>
      </c>
    </row>
    <row r="1334" spans="1:6" ht="12.75">
      <c r="A1334" s="4">
        <v>1333</v>
      </c>
      <c r="B1334" s="8" t="str">
        <f ca="1">IFERROR(__xludf.DUMMYFUNCTION("""COMPUTED_VALUE"""),"20131002NHWIS")</f>
        <v>20131002NHWIS</v>
      </c>
      <c r="C1334" s="8" t="str">
        <f ca="1">IFERROR(__xludf.DUMMYFUNCTION("""COMPUTED_VALUE"""),"None")</f>
        <v>None</v>
      </c>
      <c r="D1334" s="8"/>
      <c r="E1334" s="8"/>
      <c r="F1334" s="8"/>
    </row>
    <row r="1335" spans="1:6" ht="12.75">
      <c r="A1335" s="4">
        <v>1334</v>
      </c>
      <c r="B1335" s="8" t="str">
        <f ca="1">IFERROR(__xludf.DUMMYFUNCTION("""COMPUTED_VALUE"""),"20130928MENEG")</f>
        <v>20130928MENEG</v>
      </c>
      <c r="C1335" s="8" t="str">
        <f ca="1">IFERROR(__xludf.DUMMYFUNCTION("""COMPUTED_VALUE"""),"None")</f>
        <v>None</v>
      </c>
      <c r="D1335" s="8" t="str">
        <f ca="1">IFERROR(__xludf.DUMMYFUNCTION("""COMPUTED_VALUE"""),"Male")</f>
        <v>Male</v>
      </c>
      <c r="E1335" s="8" t="str">
        <f ca="1">IFERROR(__xludf.DUMMYFUNCTION("""COMPUTED_VALUE"""),"Intimate Relationship")</f>
        <v>Intimate Relationship</v>
      </c>
      <c r="F1335" s="8">
        <f ca="1">IFERROR(__xludf.DUMMYFUNCTION("""COMPUTED_VALUE"""),19)</f>
        <v>19</v>
      </c>
    </row>
    <row r="1336" spans="1:6" ht="12.75">
      <c r="A1336" s="4">
        <v>1335</v>
      </c>
      <c r="B1336" s="8" t="str">
        <f ca="1">IFERROR(__xludf.DUMMYFUNCTION("""COMPUTED_VALUE"""),"20130927ILROC")</f>
        <v>20130927ILROC</v>
      </c>
      <c r="C1336" s="8" t="str">
        <f ca="1">IFERROR(__xludf.DUMMYFUNCTION("""COMPUTED_VALUE"""),"Wounded")</f>
        <v>Wounded</v>
      </c>
      <c r="D1336" s="8" t="str">
        <f ca="1">IFERROR(__xludf.DUMMYFUNCTION("""COMPUTED_VALUE"""),"Male")</f>
        <v>Male</v>
      </c>
      <c r="E1336" s="8" t="str">
        <f ca="1">IFERROR(__xludf.DUMMYFUNCTION("""COMPUTED_VALUE"""),"Student")</f>
        <v>Student</v>
      </c>
      <c r="F1336" s="8">
        <f ca="1">IFERROR(__xludf.DUMMYFUNCTION("""COMPUTED_VALUE"""),15)</f>
        <v>15</v>
      </c>
    </row>
    <row r="1337" spans="1:6" ht="12.75">
      <c r="A1337" s="4">
        <v>1336</v>
      </c>
      <c r="B1337" s="8" t="str">
        <f ca="1">IFERROR(__xludf.DUMMYFUNCTION("""COMPUTED_VALUE"""),"20130830NCCAW")</f>
        <v>20130830NCCAW</v>
      </c>
      <c r="C1337" s="8" t="str">
        <f ca="1">IFERROR(__xludf.DUMMYFUNCTION("""COMPUTED_VALUE"""),"Wounded")</f>
        <v>Wounded</v>
      </c>
      <c r="D1337" s="8" t="str">
        <f ca="1">IFERROR(__xludf.DUMMYFUNCTION("""COMPUTED_VALUE"""),"Male")</f>
        <v>Male</v>
      </c>
      <c r="E1337" s="8" t="str">
        <f ca="1">IFERROR(__xludf.DUMMYFUNCTION("""COMPUTED_VALUE"""),"Student")</f>
        <v>Student</v>
      </c>
      <c r="F1337" s="8">
        <f ca="1">IFERROR(__xludf.DUMMYFUNCTION("""COMPUTED_VALUE"""),15)</f>
        <v>15</v>
      </c>
    </row>
    <row r="1338" spans="1:6" ht="12.75">
      <c r="A1338" s="4">
        <v>1337</v>
      </c>
      <c r="B1338" s="8" t="str">
        <f ca="1">IFERROR(__xludf.DUMMYFUNCTION("""COMPUTED_VALUE"""),"20130823MSNOS")</f>
        <v>20130823MSNOS</v>
      </c>
      <c r="C1338" s="8" t="str">
        <f ca="1">IFERROR(__xludf.DUMMYFUNCTION("""COMPUTED_VALUE"""),"Fatal")</f>
        <v>Fatal</v>
      </c>
      <c r="D1338" s="8" t="str">
        <f ca="1">IFERROR(__xludf.DUMMYFUNCTION("""COMPUTED_VALUE"""),"Male")</f>
        <v>Male</v>
      </c>
      <c r="E1338" s="8" t="str">
        <f ca="1">IFERROR(__xludf.DUMMYFUNCTION("""COMPUTED_VALUE"""),"Student")</f>
        <v>Student</v>
      </c>
      <c r="F1338" s="8">
        <f ca="1">IFERROR(__xludf.DUMMYFUNCTION("""COMPUTED_VALUE"""),15)</f>
        <v>15</v>
      </c>
    </row>
    <row r="1339" spans="1:6" ht="12.75">
      <c r="A1339" s="4">
        <v>1338</v>
      </c>
      <c r="B1339" s="8" t="str">
        <f ca="1">IFERROR(__xludf.DUMMYFUNCTION("""COMPUTED_VALUE"""),"20130823MSNOS")</f>
        <v>20130823MSNOS</v>
      </c>
      <c r="C1339" s="8" t="str">
        <f ca="1">IFERROR(__xludf.DUMMYFUNCTION("""COMPUTED_VALUE"""),"Wounded")</f>
        <v>Wounded</v>
      </c>
      <c r="D1339" s="8" t="str">
        <f ca="1">IFERROR(__xludf.DUMMYFUNCTION("""COMPUTED_VALUE"""),"Male")</f>
        <v>Male</v>
      </c>
      <c r="E1339" s="8" t="str">
        <f ca="1">IFERROR(__xludf.DUMMYFUNCTION("""COMPUTED_VALUE"""),"Student")</f>
        <v>Student</v>
      </c>
      <c r="F1339" s="8" t="str">
        <f ca="1">IFERROR(__xludf.DUMMYFUNCTION("""COMPUTED_VALUE"""),"Teen")</f>
        <v>Teen</v>
      </c>
    </row>
    <row r="1340" spans="1:6" ht="12.75">
      <c r="A1340" s="4">
        <v>1339</v>
      </c>
      <c r="B1340" s="8" t="str">
        <f ca="1">IFERROR(__xludf.DUMMYFUNCTION("""COMPUTED_VALUE"""),"20130823MSNOS")</f>
        <v>20130823MSNOS</v>
      </c>
      <c r="C1340" s="8" t="str">
        <f ca="1">IFERROR(__xludf.DUMMYFUNCTION("""COMPUTED_VALUE"""),"Wounded")</f>
        <v>Wounded</v>
      </c>
      <c r="D1340" s="8" t="str">
        <f ca="1">IFERROR(__xludf.DUMMYFUNCTION("""COMPUTED_VALUE"""),"Male")</f>
        <v>Male</v>
      </c>
      <c r="E1340" s="8" t="str">
        <f ca="1">IFERROR(__xludf.DUMMYFUNCTION("""COMPUTED_VALUE"""),"Student")</f>
        <v>Student</v>
      </c>
      <c r="F1340" s="8" t="str">
        <f ca="1">IFERROR(__xludf.DUMMYFUNCTION("""COMPUTED_VALUE"""),"Teen")</f>
        <v>Teen</v>
      </c>
    </row>
    <row r="1341" spans="1:6" ht="12.75">
      <c r="A1341" s="4">
        <v>1340</v>
      </c>
      <c r="B1341" s="8" t="str">
        <f ca="1">IFERROR(__xludf.DUMMYFUNCTION("""COMPUTED_VALUE"""),"20130822TNWEM")</f>
        <v>20130822TNWEM</v>
      </c>
      <c r="C1341" s="8" t="str">
        <f ca="1">IFERROR(__xludf.DUMMYFUNCTION("""COMPUTED_VALUE"""),"None")</f>
        <v>None</v>
      </c>
      <c r="D1341" s="8"/>
      <c r="E1341" s="8"/>
      <c r="F1341" s="8"/>
    </row>
    <row r="1342" spans="1:6" ht="12.75">
      <c r="A1342" s="4">
        <v>1341</v>
      </c>
      <c r="B1342" s="8" t="str">
        <f ca="1">IFERROR(__xludf.DUMMYFUNCTION("""COMPUTED_VALUE"""),"20130820GAROD")</f>
        <v>20130820GAROD</v>
      </c>
      <c r="C1342" s="8" t="str">
        <f ca="1">IFERROR(__xludf.DUMMYFUNCTION("""COMPUTED_VALUE"""),"None")</f>
        <v>None</v>
      </c>
      <c r="D1342" s="8"/>
      <c r="E1342" s="8"/>
      <c r="F1342" s="8"/>
    </row>
    <row r="1343" spans="1:6" ht="12.75">
      <c r="A1343" s="4">
        <v>1342</v>
      </c>
      <c r="B1343" s="8" t="str">
        <f ca="1">IFERROR(__xludf.DUMMYFUNCTION("""COMPUTED_VALUE"""),"20130815TNNOC")</f>
        <v>20130815TNNOC</v>
      </c>
      <c r="C1343" s="8" t="str">
        <f ca="1">IFERROR(__xludf.DUMMYFUNCTION("""COMPUTED_VALUE"""),"Fatal")</f>
        <v>Fatal</v>
      </c>
      <c r="D1343" s="8" t="str">
        <f ca="1">IFERROR(__xludf.DUMMYFUNCTION("""COMPUTED_VALUE"""),"Male")</f>
        <v>Male</v>
      </c>
      <c r="E1343" s="8" t="str">
        <f ca="1">IFERROR(__xludf.DUMMYFUNCTION("""COMPUTED_VALUE"""),"No Relation")</f>
        <v>No Relation</v>
      </c>
      <c r="F1343" s="8">
        <f ca="1">IFERROR(__xludf.DUMMYFUNCTION("""COMPUTED_VALUE"""),38)</f>
        <v>38</v>
      </c>
    </row>
    <row r="1344" spans="1:6" ht="12.75">
      <c r="A1344" s="4">
        <v>1343</v>
      </c>
      <c r="B1344" s="8" t="str">
        <f ca="1">IFERROR(__xludf.DUMMYFUNCTION("""COMPUTED_VALUE"""),"20130619FLALW")</f>
        <v>20130619FLALW</v>
      </c>
      <c r="C1344" s="8" t="str">
        <f ca="1">IFERROR(__xludf.DUMMYFUNCTION("""COMPUTED_VALUE"""),"Fatal")</f>
        <v>Fatal</v>
      </c>
      <c r="D1344" s="8" t="str">
        <f ca="1">IFERROR(__xludf.DUMMYFUNCTION("""COMPUTED_VALUE"""),"Male")</f>
        <v>Male</v>
      </c>
      <c r="E1344" s="8" t="str">
        <f ca="1">IFERROR(__xludf.DUMMYFUNCTION("""COMPUTED_VALUE"""),"Other Staff")</f>
        <v>Other Staff</v>
      </c>
      <c r="F1344" s="8">
        <f ca="1">IFERROR(__xludf.DUMMYFUNCTION("""COMPUTED_VALUE"""),56)</f>
        <v>56</v>
      </c>
    </row>
    <row r="1345" spans="1:6" ht="12.75">
      <c r="A1345" s="4">
        <v>1344</v>
      </c>
      <c r="B1345" s="8" t="str">
        <f ca="1">IFERROR(__xludf.DUMMYFUNCTION("""COMPUTED_VALUE"""),"20130619FLALW")</f>
        <v>20130619FLALW</v>
      </c>
      <c r="C1345" s="8" t="str">
        <f ca="1">IFERROR(__xludf.DUMMYFUNCTION("""COMPUTED_VALUE"""),"Fatal")</f>
        <v>Fatal</v>
      </c>
      <c r="D1345" s="8" t="str">
        <f ca="1">IFERROR(__xludf.DUMMYFUNCTION("""COMPUTED_VALUE"""),"Male")</f>
        <v>Male</v>
      </c>
      <c r="E1345" s="8" t="str">
        <f ca="1">IFERROR(__xludf.DUMMYFUNCTION("""COMPUTED_VALUE"""),"Other Staff")</f>
        <v>Other Staff</v>
      </c>
      <c r="F1345" s="8">
        <f ca="1">IFERROR(__xludf.DUMMYFUNCTION("""COMPUTED_VALUE"""),48)</f>
        <v>48</v>
      </c>
    </row>
    <row r="1346" spans="1:6" ht="12.75">
      <c r="A1346" s="4">
        <v>1345</v>
      </c>
      <c r="B1346" s="8" t="str">
        <f ca="1">IFERROR(__xludf.DUMMYFUNCTION("""COMPUTED_VALUE"""),"20130618NCHIC")</f>
        <v>20130618NCHIC</v>
      </c>
      <c r="C1346" s="8" t="str">
        <f ca="1">IFERROR(__xludf.DUMMYFUNCTION("""COMPUTED_VALUE"""),"Wounded")</f>
        <v>Wounded</v>
      </c>
      <c r="D1346" s="8" t="str">
        <f ca="1">IFERROR(__xludf.DUMMYFUNCTION("""COMPUTED_VALUE"""),"Male")</f>
        <v>Male</v>
      </c>
      <c r="E1346" s="8" t="str">
        <f ca="1">IFERROR(__xludf.DUMMYFUNCTION("""COMPUTED_VALUE"""),"No Relation")</f>
        <v>No Relation</v>
      </c>
      <c r="F1346" s="8" t="str">
        <f ca="1">IFERROR(__xludf.DUMMYFUNCTION("""COMPUTED_VALUE"""),"Adult")</f>
        <v>Adult</v>
      </c>
    </row>
    <row r="1347" spans="1:6" ht="12.75">
      <c r="A1347" s="4">
        <v>1346</v>
      </c>
      <c r="B1347" s="8" t="str">
        <f ca="1">IFERROR(__xludf.DUMMYFUNCTION("""COMPUTED_VALUE"""),"20130523FLREH")</f>
        <v>20130523FLREH</v>
      </c>
      <c r="C1347" s="8" t="str">
        <f ca="1">IFERROR(__xludf.DUMMYFUNCTION("""COMPUTED_VALUE"""),"Wounded")</f>
        <v>Wounded</v>
      </c>
      <c r="D1347" s="8" t="str">
        <f ca="1">IFERROR(__xludf.DUMMYFUNCTION("""COMPUTED_VALUE"""),"Male")</f>
        <v>Male</v>
      </c>
      <c r="E1347" s="8" t="str">
        <f ca="1">IFERROR(__xludf.DUMMYFUNCTION("""COMPUTED_VALUE"""),"Student")</f>
        <v>Student</v>
      </c>
      <c r="F1347" s="8">
        <f ca="1">IFERROR(__xludf.DUMMYFUNCTION("""COMPUTED_VALUE"""),12)</f>
        <v>12</v>
      </c>
    </row>
    <row r="1348" spans="1:6" ht="12.75">
      <c r="A1348" s="4">
        <v>1347</v>
      </c>
      <c r="B1348" s="8" t="str">
        <f ca="1">IFERROR(__xludf.DUMMYFUNCTION("""COMPUTED_VALUE"""),"20130513ALOSB")</f>
        <v>20130513ALOSB</v>
      </c>
      <c r="C1348" s="8" t="str">
        <f ca="1">IFERROR(__xludf.DUMMYFUNCTION("""COMPUTED_VALUE"""),"None")</f>
        <v>None</v>
      </c>
      <c r="D1348" s="8"/>
      <c r="E1348" s="8"/>
      <c r="F1348" s="8"/>
    </row>
    <row r="1349" spans="1:6" ht="12.75">
      <c r="A1349" s="4">
        <v>1348</v>
      </c>
      <c r="B1349" s="8" t="str">
        <f ca="1">IFERROR(__xludf.DUMMYFUNCTION("""COMPUTED_VALUE"""),"20130430NMTUT")</f>
        <v>20130430NMTUT</v>
      </c>
      <c r="C1349" s="8" t="str">
        <f ca="1">IFERROR(__xludf.DUMMYFUNCTION("""COMPUTED_VALUE"""),"None")</f>
        <v>None</v>
      </c>
      <c r="D1349" s="8" t="str">
        <f ca="1">IFERROR(__xludf.DUMMYFUNCTION("""COMPUTED_VALUE"""),"Male")</f>
        <v>Male</v>
      </c>
      <c r="E1349" s="8" t="str">
        <f ca="1">IFERROR(__xludf.DUMMYFUNCTION("""COMPUTED_VALUE"""),"No Relation")</f>
        <v>No Relation</v>
      </c>
      <c r="F1349" s="8">
        <f ca="1">IFERROR(__xludf.DUMMYFUNCTION("""COMPUTED_VALUE"""),19)</f>
        <v>19</v>
      </c>
    </row>
    <row r="1350" spans="1:6" ht="12.75">
      <c r="A1350" s="4">
        <v>1349</v>
      </c>
      <c r="B1350" s="8" t="str">
        <f ca="1">IFERROR(__xludf.DUMMYFUNCTION("""COMPUTED_VALUE"""),"20130429OHLAC")</f>
        <v>20130429OHLAC</v>
      </c>
      <c r="C1350" s="8" t="str">
        <f ca="1">IFERROR(__xludf.DUMMYFUNCTION("""COMPUTED_VALUE"""),"None")</f>
        <v>None</v>
      </c>
      <c r="D1350" s="8" t="str">
        <f ca="1">IFERROR(__xludf.DUMMYFUNCTION("""COMPUTED_VALUE"""),"Male")</f>
        <v>Male</v>
      </c>
      <c r="E1350" s="8" t="str">
        <f ca="1">IFERROR(__xludf.DUMMYFUNCTION("""COMPUTED_VALUE"""),"Student")</f>
        <v>Student</v>
      </c>
      <c r="F1350" s="8">
        <f ca="1">IFERROR(__xludf.DUMMYFUNCTION("""COMPUTED_VALUE"""),17)</f>
        <v>17</v>
      </c>
    </row>
    <row r="1351" spans="1:6" ht="12.75">
      <c r="A1351" s="4">
        <v>1350</v>
      </c>
      <c r="B1351" s="8" t="str">
        <f ca="1">IFERROR(__xludf.DUMMYFUNCTION("""COMPUTED_VALUE"""),"20130416TXTET")</f>
        <v>20130416TXTET</v>
      </c>
      <c r="C1351" s="8" t="str">
        <f ca="1">IFERROR(__xludf.DUMMYFUNCTION("""COMPUTED_VALUE"""),"None")</f>
        <v>None</v>
      </c>
      <c r="D1351" s="8" t="str">
        <f ca="1">IFERROR(__xludf.DUMMYFUNCTION("""COMPUTED_VALUE"""),"Male")</f>
        <v>Male</v>
      </c>
      <c r="E1351" s="8" t="str">
        <f ca="1">IFERROR(__xludf.DUMMYFUNCTION("""COMPUTED_VALUE"""),"Student")</f>
        <v>Student</v>
      </c>
      <c r="F1351" s="8">
        <f ca="1">IFERROR(__xludf.DUMMYFUNCTION("""COMPUTED_VALUE"""),15)</f>
        <v>15</v>
      </c>
    </row>
    <row r="1352" spans="1:6" ht="12.75">
      <c r="A1352" s="4">
        <v>1351</v>
      </c>
      <c r="B1352" s="8" t="str">
        <f ca="1">IFERROR(__xludf.DUMMYFUNCTION("""COMPUTED_VALUE"""),"20130321MIDAS")</f>
        <v>20130321MIDAS</v>
      </c>
      <c r="C1352" s="8" t="str">
        <f ca="1">IFERROR(__xludf.DUMMYFUNCTION("""COMPUTED_VALUE"""),"None")</f>
        <v>None</v>
      </c>
      <c r="D1352" s="8" t="str">
        <f ca="1">IFERROR(__xludf.DUMMYFUNCTION("""COMPUTED_VALUE"""),"Male")</f>
        <v>Male</v>
      </c>
      <c r="E1352" s="8" t="str">
        <f ca="1">IFERROR(__xludf.DUMMYFUNCTION("""COMPUTED_VALUE"""),"Student")</f>
        <v>Student</v>
      </c>
      <c r="F1352" s="8">
        <f ca="1">IFERROR(__xludf.DUMMYFUNCTION("""COMPUTED_VALUE"""),13)</f>
        <v>13</v>
      </c>
    </row>
    <row r="1353" spans="1:6" ht="12.75">
      <c r="A1353" s="4">
        <v>1352</v>
      </c>
      <c r="B1353" s="8" t="str">
        <f ca="1">IFERROR(__xludf.DUMMYFUNCTION("""COMPUTED_VALUE"""),"20130227GAGRA")</f>
        <v>20130227GAGRA</v>
      </c>
      <c r="C1353" s="8" t="str">
        <f ca="1">IFERROR(__xludf.DUMMYFUNCTION("""COMPUTED_VALUE"""),"None")</f>
        <v>None</v>
      </c>
      <c r="D1353" s="8" t="str">
        <f ca="1">IFERROR(__xludf.DUMMYFUNCTION("""COMPUTED_VALUE"""),"Female")</f>
        <v>Female</v>
      </c>
      <c r="E1353" s="8" t="str">
        <f ca="1">IFERROR(__xludf.DUMMYFUNCTION("""COMPUTED_VALUE"""),"Student")</f>
        <v>Student</v>
      </c>
      <c r="F1353" s="8">
        <f ca="1">IFERROR(__xludf.DUMMYFUNCTION("""COMPUTED_VALUE"""),17)</f>
        <v>17</v>
      </c>
    </row>
    <row r="1354" spans="1:6" ht="12.75">
      <c r="A1354" s="4">
        <v>1353</v>
      </c>
      <c r="B1354" s="8" t="str">
        <f ca="1">IFERROR(__xludf.DUMMYFUNCTION("""COMPUTED_VALUE"""),"20130213CAHIS")</f>
        <v>20130213CAHIS</v>
      </c>
      <c r="C1354" s="8" t="str">
        <f ca="1">IFERROR(__xludf.DUMMYFUNCTION("""COMPUTED_VALUE"""),"Fatal")</f>
        <v>Fatal</v>
      </c>
      <c r="D1354" s="8" t="str">
        <f ca="1">IFERROR(__xludf.DUMMYFUNCTION("""COMPUTED_VALUE"""),"Male")</f>
        <v>Male</v>
      </c>
      <c r="E1354" s="8" t="str">
        <f ca="1">IFERROR(__xludf.DUMMYFUNCTION("""COMPUTED_VALUE"""),"No Relation")</f>
        <v>No Relation</v>
      </c>
      <c r="F1354" s="8">
        <f ca="1">IFERROR(__xludf.DUMMYFUNCTION("""COMPUTED_VALUE"""),18)</f>
        <v>18</v>
      </c>
    </row>
    <row r="1355" spans="1:6" ht="12.75">
      <c r="A1355" s="4">
        <v>1354</v>
      </c>
      <c r="B1355" s="8" t="str">
        <f ca="1">IFERROR(__xludf.DUMMYFUNCTION("""COMPUTED_VALUE"""),"20130201MIMAD")</f>
        <v>20130201MIMAD</v>
      </c>
      <c r="C1355" s="8" t="str">
        <f ca="1">IFERROR(__xludf.DUMMYFUNCTION("""COMPUTED_VALUE"""),"Wounded")</f>
        <v>Wounded</v>
      </c>
      <c r="D1355" s="8" t="str">
        <f ca="1">IFERROR(__xludf.DUMMYFUNCTION("""COMPUTED_VALUE"""),"Male")</f>
        <v>Male</v>
      </c>
      <c r="E1355" s="8" t="str">
        <f ca="1">IFERROR(__xludf.DUMMYFUNCTION("""COMPUTED_VALUE"""),"Unknown")</f>
        <v>Unknown</v>
      </c>
      <c r="F1355" s="8" t="str">
        <f ca="1">IFERROR(__xludf.DUMMYFUNCTION("""COMPUTED_VALUE"""),"Teen")</f>
        <v>Teen</v>
      </c>
    </row>
    <row r="1356" spans="1:6" ht="12.75">
      <c r="A1356" s="4">
        <v>1355</v>
      </c>
      <c r="B1356" s="8" t="str">
        <f ca="1">IFERROR(__xludf.DUMMYFUNCTION("""COMPUTED_VALUE"""),"20130201MIMAD")</f>
        <v>20130201MIMAD</v>
      </c>
      <c r="C1356" s="8" t="str">
        <f ca="1">IFERROR(__xludf.DUMMYFUNCTION("""COMPUTED_VALUE"""),"Fatal")</f>
        <v>Fatal</v>
      </c>
      <c r="D1356" s="8" t="str">
        <f ca="1">IFERROR(__xludf.DUMMYFUNCTION("""COMPUTED_VALUE"""),"Male")</f>
        <v>Male</v>
      </c>
      <c r="E1356" s="8" t="str">
        <f ca="1">IFERROR(__xludf.DUMMYFUNCTION("""COMPUTED_VALUE"""),"Unknown")</f>
        <v>Unknown</v>
      </c>
      <c r="F1356" s="8" t="str">
        <f ca="1">IFERROR(__xludf.DUMMYFUNCTION("""COMPUTED_VALUE"""),"Teen")</f>
        <v>Teen</v>
      </c>
    </row>
    <row r="1357" spans="1:6" ht="12.75">
      <c r="A1357" s="4">
        <v>1356</v>
      </c>
      <c r="B1357" s="8" t="str">
        <f ca="1">IFERROR(__xludf.DUMMYFUNCTION("""COMPUTED_VALUE"""),"20130131GAPRA")</f>
        <v>20130131GAPRA</v>
      </c>
      <c r="C1357" s="8" t="str">
        <f ca="1">IFERROR(__xludf.DUMMYFUNCTION("""COMPUTED_VALUE"""),"Wounded")</f>
        <v>Wounded</v>
      </c>
      <c r="D1357" s="8" t="str">
        <f ca="1">IFERROR(__xludf.DUMMYFUNCTION("""COMPUTED_VALUE"""),"Male")</f>
        <v>Male</v>
      </c>
      <c r="E1357" s="8" t="str">
        <f ca="1">IFERROR(__xludf.DUMMYFUNCTION("""COMPUTED_VALUE"""),"Student")</f>
        <v>Student</v>
      </c>
      <c r="F1357" s="8">
        <f ca="1">IFERROR(__xludf.DUMMYFUNCTION("""COMPUTED_VALUE"""),14)</f>
        <v>14</v>
      </c>
    </row>
    <row r="1358" spans="1:6" ht="12.75">
      <c r="A1358" s="4">
        <v>1357</v>
      </c>
      <c r="B1358" s="8" t="str">
        <f ca="1">IFERROR(__xludf.DUMMYFUNCTION("""COMPUTED_VALUE"""),"20130129ALDAM")</f>
        <v>20130129ALDAM</v>
      </c>
      <c r="C1358" s="8" t="str">
        <f ca="1">IFERROR(__xludf.DUMMYFUNCTION("""COMPUTED_VALUE"""),"Fatal")</f>
        <v>Fatal</v>
      </c>
      <c r="D1358" s="8" t="str">
        <f ca="1">IFERROR(__xludf.DUMMYFUNCTION("""COMPUTED_VALUE"""),"Male")</f>
        <v>Male</v>
      </c>
      <c r="E1358" s="8" t="str">
        <f ca="1">IFERROR(__xludf.DUMMYFUNCTION("""COMPUTED_VALUE"""),"Bus Driver")</f>
        <v>Bus Driver</v>
      </c>
      <c r="F1358" s="8">
        <f ca="1">IFERROR(__xludf.DUMMYFUNCTION("""COMPUTED_VALUE"""),66)</f>
        <v>66</v>
      </c>
    </row>
    <row r="1359" spans="1:6" ht="12.75">
      <c r="A1359" s="4">
        <v>1358</v>
      </c>
      <c r="B1359" s="8" t="str">
        <f ca="1">IFERROR(__xludf.DUMMYFUNCTION("""COMPUTED_VALUE"""),"20130111MIOSD")</f>
        <v>20130111MIOSD</v>
      </c>
      <c r="C1359" s="8" t="str">
        <f ca="1">IFERROR(__xludf.DUMMYFUNCTION("""COMPUTED_VALUE"""),"Wounded")</f>
        <v>Wounded</v>
      </c>
      <c r="D1359" s="8" t="str">
        <f ca="1">IFERROR(__xludf.DUMMYFUNCTION("""COMPUTED_VALUE"""),"Male")</f>
        <v>Male</v>
      </c>
      <c r="E1359" s="8" t="str">
        <f ca="1">IFERROR(__xludf.DUMMYFUNCTION("""COMPUTED_VALUE"""),"Student")</f>
        <v>Student</v>
      </c>
      <c r="F1359" s="8">
        <f ca="1">IFERROR(__xludf.DUMMYFUNCTION("""COMPUTED_VALUE"""),16)</f>
        <v>16</v>
      </c>
    </row>
    <row r="1360" spans="1:6" ht="12.75">
      <c r="A1360" s="4">
        <v>1359</v>
      </c>
      <c r="B1360" s="8" t="str">
        <f ca="1">IFERROR(__xludf.DUMMYFUNCTION("""COMPUTED_VALUE"""),"20130110CATAT")</f>
        <v>20130110CATAT</v>
      </c>
      <c r="C1360" s="8" t="str">
        <f ca="1">IFERROR(__xludf.DUMMYFUNCTION("""COMPUTED_VALUE"""),"Wounded")</f>
        <v>Wounded</v>
      </c>
      <c r="D1360" s="8" t="str">
        <f ca="1">IFERROR(__xludf.DUMMYFUNCTION("""COMPUTED_VALUE"""),"Male")</f>
        <v>Male</v>
      </c>
      <c r="E1360" s="8" t="str">
        <f ca="1">IFERROR(__xludf.DUMMYFUNCTION("""COMPUTED_VALUE"""),"Student")</f>
        <v>Student</v>
      </c>
      <c r="F1360" s="8">
        <f ca="1">IFERROR(__xludf.DUMMYFUNCTION("""COMPUTED_VALUE"""),16)</f>
        <v>16</v>
      </c>
    </row>
    <row r="1361" spans="1:6" ht="12.75">
      <c r="A1361" s="4">
        <v>1360</v>
      </c>
      <c r="B1361" s="8" t="str">
        <f ca="1">IFERROR(__xludf.DUMMYFUNCTION("""COMPUTED_VALUE"""),"20130110CATAT")</f>
        <v>20130110CATAT</v>
      </c>
      <c r="C1361" s="8" t="str">
        <f ca="1">IFERROR(__xludf.DUMMYFUNCTION("""COMPUTED_VALUE"""),"Wounded")</f>
        <v>Wounded</v>
      </c>
      <c r="D1361" s="8" t="str">
        <f ca="1">IFERROR(__xludf.DUMMYFUNCTION("""COMPUTED_VALUE"""),"Male")</f>
        <v>Male</v>
      </c>
      <c r="E1361" s="8" t="str">
        <f ca="1">IFERROR(__xludf.DUMMYFUNCTION("""COMPUTED_VALUE"""),"Student")</f>
        <v>Student</v>
      </c>
      <c r="F1361" s="8" t="str">
        <f ca="1">IFERROR(__xludf.DUMMYFUNCTION("""COMPUTED_VALUE"""),"Teen")</f>
        <v>Teen</v>
      </c>
    </row>
    <row r="1362" spans="1:6" ht="12.75">
      <c r="A1362" s="4">
        <v>1361</v>
      </c>
      <c r="B1362" s="8" t="str">
        <f ca="1">IFERROR(__xludf.DUMMYFUNCTION("""COMPUTED_VALUE"""),"20130107FLAPF")</f>
        <v>20130107FLAPF</v>
      </c>
      <c r="C1362" s="8" t="str">
        <f ca="1">IFERROR(__xludf.DUMMYFUNCTION("""COMPUTED_VALUE"""),"Fatal")</f>
        <v>Fatal</v>
      </c>
      <c r="D1362" s="8" t="str">
        <f ca="1">IFERROR(__xludf.DUMMYFUNCTION("""COMPUTED_VALUE"""),"Male")</f>
        <v>Male</v>
      </c>
      <c r="E1362" s="8" t="str">
        <f ca="1">IFERROR(__xludf.DUMMYFUNCTION("""COMPUTED_VALUE"""),"Parent")</f>
        <v>Parent</v>
      </c>
      <c r="F1362" s="8">
        <f ca="1">IFERROR(__xludf.DUMMYFUNCTION("""COMPUTED_VALUE"""),27)</f>
        <v>27</v>
      </c>
    </row>
    <row r="1363" spans="1:6" ht="12.75">
      <c r="A1363" s="4">
        <v>1362</v>
      </c>
      <c r="B1363" s="8" t="str">
        <f ca="1">IFERROR(__xludf.DUMMYFUNCTION("""COMPUTED_VALUE"""),"20121214CTSAN")</f>
        <v>20121214CTSAN</v>
      </c>
      <c r="C1363" s="8" t="str">
        <f ca="1">IFERROR(__xludf.DUMMYFUNCTION("""COMPUTED_VALUE"""),"Fatal")</f>
        <v>Fatal</v>
      </c>
      <c r="D1363" s="8" t="str">
        <f ca="1">IFERROR(__xludf.DUMMYFUNCTION("""COMPUTED_VALUE"""),"Female")</f>
        <v>Female</v>
      </c>
      <c r="E1363" s="8" t="str">
        <f ca="1">IFERROR(__xludf.DUMMYFUNCTION("""COMPUTED_VALUE"""),"Student")</f>
        <v>Student</v>
      </c>
      <c r="F1363" s="8">
        <f ca="1">IFERROR(__xludf.DUMMYFUNCTION("""COMPUTED_VALUE"""),6)</f>
        <v>6</v>
      </c>
    </row>
    <row r="1364" spans="1:6" ht="12.75">
      <c r="A1364" s="4">
        <v>1363</v>
      </c>
      <c r="B1364" s="8" t="str">
        <f ca="1">IFERROR(__xludf.DUMMYFUNCTION("""COMPUTED_VALUE"""),"20121214CTSAN")</f>
        <v>20121214CTSAN</v>
      </c>
      <c r="C1364" s="8" t="str">
        <f ca="1">IFERROR(__xludf.DUMMYFUNCTION("""COMPUTED_VALUE"""),"Fatal")</f>
        <v>Fatal</v>
      </c>
      <c r="D1364" s="8" t="str">
        <f ca="1">IFERROR(__xludf.DUMMYFUNCTION("""COMPUTED_VALUE"""),"Female")</f>
        <v>Female</v>
      </c>
      <c r="E1364" s="8" t="str">
        <f ca="1">IFERROR(__xludf.DUMMYFUNCTION("""COMPUTED_VALUE"""),"Student")</f>
        <v>Student</v>
      </c>
      <c r="F1364" s="8">
        <f ca="1">IFERROR(__xludf.DUMMYFUNCTION("""COMPUTED_VALUE"""),6)</f>
        <v>6</v>
      </c>
    </row>
    <row r="1365" spans="1:6" ht="12.75">
      <c r="A1365" s="4">
        <v>1364</v>
      </c>
      <c r="B1365" s="8" t="str">
        <f ca="1">IFERROR(__xludf.DUMMYFUNCTION("""COMPUTED_VALUE"""),"20121214CTSAN")</f>
        <v>20121214CTSAN</v>
      </c>
      <c r="C1365" s="8" t="str">
        <f ca="1">IFERROR(__xludf.DUMMYFUNCTION("""COMPUTED_VALUE"""),"Fatal")</f>
        <v>Fatal</v>
      </c>
      <c r="D1365" s="8" t="str">
        <f ca="1">IFERROR(__xludf.DUMMYFUNCTION("""COMPUTED_VALUE"""),"Female")</f>
        <v>Female</v>
      </c>
      <c r="E1365" s="8" t="str">
        <f ca="1">IFERROR(__xludf.DUMMYFUNCTION("""COMPUTED_VALUE"""),"Student")</f>
        <v>Student</v>
      </c>
      <c r="F1365" s="8">
        <f ca="1">IFERROR(__xludf.DUMMYFUNCTION("""COMPUTED_VALUE"""),6)</f>
        <v>6</v>
      </c>
    </row>
    <row r="1366" spans="1:6" ht="12.75">
      <c r="A1366" s="4">
        <v>1365</v>
      </c>
      <c r="B1366" s="8" t="str">
        <f ca="1">IFERROR(__xludf.DUMMYFUNCTION("""COMPUTED_VALUE"""),"20121214CTSAN")</f>
        <v>20121214CTSAN</v>
      </c>
      <c r="C1366" s="8" t="str">
        <f ca="1">IFERROR(__xludf.DUMMYFUNCTION("""COMPUTED_VALUE"""),"Fatal")</f>
        <v>Fatal</v>
      </c>
      <c r="D1366" s="8" t="str">
        <f ca="1">IFERROR(__xludf.DUMMYFUNCTION("""COMPUTED_VALUE"""),"Female")</f>
        <v>Female</v>
      </c>
      <c r="E1366" s="8" t="str">
        <f ca="1">IFERROR(__xludf.DUMMYFUNCTION("""COMPUTED_VALUE"""),"Student")</f>
        <v>Student</v>
      </c>
      <c r="F1366" s="8">
        <f ca="1">IFERROR(__xludf.DUMMYFUNCTION("""COMPUTED_VALUE"""),6)</f>
        <v>6</v>
      </c>
    </row>
    <row r="1367" spans="1:6" ht="12.75">
      <c r="A1367" s="4">
        <v>1366</v>
      </c>
      <c r="B1367" s="8" t="str">
        <f ca="1">IFERROR(__xludf.DUMMYFUNCTION("""COMPUTED_VALUE"""),"20121214CTSAN")</f>
        <v>20121214CTSAN</v>
      </c>
      <c r="C1367" s="8" t="str">
        <f ca="1">IFERROR(__xludf.DUMMYFUNCTION("""COMPUTED_VALUE"""),"Fatal")</f>
        <v>Fatal</v>
      </c>
      <c r="D1367" s="8" t="str">
        <f ca="1">IFERROR(__xludf.DUMMYFUNCTION("""COMPUTED_VALUE"""),"Female")</f>
        <v>Female</v>
      </c>
      <c r="E1367" s="8" t="str">
        <f ca="1">IFERROR(__xludf.DUMMYFUNCTION("""COMPUTED_VALUE"""),"Student")</f>
        <v>Student</v>
      </c>
      <c r="F1367" s="8">
        <f ca="1">IFERROR(__xludf.DUMMYFUNCTION("""COMPUTED_VALUE"""),6)</f>
        <v>6</v>
      </c>
    </row>
    <row r="1368" spans="1:6" ht="12.75">
      <c r="A1368" s="4">
        <v>1367</v>
      </c>
      <c r="B1368" s="8" t="str">
        <f ca="1">IFERROR(__xludf.DUMMYFUNCTION("""COMPUTED_VALUE"""),"20121214CTSAN")</f>
        <v>20121214CTSAN</v>
      </c>
      <c r="C1368" s="8" t="str">
        <f ca="1">IFERROR(__xludf.DUMMYFUNCTION("""COMPUTED_VALUE"""),"Fatal")</f>
        <v>Fatal</v>
      </c>
      <c r="D1368" s="8" t="str">
        <f ca="1">IFERROR(__xludf.DUMMYFUNCTION("""COMPUTED_VALUE"""),"Female")</f>
        <v>Female</v>
      </c>
      <c r="E1368" s="8" t="str">
        <f ca="1">IFERROR(__xludf.DUMMYFUNCTION("""COMPUTED_VALUE"""),"Teacher")</f>
        <v>Teacher</v>
      </c>
      <c r="F1368" s="8">
        <f ca="1">IFERROR(__xludf.DUMMYFUNCTION("""COMPUTED_VALUE"""),52)</f>
        <v>52</v>
      </c>
    </row>
    <row r="1369" spans="1:6" ht="12.75">
      <c r="A1369" s="4">
        <v>1368</v>
      </c>
      <c r="B1369" s="8" t="str">
        <f ca="1">IFERROR(__xludf.DUMMYFUNCTION("""COMPUTED_VALUE"""),"20121214CTSAN")</f>
        <v>20121214CTSAN</v>
      </c>
      <c r="C1369" s="8" t="str">
        <f ca="1">IFERROR(__xludf.DUMMYFUNCTION("""COMPUTED_VALUE"""),"Fatal")</f>
        <v>Fatal</v>
      </c>
      <c r="D1369" s="8" t="str">
        <f ca="1">IFERROR(__xludf.DUMMYFUNCTION("""COMPUTED_VALUE"""),"Female")</f>
        <v>Female</v>
      </c>
      <c r="E1369" s="8" t="str">
        <f ca="1">IFERROR(__xludf.DUMMYFUNCTION("""COMPUTED_VALUE"""),"Student")</f>
        <v>Student</v>
      </c>
      <c r="F1369" s="8">
        <f ca="1">IFERROR(__xludf.DUMMYFUNCTION("""COMPUTED_VALUE"""),7)</f>
        <v>7</v>
      </c>
    </row>
    <row r="1370" spans="1:6" ht="12.75">
      <c r="A1370" s="4">
        <v>1369</v>
      </c>
      <c r="B1370" s="8" t="str">
        <f ca="1">IFERROR(__xludf.DUMMYFUNCTION("""COMPUTED_VALUE"""),"20121214CTSAN")</f>
        <v>20121214CTSAN</v>
      </c>
      <c r="C1370" s="8" t="str">
        <f ca="1">IFERROR(__xludf.DUMMYFUNCTION("""COMPUTED_VALUE"""),"Fatal")</f>
        <v>Fatal</v>
      </c>
      <c r="D1370" s="8" t="str">
        <f ca="1">IFERROR(__xludf.DUMMYFUNCTION("""COMPUTED_VALUE"""),"Female")</f>
        <v>Female</v>
      </c>
      <c r="E1370" s="8" t="str">
        <f ca="1">IFERROR(__xludf.DUMMYFUNCTION("""COMPUTED_VALUE"""),"Student")</f>
        <v>Student</v>
      </c>
      <c r="F1370" s="8">
        <f ca="1">IFERROR(__xludf.DUMMYFUNCTION("""COMPUTED_VALUE"""),7)</f>
        <v>7</v>
      </c>
    </row>
    <row r="1371" spans="1:6" ht="12.75">
      <c r="A1371" s="4">
        <v>1370</v>
      </c>
      <c r="B1371" s="8" t="str">
        <f ca="1">IFERROR(__xludf.DUMMYFUNCTION("""COMPUTED_VALUE"""),"20121214CTSAN")</f>
        <v>20121214CTSAN</v>
      </c>
      <c r="C1371" s="8" t="str">
        <f ca="1">IFERROR(__xludf.DUMMYFUNCTION("""COMPUTED_VALUE"""),"Fatal")</f>
        <v>Fatal</v>
      </c>
      <c r="D1371" s="8" t="str">
        <f ca="1">IFERROR(__xludf.DUMMYFUNCTION("""COMPUTED_VALUE"""),"Male")</f>
        <v>Male</v>
      </c>
      <c r="E1371" s="8" t="str">
        <f ca="1">IFERROR(__xludf.DUMMYFUNCTION("""COMPUTED_VALUE"""),"Student")</f>
        <v>Student</v>
      </c>
      <c r="F1371" s="8">
        <f ca="1">IFERROR(__xludf.DUMMYFUNCTION("""COMPUTED_VALUE"""),7)</f>
        <v>7</v>
      </c>
    </row>
    <row r="1372" spans="1:6" ht="12.75">
      <c r="A1372" s="4">
        <v>1371</v>
      </c>
      <c r="B1372" s="8" t="str">
        <f ca="1">IFERROR(__xludf.DUMMYFUNCTION("""COMPUTED_VALUE"""),"20121214CTSAN")</f>
        <v>20121214CTSAN</v>
      </c>
      <c r="C1372" s="8" t="str">
        <f ca="1">IFERROR(__xludf.DUMMYFUNCTION("""COMPUTED_VALUE"""),"Fatal")</f>
        <v>Fatal</v>
      </c>
      <c r="D1372" s="8" t="str">
        <f ca="1">IFERROR(__xludf.DUMMYFUNCTION("""COMPUTED_VALUE"""),"Female")</f>
        <v>Female</v>
      </c>
      <c r="E1372" s="8" t="str">
        <f ca="1">IFERROR(__xludf.DUMMYFUNCTION("""COMPUTED_VALUE"""),"Teacher")</f>
        <v>Teacher</v>
      </c>
      <c r="F1372" s="8">
        <f ca="1">IFERROR(__xludf.DUMMYFUNCTION("""COMPUTED_VALUE"""),29)</f>
        <v>29</v>
      </c>
    </row>
    <row r="1373" spans="1:6" ht="12.75">
      <c r="A1373" s="4">
        <v>1372</v>
      </c>
      <c r="B1373" s="8" t="str">
        <f ca="1">IFERROR(__xludf.DUMMYFUNCTION("""COMPUTED_VALUE"""),"20121214CTSAN")</f>
        <v>20121214CTSAN</v>
      </c>
      <c r="C1373" s="8" t="str">
        <f ca="1">IFERROR(__xludf.DUMMYFUNCTION("""COMPUTED_VALUE"""),"Fatal")</f>
        <v>Fatal</v>
      </c>
      <c r="D1373" s="8" t="str">
        <f ca="1">IFERROR(__xludf.DUMMYFUNCTION("""COMPUTED_VALUE"""),"Female")</f>
        <v>Female</v>
      </c>
      <c r="E1373" s="8" t="str">
        <f ca="1">IFERROR(__xludf.DUMMYFUNCTION("""COMPUTED_VALUE"""),"Student")</f>
        <v>Student</v>
      </c>
      <c r="F1373" s="8">
        <f ca="1">IFERROR(__xludf.DUMMYFUNCTION("""COMPUTED_VALUE"""),6)</f>
        <v>6</v>
      </c>
    </row>
    <row r="1374" spans="1:6" ht="12.75">
      <c r="A1374" s="4">
        <v>1373</v>
      </c>
      <c r="B1374" s="8" t="str">
        <f ca="1">IFERROR(__xludf.DUMMYFUNCTION("""COMPUTED_VALUE"""),"20121214CTSAN")</f>
        <v>20121214CTSAN</v>
      </c>
      <c r="C1374" s="8" t="str">
        <f ca="1">IFERROR(__xludf.DUMMYFUNCTION("""COMPUTED_VALUE"""),"Fatal")</f>
        <v>Fatal</v>
      </c>
      <c r="D1374" s="8" t="str">
        <f ca="1">IFERROR(__xludf.DUMMYFUNCTION("""COMPUTED_VALUE"""),"Female")</f>
        <v>Female</v>
      </c>
      <c r="E1374" s="8" t="str">
        <f ca="1">IFERROR(__xludf.DUMMYFUNCTION("""COMPUTED_VALUE"""),"Teacher")</f>
        <v>Teacher</v>
      </c>
      <c r="F1374" s="8">
        <f ca="1">IFERROR(__xludf.DUMMYFUNCTION("""COMPUTED_VALUE"""),30)</f>
        <v>30</v>
      </c>
    </row>
    <row r="1375" spans="1:6" ht="12.75">
      <c r="A1375" s="4">
        <v>1374</v>
      </c>
      <c r="B1375" s="8" t="str">
        <f ca="1">IFERROR(__xludf.DUMMYFUNCTION("""COMPUTED_VALUE"""),"20121214CTSAN")</f>
        <v>20121214CTSAN</v>
      </c>
      <c r="C1375" s="8" t="str">
        <f ca="1">IFERROR(__xludf.DUMMYFUNCTION("""COMPUTED_VALUE"""),"Fatal")</f>
        <v>Fatal</v>
      </c>
      <c r="D1375" s="8" t="str">
        <f ca="1">IFERROR(__xludf.DUMMYFUNCTION("""COMPUTED_VALUE"""),"Male")</f>
        <v>Male</v>
      </c>
      <c r="E1375" s="8" t="str">
        <f ca="1">IFERROR(__xludf.DUMMYFUNCTION("""COMPUTED_VALUE"""),"Student")</f>
        <v>Student</v>
      </c>
      <c r="F1375" s="8">
        <f ca="1">IFERROR(__xludf.DUMMYFUNCTION("""COMPUTED_VALUE"""),6)</f>
        <v>6</v>
      </c>
    </row>
    <row r="1376" spans="1:6" ht="12.75">
      <c r="A1376" s="4">
        <v>1375</v>
      </c>
      <c r="B1376" s="8" t="str">
        <f ca="1">IFERROR(__xludf.DUMMYFUNCTION("""COMPUTED_VALUE"""),"20121214CTSAN")</f>
        <v>20121214CTSAN</v>
      </c>
      <c r="C1376" s="8" t="str">
        <f ca="1">IFERROR(__xludf.DUMMYFUNCTION("""COMPUTED_VALUE"""),"Fatal")</f>
        <v>Fatal</v>
      </c>
      <c r="D1376" s="8" t="str">
        <f ca="1">IFERROR(__xludf.DUMMYFUNCTION("""COMPUTED_VALUE"""),"Male")</f>
        <v>Male</v>
      </c>
      <c r="E1376" s="8" t="str">
        <f ca="1">IFERROR(__xludf.DUMMYFUNCTION("""COMPUTED_VALUE"""),"Student")</f>
        <v>Student</v>
      </c>
      <c r="F1376" s="8">
        <f ca="1">IFERROR(__xludf.DUMMYFUNCTION("""COMPUTED_VALUE"""),7)</f>
        <v>7</v>
      </c>
    </row>
    <row r="1377" spans="1:6" ht="12.75">
      <c r="A1377" s="4">
        <v>1376</v>
      </c>
      <c r="B1377" s="8" t="str">
        <f ca="1">IFERROR(__xludf.DUMMYFUNCTION("""COMPUTED_VALUE"""),"20121214CTSAN")</f>
        <v>20121214CTSAN</v>
      </c>
      <c r="C1377" s="8" t="str">
        <f ca="1">IFERROR(__xludf.DUMMYFUNCTION("""COMPUTED_VALUE"""),"Fatal")</f>
        <v>Fatal</v>
      </c>
      <c r="D1377" s="8" t="str">
        <f ca="1">IFERROR(__xludf.DUMMYFUNCTION("""COMPUTED_VALUE"""),"Female")</f>
        <v>Female</v>
      </c>
      <c r="E1377" s="8" t="str">
        <f ca="1">IFERROR(__xludf.DUMMYFUNCTION("""COMPUTED_VALUE"""),"Teacher")</f>
        <v>Teacher</v>
      </c>
      <c r="F1377" s="8">
        <f ca="1">IFERROR(__xludf.DUMMYFUNCTION("""COMPUTED_VALUE"""),27)</f>
        <v>27</v>
      </c>
    </row>
    <row r="1378" spans="1:6" ht="12.75">
      <c r="A1378" s="4">
        <v>1377</v>
      </c>
      <c r="B1378" s="8" t="str">
        <f ca="1">IFERROR(__xludf.DUMMYFUNCTION("""COMPUTED_VALUE"""),"20121214CTSAN")</f>
        <v>20121214CTSAN</v>
      </c>
      <c r="C1378" s="8" t="str">
        <f ca="1">IFERROR(__xludf.DUMMYFUNCTION("""COMPUTED_VALUE"""),"Fatal")</f>
        <v>Fatal</v>
      </c>
      <c r="D1378" s="8" t="str">
        <f ca="1">IFERROR(__xludf.DUMMYFUNCTION("""COMPUTED_VALUE"""),"Male")</f>
        <v>Male</v>
      </c>
      <c r="E1378" s="8" t="str">
        <f ca="1">IFERROR(__xludf.DUMMYFUNCTION("""COMPUTED_VALUE"""),"Student")</f>
        <v>Student</v>
      </c>
      <c r="F1378" s="8">
        <f ca="1">IFERROR(__xludf.DUMMYFUNCTION("""COMPUTED_VALUE"""),6)</f>
        <v>6</v>
      </c>
    </row>
    <row r="1379" spans="1:6" ht="12.75">
      <c r="A1379" s="4">
        <v>1378</v>
      </c>
      <c r="B1379" s="8" t="str">
        <f ca="1">IFERROR(__xludf.DUMMYFUNCTION("""COMPUTED_VALUE"""),"20121214CTSAN")</f>
        <v>20121214CTSAN</v>
      </c>
      <c r="C1379" s="8" t="str">
        <f ca="1">IFERROR(__xludf.DUMMYFUNCTION("""COMPUTED_VALUE"""),"Fatal")</f>
        <v>Fatal</v>
      </c>
      <c r="D1379" s="8" t="str">
        <f ca="1">IFERROR(__xludf.DUMMYFUNCTION("""COMPUTED_VALUE"""),"Female")</f>
        <v>Female</v>
      </c>
      <c r="E1379" s="8" t="str">
        <f ca="1">IFERROR(__xludf.DUMMYFUNCTION("""COMPUTED_VALUE"""),"Student")</f>
        <v>Student</v>
      </c>
      <c r="F1379" s="8">
        <f ca="1">IFERROR(__xludf.DUMMYFUNCTION("""COMPUTED_VALUE"""),6)</f>
        <v>6</v>
      </c>
    </row>
    <row r="1380" spans="1:6" ht="12.75">
      <c r="A1380" s="4">
        <v>1379</v>
      </c>
      <c r="B1380" s="8" t="str">
        <f ca="1">IFERROR(__xludf.DUMMYFUNCTION("""COMPUTED_VALUE"""),"20121214CTSAN")</f>
        <v>20121214CTSAN</v>
      </c>
      <c r="C1380" s="8" t="str">
        <f ca="1">IFERROR(__xludf.DUMMYFUNCTION("""COMPUTED_VALUE"""),"Fatal")</f>
        <v>Fatal</v>
      </c>
      <c r="D1380" s="8" t="str">
        <f ca="1">IFERROR(__xludf.DUMMYFUNCTION("""COMPUTED_VALUE"""),"Male")</f>
        <v>Male</v>
      </c>
      <c r="E1380" s="8" t="str">
        <f ca="1">IFERROR(__xludf.DUMMYFUNCTION("""COMPUTED_VALUE"""),"Student")</f>
        <v>Student</v>
      </c>
      <c r="F1380" s="8">
        <f ca="1">IFERROR(__xludf.DUMMYFUNCTION("""COMPUTED_VALUE"""),6)</f>
        <v>6</v>
      </c>
    </row>
    <row r="1381" spans="1:6" ht="12.75">
      <c r="A1381" s="4">
        <v>1380</v>
      </c>
      <c r="B1381" s="8" t="str">
        <f ca="1">IFERROR(__xludf.DUMMYFUNCTION("""COMPUTED_VALUE"""),"20121214CTSAN")</f>
        <v>20121214CTSAN</v>
      </c>
      <c r="C1381" s="8" t="str">
        <f ca="1">IFERROR(__xludf.DUMMYFUNCTION("""COMPUTED_VALUE"""),"Fatal")</f>
        <v>Fatal</v>
      </c>
      <c r="D1381" s="8" t="str">
        <f ca="1">IFERROR(__xludf.DUMMYFUNCTION("""COMPUTED_VALUE"""),"Female")</f>
        <v>Female</v>
      </c>
      <c r="E1381" s="8" t="str">
        <f ca="1">IFERROR(__xludf.DUMMYFUNCTION("""COMPUTED_VALUE"""),"Principal/Vice-Principal")</f>
        <v>Principal/Vice-Principal</v>
      </c>
      <c r="F1381" s="8">
        <f ca="1">IFERROR(__xludf.DUMMYFUNCTION("""COMPUTED_VALUE"""),47)</f>
        <v>47</v>
      </c>
    </row>
    <row r="1382" spans="1:6" ht="12.75">
      <c r="A1382" s="4">
        <v>1381</v>
      </c>
      <c r="B1382" s="8" t="str">
        <f ca="1">IFERROR(__xludf.DUMMYFUNCTION("""COMPUTED_VALUE"""),"20121214CTSAN")</f>
        <v>20121214CTSAN</v>
      </c>
      <c r="C1382" s="8" t="str">
        <f ca="1">IFERROR(__xludf.DUMMYFUNCTION("""COMPUTED_VALUE"""),"Fatal")</f>
        <v>Fatal</v>
      </c>
      <c r="D1382" s="8" t="str">
        <f ca="1">IFERROR(__xludf.DUMMYFUNCTION("""COMPUTED_VALUE"""),"Female")</f>
        <v>Female</v>
      </c>
      <c r="E1382" s="8" t="str">
        <f ca="1">IFERROR(__xludf.DUMMYFUNCTION("""COMPUTED_VALUE"""),"Student")</f>
        <v>Student</v>
      </c>
      <c r="F1382" s="8">
        <f ca="1">IFERROR(__xludf.DUMMYFUNCTION("""COMPUTED_VALUE"""),6)</f>
        <v>6</v>
      </c>
    </row>
    <row r="1383" spans="1:6" ht="12.75">
      <c r="A1383" s="4">
        <v>1382</v>
      </c>
      <c r="B1383" s="8" t="str">
        <f ca="1">IFERROR(__xludf.DUMMYFUNCTION("""COMPUTED_VALUE"""),"20121214CTSAN")</f>
        <v>20121214CTSAN</v>
      </c>
      <c r="C1383" s="8" t="str">
        <f ca="1">IFERROR(__xludf.DUMMYFUNCTION("""COMPUTED_VALUE"""),"Fatal")</f>
        <v>Fatal</v>
      </c>
      <c r="D1383" s="8" t="str">
        <f ca="1">IFERROR(__xludf.DUMMYFUNCTION("""COMPUTED_VALUE"""),"Female")</f>
        <v>Female</v>
      </c>
      <c r="E1383" s="8" t="str">
        <f ca="1">IFERROR(__xludf.DUMMYFUNCTION("""COMPUTED_VALUE"""),"Teacher")</f>
        <v>Teacher</v>
      </c>
      <c r="F1383" s="8">
        <f ca="1">IFERROR(__xludf.DUMMYFUNCTION("""COMPUTED_VALUE"""),56)</f>
        <v>56</v>
      </c>
    </row>
    <row r="1384" spans="1:6" ht="12.75">
      <c r="A1384" s="4">
        <v>1383</v>
      </c>
      <c r="B1384" s="8" t="str">
        <f ca="1">IFERROR(__xludf.DUMMYFUNCTION("""COMPUTED_VALUE"""),"20121214CTSAN")</f>
        <v>20121214CTSAN</v>
      </c>
      <c r="C1384" s="8" t="str">
        <f ca="1">IFERROR(__xludf.DUMMYFUNCTION("""COMPUTED_VALUE"""),"Fatal")</f>
        <v>Fatal</v>
      </c>
      <c r="D1384" s="8" t="str">
        <f ca="1">IFERROR(__xludf.DUMMYFUNCTION("""COMPUTED_VALUE"""),"Male")</f>
        <v>Male</v>
      </c>
      <c r="E1384" s="8" t="str">
        <f ca="1">IFERROR(__xludf.DUMMYFUNCTION("""COMPUTED_VALUE"""),"Student")</f>
        <v>Student</v>
      </c>
      <c r="F1384" s="8">
        <f ca="1">IFERROR(__xludf.DUMMYFUNCTION("""COMPUTED_VALUE"""),6)</f>
        <v>6</v>
      </c>
    </row>
    <row r="1385" spans="1:6" ht="12.75">
      <c r="A1385" s="4">
        <v>1384</v>
      </c>
      <c r="B1385" s="8" t="str">
        <f ca="1">IFERROR(__xludf.DUMMYFUNCTION("""COMPUTED_VALUE"""),"20121214CTSAN")</f>
        <v>20121214CTSAN</v>
      </c>
      <c r="C1385" s="8" t="str">
        <f ca="1">IFERROR(__xludf.DUMMYFUNCTION("""COMPUTED_VALUE"""),"Fatal")</f>
        <v>Fatal</v>
      </c>
      <c r="D1385" s="8" t="str">
        <f ca="1">IFERROR(__xludf.DUMMYFUNCTION("""COMPUTED_VALUE"""),"Female")</f>
        <v>Female</v>
      </c>
      <c r="E1385" s="8" t="str">
        <f ca="1">IFERROR(__xludf.DUMMYFUNCTION("""COMPUTED_VALUE"""),"Student")</f>
        <v>Student</v>
      </c>
      <c r="F1385" s="8">
        <f ca="1">IFERROR(__xludf.DUMMYFUNCTION("""COMPUTED_VALUE"""),6)</f>
        <v>6</v>
      </c>
    </row>
    <row r="1386" spans="1:6" ht="12.75">
      <c r="A1386" s="4">
        <v>1385</v>
      </c>
      <c r="B1386" s="8" t="str">
        <f ca="1">IFERROR(__xludf.DUMMYFUNCTION("""COMPUTED_VALUE"""),"20121214CTSAN")</f>
        <v>20121214CTSAN</v>
      </c>
      <c r="C1386" s="8" t="str">
        <f ca="1">IFERROR(__xludf.DUMMYFUNCTION("""COMPUTED_VALUE"""),"Fatal")</f>
        <v>Fatal</v>
      </c>
      <c r="D1386" s="8" t="str">
        <f ca="1">IFERROR(__xludf.DUMMYFUNCTION("""COMPUTED_VALUE"""),"Male")</f>
        <v>Male</v>
      </c>
      <c r="E1386" s="8" t="str">
        <f ca="1">IFERROR(__xludf.DUMMYFUNCTION("""COMPUTED_VALUE"""),"Student")</f>
        <v>Student</v>
      </c>
      <c r="F1386" s="8">
        <f ca="1">IFERROR(__xludf.DUMMYFUNCTION("""COMPUTED_VALUE"""),6)</f>
        <v>6</v>
      </c>
    </row>
    <row r="1387" spans="1:6" ht="12.75">
      <c r="A1387" s="4">
        <v>1386</v>
      </c>
      <c r="B1387" s="8" t="str">
        <f ca="1">IFERROR(__xludf.DUMMYFUNCTION("""COMPUTED_VALUE"""),"20121214CTSAN")</f>
        <v>20121214CTSAN</v>
      </c>
      <c r="C1387" s="8" t="str">
        <f ca="1">IFERROR(__xludf.DUMMYFUNCTION("""COMPUTED_VALUE"""),"Fatal")</f>
        <v>Fatal</v>
      </c>
      <c r="D1387" s="8" t="str">
        <f ca="1">IFERROR(__xludf.DUMMYFUNCTION("""COMPUTED_VALUE"""),"Female")</f>
        <v>Female</v>
      </c>
      <c r="E1387" s="8" t="str">
        <f ca="1">IFERROR(__xludf.DUMMYFUNCTION("""COMPUTED_VALUE"""),"Student")</f>
        <v>Student</v>
      </c>
      <c r="F1387" s="8">
        <f ca="1">IFERROR(__xludf.DUMMYFUNCTION("""COMPUTED_VALUE"""),6)</f>
        <v>6</v>
      </c>
    </row>
    <row r="1388" spans="1:6" ht="12.75">
      <c r="A1388" s="4">
        <v>1387</v>
      </c>
      <c r="B1388" s="8" t="str">
        <f ca="1">IFERROR(__xludf.DUMMYFUNCTION("""COMPUTED_VALUE"""),"20121214CTSAN")</f>
        <v>20121214CTSAN</v>
      </c>
      <c r="C1388" s="8" t="str">
        <f ca="1">IFERROR(__xludf.DUMMYFUNCTION("""COMPUTED_VALUE"""),"Fatal")</f>
        <v>Fatal</v>
      </c>
      <c r="D1388" s="8" t="str">
        <f ca="1">IFERROR(__xludf.DUMMYFUNCTION("""COMPUTED_VALUE"""),"Male")</f>
        <v>Male</v>
      </c>
      <c r="E1388" s="8" t="str">
        <f ca="1">IFERROR(__xludf.DUMMYFUNCTION("""COMPUTED_VALUE"""),"Student")</f>
        <v>Student</v>
      </c>
      <c r="F1388" s="8">
        <f ca="1">IFERROR(__xludf.DUMMYFUNCTION("""COMPUTED_VALUE"""),6)</f>
        <v>6</v>
      </c>
    </row>
    <row r="1389" spans="1:6" ht="12.75">
      <c r="A1389" s="4">
        <v>1388</v>
      </c>
      <c r="B1389" s="8" t="str">
        <f ca="1">IFERROR(__xludf.DUMMYFUNCTION("""COMPUTED_VALUE"""),"20121210TXSPH")</f>
        <v>20121210TXSPH</v>
      </c>
      <c r="C1389" s="8" t="str">
        <f ca="1">IFERROR(__xludf.DUMMYFUNCTION("""COMPUTED_VALUE"""),"None")</f>
        <v>None</v>
      </c>
      <c r="D1389" s="8"/>
      <c r="E1389" s="8"/>
      <c r="F1389" s="8"/>
    </row>
    <row r="1390" spans="1:6" ht="12.75">
      <c r="A1390" s="4">
        <v>1389</v>
      </c>
      <c r="B1390" s="8" t="str">
        <f ca="1">IFERROR(__xludf.DUMMYFUNCTION("""COMPUTED_VALUE"""),"20121019ILBAC")</f>
        <v>20121019ILBAC</v>
      </c>
      <c r="C1390" s="8" t="str">
        <f ca="1">IFERROR(__xludf.DUMMYFUNCTION("""COMPUTED_VALUE"""),"Fatal")</f>
        <v>Fatal</v>
      </c>
      <c r="D1390" s="8" t="str">
        <f ca="1">IFERROR(__xludf.DUMMYFUNCTION("""COMPUTED_VALUE"""),"Male")</f>
        <v>Male</v>
      </c>
      <c r="E1390" s="8" t="str">
        <f ca="1">IFERROR(__xludf.DUMMYFUNCTION("""COMPUTED_VALUE"""),"Student")</f>
        <v>Student</v>
      </c>
      <c r="F1390" s="8">
        <f ca="1">IFERROR(__xludf.DUMMYFUNCTION("""COMPUTED_VALUE"""),18)</f>
        <v>18</v>
      </c>
    </row>
    <row r="1391" spans="1:6" ht="12.75">
      <c r="A1391" s="4">
        <v>1390</v>
      </c>
      <c r="B1391" s="8" t="str">
        <f ca="1">IFERROR(__xludf.DUMMYFUNCTION("""COMPUTED_VALUE"""),"20121012NDFAF")</f>
        <v>20121012NDFAF</v>
      </c>
      <c r="C1391" s="8" t="str">
        <f ca="1">IFERROR(__xludf.DUMMYFUNCTION("""COMPUTED_VALUE"""),"None")</f>
        <v>None</v>
      </c>
      <c r="D1391" s="8" t="str">
        <f ca="1">IFERROR(__xludf.DUMMYFUNCTION("""COMPUTED_VALUE"""),"Male")</f>
        <v>Male</v>
      </c>
      <c r="E1391" s="8" t="str">
        <f ca="1">IFERROR(__xludf.DUMMYFUNCTION("""COMPUTED_VALUE"""),"Student")</f>
        <v>Student</v>
      </c>
      <c r="F1391" s="8">
        <f ca="1">IFERROR(__xludf.DUMMYFUNCTION("""COMPUTED_VALUE"""),14)</f>
        <v>14</v>
      </c>
    </row>
    <row r="1392" spans="1:6" ht="12.75">
      <c r="A1392" s="4">
        <v>1391</v>
      </c>
      <c r="B1392" s="8" t="str">
        <f ca="1">IFERROR(__xludf.DUMMYFUNCTION("""COMPUTED_VALUE"""),"20120926OKSTS")</f>
        <v>20120926OKSTS</v>
      </c>
      <c r="C1392" s="8" t="str">
        <f ca="1">IFERROR(__xludf.DUMMYFUNCTION("""COMPUTED_VALUE"""),"None")</f>
        <v>None</v>
      </c>
      <c r="D1392" s="8" t="str">
        <f ca="1">IFERROR(__xludf.DUMMYFUNCTION("""COMPUTED_VALUE"""),"Male")</f>
        <v>Male</v>
      </c>
      <c r="E1392" s="8" t="str">
        <f ca="1">IFERROR(__xludf.DUMMYFUNCTION("""COMPUTED_VALUE"""),"Student")</f>
        <v>Student</v>
      </c>
      <c r="F1392" s="8">
        <f ca="1">IFERROR(__xludf.DUMMYFUNCTION("""COMPUTED_VALUE"""),13)</f>
        <v>13</v>
      </c>
    </row>
    <row r="1393" spans="1:6" ht="12.75">
      <c r="A1393" s="4">
        <v>1392</v>
      </c>
      <c r="B1393" s="8" t="str">
        <f ca="1">IFERROR(__xludf.DUMMYFUNCTION("""COMPUTED_VALUE"""),"20120907ILNON")</f>
        <v>20120907ILNON</v>
      </c>
      <c r="C1393" s="8" t="str">
        <f ca="1">IFERROR(__xludf.DUMMYFUNCTION("""COMPUTED_VALUE"""),"None")</f>
        <v>None</v>
      </c>
      <c r="D1393" s="8"/>
      <c r="E1393" s="8"/>
      <c r="F1393" s="8"/>
    </row>
    <row r="1394" spans="1:6" ht="12.75">
      <c r="A1394" s="4">
        <v>1393</v>
      </c>
      <c r="B1394" s="8" t="str">
        <f ca="1">IFERROR(__xludf.DUMMYFUNCTION("""COMPUTED_VALUE"""),"20120827MDPEP")</f>
        <v>20120827MDPEP</v>
      </c>
      <c r="C1394" s="8" t="str">
        <f ca="1">IFERROR(__xludf.DUMMYFUNCTION("""COMPUTED_VALUE"""),"Wounded")</f>
        <v>Wounded</v>
      </c>
      <c r="D1394" s="8" t="str">
        <f ca="1">IFERROR(__xludf.DUMMYFUNCTION("""COMPUTED_VALUE"""),"Male")</f>
        <v>Male</v>
      </c>
      <c r="E1394" s="8" t="str">
        <f ca="1">IFERROR(__xludf.DUMMYFUNCTION("""COMPUTED_VALUE"""),"Student")</f>
        <v>Student</v>
      </c>
      <c r="F1394" s="8">
        <f ca="1">IFERROR(__xludf.DUMMYFUNCTION("""COMPUTED_VALUE"""),17)</f>
        <v>17</v>
      </c>
    </row>
    <row r="1395" spans="1:6" ht="12.75">
      <c r="A1395" s="4">
        <v>1394</v>
      </c>
      <c r="B1395" s="8" t="str">
        <f ca="1">IFERROR(__xludf.DUMMYFUNCTION("""COMPUTED_VALUE"""),"20120824GABAH")</f>
        <v>20120824GABAH</v>
      </c>
      <c r="C1395" s="8" t="str">
        <f ca="1">IFERROR(__xludf.DUMMYFUNCTION("""COMPUTED_VALUE"""),"None")</f>
        <v>None</v>
      </c>
      <c r="D1395" s="8" t="str">
        <f ca="1">IFERROR(__xludf.DUMMYFUNCTION("""COMPUTED_VALUE"""),"Male")</f>
        <v>Male</v>
      </c>
      <c r="E1395" s="8" t="str">
        <f ca="1">IFERROR(__xludf.DUMMYFUNCTION("""COMPUTED_VALUE"""),"Student")</f>
        <v>Student</v>
      </c>
      <c r="F1395" s="8">
        <f ca="1">IFERROR(__xludf.DUMMYFUNCTION("""COMPUTED_VALUE"""),15)</f>
        <v>15</v>
      </c>
    </row>
    <row r="1396" spans="1:6" ht="12.75">
      <c r="A1396" s="4">
        <v>1395</v>
      </c>
      <c r="B1396" s="8" t="str">
        <f ca="1">IFERROR(__xludf.DUMMYFUNCTION("""COMPUTED_VALUE"""),"20120816TNHAM")</f>
        <v>20120816TNHAM</v>
      </c>
      <c r="C1396" s="8" t="str">
        <f ca="1">IFERROR(__xludf.DUMMYFUNCTION("""COMPUTED_VALUE"""),"None")</f>
        <v>None</v>
      </c>
      <c r="D1396" s="8"/>
      <c r="E1396" s="8" t="str">
        <f ca="1">IFERROR(__xludf.DUMMYFUNCTION("""COMPUTED_VALUE"""),"Student")</f>
        <v>Student</v>
      </c>
      <c r="F1396" s="8" t="str">
        <f ca="1">IFERROR(__xludf.DUMMYFUNCTION("""COMPUTED_VALUE"""),"Teen")</f>
        <v>Teen</v>
      </c>
    </row>
    <row r="1397" spans="1:6" ht="12.75">
      <c r="A1397" s="4">
        <v>1396</v>
      </c>
      <c r="B1397" s="8" t="str">
        <f ca="1">IFERROR(__xludf.DUMMYFUNCTION("""COMPUTED_VALUE"""),"20120816TNHAM")</f>
        <v>20120816TNHAM</v>
      </c>
      <c r="C1397" s="8" t="str">
        <f ca="1">IFERROR(__xludf.DUMMYFUNCTION("""COMPUTED_VALUE"""),"None")</f>
        <v>None</v>
      </c>
      <c r="D1397" s="8"/>
      <c r="E1397" s="8" t="str">
        <f ca="1">IFERROR(__xludf.DUMMYFUNCTION("""COMPUTED_VALUE"""),"Student")</f>
        <v>Student</v>
      </c>
      <c r="F1397" s="8" t="str">
        <f ca="1">IFERROR(__xludf.DUMMYFUNCTION("""COMPUTED_VALUE"""),"Teen")</f>
        <v>Teen</v>
      </c>
    </row>
    <row r="1398" spans="1:6" ht="12.75">
      <c r="A1398" s="4">
        <v>1397</v>
      </c>
      <c r="B1398" s="8" t="str">
        <f ca="1">IFERROR(__xludf.DUMMYFUNCTION("""COMPUTED_VALUE"""),"20120706RINAP")</f>
        <v>20120706RINAP</v>
      </c>
      <c r="C1398" s="8" t="str">
        <f ca="1">IFERROR(__xludf.DUMMYFUNCTION("""COMPUTED_VALUE"""),"Fatal")</f>
        <v>Fatal</v>
      </c>
      <c r="D1398" s="8" t="str">
        <f ca="1">IFERROR(__xludf.DUMMYFUNCTION("""COMPUTED_VALUE"""),"Male")</f>
        <v>Male</v>
      </c>
      <c r="E1398" s="8" t="str">
        <f ca="1">IFERROR(__xludf.DUMMYFUNCTION("""COMPUTED_VALUE"""),"No Relation")</f>
        <v>No Relation</v>
      </c>
      <c r="F1398" s="8">
        <f ca="1">IFERROR(__xludf.DUMMYFUNCTION("""COMPUTED_VALUE"""),20)</f>
        <v>20</v>
      </c>
    </row>
    <row r="1399" spans="1:6" ht="12.75">
      <c r="A1399" s="4">
        <v>1398</v>
      </c>
      <c r="B1399" s="8" t="str">
        <f ca="1">IFERROR(__xludf.DUMMYFUNCTION("""COMPUTED_VALUE"""),"20120525NCMAC")</f>
        <v>20120525NCMAC</v>
      </c>
      <c r="C1399" s="8" t="str">
        <f ca="1">IFERROR(__xludf.DUMMYFUNCTION("""COMPUTED_VALUE"""),"Fatal")</f>
        <v>Fatal</v>
      </c>
      <c r="D1399" s="8" t="str">
        <f ca="1">IFERROR(__xludf.DUMMYFUNCTION("""COMPUTED_VALUE"""),"Female")</f>
        <v>Female</v>
      </c>
      <c r="E1399" s="8" t="str">
        <f ca="1">IFERROR(__xludf.DUMMYFUNCTION("""COMPUTED_VALUE"""),"Parent")</f>
        <v>Parent</v>
      </c>
      <c r="F1399" s="8">
        <f ca="1">IFERROR(__xludf.DUMMYFUNCTION("""COMPUTED_VALUE"""),40)</f>
        <v>40</v>
      </c>
    </row>
    <row r="1400" spans="1:6" ht="12.75">
      <c r="A1400" s="4">
        <v>1399</v>
      </c>
      <c r="B1400" s="8" t="str">
        <f ca="1">IFERROR(__xludf.DUMMYFUNCTION("""COMPUTED_VALUE"""),"20120525AZWEA")</f>
        <v>20120525AZWEA</v>
      </c>
      <c r="C1400" s="8" t="str">
        <f ca="1">IFERROR(__xludf.DUMMYFUNCTION("""COMPUTED_VALUE"""),"Fatal")</f>
        <v>Fatal</v>
      </c>
      <c r="D1400" s="8" t="str">
        <f ca="1">IFERROR(__xludf.DUMMYFUNCTION("""COMPUTED_VALUE"""),"Female")</f>
        <v>Female</v>
      </c>
      <c r="E1400" s="8" t="str">
        <f ca="1">IFERROR(__xludf.DUMMYFUNCTION("""COMPUTED_VALUE"""),"Parent")</f>
        <v>Parent</v>
      </c>
      <c r="F1400" s="8">
        <f ca="1">IFERROR(__xludf.DUMMYFUNCTION("""COMPUTED_VALUE"""),34)</f>
        <v>34</v>
      </c>
    </row>
    <row r="1401" spans="1:6" ht="12.75">
      <c r="A1401" s="4">
        <v>1400</v>
      </c>
      <c r="B1401" s="8" t="str">
        <f ca="1">IFERROR(__xludf.DUMMYFUNCTION("""COMPUTED_VALUE"""),"20120401ARKIR")</f>
        <v>20120401ARKIR</v>
      </c>
      <c r="C1401" s="8" t="str">
        <f ca="1">IFERROR(__xludf.DUMMYFUNCTION("""COMPUTED_VALUE"""),"Wounded")</f>
        <v>Wounded</v>
      </c>
      <c r="D1401" s="8" t="str">
        <f ca="1">IFERROR(__xludf.DUMMYFUNCTION("""COMPUTED_VALUE"""),"Male")</f>
        <v>Male</v>
      </c>
      <c r="E1401" s="8" t="str">
        <f ca="1">IFERROR(__xludf.DUMMYFUNCTION("""COMPUTED_VALUE"""),"Unknown")</f>
        <v>Unknown</v>
      </c>
      <c r="F1401" s="8">
        <f ca="1">IFERROR(__xludf.DUMMYFUNCTION("""COMPUTED_VALUE"""),18)</f>
        <v>18</v>
      </c>
    </row>
    <row r="1402" spans="1:6" ht="12.75">
      <c r="A1402" s="4">
        <v>1401</v>
      </c>
      <c r="B1402" s="8" t="str">
        <f ca="1">IFERROR(__xludf.DUMMYFUNCTION("""COMPUTED_VALUE"""),"20120315ALLEM")</f>
        <v>20120315ALLEM</v>
      </c>
      <c r="C1402" s="8" t="str">
        <f ca="1">IFERROR(__xludf.DUMMYFUNCTION("""COMPUTED_VALUE"""),"None")</f>
        <v>None</v>
      </c>
      <c r="D1402" s="8" t="str">
        <f ca="1">IFERROR(__xludf.DUMMYFUNCTION("""COMPUTED_VALUE"""),"Male")</f>
        <v>Male</v>
      </c>
      <c r="E1402" s="8" t="str">
        <f ca="1">IFERROR(__xludf.DUMMYFUNCTION("""COMPUTED_VALUE"""),"Student")</f>
        <v>Student</v>
      </c>
      <c r="F1402" s="8" t="str">
        <f ca="1">IFERROR(__xludf.DUMMYFUNCTION("""COMPUTED_VALUE"""),"Teen")</f>
        <v>Teen</v>
      </c>
    </row>
    <row r="1403" spans="1:6" ht="12.75">
      <c r="A1403" s="4">
        <v>1402</v>
      </c>
      <c r="B1403" s="8" t="str">
        <f ca="1">IFERROR(__xludf.DUMMYFUNCTION("""COMPUTED_VALUE"""),"20120306FLEPJ")</f>
        <v>20120306FLEPJ</v>
      </c>
      <c r="C1403" s="8" t="str">
        <f ca="1">IFERROR(__xludf.DUMMYFUNCTION("""COMPUTED_VALUE"""),"Fatal")</f>
        <v>Fatal</v>
      </c>
      <c r="D1403" s="8" t="str">
        <f ca="1">IFERROR(__xludf.DUMMYFUNCTION("""COMPUTED_VALUE"""),"Female")</f>
        <v>Female</v>
      </c>
      <c r="E1403" s="8" t="str">
        <f ca="1">IFERROR(__xludf.DUMMYFUNCTION("""COMPUTED_VALUE"""),"Principal/Vice-Principal")</f>
        <v>Principal/Vice-Principal</v>
      </c>
      <c r="F1403" s="8">
        <f ca="1">IFERROR(__xludf.DUMMYFUNCTION("""COMPUTED_VALUE"""),63)</f>
        <v>63</v>
      </c>
    </row>
    <row r="1404" spans="1:6" ht="12.75">
      <c r="A1404" s="4">
        <v>1403</v>
      </c>
      <c r="B1404" s="8" t="str">
        <f ca="1">IFERROR(__xludf.DUMMYFUNCTION("""COMPUTED_VALUE"""),"20120227OHCHC")</f>
        <v>20120227OHCHC</v>
      </c>
      <c r="C1404" s="8" t="str">
        <f ca="1">IFERROR(__xludf.DUMMYFUNCTION("""COMPUTED_VALUE"""),"Wounded")</f>
        <v>Wounded</v>
      </c>
      <c r="D1404" s="8" t="str">
        <f ca="1">IFERROR(__xludf.DUMMYFUNCTION("""COMPUTED_VALUE"""),"Male")</f>
        <v>Male</v>
      </c>
      <c r="E1404" s="8" t="str">
        <f ca="1">IFERROR(__xludf.DUMMYFUNCTION("""COMPUTED_VALUE"""),"Student")</f>
        <v>Student</v>
      </c>
      <c r="F1404" s="8">
        <f ca="1">IFERROR(__xludf.DUMMYFUNCTION("""COMPUTED_VALUE"""),17)</f>
        <v>17</v>
      </c>
    </row>
    <row r="1405" spans="1:6" ht="12.75">
      <c r="A1405" s="4">
        <v>1404</v>
      </c>
      <c r="B1405" s="8" t="str">
        <f ca="1">IFERROR(__xludf.DUMMYFUNCTION("""COMPUTED_VALUE"""),"20120227OHCHC")</f>
        <v>20120227OHCHC</v>
      </c>
      <c r="C1405" s="8" t="str">
        <f ca="1">IFERROR(__xludf.DUMMYFUNCTION("""COMPUTED_VALUE"""),"Wounded")</f>
        <v>Wounded</v>
      </c>
      <c r="D1405" s="8" t="str">
        <f ca="1">IFERROR(__xludf.DUMMYFUNCTION("""COMPUTED_VALUE"""),"Male")</f>
        <v>Male</v>
      </c>
      <c r="E1405" s="8" t="str">
        <f ca="1">IFERROR(__xludf.DUMMYFUNCTION("""COMPUTED_VALUE"""),"Student")</f>
        <v>Student</v>
      </c>
      <c r="F1405" s="8">
        <f ca="1">IFERROR(__xludf.DUMMYFUNCTION("""COMPUTED_VALUE"""),18)</f>
        <v>18</v>
      </c>
    </row>
    <row r="1406" spans="1:6" ht="12.75">
      <c r="A1406" s="4">
        <v>1405</v>
      </c>
      <c r="B1406" s="8" t="str">
        <f ca="1">IFERROR(__xludf.DUMMYFUNCTION("""COMPUTED_VALUE"""),"20120227OHCHC")</f>
        <v>20120227OHCHC</v>
      </c>
      <c r="C1406" s="8" t="str">
        <f ca="1">IFERROR(__xludf.DUMMYFUNCTION("""COMPUTED_VALUE"""),"Wounded")</f>
        <v>Wounded</v>
      </c>
      <c r="D1406" s="8" t="str">
        <f ca="1">IFERROR(__xludf.DUMMYFUNCTION("""COMPUTED_VALUE"""),"Male")</f>
        <v>Male</v>
      </c>
      <c r="E1406" s="8" t="str">
        <f ca="1">IFERROR(__xludf.DUMMYFUNCTION("""COMPUTED_VALUE"""),"Student")</f>
        <v>Student</v>
      </c>
      <c r="F1406" s="8" t="str">
        <f ca="1">IFERROR(__xludf.DUMMYFUNCTION("""COMPUTED_VALUE"""),"Teen")</f>
        <v>Teen</v>
      </c>
    </row>
    <row r="1407" spans="1:6" ht="12.75">
      <c r="A1407" s="4">
        <v>1406</v>
      </c>
      <c r="B1407" s="8" t="str">
        <f ca="1">IFERROR(__xludf.DUMMYFUNCTION("""COMPUTED_VALUE"""),"20120227OHCHC")</f>
        <v>20120227OHCHC</v>
      </c>
      <c r="C1407" s="8" t="str">
        <f ca="1">IFERROR(__xludf.DUMMYFUNCTION("""COMPUTED_VALUE"""),"Fatal")</f>
        <v>Fatal</v>
      </c>
      <c r="D1407" s="8" t="str">
        <f ca="1">IFERROR(__xludf.DUMMYFUNCTION("""COMPUTED_VALUE"""),"Male")</f>
        <v>Male</v>
      </c>
      <c r="E1407" s="8" t="str">
        <f ca="1">IFERROR(__xludf.DUMMYFUNCTION("""COMPUTED_VALUE"""),"Student")</f>
        <v>Student</v>
      </c>
      <c r="F1407" s="8">
        <f ca="1">IFERROR(__xludf.DUMMYFUNCTION("""COMPUTED_VALUE"""),16)</f>
        <v>16</v>
      </c>
    </row>
    <row r="1408" spans="1:6" ht="12.75">
      <c r="A1408" s="4">
        <v>1407</v>
      </c>
      <c r="B1408" s="8" t="str">
        <f ca="1">IFERROR(__xludf.DUMMYFUNCTION("""COMPUTED_VALUE"""),"20120227OHCHC")</f>
        <v>20120227OHCHC</v>
      </c>
      <c r="C1408" s="8" t="str">
        <f ca="1">IFERROR(__xludf.DUMMYFUNCTION("""COMPUTED_VALUE"""),"Fatal")</f>
        <v>Fatal</v>
      </c>
      <c r="D1408" s="8" t="str">
        <f ca="1">IFERROR(__xludf.DUMMYFUNCTION("""COMPUTED_VALUE"""),"Male")</f>
        <v>Male</v>
      </c>
      <c r="E1408" s="8" t="str">
        <f ca="1">IFERROR(__xludf.DUMMYFUNCTION("""COMPUTED_VALUE"""),"Student")</f>
        <v>Student</v>
      </c>
      <c r="F1408" s="8">
        <f ca="1">IFERROR(__xludf.DUMMYFUNCTION("""COMPUTED_VALUE"""),16)</f>
        <v>16</v>
      </c>
    </row>
    <row r="1409" spans="1:6" ht="12.75">
      <c r="A1409" s="4">
        <v>1408</v>
      </c>
      <c r="B1409" s="8" t="str">
        <f ca="1">IFERROR(__xludf.DUMMYFUNCTION("""COMPUTED_VALUE"""),"20120227OHCHC")</f>
        <v>20120227OHCHC</v>
      </c>
      <c r="C1409" s="8" t="str">
        <f ca="1">IFERROR(__xludf.DUMMYFUNCTION("""COMPUTED_VALUE"""),"Fatal")</f>
        <v>Fatal</v>
      </c>
      <c r="D1409" s="8" t="str">
        <f ca="1">IFERROR(__xludf.DUMMYFUNCTION("""COMPUTED_VALUE"""),"Male")</f>
        <v>Male</v>
      </c>
      <c r="E1409" s="8" t="str">
        <f ca="1">IFERROR(__xludf.DUMMYFUNCTION("""COMPUTED_VALUE"""),"Student")</f>
        <v>Student</v>
      </c>
      <c r="F1409" s="8" t="str">
        <f ca="1">IFERROR(__xludf.DUMMYFUNCTION("""COMPUTED_VALUE"""),"Teen")</f>
        <v>Teen</v>
      </c>
    </row>
    <row r="1410" spans="1:6" ht="12.75">
      <c r="A1410" s="4">
        <v>1409</v>
      </c>
      <c r="B1410" s="8" t="str">
        <f ca="1">IFERROR(__xludf.DUMMYFUNCTION("""COMPUTED_VALUE"""),"20120222WAARB")</f>
        <v>20120222WAARB</v>
      </c>
      <c r="C1410" s="8" t="str">
        <f ca="1">IFERROR(__xludf.DUMMYFUNCTION("""COMPUTED_VALUE"""),"Wounded")</f>
        <v>Wounded</v>
      </c>
      <c r="D1410" s="8" t="str">
        <f ca="1">IFERROR(__xludf.DUMMYFUNCTION("""COMPUTED_VALUE"""),"Female")</f>
        <v>Female</v>
      </c>
      <c r="E1410" s="8" t="str">
        <f ca="1">IFERROR(__xludf.DUMMYFUNCTION("""COMPUTED_VALUE"""),"Student")</f>
        <v>Student</v>
      </c>
      <c r="F1410" s="8">
        <f ca="1">IFERROR(__xludf.DUMMYFUNCTION("""COMPUTED_VALUE"""),8)</f>
        <v>8</v>
      </c>
    </row>
    <row r="1411" spans="1:6" ht="12.75">
      <c r="A1411" s="4">
        <v>1410</v>
      </c>
      <c r="B1411" s="8" t="str">
        <f ca="1">IFERROR(__xludf.DUMMYFUNCTION("""COMPUTED_VALUE"""),"20120210NHWAW")</f>
        <v>20120210NHWAW</v>
      </c>
      <c r="C1411" s="8" t="str">
        <f ca="1">IFERROR(__xludf.DUMMYFUNCTION("""COMPUTED_VALUE"""),"None")</f>
        <v>None</v>
      </c>
      <c r="D1411" s="8" t="str">
        <f ca="1">IFERROR(__xludf.DUMMYFUNCTION("""COMPUTED_VALUE"""),"Male")</f>
        <v>Male</v>
      </c>
      <c r="E1411" s="8" t="str">
        <f ca="1">IFERROR(__xludf.DUMMYFUNCTION("""COMPUTED_VALUE"""),"Student")</f>
        <v>Student</v>
      </c>
      <c r="F1411" s="8">
        <f ca="1">IFERROR(__xludf.DUMMYFUNCTION("""COMPUTED_VALUE"""),14)</f>
        <v>14</v>
      </c>
    </row>
    <row r="1412" spans="1:6" ht="12.75">
      <c r="A1412" s="4">
        <v>1411</v>
      </c>
      <c r="B1412" s="8" t="str">
        <f ca="1">IFERROR(__xludf.DUMMYFUNCTION("""COMPUTED_VALUE"""),"20120110TXNOH")</f>
        <v>20120110TXNOH</v>
      </c>
      <c r="C1412" s="8" t="str">
        <f ca="1">IFERROR(__xludf.DUMMYFUNCTION("""COMPUTED_VALUE"""),"Wounded")</f>
        <v>Wounded</v>
      </c>
      <c r="D1412" s="8" t="str">
        <f ca="1">IFERROR(__xludf.DUMMYFUNCTION("""COMPUTED_VALUE"""),"Male")</f>
        <v>Male</v>
      </c>
      <c r="E1412" s="8" t="str">
        <f ca="1">IFERROR(__xludf.DUMMYFUNCTION("""COMPUTED_VALUE"""),"Student")</f>
        <v>Student</v>
      </c>
      <c r="F1412" s="8">
        <f ca="1">IFERROR(__xludf.DUMMYFUNCTION("""COMPUTED_VALUE"""),16)</f>
        <v>16</v>
      </c>
    </row>
    <row r="1413" spans="1:6" ht="12.75">
      <c r="A1413" s="4">
        <v>1412</v>
      </c>
      <c r="B1413" s="8" t="str">
        <f ca="1">IFERROR(__xludf.DUMMYFUNCTION("""COMPUTED_VALUE"""),"20120104TXCUB")</f>
        <v>20120104TXCUB</v>
      </c>
      <c r="C1413" s="8" t="str">
        <f ca="1">IFERROR(__xludf.DUMMYFUNCTION("""COMPUTED_VALUE"""),"None")</f>
        <v>None</v>
      </c>
      <c r="D1413" s="8" t="str">
        <f ca="1">IFERROR(__xludf.DUMMYFUNCTION("""COMPUTED_VALUE"""),"Male")</f>
        <v>Male</v>
      </c>
      <c r="E1413" s="8" t="str">
        <f ca="1">IFERROR(__xludf.DUMMYFUNCTION("""COMPUTED_VALUE"""),"Student")</f>
        <v>Student</v>
      </c>
      <c r="F1413" s="8" t="str">
        <f ca="1">IFERROR(__xludf.DUMMYFUNCTION("""COMPUTED_VALUE"""),"Child")</f>
        <v>Child</v>
      </c>
    </row>
    <row r="1414" spans="1:6" ht="12.75">
      <c r="A1414" s="4">
        <v>1413</v>
      </c>
      <c r="B1414" s="8" t="str">
        <f ca="1">IFERROR(__xludf.DUMMYFUNCTION("""COMPUTED_VALUE"""),"20111228MINOF")</f>
        <v>20111228MINOF</v>
      </c>
      <c r="C1414" s="8" t="str">
        <f ca="1">IFERROR(__xludf.DUMMYFUNCTION("""COMPUTED_VALUE"""),"Wounded")</f>
        <v>Wounded</v>
      </c>
      <c r="D1414" s="8" t="str">
        <f ca="1">IFERROR(__xludf.DUMMYFUNCTION("""COMPUTED_VALUE"""),"Male")</f>
        <v>Male</v>
      </c>
      <c r="E1414" s="8" t="str">
        <f ca="1">IFERROR(__xludf.DUMMYFUNCTION("""COMPUTED_VALUE"""),"Unknown")</f>
        <v>Unknown</v>
      </c>
      <c r="F1414" s="8"/>
    </row>
    <row r="1415" spans="1:6" ht="12.75">
      <c r="A1415" s="4">
        <v>1414</v>
      </c>
      <c r="B1415" s="8" t="str">
        <f ca="1">IFERROR(__xludf.DUMMYFUNCTION("""COMPUTED_VALUE"""),"20111212TXHAE")</f>
        <v>20111212TXHAE</v>
      </c>
      <c r="C1415" s="8" t="str">
        <f ca="1">IFERROR(__xludf.DUMMYFUNCTION("""COMPUTED_VALUE"""),"Wounded")</f>
        <v>Wounded</v>
      </c>
      <c r="D1415" s="8" t="str">
        <f ca="1">IFERROR(__xludf.DUMMYFUNCTION("""COMPUTED_VALUE"""),"Male")</f>
        <v>Male</v>
      </c>
      <c r="E1415" s="8" t="str">
        <f ca="1">IFERROR(__xludf.DUMMYFUNCTION("""COMPUTED_VALUE"""),"Student")</f>
        <v>Student</v>
      </c>
      <c r="F1415" s="8">
        <f ca="1">IFERROR(__xludf.DUMMYFUNCTION("""COMPUTED_VALUE"""),13)</f>
        <v>13</v>
      </c>
    </row>
    <row r="1416" spans="1:6" ht="12.75">
      <c r="A1416" s="4">
        <v>1415</v>
      </c>
      <c r="B1416" s="8" t="str">
        <f ca="1">IFERROR(__xludf.DUMMYFUNCTION("""COMPUTED_VALUE"""),"20111212TXHAE")</f>
        <v>20111212TXHAE</v>
      </c>
      <c r="C1416" s="8" t="str">
        <f ca="1">IFERROR(__xludf.DUMMYFUNCTION("""COMPUTED_VALUE"""),"Wounded")</f>
        <v>Wounded</v>
      </c>
      <c r="D1416" s="8" t="str">
        <f ca="1">IFERROR(__xludf.DUMMYFUNCTION("""COMPUTED_VALUE"""),"Male")</f>
        <v>Male</v>
      </c>
      <c r="E1416" s="8" t="str">
        <f ca="1">IFERROR(__xludf.DUMMYFUNCTION("""COMPUTED_VALUE"""),"Student")</f>
        <v>Student</v>
      </c>
      <c r="F1416" s="8">
        <f ca="1">IFERROR(__xludf.DUMMYFUNCTION("""COMPUTED_VALUE"""),14)</f>
        <v>14</v>
      </c>
    </row>
    <row r="1417" spans="1:6" ht="12.75">
      <c r="A1417" s="4">
        <v>1416</v>
      </c>
      <c r="B1417" s="8" t="str">
        <f ca="1">IFERROR(__xludf.DUMMYFUNCTION("""COMPUTED_VALUE"""),"20111024NCCAF")</f>
        <v>20111024NCCAF</v>
      </c>
      <c r="C1417" s="8" t="str">
        <f ca="1">IFERROR(__xludf.DUMMYFUNCTION("""COMPUTED_VALUE"""),"Wounded")</f>
        <v>Wounded</v>
      </c>
      <c r="D1417" s="8" t="str">
        <f ca="1">IFERROR(__xludf.DUMMYFUNCTION("""COMPUTED_VALUE"""),"Female")</f>
        <v>Female</v>
      </c>
      <c r="E1417" s="8" t="str">
        <f ca="1">IFERROR(__xludf.DUMMYFUNCTION("""COMPUTED_VALUE"""),"Student")</f>
        <v>Student</v>
      </c>
      <c r="F1417" s="8">
        <f ca="1">IFERROR(__xludf.DUMMYFUNCTION("""COMPUTED_VALUE"""),15)</f>
        <v>15</v>
      </c>
    </row>
    <row r="1418" spans="1:6" ht="12.75">
      <c r="A1418" s="4">
        <v>1417</v>
      </c>
      <c r="B1418" s="8" t="str">
        <f ca="1">IFERROR(__xludf.DUMMYFUNCTION("""COMPUTED_VALUE"""),"20110930ORWIP")</f>
        <v>20110930ORWIP</v>
      </c>
      <c r="C1418" s="8" t="str">
        <f ca="1">IFERROR(__xludf.DUMMYFUNCTION("""COMPUTED_VALUE"""),"None")</f>
        <v>None</v>
      </c>
      <c r="D1418" s="8"/>
      <c r="E1418" s="8"/>
      <c r="F1418" s="8"/>
    </row>
    <row r="1419" spans="1:6" ht="12.75">
      <c r="A1419" s="4">
        <v>1418</v>
      </c>
      <c r="B1419" s="8" t="str">
        <f ca="1">IFERROR(__xludf.DUMMYFUNCTION("""COMPUTED_VALUE"""),"20110930NCGAC")</f>
        <v>20110930NCGAC</v>
      </c>
      <c r="C1419" s="8" t="str">
        <f ca="1">IFERROR(__xludf.DUMMYFUNCTION("""COMPUTED_VALUE"""),"Wounded")</f>
        <v>Wounded</v>
      </c>
      <c r="D1419" s="8" t="str">
        <f ca="1">IFERROR(__xludf.DUMMYFUNCTION("""COMPUTED_VALUE"""),"Male")</f>
        <v>Male</v>
      </c>
      <c r="E1419" s="8" t="str">
        <f ca="1">IFERROR(__xludf.DUMMYFUNCTION("""COMPUTED_VALUE"""),"Former Student")</f>
        <v>Former Student</v>
      </c>
      <c r="F1419" s="8">
        <f ca="1">IFERROR(__xludf.DUMMYFUNCTION("""COMPUTED_VALUE"""),17)</f>
        <v>17</v>
      </c>
    </row>
    <row r="1420" spans="1:6" ht="12.75">
      <c r="A1420" s="4">
        <v>1419</v>
      </c>
      <c r="B1420" s="8" t="str">
        <f ca="1">IFERROR(__xludf.DUMMYFUNCTION("""COMPUTED_VALUE"""),"20110923WAISS")</f>
        <v>20110923WAISS</v>
      </c>
      <c r="C1420" s="8" t="str">
        <f ca="1">IFERROR(__xludf.DUMMYFUNCTION("""COMPUTED_VALUE"""),"None")</f>
        <v>None</v>
      </c>
      <c r="D1420" s="8" t="str">
        <f ca="1">IFERROR(__xludf.DUMMYFUNCTION("""COMPUTED_VALUE"""),"Male")</f>
        <v>Male</v>
      </c>
      <c r="E1420" s="8" t="str">
        <f ca="1">IFERROR(__xludf.DUMMYFUNCTION("""COMPUTED_VALUE"""),"No Relation")</f>
        <v>No Relation</v>
      </c>
      <c r="F1420" s="8">
        <f ca="1">IFERROR(__xludf.DUMMYFUNCTION("""COMPUTED_VALUE"""),51)</f>
        <v>51</v>
      </c>
    </row>
    <row r="1421" spans="1:6" ht="12.75">
      <c r="A1421" s="4">
        <v>1420</v>
      </c>
      <c r="B1421" s="8" t="str">
        <f ca="1">IFERROR(__xludf.DUMMYFUNCTION("""COMPUTED_VALUE"""),"20110523HIHIP")</f>
        <v>20110523HIHIP</v>
      </c>
      <c r="C1421" s="8" t="str">
        <f ca="1">IFERROR(__xludf.DUMMYFUNCTION("""COMPUTED_VALUE"""),"Wounded")</f>
        <v>Wounded</v>
      </c>
      <c r="D1421" s="8" t="str">
        <f ca="1">IFERROR(__xludf.DUMMYFUNCTION("""COMPUTED_VALUE"""),"Male")</f>
        <v>Male</v>
      </c>
      <c r="E1421" s="8" t="str">
        <f ca="1">IFERROR(__xludf.DUMMYFUNCTION("""COMPUTED_VALUE"""),"Student")</f>
        <v>Student</v>
      </c>
      <c r="F1421" s="8">
        <f ca="1">IFERROR(__xludf.DUMMYFUNCTION("""COMPUTED_VALUE"""),14)</f>
        <v>14</v>
      </c>
    </row>
    <row r="1422" spans="1:6" ht="12.75">
      <c r="A1422" s="4">
        <v>1421</v>
      </c>
      <c r="B1422" s="8" t="str">
        <f ca="1">IFERROR(__xludf.DUMMYFUNCTION("""COMPUTED_VALUE"""),"20110517WAHOE")</f>
        <v>20110517WAHOE</v>
      </c>
      <c r="C1422" s="8" t="str">
        <f ca="1">IFERROR(__xludf.DUMMYFUNCTION("""COMPUTED_VALUE"""),"Wounded")</f>
        <v>Wounded</v>
      </c>
      <c r="D1422" s="8" t="str">
        <f ca="1">IFERROR(__xludf.DUMMYFUNCTION("""COMPUTED_VALUE"""),"Male")</f>
        <v>Male</v>
      </c>
      <c r="E1422" s="8" t="str">
        <f ca="1">IFERROR(__xludf.DUMMYFUNCTION("""COMPUTED_VALUE"""),"Unknown")</f>
        <v>Unknown</v>
      </c>
      <c r="F1422" s="8">
        <f ca="1">IFERROR(__xludf.DUMMYFUNCTION("""COMPUTED_VALUE"""),17)</f>
        <v>17</v>
      </c>
    </row>
    <row r="1423" spans="1:6" ht="12.75">
      <c r="A1423" s="4">
        <v>1422</v>
      </c>
      <c r="B1423" s="8" t="str">
        <f ca="1">IFERROR(__xludf.DUMMYFUNCTION("""COMPUTED_VALUE"""),"20110419TXBEH")</f>
        <v>20110419TXBEH</v>
      </c>
      <c r="C1423" s="8" t="str">
        <f ca="1">IFERROR(__xludf.DUMMYFUNCTION("""COMPUTED_VALUE"""),"Wounded")</f>
        <v>Wounded</v>
      </c>
      <c r="D1423" s="8" t="str">
        <f ca="1">IFERROR(__xludf.DUMMYFUNCTION("""COMPUTED_VALUE"""),"Female")</f>
        <v>Female</v>
      </c>
      <c r="E1423" s="8" t="str">
        <f ca="1">IFERROR(__xludf.DUMMYFUNCTION("""COMPUTED_VALUE"""),"Student")</f>
        <v>Student</v>
      </c>
      <c r="F1423" s="8">
        <f ca="1">IFERROR(__xludf.DUMMYFUNCTION("""COMPUTED_VALUE"""),6)</f>
        <v>6</v>
      </c>
    </row>
    <row r="1424" spans="1:6" ht="12.75">
      <c r="A1424" s="4">
        <v>1423</v>
      </c>
      <c r="B1424" s="8" t="str">
        <f ca="1">IFERROR(__xludf.DUMMYFUNCTION("""COMPUTED_VALUE"""),"20110419TXBEH")</f>
        <v>20110419TXBEH</v>
      </c>
      <c r="C1424" s="8" t="str">
        <f ca="1">IFERROR(__xludf.DUMMYFUNCTION("""COMPUTED_VALUE"""),"Wounded")</f>
        <v>Wounded</v>
      </c>
      <c r="D1424" s="8" t="str">
        <f ca="1">IFERROR(__xludf.DUMMYFUNCTION("""COMPUTED_VALUE"""),"Male")</f>
        <v>Male</v>
      </c>
      <c r="E1424" s="8" t="str">
        <f ca="1">IFERROR(__xludf.DUMMYFUNCTION("""COMPUTED_VALUE"""),"Student")</f>
        <v>Student</v>
      </c>
      <c r="F1424" s="8">
        <f ca="1">IFERROR(__xludf.DUMMYFUNCTION("""COMPUTED_VALUE"""),6)</f>
        <v>6</v>
      </c>
    </row>
    <row r="1425" spans="1:6" ht="12.75">
      <c r="A1425" s="4">
        <v>1424</v>
      </c>
      <c r="B1425" s="8" t="str">
        <f ca="1">IFERROR(__xludf.DUMMYFUNCTION("""COMPUTED_VALUE"""),"20110419TXBEH")</f>
        <v>20110419TXBEH</v>
      </c>
      <c r="C1425" s="8" t="str">
        <f ca="1">IFERROR(__xludf.DUMMYFUNCTION("""COMPUTED_VALUE"""),"Wounded")</f>
        <v>Wounded</v>
      </c>
      <c r="D1425" s="8" t="str">
        <f ca="1">IFERROR(__xludf.DUMMYFUNCTION("""COMPUTED_VALUE"""),"Male")</f>
        <v>Male</v>
      </c>
      <c r="E1425" s="8" t="str">
        <f ca="1">IFERROR(__xludf.DUMMYFUNCTION("""COMPUTED_VALUE"""),"Student")</f>
        <v>Student</v>
      </c>
      <c r="F1425" s="8">
        <f ca="1">IFERROR(__xludf.DUMMYFUNCTION("""COMPUTED_VALUE"""),5)</f>
        <v>5</v>
      </c>
    </row>
    <row r="1426" spans="1:6" ht="12.75">
      <c r="A1426" s="4">
        <v>1425</v>
      </c>
      <c r="B1426" s="8" t="str">
        <f ca="1">IFERROR(__xludf.DUMMYFUNCTION("""COMPUTED_VALUE"""),"20110413FLSHA")</f>
        <v>20110413FLSHA</v>
      </c>
      <c r="C1426" s="8" t="str">
        <f ca="1">IFERROR(__xludf.DUMMYFUNCTION("""COMPUTED_VALUE"""),"Wounded")</f>
        <v>Wounded</v>
      </c>
      <c r="D1426" s="8" t="str">
        <f ca="1">IFERROR(__xludf.DUMMYFUNCTION("""COMPUTED_VALUE"""),"Male")</f>
        <v>Male</v>
      </c>
      <c r="E1426" s="8" t="str">
        <f ca="1">IFERROR(__xludf.DUMMYFUNCTION("""COMPUTED_VALUE"""),"No Relation")</f>
        <v>No Relation</v>
      </c>
      <c r="F1426" s="8">
        <f ca="1">IFERROR(__xludf.DUMMYFUNCTION("""COMPUTED_VALUE"""),17)</f>
        <v>17</v>
      </c>
    </row>
    <row r="1427" spans="1:6" ht="12.75">
      <c r="A1427" s="4">
        <v>1426</v>
      </c>
      <c r="B1427" s="8" t="str">
        <f ca="1">IFERROR(__xludf.DUMMYFUNCTION("""COMPUTED_VALUE"""),"20110330TXWOH")</f>
        <v>20110330TXWOH</v>
      </c>
      <c r="C1427" s="8" t="str">
        <f ca="1">IFERROR(__xludf.DUMMYFUNCTION("""COMPUTED_VALUE"""),"Wounded")</f>
        <v>Wounded</v>
      </c>
      <c r="D1427" s="8" t="str">
        <f ca="1">IFERROR(__xludf.DUMMYFUNCTION("""COMPUTED_VALUE"""),"Male")</f>
        <v>Male</v>
      </c>
      <c r="E1427" s="8" t="str">
        <f ca="1">IFERROR(__xludf.DUMMYFUNCTION("""COMPUTED_VALUE"""),"Student")</f>
        <v>Student</v>
      </c>
      <c r="F1427" s="8" t="str">
        <f ca="1">IFERROR(__xludf.DUMMYFUNCTION("""COMPUTED_VALUE"""),"Teen")</f>
        <v>Teen</v>
      </c>
    </row>
    <row r="1428" spans="1:6" ht="12.75">
      <c r="A1428" s="4">
        <v>1427</v>
      </c>
      <c r="B1428" s="8" t="str">
        <f ca="1">IFERROR(__xludf.DUMMYFUNCTION("""COMPUTED_VALUE"""),"20110330TXWOH")</f>
        <v>20110330TXWOH</v>
      </c>
      <c r="C1428" s="8" t="str">
        <f ca="1">IFERROR(__xludf.DUMMYFUNCTION("""COMPUTED_VALUE"""),"Wounded")</f>
        <v>Wounded</v>
      </c>
      <c r="D1428" s="8" t="str">
        <f ca="1">IFERROR(__xludf.DUMMYFUNCTION("""COMPUTED_VALUE"""),"Male")</f>
        <v>Male</v>
      </c>
      <c r="E1428" s="8" t="str">
        <f ca="1">IFERROR(__xludf.DUMMYFUNCTION("""COMPUTED_VALUE"""),"Student")</f>
        <v>Student</v>
      </c>
      <c r="F1428" s="8"/>
    </row>
    <row r="1429" spans="1:6" ht="12.75">
      <c r="A1429" s="4">
        <v>1428</v>
      </c>
      <c r="B1429" s="8" t="str">
        <f ca="1">IFERROR(__xludf.DUMMYFUNCTION("""COMPUTED_VALUE"""),"20110330TXWOH")</f>
        <v>20110330TXWOH</v>
      </c>
      <c r="C1429" s="8" t="str">
        <f ca="1">IFERROR(__xludf.DUMMYFUNCTION("""COMPUTED_VALUE"""),"Wounded")</f>
        <v>Wounded</v>
      </c>
      <c r="D1429" s="8" t="str">
        <f ca="1">IFERROR(__xludf.DUMMYFUNCTION("""COMPUTED_VALUE"""),"Male")</f>
        <v>Male</v>
      </c>
      <c r="E1429" s="8" t="str">
        <f ca="1">IFERROR(__xludf.DUMMYFUNCTION("""COMPUTED_VALUE"""),"Student")</f>
        <v>Student</v>
      </c>
      <c r="F1429" s="8"/>
    </row>
    <row r="1430" spans="1:6" ht="12.75">
      <c r="A1430" s="4">
        <v>1429</v>
      </c>
      <c r="B1430" s="8" t="str">
        <f ca="1">IFERROR(__xludf.DUMMYFUNCTION("""COMPUTED_VALUE"""),"20110330TXWOH")</f>
        <v>20110330TXWOH</v>
      </c>
      <c r="C1430" s="8" t="str">
        <f ca="1">IFERROR(__xludf.DUMMYFUNCTION("""COMPUTED_VALUE"""),"Wounded")</f>
        <v>Wounded</v>
      </c>
      <c r="D1430" s="8" t="str">
        <f ca="1">IFERROR(__xludf.DUMMYFUNCTION("""COMPUTED_VALUE"""),"Male")</f>
        <v>Male</v>
      </c>
      <c r="E1430" s="8"/>
      <c r="F1430" s="8"/>
    </row>
    <row r="1431" spans="1:6" ht="12.75">
      <c r="A1431" s="4">
        <v>1430</v>
      </c>
      <c r="B1431" s="8" t="str">
        <f ca="1">IFERROR(__xludf.DUMMYFUNCTION("""COMPUTED_VALUE"""),"20110330TXWOH")</f>
        <v>20110330TXWOH</v>
      </c>
      <c r="C1431" s="8" t="str">
        <f ca="1">IFERROR(__xludf.DUMMYFUNCTION("""COMPUTED_VALUE"""),"Wounded")</f>
        <v>Wounded</v>
      </c>
      <c r="D1431" s="8" t="str">
        <f ca="1">IFERROR(__xludf.DUMMYFUNCTION("""COMPUTED_VALUE"""),"Male")</f>
        <v>Male</v>
      </c>
      <c r="E1431" s="8"/>
      <c r="F1431" s="8"/>
    </row>
    <row r="1432" spans="1:6" ht="12.75">
      <c r="A1432" s="4">
        <v>1431</v>
      </c>
      <c r="B1432" s="8" t="str">
        <f ca="1">IFERROR(__xludf.DUMMYFUNCTION("""COMPUTED_VALUE"""),"20110330TXWOH")</f>
        <v>20110330TXWOH</v>
      </c>
      <c r="C1432" s="8" t="str">
        <f ca="1">IFERROR(__xludf.DUMMYFUNCTION("""COMPUTED_VALUE"""),"Fatal")</f>
        <v>Fatal</v>
      </c>
      <c r="D1432" s="8" t="str">
        <f ca="1">IFERROR(__xludf.DUMMYFUNCTION("""COMPUTED_VALUE"""),"Male")</f>
        <v>Male</v>
      </c>
      <c r="E1432" s="8" t="str">
        <f ca="1">IFERROR(__xludf.DUMMYFUNCTION("""COMPUTED_VALUE"""),"Student")</f>
        <v>Student</v>
      </c>
      <c r="F1432" s="8"/>
    </row>
    <row r="1433" spans="1:6" ht="12.75">
      <c r="A1433" s="4">
        <v>1432</v>
      </c>
      <c r="B1433" s="8" t="str">
        <f ca="1">IFERROR(__xludf.DUMMYFUNCTION("""COMPUTED_VALUE"""),"20110325INMAM")</f>
        <v>20110325INMAM</v>
      </c>
      <c r="C1433" s="8" t="str">
        <f ca="1">IFERROR(__xludf.DUMMYFUNCTION("""COMPUTED_VALUE"""),"Wounded")</f>
        <v>Wounded</v>
      </c>
      <c r="D1433" s="8" t="str">
        <f ca="1">IFERROR(__xludf.DUMMYFUNCTION("""COMPUTED_VALUE"""),"Male")</f>
        <v>Male</v>
      </c>
      <c r="E1433" s="8" t="str">
        <f ca="1">IFERROR(__xludf.DUMMYFUNCTION("""COMPUTED_VALUE"""),"Student")</f>
        <v>Student</v>
      </c>
      <c r="F1433" s="8">
        <f ca="1">IFERROR(__xludf.DUMMYFUNCTION("""COMPUTED_VALUE"""),15)</f>
        <v>15</v>
      </c>
    </row>
    <row r="1434" spans="1:6" ht="12.75">
      <c r="A1434" s="4">
        <v>1433</v>
      </c>
      <c r="B1434" s="8" t="str">
        <f ca="1">IFERROR(__xludf.DUMMYFUNCTION("""COMPUTED_VALUE"""),"20110202CALOP")</f>
        <v>20110202CALOP</v>
      </c>
      <c r="C1434" s="8" t="str">
        <f ca="1">IFERROR(__xludf.DUMMYFUNCTION("""COMPUTED_VALUE"""),"Fatal")</f>
        <v>Fatal</v>
      </c>
      <c r="D1434" s="8" t="str">
        <f ca="1">IFERROR(__xludf.DUMMYFUNCTION("""COMPUTED_VALUE"""),"Male")</f>
        <v>Male</v>
      </c>
      <c r="E1434" s="8" t="str">
        <f ca="1">IFERROR(__xludf.DUMMYFUNCTION("""COMPUTED_VALUE"""),"Principal/Vice-Principal")</f>
        <v>Principal/Vice-Principal</v>
      </c>
      <c r="F1434" s="8">
        <f ca="1">IFERROR(__xludf.DUMMYFUNCTION("""COMPUTED_VALUE"""),50)</f>
        <v>50</v>
      </c>
    </row>
    <row r="1435" spans="1:6" ht="12.75">
      <c r="A1435" s="4">
        <v>1434</v>
      </c>
      <c r="B1435" s="8" t="str">
        <f ca="1">IFERROR(__xludf.DUMMYFUNCTION("""COMPUTED_VALUE"""),"20110118CAGAL")</f>
        <v>20110118CAGAL</v>
      </c>
      <c r="C1435" s="8" t="str">
        <f ca="1">IFERROR(__xludf.DUMMYFUNCTION("""COMPUTED_VALUE"""),"Wounded")</f>
        <v>Wounded</v>
      </c>
      <c r="D1435" s="8" t="str">
        <f ca="1">IFERROR(__xludf.DUMMYFUNCTION("""COMPUTED_VALUE"""),"Male")</f>
        <v>Male</v>
      </c>
      <c r="E1435" s="8" t="str">
        <f ca="1">IFERROR(__xludf.DUMMYFUNCTION("""COMPUTED_VALUE"""),"Student")</f>
        <v>Student</v>
      </c>
      <c r="F1435" s="8">
        <f ca="1">IFERROR(__xludf.DUMMYFUNCTION("""COMPUTED_VALUE"""),15)</f>
        <v>15</v>
      </c>
    </row>
    <row r="1436" spans="1:6" ht="12.75">
      <c r="A1436" s="4">
        <v>1435</v>
      </c>
      <c r="B1436" s="8" t="str">
        <f ca="1">IFERROR(__xludf.DUMMYFUNCTION("""COMPUTED_VALUE"""),"20110118CAGAL")</f>
        <v>20110118CAGAL</v>
      </c>
      <c r="C1436" s="8" t="str">
        <f ca="1">IFERROR(__xludf.DUMMYFUNCTION("""COMPUTED_VALUE"""),"Wounded")</f>
        <v>Wounded</v>
      </c>
      <c r="D1436" s="8" t="str">
        <f ca="1">IFERROR(__xludf.DUMMYFUNCTION("""COMPUTED_VALUE"""),"Female")</f>
        <v>Female</v>
      </c>
      <c r="E1436" s="8" t="str">
        <f ca="1">IFERROR(__xludf.DUMMYFUNCTION("""COMPUTED_VALUE"""),"Student")</f>
        <v>Student</v>
      </c>
      <c r="F1436" s="8">
        <f ca="1">IFERROR(__xludf.DUMMYFUNCTION("""COMPUTED_VALUE"""),15)</f>
        <v>15</v>
      </c>
    </row>
    <row r="1437" spans="1:6" ht="12.75">
      <c r="A1437" s="4">
        <v>1436</v>
      </c>
      <c r="B1437" s="8" t="str">
        <f ca="1">IFERROR(__xludf.DUMMYFUNCTION("""COMPUTED_VALUE"""),"20110105NEMIO")</f>
        <v>20110105NEMIO</v>
      </c>
      <c r="C1437" s="8" t="str">
        <f ca="1">IFERROR(__xludf.DUMMYFUNCTION("""COMPUTED_VALUE"""),"Fatal")</f>
        <v>Fatal</v>
      </c>
      <c r="D1437" s="8" t="str">
        <f ca="1">IFERROR(__xludf.DUMMYFUNCTION("""COMPUTED_VALUE"""),"Male")</f>
        <v>Male</v>
      </c>
      <c r="E1437" s="8" t="str">
        <f ca="1">IFERROR(__xludf.DUMMYFUNCTION("""COMPUTED_VALUE"""),"Principal/Vice-Principal")</f>
        <v>Principal/Vice-Principal</v>
      </c>
      <c r="F1437" s="8" t="str">
        <f ca="1">IFERROR(__xludf.DUMMYFUNCTION("""COMPUTED_VALUE"""),"Adult")</f>
        <v>Adult</v>
      </c>
    </row>
    <row r="1438" spans="1:6" ht="12.75">
      <c r="A1438" s="4">
        <v>1437</v>
      </c>
      <c r="B1438" s="8" t="str">
        <f ca="1">IFERROR(__xludf.DUMMYFUNCTION("""COMPUTED_VALUE"""),"20110105NEMIO")</f>
        <v>20110105NEMIO</v>
      </c>
      <c r="C1438" s="8" t="str">
        <f ca="1">IFERROR(__xludf.DUMMYFUNCTION("""COMPUTED_VALUE"""),"Wounded")</f>
        <v>Wounded</v>
      </c>
      <c r="D1438" s="8" t="str">
        <f ca="1">IFERROR(__xludf.DUMMYFUNCTION("""COMPUTED_VALUE"""),"Female")</f>
        <v>Female</v>
      </c>
      <c r="E1438" s="8" t="str">
        <f ca="1">IFERROR(__xludf.DUMMYFUNCTION("""COMPUTED_VALUE"""),"Principal/Vice-Principal")</f>
        <v>Principal/Vice-Principal</v>
      </c>
      <c r="F1438" s="8" t="str">
        <f ca="1">IFERROR(__xludf.DUMMYFUNCTION("""COMPUTED_VALUE"""),"Adult")</f>
        <v>Adult</v>
      </c>
    </row>
    <row r="1439" spans="1:6" ht="12.75">
      <c r="A1439" s="4">
        <v>1438</v>
      </c>
      <c r="B1439" s="8" t="str">
        <f ca="1">IFERROR(__xludf.DUMMYFUNCTION("""COMPUTED_VALUE"""),"20110104INCRC")</f>
        <v>20110104INCRC</v>
      </c>
      <c r="C1439" s="8" t="str">
        <f ca="1">IFERROR(__xludf.DUMMYFUNCTION("""COMPUTED_VALUE"""),"None")</f>
        <v>None</v>
      </c>
      <c r="D1439" s="8"/>
      <c r="E1439" s="8"/>
      <c r="F1439" s="8"/>
    </row>
    <row r="1440" spans="1:6" ht="12.75">
      <c r="A1440" s="4">
        <v>1439</v>
      </c>
      <c r="B1440" s="8" t="str">
        <f ca="1">IFERROR(__xludf.DUMMYFUNCTION("""COMPUTED_VALUE"""),"20101206COAUA")</f>
        <v>20101206COAUA</v>
      </c>
      <c r="C1440" s="8" t="str">
        <f ca="1">IFERROR(__xludf.DUMMYFUNCTION("""COMPUTED_VALUE"""),"Wounded")</f>
        <v>Wounded</v>
      </c>
      <c r="D1440" s="8" t="str">
        <f ca="1">IFERROR(__xludf.DUMMYFUNCTION("""COMPUTED_VALUE"""),"Female")</f>
        <v>Female</v>
      </c>
      <c r="E1440" s="8" t="str">
        <f ca="1">IFERROR(__xludf.DUMMYFUNCTION("""COMPUTED_VALUE"""),"Student")</f>
        <v>Student</v>
      </c>
      <c r="F1440" s="8">
        <f ca="1">IFERROR(__xludf.DUMMYFUNCTION("""COMPUTED_VALUE"""),17)</f>
        <v>17</v>
      </c>
    </row>
    <row r="1441" spans="1:6" ht="12.75">
      <c r="A1441" s="4">
        <v>1440</v>
      </c>
      <c r="B1441" s="8" t="str">
        <f ca="1">IFERROR(__xludf.DUMMYFUNCTION("""COMPUTED_VALUE"""),"20101129WIMAM")</f>
        <v>20101129WIMAM</v>
      </c>
      <c r="C1441" s="8" t="str">
        <f ca="1">IFERROR(__xludf.DUMMYFUNCTION("""COMPUTED_VALUE"""),"None")</f>
        <v>None</v>
      </c>
      <c r="D1441" s="8" t="str">
        <f ca="1">IFERROR(__xludf.DUMMYFUNCTION("""COMPUTED_VALUE"""),"Male")</f>
        <v>Male</v>
      </c>
      <c r="E1441" s="8" t="str">
        <f ca="1">IFERROR(__xludf.DUMMYFUNCTION("""COMPUTED_VALUE"""),"Student")</f>
        <v>Student</v>
      </c>
      <c r="F1441" s="8">
        <f ca="1">IFERROR(__xludf.DUMMYFUNCTION("""COMPUTED_VALUE"""),15)</f>
        <v>15</v>
      </c>
    </row>
    <row r="1442" spans="1:6" ht="12.75">
      <c r="A1442" s="4">
        <v>1441</v>
      </c>
      <c r="B1442" s="8" t="str">
        <f ca="1">IFERROR(__xludf.DUMMYFUNCTION("""COMPUTED_VALUE"""),"20101023KSTOT")</f>
        <v>20101023KSTOT</v>
      </c>
      <c r="C1442" s="8" t="str">
        <f ca="1">IFERROR(__xludf.DUMMYFUNCTION("""COMPUTED_VALUE"""),"Fatal")</f>
        <v>Fatal</v>
      </c>
      <c r="D1442" s="8" t="str">
        <f ca="1">IFERROR(__xludf.DUMMYFUNCTION("""COMPUTED_VALUE"""),"Male")</f>
        <v>Male</v>
      </c>
      <c r="E1442" s="8" t="str">
        <f ca="1">IFERROR(__xludf.DUMMYFUNCTION("""COMPUTED_VALUE"""),"No Relation")</f>
        <v>No Relation</v>
      </c>
      <c r="F1442" s="8">
        <f ca="1">IFERROR(__xludf.DUMMYFUNCTION("""COMPUTED_VALUE"""),20)</f>
        <v>20</v>
      </c>
    </row>
    <row r="1443" spans="1:6" ht="12.75">
      <c r="A1443" s="4">
        <v>1442</v>
      </c>
      <c r="B1443" s="8" t="str">
        <f ca="1">IFERROR(__xludf.DUMMYFUNCTION("""COMPUTED_VALUE"""),"20101023KSTOT")</f>
        <v>20101023KSTOT</v>
      </c>
      <c r="C1443" s="8" t="str">
        <f ca="1">IFERROR(__xludf.DUMMYFUNCTION("""COMPUTED_VALUE"""),"Wounded")</f>
        <v>Wounded</v>
      </c>
      <c r="D1443" s="8" t="str">
        <f ca="1">IFERROR(__xludf.DUMMYFUNCTION("""COMPUTED_VALUE"""),"Male")</f>
        <v>Male</v>
      </c>
      <c r="E1443" s="8"/>
      <c r="F1443" s="8">
        <f ca="1">IFERROR(__xludf.DUMMYFUNCTION("""COMPUTED_VALUE"""),17)</f>
        <v>17</v>
      </c>
    </row>
    <row r="1444" spans="1:6" ht="12.75">
      <c r="A1444" s="4">
        <v>1443</v>
      </c>
      <c r="B1444" s="8" t="str">
        <f ca="1">IFERROR(__xludf.DUMMYFUNCTION("""COMPUTED_VALUE"""),"20101008CAKEC")</f>
        <v>20101008CAKEC</v>
      </c>
      <c r="C1444" s="8" t="str">
        <f ca="1">IFERROR(__xludf.DUMMYFUNCTION("""COMPUTED_VALUE"""),"Wounded")</f>
        <v>Wounded</v>
      </c>
      <c r="D1444" s="8" t="str">
        <f ca="1">IFERROR(__xludf.DUMMYFUNCTION("""COMPUTED_VALUE"""),"Female")</f>
        <v>Female</v>
      </c>
      <c r="E1444" s="8" t="str">
        <f ca="1">IFERROR(__xludf.DUMMYFUNCTION("""COMPUTED_VALUE"""),"Student")</f>
        <v>Student</v>
      </c>
      <c r="F1444" s="8">
        <f ca="1">IFERROR(__xludf.DUMMYFUNCTION("""COMPUTED_VALUE"""),6)</f>
        <v>6</v>
      </c>
    </row>
    <row r="1445" spans="1:6" ht="12.75">
      <c r="A1445" s="4">
        <v>1444</v>
      </c>
      <c r="B1445" s="8" t="str">
        <f ca="1">IFERROR(__xludf.DUMMYFUNCTION("""COMPUTED_VALUE"""),"20101008CAKEC")</f>
        <v>20101008CAKEC</v>
      </c>
      <c r="C1445" s="8" t="str">
        <f ca="1">IFERROR(__xludf.DUMMYFUNCTION("""COMPUTED_VALUE"""),"Wounded")</f>
        <v>Wounded</v>
      </c>
      <c r="D1445" s="8" t="str">
        <f ca="1">IFERROR(__xludf.DUMMYFUNCTION("""COMPUTED_VALUE"""),"Female")</f>
        <v>Female</v>
      </c>
      <c r="E1445" s="8" t="str">
        <f ca="1">IFERROR(__xludf.DUMMYFUNCTION("""COMPUTED_VALUE"""),"Student")</f>
        <v>Student</v>
      </c>
      <c r="F1445" s="8">
        <f ca="1">IFERROR(__xludf.DUMMYFUNCTION("""COMPUTED_VALUE"""),7)</f>
        <v>7</v>
      </c>
    </row>
    <row r="1446" spans="1:6" ht="12.75">
      <c r="A1446" s="4">
        <v>1445</v>
      </c>
      <c r="B1446" s="8" t="str">
        <f ca="1">IFERROR(__xludf.DUMMYFUNCTION("""COMPUTED_VALUE"""),"20101001CAALS")</f>
        <v>20101001CAALS</v>
      </c>
      <c r="C1446" s="8" t="str">
        <f ca="1">IFERROR(__xludf.DUMMYFUNCTION("""COMPUTED_VALUE"""),"Fatal")</f>
        <v>Fatal</v>
      </c>
      <c r="D1446" s="8" t="str">
        <f ca="1">IFERROR(__xludf.DUMMYFUNCTION("""COMPUTED_VALUE"""),"Male")</f>
        <v>Male</v>
      </c>
      <c r="E1446" s="8" t="str">
        <f ca="1">IFERROR(__xludf.DUMMYFUNCTION("""COMPUTED_VALUE"""),"Student")</f>
        <v>Student</v>
      </c>
      <c r="F1446" s="8">
        <f ca="1">IFERROR(__xludf.DUMMYFUNCTION("""COMPUTED_VALUE"""),15)</f>
        <v>15</v>
      </c>
    </row>
    <row r="1447" spans="1:6" ht="12.75">
      <c r="A1447" s="4">
        <v>1446</v>
      </c>
      <c r="B1447" s="8" t="str">
        <f ca="1">IFERROR(__xludf.DUMMYFUNCTION("""COMPUTED_VALUE"""),"20100921SCSOC")</f>
        <v>20100921SCSOC</v>
      </c>
      <c r="C1447" s="8" t="str">
        <f ca="1">IFERROR(__xludf.DUMMYFUNCTION("""COMPUTED_VALUE"""),"Wounded")</f>
        <v>Wounded</v>
      </c>
      <c r="D1447" s="8" t="str">
        <f ca="1">IFERROR(__xludf.DUMMYFUNCTION("""COMPUTED_VALUE"""),"Male")</f>
        <v>Male</v>
      </c>
      <c r="E1447" s="8" t="str">
        <f ca="1">IFERROR(__xludf.DUMMYFUNCTION("""COMPUTED_VALUE"""),"Police Officer/SRO")</f>
        <v>Police Officer/SRO</v>
      </c>
      <c r="F1447" s="8" t="str">
        <f ca="1">IFERROR(__xludf.DUMMYFUNCTION("""COMPUTED_VALUE"""),"Adult")</f>
        <v>Adult</v>
      </c>
    </row>
    <row r="1448" spans="1:6" ht="12.75">
      <c r="A1448" s="4">
        <v>1447</v>
      </c>
      <c r="B1448" s="8" t="str">
        <f ca="1">IFERROR(__xludf.DUMMYFUNCTION("""COMPUTED_VALUE"""),"20100908MIMUD")</f>
        <v>20100908MIMUD</v>
      </c>
      <c r="C1448" s="8" t="str">
        <f ca="1">IFERROR(__xludf.DUMMYFUNCTION("""COMPUTED_VALUE"""),"Wounded")</f>
        <v>Wounded</v>
      </c>
      <c r="D1448" s="8" t="str">
        <f ca="1">IFERROR(__xludf.DUMMYFUNCTION("""COMPUTED_VALUE"""),"Male")</f>
        <v>Male</v>
      </c>
      <c r="E1448" s="8" t="str">
        <f ca="1">IFERROR(__xludf.DUMMYFUNCTION("""COMPUTED_VALUE"""),"Student")</f>
        <v>Student</v>
      </c>
      <c r="F1448" s="8">
        <f ca="1">IFERROR(__xludf.DUMMYFUNCTION("""COMPUTED_VALUE"""),16)</f>
        <v>16</v>
      </c>
    </row>
    <row r="1449" spans="1:6" ht="12.75">
      <c r="A1449" s="4">
        <v>1448</v>
      </c>
      <c r="B1449" s="8" t="str">
        <f ca="1">IFERROR(__xludf.DUMMYFUNCTION("""COMPUTED_VALUE"""),"20100908MIMUD")</f>
        <v>20100908MIMUD</v>
      </c>
      <c r="C1449" s="8" t="str">
        <f ca="1">IFERROR(__xludf.DUMMYFUNCTION("""COMPUTED_VALUE"""),"Wounded")</f>
        <v>Wounded</v>
      </c>
      <c r="D1449" s="8" t="str">
        <f ca="1">IFERROR(__xludf.DUMMYFUNCTION("""COMPUTED_VALUE"""),"Female")</f>
        <v>Female</v>
      </c>
      <c r="E1449" s="8" t="str">
        <f ca="1">IFERROR(__xludf.DUMMYFUNCTION("""COMPUTED_VALUE"""),"Student")</f>
        <v>Student</v>
      </c>
      <c r="F1449" s="8">
        <f ca="1">IFERROR(__xludf.DUMMYFUNCTION("""COMPUTED_VALUE"""),14)</f>
        <v>14</v>
      </c>
    </row>
    <row r="1450" spans="1:6" ht="12.75">
      <c r="A1450" s="4">
        <v>1449</v>
      </c>
      <c r="B1450" s="8" t="str">
        <f ca="1">IFERROR(__xludf.DUMMYFUNCTION("""COMPUTED_VALUE"""),"20100830TNSUB")</f>
        <v>20100830TNSUB</v>
      </c>
      <c r="C1450" s="8" t="str">
        <f ca="1">IFERROR(__xludf.DUMMYFUNCTION("""COMPUTED_VALUE"""),"Fatal")</f>
        <v>Fatal</v>
      </c>
      <c r="D1450" s="8" t="str">
        <f ca="1">IFERROR(__xludf.DUMMYFUNCTION("""COMPUTED_VALUE"""),"Male")</f>
        <v>Male</v>
      </c>
      <c r="E1450" s="8" t="str">
        <f ca="1">IFERROR(__xludf.DUMMYFUNCTION("""COMPUTED_VALUE"""),"No Relation")</f>
        <v>No Relation</v>
      </c>
      <c r="F1450" s="8">
        <f ca="1">IFERROR(__xludf.DUMMYFUNCTION("""COMPUTED_VALUE"""),62)</f>
        <v>62</v>
      </c>
    </row>
    <row r="1451" spans="1:6" ht="12.75">
      <c r="A1451" s="4">
        <v>1450</v>
      </c>
      <c r="B1451" s="8" t="str">
        <f ca="1">IFERROR(__xludf.DUMMYFUNCTION("""COMPUTED_VALUE"""),"20100518CASOS")</f>
        <v>20100518CASOS</v>
      </c>
      <c r="C1451" s="8" t="str">
        <f ca="1">IFERROR(__xludf.DUMMYFUNCTION("""COMPUTED_VALUE"""),"Wounded")</f>
        <v>Wounded</v>
      </c>
      <c r="D1451" s="8" t="str">
        <f ca="1">IFERROR(__xludf.DUMMYFUNCTION("""COMPUTED_VALUE"""),"Male")</f>
        <v>Male</v>
      </c>
      <c r="E1451" s="8" t="str">
        <f ca="1">IFERROR(__xludf.DUMMYFUNCTION("""COMPUTED_VALUE"""),"Student")</f>
        <v>Student</v>
      </c>
      <c r="F1451" s="8">
        <f ca="1">IFERROR(__xludf.DUMMYFUNCTION("""COMPUTED_VALUE"""),15)</f>
        <v>15</v>
      </c>
    </row>
    <row r="1452" spans="1:6" ht="12.75">
      <c r="A1452" s="4">
        <v>1451</v>
      </c>
      <c r="B1452" s="8" t="str">
        <f ca="1">IFERROR(__xludf.DUMMYFUNCTION("""COMPUTED_VALUE"""),"20100428VAWOP")</f>
        <v>20100428VAWOP</v>
      </c>
      <c r="C1452" s="8" t="str">
        <f ca="1">IFERROR(__xludf.DUMMYFUNCTION("""COMPUTED_VALUE"""),"None")</f>
        <v>None</v>
      </c>
      <c r="D1452" s="8"/>
      <c r="E1452" s="8"/>
      <c r="F1452" s="8"/>
    </row>
    <row r="1453" spans="1:6" ht="12.75">
      <c r="A1453" s="4">
        <v>1452</v>
      </c>
      <c r="B1453" s="8" t="str">
        <f ca="1">IFERROR(__xludf.DUMMYFUNCTION("""COMPUTED_VALUE"""),"20100226WABIT")</f>
        <v>20100226WABIT</v>
      </c>
      <c r="C1453" s="8" t="str">
        <f ca="1">IFERROR(__xludf.DUMMYFUNCTION("""COMPUTED_VALUE"""),"Fatal")</f>
        <v>Fatal</v>
      </c>
      <c r="D1453" s="8" t="str">
        <f ca="1">IFERROR(__xludf.DUMMYFUNCTION("""COMPUTED_VALUE"""),"Female")</f>
        <v>Female</v>
      </c>
      <c r="E1453" s="8" t="str">
        <f ca="1">IFERROR(__xludf.DUMMYFUNCTION("""COMPUTED_VALUE"""),"Teacher")</f>
        <v>Teacher</v>
      </c>
      <c r="F1453" s="8">
        <f ca="1">IFERROR(__xludf.DUMMYFUNCTION("""COMPUTED_VALUE"""),30)</f>
        <v>30</v>
      </c>
    </row>
    <row r="1454" spans="1:6" ht="12.75">
      <c r="A1454" s="4">
        <v>1453</v>
      </c>
      <c r="B1454" s="8" t="str">
        <f ca="1">IFERROR(__xludf.DUMMYFUNCTION("""COMPUTED_VALUE"""),"20100223CODEL")</f>
        <v>20100223CODEL</v>
      </c>
      <c r="C1454" s="8" t="str">
        <f ca="1">IFERROR(__xludf.DUMMYFUNCTION("""COMPUTED_VALUE"""),"Wounded")</f>
        <v>Wounded</v>
      </c>
      <c r="D1454" s="8" t="str">
        <f ca="1">IFERROR(__xludf.DUMMYFUNCTION("""COMPUTED_VALUE"""),"Female")</f>
        <v>Female</v>
      </c>
      <c r="E1454" s="8" t="str">
        <f ca="1">IFERROR(__xludf.DUMMYFUNCTION("""COMPUTED_VALUE"""),"Student")</f>
        <v>Student</v>
      </c>
      <c r="F1454" s="8" t="str">
        <f ca="1">IFERROR(__xludf.DUMMYFUNCTION("""COMPUTED_VALUE"""),"Teen")</f>
        <v>Teen</v>
      </c>
    </row>
    <row r="1455" spans="1:6" ht="12.75">
      <c r="A1455" s="4">
        <v>1454</v>
      </c>
      <c r="B1455" s="8" t="str">
        <f ca="1">IFERROR(__xludf.DUMMYFUNCTION("""COMPUTED_VALUE"""),"20100223CODEL")</f>
        <v>20100223CODEL</v>
      </c>
      <c r="C1455" s="8" t="str">
        <f ca="1">IFERROR(__xludf.DUMMYFUNCTION("""COMPUTED_VALUE"""),"Wounded")</f>
        <v>Wounded</v>
      </c>
      <c r="D1455" s="8" t="str">
        <f ca="1">IFERROR(__xludf.DUMMYFUNCTION("""COMPUTED_VALUE"""),"Male")</f>
        <v>Male</v>
      </c>
      <c r="E1455" s="8" t="str">
        <f ca="1">IFERROR(__xludf.DUMMYFUNCTION("""COMPUTED_VALUE"""),"Student")</f>
        <v>Student</v>
      </c>
      <c r="F1455" s="8" t="str">
        <f ca="1">IFERROR(__xludf.DUMMYFUNCTION("""COMPUTED_VALUE"""),"Teen")</f>
        <v>Teen</v>
      </c>
    </row>
    <row r="1456" spans="1:6" ht="12.75">
      <c r="A1456" s="4">
        <v>1455</v>
      </c>
      <c r="B1456" s="8" t="str">
        <f ca="1">IFERROR(__xludf.DUMMYFUNCTION("""COMPUTED_VALUE"""),"20100210TNINK")</f>
        <v>20100210TNINK</v>
      </c>
      <c r="C1456" s="8" t="str">
        <f ca="1">IFERROR(__xludf.DUMMYFUNCTION("""COMPUTED_VALUE"""),"Wounded")</f>
        <v>Wounded</v>
      </c>
      <c r="D1456" s="8" t="str">
        <f ca="1">IFERROR(__xludf.DUMMYFUNCTION("""COMPUTED_VALUE"""),"Male")</f>
        <v>Male</v>
      </c>
      <c r="E1456" s="8" t="str">
        <f ca="1">IFERROR(__xludf.DUMMYFUNCTION("""COMPUTED_VALUE"""),"Principal/Vice-Principal")</f>
        <v>Principal/Vice-Principal</v>
      </c>
      <c r="F1456" s="8" t="str">
        <f ca="1">IFERROR(__xludf.DUMMYFUNCTION("""COMPUTED_VALUE"""),"Adult")</f>
        <v>Adult</v>
      </c>
    </row>
    <row r="1457" spans="1:6" ht="12.75">
      <c r="A1457" s="4">
        <v>1456</v>
      </c>
      <c r="B1457" s="8" t="str">
        <f ca="1">IFERROR(__xludf.DUMMYFUNCTION("""COMPUTED_VALUE"""),"20100210TNINK")</f>
        <v>20100210TNINK</v>
      </c>
      <c r="C1457" s="8" t="str">
        <f ca="1">IFERROR(__xludf.DUMMYFUNCTION("""COMPUTED_VALUE"""),"Wounded")</f>
        <v>Wounded</v>
      </c>
      <c r="D1457" s="8" t="str">
        <f ca="1">IFERROR(__xludf.DUMMYFUNCTION("""COMPUTED_VALUE"""),"Female")</f>
        <v>Female</v>
      </c>
      <c r="E1457" s="8" t="str">
        <f ca="1">IFERROR(__xludf.DUMMYFUNCTION("""COMPUTED_VALUE"""),"Principal/Vice-Principal")</f>
        <v>Principal/Vice-Principal</v>
      </c>
      <c r="F1457" s="8" t="str">
        <f ca="1">IFERROR(__xludf.DUMMYFUNCTION("""COMPUTED_VALUE"""),"Adult")</f>
        <v>Adult</v>
      </c>
    </row>
    <row r="1458" spans="1:6" ht="12.75">
      <c r="A1458" s="4">
        <v>1457</v>
      </c>
      <c r="B1458" s="8" t="str">
        <f ca="1">IFERROR(__xludf.DUMMYFUNCTION("""COMPUTED_VALUE"""),"20100205ALDIM")</f>
        <v>20100205ALDIM</v>
      </c>
      <c r="C1458" s="8" t="str">
        <f ca="1">IFERROR(__xludf.DUMMYFUNCTION("""COMPUTED_VALUE"""),"Fatal")</f>
        <v>Fatal</v>
      </c>
      <c r="D1458" s="8" t="str">
        <f ca="1">IFERROR(__xludf.DUMMYFUNCTION("""COMPUTED_VALUE"""),"Male")</f>
        <v>Male</v>
      </c>
      <c r="E1458" s="8" t="str">
        <f ca="1">IFERROR(__xludf.DUMMYFUNCTION("""COMPUTED_VALUE"""),"Student")</f>
        <v>Student</v>
      </c>
      <c r="F1458" s="8">
        <f ca="1">IFERROR(__xludf.DUMMYFUNCTION("""COMPUTED_VALUE"""),14)</f>
        <v>14</v>
      </c>
    </row>
    <row r="1459" spans="1:6" ht="12.75">
      <c r="A1459" s="4">
        <v>1458</v>
      </c>
      <c r="B1459" s="8" t="str">
        <f ca="1">IFERROR(__xludf.DUMMYFUNCTION("""COMPUTED_VALUE"""),"20100120ALLIL")</f>
        <v>20100120ALLIL</v>
      </c>
      <c r="C1459" s="8" t="str">
        <f ca="1">IFERROR(__xludf.DUMMYFUNCTION("""COMPUTED_VALUE"""),"Wounded")</f>
        <v>Wounded</v>
      </c>
      <c r="D1459" s="8" t="str">
        <f ca="1">IFERROR(__xludf.DUMMYFUNCTION("""COMPUTED_VALUE"""),"Female")</f>
        <v>Female</v>
      </c>
      <c r="E1459" s="8" t="str">
        <f ca="1">IFERROR(__xludf.DUMMYFUNCTION("""COMPUTED_VALUE"""),"Teacher")</f>
        <v>Teacher</v>
      </c>
      <c r="F1459" s="8">
        <f ca="1">IFERROR(__xludf.DUMMYFUNCTION("""COMPUTED_VALUE"""),32)</f>
        <v>32</v>
      </c>
    </row>
    <row r="1460" spans="1:6" ht="12.75">
      <c r="A1460" s="4">
        <v>1459</v>
      </c>
      <c r="B1460" s="8" t="str">
        <f ca="1">IFERROR(__xludf.DUMMYFUNCTION("""COMPUTED_VALUE"""),"20091211LABOS")</f>
        <v>20091211LABOS</v>
      </c>
      <c r="C1460" s="8" t="str">
        <f ca="1">IFERROR(__xludf.DUMMYFUNCTION("""COMPUTED_VALUE"""),"Wounded")</f>
        <v>Wounded</v>
      </c>
      <c r="D1460" s="8" t="str">
        <f ca="1">IFERROR(__xludf.DUMMYFUNCTION("""COMPUTED_VALUE"""),"Female")</f>
        <v>Female</v>
      </c>
      <c r="E1460" s="8" t="str">
        <f ca="1">IFERROR(__xludf.DUMMYFUNCTION("""COMPUTED_VALUE"""),"Student")</f>
        <v>Student</v>
      </c>
      <c r="F1460" s="8">
        <f ca="1">IFERROR(__xludf.DUMMYFUNCTION("""COMPUTED_VALUE"""),18)</f>
        <v>18</v>
      </c>
    </row>
    <row r="1461" spans="1:6" ht="12.75">
      <c r="A1461" s="4">
        <v>1460</v>
      </c>
      <c r="B1461" s="8" t="str">
        <f ca="1">IFERROR(__xludf.DUMMYFUNCTION("""COMPUTED_VALUE"""),"20091106PAHAW")</f>
        <v>20091106PAHAW</v>
      </c>
      <c r="C1461" s="8" t="str">
        <f ca="1">IFERROR(__xludf.DUMMYFUNCTION("""COMPUTED_VALUE"""),"Wounded")</f>
        <v>Wounded</v>
      </c>
      <c r="D1461" s="8" t="str">
        <f ca="1">IFERROR(__xludf.DUMMYFUNCTION("""COMPUTED_VALUE"""),"Male")</f>
        <v>Male</v>
      </c>
      <c r="E1461" s="8" t="str">
        <f ca="1">IFERROR(__xludf.DUMMYFUNCTION("""COMPUTED_VALUE"""),"Student")</f>
        <v>Student</v>
      </c>
      <c r="F1461" s="8">
        <f ca="1">IFERROR(__xludf.DUMMYFUNCTION("""COMPUTED_VALUE"""),17)</f>
        <v>17</v>
      </c>
    </row>
    <row r="1462" spans="1:6" ht="12.75">
      <c r="A1462" s="4">
        <v>1461</v>
      </c>
      <c r="B1462" s="8" t="str">
        <f ca="1">IFERROR(__xludf.DUMMYFUNCTION("""COMPUTED_VALUE"""),"20091030CAWIL")</f>
        <v>20091030CAWIL</v>
      </c>
      <c r="C1462" s="8" t="str">
        <f ca="1">IFERROR(__xludf.DUMMYFUNCTION("""COMPUTED_VALUE"""),"Fatal")</f>
        <v>Fatal</v>
      </c>
      <c r="D1462" s="8" t="str">
        <f ca="1">IFERROR(__xludf.DUMMYFUNCTION("""COMPUTED_VALUE"""),"Female")</f>
        <v>Female</v>
      </c>
      <c r="E1462" s="8" t="str">
        <f ca="1">IFERROR(__xludf.DUMMYFUNCTION("""COMPUTED_VALUE"""),"Student")</f>
        <v>Student</v>
      </c>
      <c r="F1462" s="8">
        <f ca="1">IFERROR(__xludf.DUMMYFUNCTION("""COMPUTED_VALUE"""),16)</f>
        <v>16</v>
      </c>
    </row>
    <row r="1463" spans="1:6" ht="12.75">
      <c r="A1463" s="4">
        <v>1462</v>
      </c>
      <c r="B1463" s="8" t="str">
        <f ca="1">IFERROR(__xludf.DUMMYFUNCTION("""COMPUTED_VALUE"""),"20091030CAWIL")</f>
        <v>20091030CAWIL</v>
      </c>
      <c r="C1463" s="8" t="str">
        <f ca="1">IFERROR(__xludf.DUMMYFUNCTION("""COMPUTED_VALUE"""),"Wounded")</f>
        <v>Wounded</v>
      </c>
      <c r="D1463" s="8" t="str">
        <f ca="1">IFERROR(__xludf.DUMMYFUNCTION("""COMPUTED_VALUE"""),"Male")</f>
        <v>Male</v>
      </c>
      <c r="E1463" s="8" t="str">
        <f ca="1">IFERROR(__xludf.DUMMYFUNCTION("""COMPUTED_VALUE"""),"Student")</f>
        <v>Student</v>
      </c>
      <c r="F1463" s="8">
        <f ca="1">IFERROR(__xludf.DUMMYFUNCTION("""COMPUTED_VALUE"""),18)</f>
        <v>18</v>
      </c>
    </row>
    <row r="1464" spans="1:6" ht="12.75">
      <c r="A1464" s="4">
        <v>1463</v>
      </c>
      <c r="B1464" s="8" t="str">
        <f ca="1">IFERROR(__xludf.DUMMYFUNCTION("""COMPUTED_VALUE"""),"20091030CAWIL")</f>
        <v>20091030CAWIL</v>
      </c>
      <c r="C1464" s="8" t="str">
        <f ca="1">IFERROR(__xludf.DUMMYFUNCTION("""COMPUTED_VALUE"""),"Wounded")</f>
        <v>Wounded</v>
      </c>
      <c r="D1464" s="8" t="str">
        <f ca="1">IFERROR(__xludf.DUMMYFUNCTION("""COMPUTED_VALUE"""),"Male")</f>
        <v>Male</v>
      </c>
      <c r="E1464" s="8" t="str">
        <f ca="1">IFERROR(__xludf.DUMMYFUNCTION("""COMPUTED_VALUE"""),"Nonstudent Using Athletic Facilities/Attending Game")</f>
        <v>Nonstudent Using Athletic Facilities/Attending Game</v>
      </c>
      <c r="F1464" s="8">
        <f ca="1">IFERROR(__xludf.DUMMYFUNCTION("""COMPUTED_VALUE"""),20)</f>
        <v>20</v>
      </c>
    </row>
    <row r="1465" spans="1:6" ht="12.75">
      <c r="A1465" s="4">
        <v>1464</v>
      </c>
      <c r="B1465" s="8" t="str">
        <f ca="1">IFERROR(__xludf.DUMMYFUNCTION("""COMPUTED_VALUE"""),"20091016SCCAC")</f>
        <v>20091016SCCAC</v>
      </c>
      <c r="C1465" s="8" t="str">
        <f ca="1">IFERROR(__xludf.DUMMYFUNCTION("""COMPUTED_VALUE"""),"Fatal")</f>
        <v>Fatal</v>
      </c>
      <c r="D1465" s="8" t="str">
        <f ca="1">IFERROR(__xludf.DUMMYFUNCTION("""COMPUTED_VALUE"""),"Male")</f>
        <v>Male</v>
      </c>
      <c r="E1465" s="8" t="str">
        <f ca="1">IFERROR(__xludf.DUMMYFUNCTION("""COMPUTED_VALUE"""),"Student")</f>
        <v>Student</v>
      </c>
      <c r="F1465" s="8" t="str">
        <f ca="1">IFERROR(__xludf.DUMMYFUNCTION("""COMPUTED_VALUE"""),"Teen")</f>
        <v>Teen</v>
      </c>
    </row>
    <row r="1466" spans="1:6" ht="12.75">
      <c r="A1466" s="4">
        <v>1465</v>
      </c>
      <c r="B1466" s="8" t="str">
        <f ca="1">IFERROR(__xludf.DUMMYFUNCTION("""COMPUTED_VALUE"""),"20091008NYMAM")</f>
        <v>20091008NYMAM</v>
      </c>
      <c r="C1466" s="8" t="str">
        <f ca="1">IFERROR(__xludf.DUMMYFUNCTION("""COMPUTED_VALUE"""),"Wounded")</f>
        <v>Wounded</v>
      </c>
      <c r="D1466" s="8" t="str">
        <f ca="1">IFERROR(__xludf.DUMMYFUNCTION("""COMPUTED_VALUE"""),"Female")</f>
        <v>Female</v>
      </c>
      <c r="E1466" s="8" t="str">
        <f ca="1">IFERROR(__xludf.DUMMYFUNCTION("""COMPUTED_VALUE"""),"Student")</f>
        <v>Student</v>
      </c>
      <c r="F1466" s="8">
        <f ca="1">IFERROR(__xludf.DUMMYFUNCTION("""COMPUTED_VALUE"""),18)</f>
        <v>18</v>
      </c>
    </row>
    <row r="1467" spans="1:6" ht="12.75">
      <c r="A1467" s="4">
        <v>1466</v>
      </c>
      <c r="B1467" s="8" t="str">
        <f ca="1">IFERROR(__xludf.DUMMYFUNCTION("""COMPUTED_VALUE"""),"20090916VAVIG")</f>
        <v>20090916VAVIG</v>
      </c>
      <c r="C1467" s="8" t="str">
        <f ca="1">IFERROR(__xludf.DUMMYFUNCTION("""COMPUTED_VALUE"""),"None")</f>
        <v>None</v>
      </c>
      <c r="D1467" s="8" t="str">
        <f ca="1">IFERROR(__xludf.DUMMYFUNCTION("""COMPUTED_VALUE"""),"Unknown")</f>
        <v>Unknown</v>
      </c>
      <c r="E1467" s="8" t="str">
        <f ca="1">IFERROR(__xludf.DUMMYFUNCTION("""COMPUTED_VALUE"""),"Student")</f>
        <v>Student</v>
      </c>
      <c r="F1467" s="8"/>
    </row>
    <row r="1468" spans="1:6" ht="12.75">
      <c r="A1468" s="4">
        <v>1467</v>
      </c>
      <c r="B1468" s="8" t="str">
        <f ca="1">IFERROR(__xludf.DUMMYFUNCTION("""COMPUTED_VALUE"""),"20090916VAVIG")</f>
        <v>20090916VAVIG</v>
      </c>
      <c r="C1468" s="8" t="str">
        <f ca="1">IFERROR(__xludf.DUMMYFUNCTION("""COMPUTED_VALUE"""),"None")</f>
        <v>None</v>
      </c>
      <c r="D1468" s="8" t="str">
        <f ca="1">IFERROR(__xludf.DUMMYFUNCTION("""COMPUTED_VALUE"""),"Unknown")</f>
        <v>Unknown</v>
      </c>
      <c r="E1468" s="8" t="str">
        <f ca="1">IFERROR(__xludf.DUMMYFUNCTION("""COMPUTED_VALUE"""),"Student")</f>
        <v>Student</v>
      </c>
      <c r="F1468" s="8"/>
    </row>
    <row r="1469" spans="1:6" ht="12.75">
      <c r="A1469" s="4">
        <v>1468</v>
      </c>
      <c r="B1469" s="8" t="str">
        <f ca="1">IFERROR(__xludf.DUMMYFUNCTION("""COMPUTED_VALUE"""),"20090908CTSTS")</f>
        <v>20090908CTSTS</v>
      </c>
      <c r="C1469" s="8" t="str">
        <f ca="1">IFERROR(__xludf.DUMMYFUNCTION("""COMPUTED_VALUE"""),"None")</f>
        <v>None</v>
      </c>
      <c r="D1469" s="8"/>
      <c r="E1469" s="8"/>
      <c r="F1469" s="8"/>
    </row>
    <row r="1470" spans="1:6" ht="12.75">
      <c r="A1470" s="4">
        <v>1469</v>
      </c>
      <c r="B1470" s="8" t="str">
        <f ca="1">IFERROR(__xludf.DUMMYFUNCTION("""COMPUTED_VALUE"""),"20090827NCWEF")</f>
        <v>20090827NCWEF</v>
      </c>
      <c r="C1470" s="8" t="str">
        <f ca="1">IFERROR(__xludf.DUMMYFUNCTION("""COMPUTED_VALUE"""),"None")</f>
        <v>None</v>
      </c>
      <c r="D1470" s="8" t="str">
        <f ca="1">IFERROR(__xludf.DUMMYFUNCTION("""COMPUTED_VALUE"""),"Male")</f>
        <v>Male</v>
      </c>
      <c r="E1470" s="8" t="str">
        <f ca="1">IFERROR(__xludf.DUMMYFUNCTION("""COMPUTED_VALUE"""),"Nonstudent")</f>
        <v>Nonstudent</v>
      </c>
      <c r="F1470" s="8">
        <f ca="1">IFERROR(__xludf.DUMMYFUNCTION("""COMPUTED_VALUE"""),22)</f>
        <v>22</v>
      </c>
    </row>
    <row r="1471" spans="1:6" ht="12.75">
      <c r="A1471" s="4">
        <v>1470</v>
      </c>
      <c r="B1471" s="8" t="str">
        <f ca="1">IFERROR(__xludf.DUMMYFUNCTION("""COMPUTED_VALUE"""),"20090624IAAPP")</f>
        <v>20090624IAAPP</v>
      </c>
      <c r="C1471" s="8" t="str">
        <f ca="1">IFERROR(__xludf.DUMMYFUNCTION("""COMPUTED_VALUE"""),"Fatal")</f>
        <v>Fatal</v>
      </c>
      <c r="D1471" s="8" t="str">
        <f ca="1">IFERROR(__xludf.DUMMYFUNCTION("""COMPUTED_VALUE"""),"Male")</f>
        <v>Male</v>
      </c>
      <c r="E1471" s="8" t="str">
        <f ca="1">IFERROR(__xludf.DUMMYFUNCTION("""COMPUTED_VALUE"""),"Other Staff")</f>
        <v>Other Staff</v>
      </c>
      <c r="F1471" s="8">
        <f ca="1">IFERROR(__xludf.DUMMYFUNCTION("""COMPUTED_VALUE"""),58)</f>
        <v>58</v>
      </c>
    </row>
    <row r="1472" spans="1:6" ht="12.75">
      <c r="A1472" s="4">
        <v>1471</v>
      </c>
      <c r="B1472" s="8" t="str">
        <f ca="1">IFERROR(__xludf.DUMMYFUNCTION("""COMPUTED_VALUE"""),"20090615CAINS")</f>
        <v>20090615CAINS</v>
      </c>
      <c r="C1472" s="8" t="str">
        <f ca="1">IFERROR(__xludf.DUMMYFUNCTION("""COMPUTED_VALUE"""),"Wounded")</f>
        <v>Wounded</v>
      </c>
      <c r="D1472" s="8" t="str">
        <f ca="1">IFERROR(__xludf.DUMMYFUNCTION("""COMPUTED_VALUE"""),"Female")</f>
        <v>Female</v>
      </c>
      <c r="E1472" s="8" t="str">
        <f ca="1">IFERROR(__xludf.DUMMYFUNCTION("""COMPUTED_VALUE"""),"Student")</f>
        <v>Student</v>
      </c>
      <c r="F1472" s="8">
        <f ca="1">IFERROR(__xludf.DUMMYFUNCTION("""COMPUTED_VALUE"""),15)</f>
        <v>15</v>
      </c>
    </row>
    <row r="1473" spans="1:6" ht="12.75">
      <c r="A1473" s="4">
        <v>1472</v>
      </c>
      <c r="B1473" s="8" t="str">
        <f ca="1">IFERROR(__xludf.DUMMYFUNCTION("""COMPUTED_VALUE"""),"20090615CAINS")</f>
        <v>20090615CAINS</v>
      </c>
      <c r="C1473" s="8" t="str">
        <f ca="1">IFERROR(__xludf.DUMMYFUNCTION("""COMPUTED_VALUE"""),"Wounded")</f>
        <v>Wounded</v>
      </c>
      <c r="D1473" s="8" t="str">
        <f ca="1">IFERROR(__xludf.DUMMYFUNCTION("""COMPUTED_VALUE"""),"Male")</f>
        <v>Male</v>
      </c>
      <c r="E1473" s="8" t="str">
        <f ca="1">IFERROR(__xludf.DUMMYFUNCTION("""COMPUTED_VALUE"""),"Student")</f>
        <v>Student</v>
      </c>
      <c r="F1473" s="8" t="str">
        <f ca="1">IFERROR(__xludf.DUMMYFUNCTION("""COMPUTED_VALUE"""),"Teen")</f>
        <v>Teen</v>
      </c>
    </row>
    <row r="1474" spans="1:6" ht="12.75">
      <c r="A1474" s="4">
        <v>1473</v>
      </c>
      <c r="B1474" s="8" t="str">
        <f ca="1">IFERROR(__xludf.DUMMYFUNCTION("""COMPUTED_VALUE"""),"20090615CAINS")</f>
        <v>20090615CAINS</v>
      </c>
      <c r="C1474" s="8" t="str">
        <f ca="1">IFERROR(__xludf.DUMMYFUNCTION("""COMPUTED_VALUE"""),"Wounded")</f>
        <v>Wounded</v>
      </c>
      <c r="D1474" s="8" t="str">
        <f ca="1">IFERROR(__xludf.DUMMYFUNCTION("""COMPUTED_VALUE"""),"Male")</f>
        <v>Male</v>
      </c>
      <c r="E1474" s="8" t="str">
        <f ca="1">IFERROR(__xludf.DUMMYFUNCTION("""COMPUTED_VALUE"""),"Student")</f>
        <v>Student</v>
      </c>
      <c r="F1474" s="8" t="str">
        <f ca="1">IFERROR(__xludf.DUMMYFUNCTION("""COMPUTED_VALUE"""),"Teen")</f>
        <v>Teen</v>
      </c>
    </row>
    <row r="1475" spans="1:6" ht="12.75">
      <c r="A1475" s="4">
        <v>1474</v>
      </c>
      <c r="B1475" s="8" t="str">
        <f ca="1">IFERROR(__xludf.DUMMYFUNCTION("""COMPUTED_VALUE"""),"20090518LALAL")</f>
        <v>20090518LALAL</v>
      </c>
      <c r="C1475" s="8" t="str">
        <f ca="1">IFERROR(__xludf.DUMMYFUNCTION("""COMPUTED_VALUE"""),"None")</f>
        <v>None</v>
      </c>
      <c r="D1475" s="8" t="str">
        <f ca="1">IFERROR(__xludf.DUMMYFUNCTION("""COMPUTED_VALUE"""),"Male")</f>
        <v>Male</v>
      </c>
      <c r="E1475" s="8" t="str">
        <f ca="1">IFERROR(__xludf.DUMMYFUNCTION("""COMPUTED_VALUE"""),"Student")</f>
        <v>Student</v>
      </c>
      <c r="F1475" s="8">
        <f ca="1">IFERROR(__xludf.DUMMYFUNCTION("""COMPUTED_VALUE"""),15)</f>
        <v>15</v>
      </c>
    </row>
    <row r="1476" spans="1:6" ht="12.75">
      <c r="A1476" s="4">
        <v>1475</v>
      </c>
      <c r="B1476" s="8" t="str">
        <f ca="1">IFERROR(__xludf.DUMMYFUNCTION("""COMPUTED_VALUE"""),"20090505NYCAC")</f>
        <v>20090505NYCAC</v>
      </c>
      <c r="C1476" s="8" t="str">
        <f ca="1">IFERROR(__xludf.DUMMYFUNCTION("""COMPUTED_VALUE"""),"None")</f>
        <v>None</v>
      </c>
      <c r="D1476" s="8" t="str">
        <f ca="1">IFERROR(__xludf.DUMMYFUNCTION("""COMPUTED_VALUE"""),"Male")</f>
        <v>Male</v>
      </c>
      <c r="E1476" s="8" t="str">
        <f ca="1">IFERROR(__xludf.DUMMYFUNCTION("""COMPUTED_VALUE"""),"Student")</f>
        <v>Student</v>
      </c>
      <c r="F1476" s="8">
        <f ca="1">IFERROR(__xludf.DUMMYFUNCTION("""COMPUTED_VALUE"""),17)</f>
        <v>17</v>
      </c>
    </row>
    <row r="1477" spans="1:6" ht="12.75">
      <c r="A1477" s="4">
        <v>1476</v>
      </c>
      <c r="B1477" s="8" t="str">
        <f ca="1">IFERROR(__xludf.DUMMYFUNCTION("""COMPUTED_VALUE"""),"20090501WISHS")</f>
        <v>20090501WISHS</v>
      </c>
      <c r="C1477" s="8" t="str">
        <f ca="1">IFERROR(__xludf.DUMMYFUNCTION("""COMPUTED_VALUE"""),"None")</f>
        <v>None</v>
      </c>
      <c r="D1477" s="8" t="str">
        <f ca="1">IFERROR(__xludf.DUMMYFUNCTION("""COMPUTED_VALUE"""),"Male")</f>
        <v>Male</v>
      </c>
      <c r="E1477" s="8" t="str">
        <f ca="1">IFERROR(__xludf.DUMMYFUNCTION("""COMPUTED_VALUE"""),"Student")</f>
        <v>Student</v>
      </c>
      <c r="F1477" s="8">
        <f ca="1">IFERROR(__xludf.DUMMYFUNCTION("""COMPUTED_VALUE"""),17)</f>
        <v>17</v>
      </c>
    </row>
    <row r="1478" spans="1:6" ht="12.75">
      <c r="A1478" s="4">
        <v>1477</v>
      </c>
      <c r="B1478" s="8" t="str">
        <f ca="1">IFERROR(__xludf.DUMMYFUNCTION("""COMPUTED_VALUE"""),"20090413CALOL")</f>
        <v>20090413CALOL</v>
      </c>
      <c r="C1478" s="8" t="str">
        <f ca="1">IFERROR(__xludf.DUMMYFUNCTION("""COMPUTED_VALUE"""),"Wounded")</f>
        <v>Wounded</v>
      </c>
      <c r="D1478" s="8" t="str">
        <f ca="1">IFERROR(__xludf.DUMMYFUNCTION("""COMPUTED_VALUE"""),"Male")</f>
        <v>Male</v>
      </c>
      <c r="E1478" s="8" t="str">
        <f ca="1">IFERROR(__xludf.DUMMYFUNCTION("""COMPUTED_VALUE"""),"Student")</f>
        <v>Student</v>
      </c>
      <c r="F1478" s="8">
        <f ca="1">IFERROR(__xludf.DUMMYFUNCTION("""COMPUTED_VALUE"""),16)</f>
        <v>16</v>
      </c>
    </row>
    <row r="1479" spans="1:6" ht="12.75">
      <c r="A1479" s="4">
        <v>1478</v>
      </c>
      <c r="B1479" s="8" t="str">
        <f ca="1">IFERROR(__xludf.DUMMYFUNCTION("""COMPUTED_VALUE"""),"20090311TXCYH")</f>
        <v>20090311TXCYH</v>
      </c>
      <c r="C1479" s="8" t="str">
        <f ca="1">IFERROR(__xludf.DUMMYFUNCTION("""COMPUTED_VALUE"""),"None")</f>
        <v>None</v>
      </c>
      <c r="D1479" s="8"/>
      <c r="E1479" s="8"/>
      <c r="F1479" s="8"/>
    </row>
    <row r="1480" spans="1:6" ht="12.75">
      <c r="A1480" s="4">
        <v>1479</v>
      </c>
      <c r="B1480" s="8" t="str">
        <f ca="1">IFERROR(__xludf.DUMMYFUNCTION("""COMPUTED_VALUE"""),"20090310FLRIJ")</f>
        <v>20090310FLRIJ</v>
      </c>
      <c r="C1480" s="8" t="str">
        <f ca="1">IFERROR(__xludf.DUMMYFUNCTION("""COMPUTED_VALUE"""),"None")</f>
        <v>None</v>
      </c>
      <c r="D1480" s="8"/>
      <c r="E1480" s="8"/>
      <c r="F1480" s="8"/>
    </row>
    <row r="1481" spans="1:6" ht="12.75">
      <c r="A1481" s="4">
        <v>1480</v>
      </c>
      <c r="B1481" s="8" t="str">
        <f ca="1">IFERROR(__xludf.DUMMYFUNCTION("""COMPUTED_VALUE"""),"20090306NCWEF")</f>
        <v>20090306NCWEF</v>
      </c>
      <c r="C1481" s="8" t="str">
        <f ca="1">IFERROR(__xludf.DUMMYFUNCTION("""COMPUTED_VALUE"""),"Wounded")</f>
        <v>Wounded</v>
      </c>
      <c r="D1481" s="8" t="str">
        <f ca="1">IFERROR(__xludf.DUMMYFUNCTION("""COMPUTED_VALUE"""),"Male")</f>
        <v>Male</v>
      </c>
      <c r="E1481" s="8" t="str">
        <f ca="1">IFERROR(__xludf.DUMMYFUNCTION("""COMPUTED_VALUE"""),"Student")</f>
        <v>Student</v>
      </c>
      <c r="F1481" s="8">
        <f ca="1">IFERROR(__xludf.DUMMYFUNCTION("""COMPUTED_VALUE"""),15)</f>
        <v>15</v>
      </c>
    </row>
    <row r="1482" spans="1:6" ht="12.75">
      <c r="A1482" s="4">
        <v>1481</v>
      </c>
      <c r="B1482" s="8" t="str">
        <f ca="1">IFERROR(__xludf.DUMMYFUNCTION("""COMPUTED_VALUE"""),"20090302SDROS")</f>
        <v>20090302SDROS</v>
      </c>
      <c r="C1482" s="8" t="str">
        <f ca="1">IFERROR(__xludf.DUMMYFUNCTION("""COMPUTED_VALUE"""),"None")</f>
        <v>None</v>
      </c>
      <c r="D1482" s="8" t="str">
        <f ca="1">IFERROR(__xludf.DUMMYFUNCTION("""COMPUTED_VALUE"""),"Male")</f>
        <v>Male</v>
      </c>
      <c r="E1482" s="8" t="str">
        <f ca="1">IFERROR(__xludf.DUMMYFUNCTION("""COMPUTED_VALUE"""),"Student")</f>
        <v>Student</v>
      </c>
      <c r="F1482" s="8">
        <f ca="1">IFERROR(__xludf.DUMMYFUNCTION("""COMPUTED_VALUE"""),8)</f>
        <v>8</v>
      </c>
    </row>
    <row r="1483" spans="1:6" ht="12.75">
      <c r="A1483" s="4">
        <v>1482</v>
      </c>
      <c r="B1483" s="8" t="str">
        <f ca="1">IFERROR(__xludf.DUMMYFUNCTION("""COMPUTED_VALUE"""),"20090223CTBRN")</f>
        <v>20090223CTBRN</v>
      </c>
      <c r="C1483" s="8" t="str">
        <f ca="1">IFERROR(__xludf.DUMMYFUNCTION("""COMPUTED_VALUE"""),"None")</f>
        <v>None</v>
      </c>
      <c r="D1483" s="8" t="str">
        <f ca="1">IFERROR(__xludf.DUMMYFUNCTION("""COMPUTED_VALUE"""),"Male")</f>
        <v>Male</v>
      </c>
      <c r="E1483" s="8" t="str">
        <f ca="1">IFERROR(__xludf.DUMMYFUNCTION("""COMPUTED_VALUE"""),"No Relation")</f>
        <v>No Relation</v>
      </c>
      <c r="F1483" s="8">
        <f ca="1">IFERROR(__xludf.DUMMYFUNCTION("""COMPUTED_VALUE"""),19)</f>
        <v>19</v>
      </c>
    </row>
    <row r="1484" spans="1:6" ht="12.75">
      <c r="A1484" s="4">
        <v>1483</v>
      </c>
      <c r="B1484" s="8" t="str">
        <f ca="1">IFERROR(__xludf.DUMMYFUNCTION("""COMPUTED_VALUE"""),"20090220CAJOH")</f>
        <v>20090220CAJOH</v>
      </c>
      <c r="C1484" s="8" t="str">
        <f ca="1">IFERROR(__xludf.DUMMYFUNCTION("""COMPUTED_VALUE"""),"None")</f>
        <v>None</v>
      </c>
      <c r="D1484" s="8" t="str">
        <f ca="1">IFERROR(__xludf.DUMMYFUNCTION("""COMPUTED_VALUE"""),"Male")</f>
        <v>Male</v>
      </c>
      <c r="E1484" s="8" t="str">
        <f ca="1">IFERROR(__xludf.DUMMYFUNCTION("""COMPUTED_VALUE"""),"Nonstudent")</f>
        <v>Nonstudent</v>
      </c>
      <c r="F1484" s="8">
        <f ca="1">IFERROR(__xludf.DUMMYFUNCTION("""COMPUTED_VALUE"""),29)</f>
        <v>29</v>
      </c>
    </row>
    <row r="1485" spans="1:6" ht="12.75">
      <c r="A1485" s="4">
        <v>1484</v>
      </c>
      <c r="B1485" s="8" t="str">
        <f ca="1">IFERROR(__xludf.DUMMYFUNCTION("""COMPUTED_VALUE"""),"20090220CAJOH")</f>
        <v>20090220CAJOH</v>
      </c>
      <c r="C1485" s="8" t="str">
        <f ca="1">IFERROR(__xludf.DUMMYFUNCTION("""COMPUTED_VALUE"""),"None")</f>
        <v>None</v>
      </c>
      <c r="D1485" s="8" t="str">
        <f ca="1">IFERROR(__xludf.DUMMYFUNCTION("""COMPUTED_VALUE"""),"Male")</f>
        <v>Male</v>
      </c>
      <c r="E1485" s="8" t="str">
        <f ca="1">IFERROR(__xludf.DUMMYFUNCTION("""COMPUTED_VALUE"""),"Nonstudent")</f>
        <v>Nonstudent</v>
      </c>
      <c r="F1485" s="8">
        <f ca="1">IFERROR(__xludf.DUMMYFUNCTION("""COMPUTED_VALUE"""),5)</f>
        <v>5</v>
      </c>
    </row>
    <row r="1486" spans="1:6" ht="12.75">
      <c r="A1486" s="4">
        <v>1485</v>
      </c>
      <c r="B1486" s="8" t="str">
        <f ca="1">IFERROR(__xludf.DUMMYFUNCTION("""COMPUTED_VALUE"""),"20090217MICED")</f>
        <v>20090217MICED</v>
      </c>
      <c r="C1486" s="8" t="str">
        <f ca="1">IFERROR(__xludf.DUMMYFUNCTION("""COMPUTED_VALUE"""),"Wounded")</f>
        <v>Wounded</v>
      </c>
      <c r="D1486" s="8" t="str">
        <f ca="1">IFERROR(__xludf.DUMMYFUNCTION("""COMPUTED_VALUE"""),"Male")</f>
        <v>Male</v>
      </c>
      <c r="E1486" s="8" t="str">
        <f ca="1">IFERROR(__xludf.DUMMYFUNCTION("""COMPUTED_VALUE"""),"Relative")</f>
        <v>Relative</v>
      </c>
      <c r="F1486" s="8">
        <f ca="1">IFERROR(__xludf.DUMMYFUNCTION("""COMPUTED_VALUE"""),19)</f>
        <v>19</v>
      </c>
    </row>
    <row r="1487" spans="1:6" ht="12.75">
      <c r="A1487" s="4">
        <v>1486</v>
      </c>
      <c r="B1487" s="8" t="str">
        <f ca="1">IFERROR(__xludf.DUMMYFUNCTION("""COMPUTED_VALUE"""),"20090211NCSCZ")</f>
        <v>20090211NCSCZ</v>
      </c>
      <c r="C1487" s="8" t="str">
        <f ca="1">IFERROR(__xludf.DUMMYFUNCTION("""COMPUTED_VALUE"""),"Wounded")</f>
        <v>Wounded</v>
      </c>
      <c r="D1487" s="8" t="str">
        <f ca="1">IFERROR(__xludf.DUMMYFUNCTION("""COMPUTED_VALUE"""),"Male")</f>
        <v>Male</v>
      </c>
      <c r="E1487" s="8" t="str">
        <f ca="1">IFERROR(__xludf.DUMMYFUNCTION("""COMPUTED_VALUE"""),"Student")</f>
        <v>Student</v>
      </c>
      <c r="F1487" s="8">
        <f ca="1">IFERROR(__xludf.DUMMYFUNCTION("""COMPUTED_VALUE"""),14)</f>
        <v>14</v>
      </c>
    </row>
    <row r="1488" spans="1:6" ht="12.75">
      <c r="A1488" s="4">
        <v>1487</v>
      </c>
      <c r="B1488" s="8" t="str">
        <f ca="1">IFERROR(__xludf.DUMMYFUNCTION("""COMPUTED_VALUE"""),"20090210CABAE")</f>
        <v>20090210CABAE</v>
      </c>
      <c r="C1488" s="8" t="str">
        <f ca="1">IFERROR(__xludf.DUMMYFUNCTION("""COMPUTED_VALUE"""),"None")</f>
        <v>None</v>
      </c>
      <c r="D1488" s="8"/>
      <c r="E1488" s="8"/>
      <c r="F1488" s="8"/>
    </row>
    <row r="1489" spans="1:6" ht="12.75">
      <c r="A1489" s="4">
        <v>1488</v>
      </c>
      <c r="B1489" s="8" t="str">
        <f ca="1">IFERROR(__xludf.DUMMYFUNCTION("""COMPUTED_VALUE"""),"20090127NCCLC")</f>
        <v>20090127NCCLC</v>
      </c>
      <c r="C1489" s="8" t="str">
        <f ca="1">IFERROR(__xludf.DUMMYFUNCTION("""COMPUTED_VALUE"""),"None")</f>
        <v>None</v>
      </c>
      <c r="D1489" s="8"/>
      <c r="E1489" s="8"/>
      <c r="F1489" s="8"/>
    </row>
    <row r="1490" spans="1:6" ht="12.75">
      <c r="A1490" s="4">
        <v>1489</v>
      </c>
      <c r="B1490" s="8" t="str">
        <f ca="1">IFERROR(__xludf.DUMMYFUNCTION("""COMPUTED_VALUE"""),"20090123ILCAC")</f>
        <v>20090123ILCAC</v>
      </c>
      <c r="C1490" s="8" t="str">
        <f ca="1">IFERROR(__xludf.DUMMYFUNCTION("""COMPUTED_VALUE"""),"Fatal")</f>
        <v>Fatal</v>
      </c>
      <c r="D1490" s="8" t="str">
        <f ca="1">IFERROR(__xludf.DUMMYFUNCTION("""COMPUTED_VALUE"""),"Male")</f>
        <v>Male</v>
      </c>
      <c r="E1490" s="8" t="str">
        <f ca="1">IFERROR(__xludf.DUMMYFUNCTION("""COMPUTED_VALUE"""),"Former Student")</f>
        <v>Former Student</v>
      </c>
      <c r="F1490" s="8">
        <f ca="1">IFERROR(__xludf.DUMMYFUNCTION("""COMPUTED_VALUE"""),17)</f>
        <v>17</v>
      </c>
    </row>
    <row r="1491" spans="1:6" ht="12.75">
      <c r="A1491" s="4">
        <v>1490</v>
      </c>
      <c r="B1491" s="8" t="str">
        <f ca="1">IFERROR(__xludf.DUMMYFUNCTION("""COMPUTED_VALUE"""),"20090120PAEAE")</f>
        <v>20090120PAEAE</v>
      </c>
      <c r="C1491" s="8" t="str">
        <f ca="1">IFERROR(__xludf.DUMMYFUNCTION("""COMPUTED_VALUE"""),"Wounded")</f>
        <v>Wounded</v>
      </c>
      <c r="D1491" s="8" t="str">
        <f ca="1">IFERROR(__xludf.DUMMYFUNCTION("""COMPUTED_VALUE"""),"Female")</f>
        <v>Female</v>
      </c>
      <c r="E1491" s="8" t="str">
        <f ca="1">IFERROR(__xludf.DUMMYFUNCTION("""COMPUTED_VALUE"""),"Nonstudent")</f>
        <v>Nonstudent</v>
      </c>
      <c r="F1491" s="8">
        <f ca="1">IFERROR(__xludf.DUMMYFUNCTION("""COMPUTED_VALUE"""),21)</f>
        <v>21</v>
      </c>
    </row>
    <row r="1492" spans="1:6" ht="12.75">
      <c r="A1492" s="4">
        <v>1491</v>
      </c>
      <c r="B1492" s="8" t="str">
        <f ca="1">IFERROR(__xludf.DUMMYFUNCTION("""COMPUTED_VALUE"""),"20090120MIBEM")</f>
        <v>20090120MIBEM</v>
      </c>
      <c r="C1492" s="8" t="str">
        <f ca="1">IFERROR(__xludf.DUMMYFUNCTION("""COMPUTED_VALUE"""),"Wounded")</f>
        <v>Wounded</v>
      </c>
      <c r="D1492" s="8" t="str">
        <f ca="1">IFERROR(__xludf.DUMMYFUNCTION("""COMPUTED_VALUE"""),"Male")</f>
        <v>Male</v>
      </c>
      <c r="E1492" s="8" t="str">
        <f ca="1">IFERROR(__xludf.DUMMYFUNCTION("""COMPUTED_VALUE"""),"Nonstudent Using Athletic Facilities/Attending Game")</f>
        <v>Nonstudent Using Athletic Facilities/Attending Game</v>
      </c>
      <c r="F1492" s="8">
        <f ca="1">IFERROR(__xludf.DUMMYFUNCTION("""COMPUTED_VALUE"""),19)</f>
        <v>19</v>
      </c>
    </row>
    <row r="1493" spans="1:6" ht="12.75">
      <c r="A1493" s="4">
        <v>1492</v>
      </c>
      <c r="B1493" s="8" t="str">
        <f ca="1">IFERROR(__xludf.DUMMYFUNCTION("""COMPUTED_VALUE"""),"20090120MIBEM")</f>
        <v>20090120MIBEM</v>
      </c>
      <c r="C1493" s="8" t="str">
        <f ca="1">IFERROR(__xludf.DUMMYFUNCTION("""COMPUTED_VALUE"""),"Wounded")</f>
        <v>Wounded</v>
      </c>
      <c r="D1493" s="8" t="str">
        <f ca="1">IFERROR(__xludf.DUMMYFUNCTION("""COMPUTED_VALUE"""),"Male")</f>
        <v>Male</v>
      </c>
      <c r="E1493" s="8" t="str">
        <f ca="1">IFERROR(__xludf.DUMMYFUNCTION("""COMPUTED_VALUE"""),"Nonstudent Using Athletic Facilities/Attending Game")</f>
        <v>Nonstudent Using Athletic Facilities/Attending Game</v>
      </c>
      <c r="F1493" s="8">
        <f ca="1">IFERROR(__xludf.DUMMYFUNCTION("""COMPUTED_VALUE"""),19)</f>
        <v>19</v>
      </c>
    </row>
    <row r="1494" spans="1:6" ht="12.75">
      <c r="A1494" s="4">
        <v>1493</v>
      </c>
      <c r="B1494" s="8" t="str">
        <f ca="1">IFERROR(__xludf.DUMMYFUNCTION("""COMPUTED_VALUE"""),"20090120MIBEM")</f>
        <v>20090120MIBEM</v>
      </c>
      <c r="C1494" s="8" t="str">
        <f ca="1">IFERROR(__xludf.DUMMYFUNCTION("""COMPUTED_VALUE"""),"Wounded")</f>
        <v>Wounded</v>
      </c>
      <c r="D1494" s="8" t="str">
        <f ca="1">IFERROR(__xludf.DUMMYFUNCTION("""COMPUTED_VALUE"""),"Male")</f>
        <v>Male</v>
      </c>
      <c r="E1494" s="8" t="str">
        <f ca="1">IFERROR(__xludf.DUMMYFUNCTION("""COMPUTED_VALUE"""),"Nonstudent Using Athletic Facilities/Attending Game")</f>
        <v>Nonstudent Using Athletic Facilities/Attending Game</v>
      </c>
      <c r="F1494" s="8">
        <f ca="1">IFERROR(__xludf.DUMMYFUNCTION("""COMPUTED_VALUE"""),16)</f>
        <v>16</v>
      </c>
    </row>
    <row r="1495" spans="1:6" ht="12.75">
      <c r="A1495" s="4">
        <v>1494</v>
      </c>
      <c r="B1495" s="8" t="str">
        <f ca="1">IFERROR(__xludf.DUMMYFUNCTION("""COMPUTED_VALUE"""),"20090120MIBEM")</f>
        <v>20090120MIBEM</v>
      </c>
      <c r="C1495" s="8" t="str">
        <f ca="1">IFERROR(__xludf.DUMMYFUNCTION("""COMPUTED_VALUE"""),"Wounded")</f>
        <v>Wounded</v>
      </c>
      <c r="D1495" s="8" t="str">
        <f ca="1">IFERROR(__xludf.DUMMYFUNCTION("""COMPUTED_VALUE"""),"Male")</f>
        <v>Male</v>
      </c>
      <c r="E1495" s="8" t="str">
        <f ca="1">IFERROR(__xludf.DUMMYFUNCTION("""COMPUTED_VALUE"""),"Nonstudent Using Athletic Facilities/Attending Game")</f>
        <v>Nonstudent Using Athletic Facilities/Attending Game</v>
      </c>
      <c r="F1495" s="8">
        <f ca="1">IFERROR(__xludf.DUMMYFUNCTION("""COMPUTED_VALUE"""),20)</f>
        <v>20</v>
      </c>
    </row>
    <row r="1496" spans="1:6" ht="12.75">
      <c r="A1496" s="4">
        <v>1495</v>
      </c>
      <c r="B1496" s="8" t="str">
        <f ca="1">IFERROR(__xludf.DUMMYFUNCTION("""COMPUTED_VALUE"""),"20090120ILCOC")</f>
        <v>20090120ILCOC</v>
      </c>
      <c r="C1496" s="8" t="str">
        <f ca="1">IFERROR(__xludf.DUMMYFUNCTION("""COMPUTED_VALUE"""),"Wounded")</f>
        <v>Wounded</v>
      </c>
      <c r="D1496" s="8" t="str">
        <f ca="1">IFERROR(__xludf.DUMMYFUNCTION("""COMPUTED_VALUE"""),"Male")</f>
        <v>Male</v>
      </c>
      <c r="E1496" s="8" t="str">
        <f ca="1">IFERROR(__xludf.DUMMYFUNCTION("""COMPUTED_VALUE"""),"Nonstudent Using Athletic Facilities/Attending Game")</f>
        <v>Nonstudent Using Athletic Facilities/Attending Game</v>
      </c>
      <c r="F1496" s="8">
        <f ca="1">IFERROR(__xludf.DUMMYFUNCTION("""COMPUTED_VALUE"""),16)</f>
        <v>16</v>
      </c>
    </row>
    <row r="1497" spans="1:6" ht="12.75">
      <c r="A1497" s="4">
        <v>1496</v>
      </c>
      <c r="B1497" s="8" t="str">
        <f ca="1">IFERROR(__xludf.DUMMYFUNCTION("""COMPUTED_VALUE"""),"20090114ILPEC")</f>
        <v>20090114ILPEC</v>
      </c>
      <c r="C1497" s="8" t="str">
        <f ca="1">IFERROR(__xludf.DUMMYFUNCTION("""COMPUTED_VALUE"""),"Wounded")</f>
        <v>Wounded</v>
      </c>
      <c r="D1497" s="8" t="str">
        <f ca="1">IFERROR(__xludf.DUMMYFUNCTION("""COMPUTED_VALUE"""),"Male")</f>
        <v>Male</v>
      </c>
      <c r="E1497" s="8" t="str">
        <f ca="1">IFERROR(__xludf.DUMMYFUNCTION("""COMPUTED_VALUE"""),"Student")</f>
        <v>Student</v>
      </c>
      <c r="F1497" s="8" t="str">
        <f ca="1">IFERROR(__xludf.DUMMYFUNCTION("""COMPUTED_VALUE"""),"Teen")</f>
        <v>Teen</v>
      </c>
    </row>
    <row r="1498" spans="1:6" ht="12.75">
      <c r="A1498" s="4">
        <v>1497</v>
      </c>
      <c r="B1498" s="8" t="str">
        <f ca="1">IFERROR(__xludf.DUMMYFUNCTION("""COMPUTED_VALUE"""),"20090114ILPEC")</f>
        <v>20090114ILPEC</v>
      </c>
      <c r="C1498" s="8" t="str">
        <f ca="1">IFERROR(__xludf.DUMMYFUNCTION("""COMPUTED_VALUE"""),"Wounded")</f>
        <v>Wounded</v>
      </c>
      <c r="D1498" s="8" t="str">
        <f ca="1">IFERROR(__xludf.DUMMYFUNCTION("""COMPUTED_VALUE"""),"Male")</f>
        <v>Male</v>
      </c>
      <c r="E1498" s="8" t="str">
        <f ca="1">IFERROR(__xludf.DUMMYFUNCTION("""COMPUTED_VALUE"""),"Student")</f>
        <v>Student</v>
      </c>
      <c r="F1498" s="8" t="str">
        <f ca="1">IFERROR(__xludf.DUMMYFUNCTION("""COMPUTED_VALUE"""),"Teen")</f>
        <v>Teen</v>
      </c>
    </row>
    <row r="1499" spans="1:6" ht="12.75">
      <c r="A1499" s="4">
        <v>1498</v>
      </c>
      <c r="B1499" s="8" t="str">
        <f ca="1">IFERROR(__xludf.DUMMYFUNCTION("""COMPUTED_VALUE"""),"20090114ILPEC")</f>
        <v>20090114ILPEC</v>
      </c>
      <c r="C1499" s="8" t="str">
        <f ca="1">IFERROR(__xludf.DUMMYFUNCTION("""COMPUTED_VALUE"""),"Wounded")</f>
        <v>Wounded</v>
      </c>
      <c r="D1499" s="8" t="str">
        <f ca="1">IFERROR(__xludf.DUMMYFUNCTION("""COMPUTED_VALUE"""),"Male")</f>
        <v>Male</v>
      </c>
      <c r="E1499" s="8" t="str">
        <f ca="1">IFERROR(__xludf.DUMMYFUNCTION("""COMPUTED_VALUE"""),"Student")</f>
        <v>Student</v>
      </c>
      <c r="F1499" s="8" t="str">
        <f ca="1">IFERROR(__xludf.DUMMYFUNCTION("""COMPUTED_VALUE"""),"Teen")</f>
        <v>Teen</v>
      </c>
    </row>
    <row r="1500" spans="1:6" ht="12.75">
      <c r="A1500" s="4">
        <v>1499</v>
      </c>
      <c r="B1500" s="8" t="str">
        <f ca="1">IFERROR(__xludf.DUMMYFUNCTION("""COMPUTED_VALUE"""),"20090109ILDUC")</f>
        <v>20090109ILDUC</v>
      </c>
      <c r="C1500" s="8" t="str">
        <f ca="1">IFERROR(__xludf.DUMMYFUNCTION("""COMPUTED_VALUE"""),"Wounded")</f>
        <v>Wounded</v>
      </c>
      <c r="D1500" s="8" t="str">
        <f ca="1">IFERROR(__xludf.DUMMYFUNCTION("""COMPUTED_VALUE"""),"Male")</f>
        <v>Male</v>
      </c>
      <c r="E1500" s="8" t="str">
        <f ca="1">IFERROR(__xludf.DUMMYFUNCTION("""COMPUTED_VALUE"""),"Gang Member")</f>
        <v>Gang Member</v>
      </c>
      <c r="F1500" s="8" t="str">
        <f ca="1">IFERROR(__xludf.DUMMYFUNCTION("""COMPUTED_VALUE"""),"Teen")</f>
        <v>Teen</v>
      </c>
    </row>
    <row r="1501" spans="1:6" ht="12.75">
      <c r="A1501" s="4">
        <v>1500</v>
      </c>
      <c r="B1501" s="8" t="str">
        <f ca="1">IFERROR(__xludf.DUMMYFUNCTION("""COMPUTED_VALUE"""),"20090109ILDUC")</f>
        <v>20090109ILDUC</v>
      </c>
      <c r="C1501" s="8" t="str">
        <f ca="1">IFERROR(__xludf.DUMMYFUNCTION("""COMPUTED_VALUE"""),"Wounded")</f>
        <v>Wounded</v>
      </c>
      <c r="D1501" s="8" t="str">
        <f ca="1">IFERROR(__xludf.DUMMYFUNCTION("""COMPUTED_VALUE"""),"Male")</f>
        <v>Male</v>
      </c>
      <c r="E1501" s="8" t="str">
        <f ca="1">IFERROR(__xludf.DUMMYFUNCTION("""COMPUTED_VALUE"""),"Gang Member")</f>
        <v>Gang Member</v>
      </c>
      <c r="F1501" s="8" t="str">
        <f ca="1">IFERROR(__xludf.DUMMYFUNCTION("""COMPUTED_VALUE"""),"Teen")</f>
        <v>Teen</v>
      </c>
    </row>
    <row r="1502" spans="1:6" ht="12.75">
      <c r="A1502" s="4">
        <v>1501</v>
      </c>
      <c r="B1502" s="8" t="str">
        <f ca="1">IFERROR(__xludf.DUMMYFUNCTION("""COMPUTED_VALUE"""),"20090109ILDUC")</f>
        <v>20090109ILDUC</v>
      </c>
      <c r="C1502" s="8" t="str">
        <f ca="1">IFERROR(__xludf.DUMMYFUNCTION("""COMPUTED_VALUE"""),"Wounded")</f>
        <v>Wounded</v>
      </c>
      <c r="D1502" s="8" t="str">
        <f ca="1">IFERROR(__xludf.DUMMYFUNCTION("""COMPUTED_VALUE"""),"Male")</f>
        <v>Male</v>
      </c>
      <c r="E1502" s="8" t="str">
        <f ca="1">IFERROR(__xludf.DUMMYFUNCTION("""COMPUTED_VALUE"""),"Gang Member")</f>
        <v>Gang Member</v>
      </c>
      <c r="F1502" s="8" t="str">
        <f ca="1">IFERROR(__xludf.DUMMYFUNCTION("""COMPUTED_VALUE"""),"Teen")</f>
        <v>Teen</v>
      </c>
    </row>
    <row r="1503" spans="1:6" ht="12.75">
      <c r="A1503" s="4">
        <v>1502</v>
      </c>
      <c r="B1503" s="8" t="str">
        <f ca="1">IFERROR(__xludf.DUMMYFUNCTION("""COMPUTED_VALUE"""),"20090109ILDUC")</f>
        <v>20090109ILDUC</v>
      </c>
      <c r="C1503" s="8" t="str">
        <f ca="1">IFERROR(__xludf.DUMMYFUNCTION("""COMPUTED_VALUE"""),"Wounded")</f>
        <v>Wounded</v>
      </c>
      <c r="D1503" s="8" t="str">
        <f ca="1">IFERROR(__xludf.DUMMYFUNCTION("""COMPUTED_VALUE"""),"Male")</f>
        <v>Male</v>
      </c>
      <c r="E1503" s="8" t="str">
        <f ca="1">IFERROR(__xludf.DUMMYFUNCTION("""COMPUTED_VALUE"""),"Gang Member")</f>
        <v>Gang Member</v>
      </c>
      <c r="F1503" s="8" t="str">
        <f ca="1">IFERROR(__xludf.DUMMYFUNCTION("""COMPUTED_VALUE"""),"Teen")</f>
        <v>Teen</v>
      </c>
    </row>
    <row r="1504" spans="1:6" ht="12.75">
      <c r="A1504" s="4">
        <v>1503</v>
      </c>
      <c r="B1504" s="8" t="str">
        <f ca="1">IFERROR(__xludf.DUMMYFUNCTION("""COMPUTED_VALUE"""),"20090109ILDUC")</f>
        <v>20090109ILDUC</v>
      </c>
      <c r="C1504" s="8" t="str">
        <f ca="1">IFERROR(__xludf.DUMMYFUNCTION("""COMPUTED_VALUE"""),"Wounded")</f>
        <v>Wounded</v>
      </c>
      <c r="D1504" s="8" t="str">
        <f ca="1">IFERROR(__xludf.DUMMYFUNCTION("""COMPUTED_VALUE"""),"Male")</f>
        <v>Male</v>
      </c>
      <c r="E1504" s="8" t="str">
        <f ca="1">IFERROR(__xludf.DUMMYFUNCTION("""COMPUTED_VALUE"""),"Gang Member")</f>
        <v>Gang Member</v>
      </c>
      <c r="F1504" s="8" t="str">
        <f ca="1">IFERROR(__xludf.DUMMYFUNCTION("""COMPUTED_VALUE"""),"Teen")</f>
        <v>Teen</v>
      </c>
    </row>
    <row r="1505" spans="1:6" ht="12.75">
      <c r="A1505" s="4">
        <v>1504</v>
      </c>
      <c r="B1505" s="8" t="str">
        <f ca="1">IFERROR(__xludf.DUMMYFUNCTION("""COMPUTED_VALUE"""),"20090108DEWIN")</f>
        <v>20090108DEWIN</v>
      </c>
      <c r="C1505" s="8" t="str">
        <f ca="1">IFERROR(__xludf.DUMMYFUNCTION("""COMPUTED_VALUE"""),"Wounded")</f>
        <v>Wounded</v>
      </c>
      <c r="D1505" s="8" t="str">
        <f ca="1">IFERROR(__xludf.DUMMYFUNCTION("""COMPUTED_VALUE"""),"Male")</f>
        <v>Male</v>
      </c>
      <c r="E1505" s="8" t="str">
        <f ca="1">IFERROR(__xludf.DUMMYFUNCTION("""COMPUTED_VALUE"""),"Student")</f>
        <v>Student</v>
      </c>
      <c r="F1505" s="8">
        <f ca="1">IFERROR(__xludf.DUMMYFUNCTION("""COMPUTED_VALUE"""),18)</f>
        <v>18</v>
      </c>
    </row>
    <row r="1506" spans="1:6" ht="12.75">
      <c r="A1506" s="4">
        <v>1505</v>
      </c>
      <c r="B1506" s="8" t="str">
        <f ca="1">IFERROR(__xludf.DUMMYFUNCTION("""COMPUTED_VALUE"""),"20090108DEWIN")</f>
        <v>20090108DEWIN</v>
      </c>
      <c r="C1506" s="8" t="str">
        <f ca="1">IFERROR(__xludf.DUMMYFUNCTION("""COMPUTED_VALUE"""),"Wounded")</f>
        <v>Wounded</v>
      </c>
      <c r="D1506" s="8" t="str">
        <f ca="1">IFERROR(__xludf.DUMMYFUNCTION("""COMPUTED_VALUE"""),"Female")</f>
        <v>Female</v>
      </c>
      <c r="E1506" s="8" t="str">
        <f ca="1">IFERROR(__xludf.DUMMYFUNCTION("""COMPUTED_VALUE"""),"Police Officer/SRO")</f>
        <v>Police Officer/SRO</v>
      </c>
      <c r="F1506" s="8" t="str">
        <f ca="1">IFERROR(__xludf.DUMMYFUNCTION("""COMPUTED_VALUE"""),"Adult")</f>
        <v>Adult</v>
      </c>
    </row>
    <row r="1507" spans="1:6" ht="12.75">
      <c r="A1507" s="4">
        <v>1506</v>
      </c>
      <c r="B1507" s="8" t="str">
        <f ca="1">IFERROR(__xludf.DUMMYFUNCTION("""COMPUTED_VALUE"""),"20081231OKKEN")</f>
        <v>20081231OKKEN</v>
      </c>
      <c r="C1507" s="8" t="str">
        <f ca="1">IFERROR(__xludf.DUMMYFUNCTION("""COMPUTED_VALUE"""),"None")</f>
        <v>None</v>
      </c>
      <c r="D1507" s="8" t="str">
        <f ca="1">IFERROR(__xludf.DUMMYFUNCTION("""COMPUTED_VALUE"""),"Male")</f>
        <v>Male</v>
      </c>
      <c r="E1507" s="8" t="str">
        <f ca="1">IFERROR(__xludf.DUMMYFUNCTION("""COMPUTED_VALUE"""),"Nonstudent")</f>
        <v>Nonstudent</v>
      </c>
      <c r="F1507" s="8">
        <f ca="1">IFERROR(__xludf.DUMMYFUNCTION("""COMPUTED_VALUE"""),68)</f>
        <v>68</v>
      </c>
    </row>
    <row r="1508" spans="1:6" ht="12.75">
      <c r="A1508" s="4">
        <v>1507</v>
      </c>
      <c r="B1508" s="8" t="str">
        <f ca="1">IFERROR(__xludf.DUMMYFUNCTION("""COMPUTED_VALUE"""),"20081231GASHS")</f>
        <v>20081231GASHS</v>
      </c>
      <c r="C1508" s="8" t="str">
        <f ca="1">IFERROR(__xludf.DUMMYFUNCTION("""COMPUTED_VALUE"""),"Wounded")</f>
        <v>Wounded</v>
      </c>
      <c r="D1508" s="8" t="str">
        <f ca="1">IFERROR(__xludf.DUMMYFUNCTION("""COMPUTED_VALUE"""),"Unknown")</f>
        <v>Unknown</v>
      </c>
      <c r="E1508" s="8" t="str">
        <f ca="1">IFERROR(__xludf.DUMMYFUNCTION("""COMPUTED_VALUE"""),"Other Staff")</f>
        <v>Other Staff</v>
      </c>
      <c r="F1508" s="8" t="str">
        <f ca="1">IFERROR(__xludf.DUMMYFUNCTION("""COMPUTED_VALUE"""),"Adult")</f>
        <v>Adult</v>
      </c>
    </row>
    <row r="1509" spans="1:6" ht="12.75">
      <c r="A1509" s="4">
        <v>1508</v>
      </c>
      <c r="B1509" s="8" t="str">
        <f ca="1">IFERROR(__xludf.DUMMYFUNCTION("""COMPUTED_VALUE"""),"20081227PAWIP")</f>
        <v>20081227PAWIP</v>
      </c>
      <c r="C1509" s="8" t="str">
        <f ca="1">IFERROR(__xludf.DUMMYFUNCTION("""COMPUTED_VALUE"""),"Wounded")</f>
        <v>Wounded</v>
      </c>
      <c r="D1509" s="8" t="str">
        <f ca="1">IFERROR(__xludf.DUMMYFUNCTION("""COMPUTED_VALUE"""),"Male")</f>
        <v>Male</v>
      </c>
      <c r="E1509" s="8" t="str">
        <f ca="1">IFERROR(__xludf.DUMMYFUNCTION("""COMPUTED_VALUE"""),"Nonstudent")</f>
        <v>Nonstudent</v>
      </c>
      <c r="F1509" s="8">
        <f ca="1">IFERROR(__xludf.DUMMYFUNCTION("""COMPUTED_VALUE"""),27)</f>
        <v>27</v>
      </c>
    </row>
    <row r="1510" spans="1:6" ht="12.75">
      <c r="A1510" s="4">
        <v>1509</v>
      </c>
      <c r="B1510" s="8" t="str">
        <f ca="1">IFERROR(__xludf.DUMMYFUNCTION("""COMPUTED_VALUE"""),"20081227PAWIP")</f>
        <v>20081227PAWIP</v>
      </c>
      <c r="C1510" s="8" t="str">
        <f ca="1">IFERROR(__xludf.DUMMYFUNCTION("""COMPUTED_VALUE"""),"Wounded")</f>
        <v>Wounded</v>
      </c>
      <c r="D1510" s="8" t="str">
        <f ca="1">IFERROR(__xludf.DUMMYFUNCTION("""COMPUTED_VALUE"""),"Female")</f>
        <v>Female</v>
      </c>
      <c r="E1510" s="8" t="str">
        <f ca="1">IFERROR(__xludf.DUMMYFUNCTION("""COMPUTED_VALUE"""),"Nonstudent")</f>
        <v>Nonstudent</v>
      </c>
      <c r="F1510" s="8">
        <f ca="1">IFERROR(__xludf.DUMMYFUNCTION("""COMPUTED_VALUE"""),31)</f>
        <v>31</v>
      </c>
    </row>
    <row r="1511" spans="1:6" ht="12.75">
      <c r="A1511" s="4">
        <v>1510</v>
      </c>
      <c r="B1511" s="8" t="str">
        <f ca="1">IFERROR(__xludf.DUMMYFUNCTION("""COMPUTED_VALUE"""),"20081222FLLAL")</f>
        <v>20081222FLLAL</v>
      </c>
      <c r="C1511" s="8" t="str">
        <f ca="1">IFERROR(__xludf.DUMMYFUNCTION("""COMPUTED_VALUE"""),"None")</f>
        <v>None</v>
      </c>
      <c r="D1511" s="8" t="str">
        <f ca="1">IFERROR(__xludf.DUMMYFUNCTION("""COMPUTED_VALUE"""),"Female")</f>
        <v>Female</v>
      </c>
      <c r="E1511" s="8" t="str">
        <f ca="1">IFERROR(__xludf.DUMMYFUNCTION("""COMPUTED_VALUE"""),"Teacher")</f>
        <v>Teacher</v>
      </c>
      <c r="F1511" s="8">
        <f ca="1">IFERROR(__xludf.DUMMYFUNCTION("""COMPUTED_VALUE"""),47)</f>
        <v>47</v>
      </c>
    </row>
    <row r="1512" spans="1:6" ht="12.75">
      <c r="A1512" s="4">
        <v>1511</v>
      </c>
      <c r="B1512" s="8" t="str">
        <f ca="1">IFERROR(__xludf.DUMMYFUNCTION("""COMPUTED_VALUE"""),"20081221SCSUS")</f>
        <v>20081221SCSUS</v>
      </c>
      <c r="C1512" s="8" t="str">
        <f ca="1">IFERROR(__xludf.DUMMYFUNCTION("""COMPUTED_VALUE"""),"Wounded")</f>
        <v>Wounded</v>
      </c>
      <c r="D1512" s="8" t="str">
        <f ca="1">IFERROR(__xludf.DUMMYFUNCTION("""COMPUTED_VALUE"""),"Male")</f>
        <v>Male</v>
      </c>
      <c r="E1512" s="8" t="str">
        <f ca="1">IFERROR(__xludf.DUMMYFUNCTION("""COMPUTED_VALUE"""),"Student")</f>
        <v>Student</v>
      </c>
      <c r="F1512" s="8">
        <f ca="1">IFERROR(__xludf.DUMMYFUNCTION("""COMPUTED_VALUE"""),17)</f>
        <v>17</v>
      </c>
    </row>
    <row r="1513" spans="1:6" ht="12.75">
      <c r="A1513" s="4">
        <v>1512</v>
      </c>
      <c r="B1513" s="8" t="str">
        <f ca="1">IFERROR(__xludf.DUMMYFUNCTION("""COMPUTED_VALUE"""),"20081212NYWIM")</f>
        <v>20081212NYWIM</v>
      </c>
      <c r="C1513" s="8" t="str">
        <f ca="1">IFERROR(__xludf.DUMMYFUNCTION("""COMPUTED_VALUE"""),"Wounded")</f>
        <v>Wounded</v>
      </c>
      <c r="D1513" s="8" t="str">
        <f ca="1">IFERROR(__xludf.DUMMYFUNCTION("""COMPUTED_VALUE"""),"Male")</f>
        <v>Male</v>
      </c>
      <c r="E1513" s="8" t="str">
        <f ca="1">IFERROR(__xludf.DUMMYFUNCTION("""COMPUTED_VALUE"""),"Student")</f>
        <v>Student</v>
      </c>
      <c r="F1513" s="8">
        <f ca="1">IFERROR(__xludf.DUMMYFUNCTION("""COMPUTED_VALUE"""),14)</f>
        <v>14</v>
      </c>
    </row>
    <row r="1514" spans="1:6" ht="12.75">
      <c r="A1514" s="4">
        <v>1513</v>
      </c>
      <c r="B1514" s="8" t="str">
        <f ca="1">IFERROR(__xludf.DUMMYFUNCTION("""COMPUTED_VALUE"""),"20081212NCGUA")</f>
        <v>20081212NCGUA</v>
      </c>
      <c r="C1514" s="8" t="str">
        <f ca="1">IFERROR(__xludf.DUMMYFUNCTION("""COMPUTED_VALUE"""),"Fatal")</f>
        <v>Fatal</v>
      </c>
      <c r="D1514" s="8" t="str">
        <f ca="1">IFERROR(__xludf.DUMMYFUNCTION("""COMPUTED_VALUE"""),"Male")</f>
        <v>Male</v>
      </c>
      <c r="E1514" s="8" t="str">
        <f ca="1">IFERROR(__xludf.DUMMYFUNCTION("""COMPUTED_VALUE"""),"No Relation")</f>
        <v>No Relation</v>
      </c>
      <c r="F1514" s="8">
        <f ca="1">IFERROR(__xludf.DUMMYFUNCTION("""COMPUTED_VALUE"""),16)</f>
        <v>16</v>
      </c>
    </row>
    <row r="1515" spans="1:6" ht="12.75">
      <c r="A1515" s="4">
        <v>1514</v>
      </c>
      <c r="B1515" s="8" t="str">
        <f ca="1">IFERROR(__xludf.DUMMYFUNCTION("""COMPUTED_VALUE"""),"20081205MNSHF")</f>
        <v>20081205MNSHF</v>
      </c>
      <c r="C1515" s="8" t="str">
        <f ca="1">IFERROR(__xludf.DUMMYFUNCTION("""COMPUTED_VALUE"""),"None")</f>
        <v>None</v>
      </c>
      <c r="D1515" s="8" t="str">
        <f ca="1">IFERROR(__xludf.DUMMYFUNCTION("""COMPUTED_VALUE"""),"Male")</f>
        <v>Male</v>
      </c>
      <c r="E1515" s="8" t="str">
        <f ca="1">IFERROR(__xludf.DUMMYFUNCTION("""COMPUTED_VALUE"""),"Teacher")</f>
        <v>Teacher</v>
      </c>
      <c r="F1515" s="8">
        <f ca="1">IFERROR(__xludf.DUMMYFUNCTION("""COMPUTED_VALUE"""),34)</f>
        <v>34</v>
      </c>
    </row>
    <row r="1516" spans="1:6" ht="12.75">
      <c r="A1516" s="4">
        <v>1515</v>
      </c>
      <c r="B1516" s="8" t="str">
        <f ca="1">IFERROR(__xludf.DUMMYFUNCTION("""COMPUTED_VALUE"""),"20081202CAKIK")</f>
        <v>20081202CAKIK</v>
      </c>
      <c r="C1516" s="8" t="str">
        <f ca="1">IFERROR(__xludf.DUMMYFUNCTION("""COMPUTED_VALUE"""),"Wounded")</f>
        <v>Wounded</v>
      </c>
      <c r="D1516" s="8" t="str">
        <f ca="1">IFERROR(__xludf.DUMMYFUNCTION("""COMPUTED_VALUE"""),"Male")</f>
        <v>Male</v>
      </c>
      <c r="E1516" s="8" t="str">
        <f ca="1">IFERROR(__xludf.DUMMYFUNCTION("""COMPUTED_VALUE"""),"Student")</f>
        <v>Student</v>
      </c>
      <c r="F1516" s="8">
        <f ca="1">IFERROR(__xludf.DUMMYFUNCTION("""COMPUTED_VALUE"""),15)</f>
        <v>15</v>
      </c>
    </row>
    <row r="1517" spans="1:6" ht="12.75">
      <c r="A1517" s="4">
        <v>1516</v>
      </c>
      <c r="B1517" s="8" t="str">
        <f ca="1">IFERROR(__xludf.DUMMYFUNCTION("""COMPUTED_VALUE"""),"20081202CAKIK")</f>
        <v>20081202CAKIK</v>
      </c>
      <c r="C1517" s="8" t="str">
        <f ca="1">IFERROR(__xludf.DUMMYFUNCTION("""COMPUTED_VALUE"""),"Fatal")</f>
        <v>Fatal</v>
      </c>
      <c r="D1517" s="8" t="str">
        <f ca="1">IFERROR(__xludf.DUMMYFUNCTION("""COMPUTED_VALUE"""),"Female")</f>
        <v>Female</v>
      </c>
      <c r="E1517" s="8" t="str">
        <f ca="1">IFERROR(__xludf.DUMMYFUNCTION("""COMPUTED_VALUE"""),"Relative")</f>
        <v>Relative</v>
      </c>
      <c r="F1517" s="8">
        <f ca="1">IFERROR(__xludf.DUMMYFUNCTION("""COMPUTED_VALUE"""),11)</f>
        <v>11</v>
      </c>
    </row>
    <row r="1518" spans="1:6" ht="12.75">
      <c r="A1518" s="4">
        <v>1517</v>
      </c>
      <c r="B1518" s="8" t="str">
        <f ca="1">IFERROR(__xludf.DUMMYFUNCTION("""COMPUTED_VALUE"""),"20081130CAOAG")</f>
        <v>20081130CAOAG</v>
      </c>
      <c r="C1518" s="8" t="str">
        <f ca="1">IFERROR(__xludf.DUMMYFUNCTION("""COMPUTED_VALUE"""),"Wounded")</f>
        <v>Wounded</v>
      </c>
      <c r="D1518" s="8" t="str">
        <f ca="1">IFERROR(__xludf.DUMMYFUNCTION("""COMPUTED_VALUE"""),"Male")</f>
        <v>Male</v>
      </c>
      <c r="E1518" s="8" t="str">
        <f ca="1">IFERROR(__xludf.DUMMYFUNCTION("""COMPUTED_VALUE"""),"No Relation")</f>
        <v>No Relation</v>
      </c>
      <c r="F1518" s="8">
        <f ca="1">IFERROR(__xludf.DUMMYFUNCTION("""COMPUTED_VALUE"""),19)</f>
        <v>19</v>
      </c>
    </row>
    <row r="1519" spans="1:6" ht="12.75">
      <c r="A1519" s="4">
        <v>1518</v>
      </c>
      <c r="B1519" s="8" t="str">
        <f ca="1">IFERROR(__xludf.DUMMYFUNCTION("""COMPUTED_VALUE"""),"20081125TXNOH")</f>
        <v>20081125TXNOH</v>
      </c>
      <c r="C1519" s="8" t="str">
        <f ca="1">IFERROR(__xludf.DUMMYFUNCTION("""COMPUTED_VALUE"""),"Wounded")</f>
        <v>Wounded</v>
      </c>
      <c r="D1519" s="8" t="str">
        <f ca="1">IFERROR(__xludf.DUMMYFUNCTION("""COMPUTED_VALUE"""),"Male")</f>
        <v>Male</v>
      </c>
      <c r="E1519" s="8"/>
      <c r="F1519" s="8"/>
    </row>
    <row r="1520" spans="1:6" ht="12.75">
      <c r="A1520" s="4">
        <v>1519</v>
      </c>
      <c r="B1520" s="8" t="str">
        <f ca="1">IFERROR(__xludf.DUMMYFUNCTION("""COMPUTED_VALUE"""),"20081118CACOO")</f>
        <v>20081118CACOO</v>
      </c>
      <c r="C1520" s="8" t="str">
        <f ca="1">IFERROR(__xludf.DUMMYFUNCTION("""COMPUTED_VALUE"""),"None")</f>
        <v>None</v>
      </c>
      <c r="D1520" s="8"/>
      <c r="E1520" s="8"/>
      <c r="F1520" s="8"/>
    </row>
    <row r="1521" spans="1:6" ht="12.75">
      <c r="A1521" s="4">
        <v>1520</v>
      </c>
      <c r="B1521" s="8" t="str">
        <f ca="1">IFERROR(__xludf.DUMMYFUNCTION("""COMPUTED_VALUE"""),"20081118CACEC")</f>
        <v>20081118CACEC</v>
      </c>
      <c r="C1521" s="8" t="str">
        <f ca="1">IFERROR(__xludf.DUMMYFUNCTION("""COMPUTED_VALUE"""),"Wounded")</f>
        <v>Wounded</v>
      </c>
      <c r="D1521" s="8" t="str">
        <f ca="1">IFERROR(__xludf.DUMMYFUNCTION("""COMPUTED_VALUE"""),"Male")</f>
        <v>Male</v>
      </c>
      <c r="E1521" s="8" t="str">
        <f ca="1">IFERROR(__xludf.DUMMYFUNCTION("""COMPUTED_VALUE"""),"Student")</f>
        <v>Student</v>
      </c>
      <c r="F1521" s="8">
        <f ca="1">IFERROR(__xludf.DUMMYFUNCTION("""COMPUTED_VALUE"""),19)</f>
        <v>19</v>
      </c>
    </row>
    <row r="1522" spans="1:6" ht="12.75">
      <c r="A1522" s="4">
        <v>1521</v>
      </c>
      <c r="B1522" s="8" t="str">
        <f ca="1">IFERROR(__xludf.DUMMYFUNCTION("""COMPUTED_VALUE"""),"20081115UTDES")</f>
        <v>20081115UTDES</v>
      </c>
      <c r="C1522" s="8" t="str">
        <f ca="1">IFERROR(__xludf.DUMMYFUNCTION("""COMPUTED_VALUE"""),"Fatal")</f>
        <v>Fatal</v>
      </c>
      <c r="D1522" s="8" t="str">
        <f ca="1">IFERROR(__xludf.DUMMYFUNCTION("""COMPUTED_VALUE"""),"Male")</f>
        <v>Male</v>
      </c>
      <c r="E1522" s="8" t="str">
        <f ca="1">IFERROR(__xludf.DUMMYFUNCTION("""COMPUTED_VALUE"""),"Student")</f>
        <v>Student</v>
      </c>
      <c r="F1522" s="8">
        <f ca="1">IFERROR(__xludf.DUMMYFUNCTION("""COMPUTED_VALUE"""),15)</f>
        <v>15</v>
      </c>
    </row>
    <row r="1523" spans="1:6" ht="12.75">
      <c r="A1523" s="4">
        <v>1522</v>
      </c>
      <c r="B1523" s="8" t="str">
        <f ca="1">IFERROR(__xludf.DUMMYFUNCTION("""COMPUTED_VALUE"""),"20081115COTHL")</f>
        <v>20081115COTHL</v>
      </c>
      <c r="C1523" s="8" t="str">
        <f ca="1">IFERROR(__xludf.DUMMYFUNCTION("""COMPUTED_VALUE"""),"Fatal")</f>
        <v>Fatal</v>
      </c>
      <c r="D1523" s="8" t="str">
        <f ca="1">IFERROR(__xludf.DUMMYFUNCTION("""COMPUTED_VALUE"""),"Male")</f>
        <v>Male</v>
      </c>
      <c r="E1523" s="8" t="str">
        <f ca="1">IFERROR(__xludf.DUMMYFUNCTION("""COMPUTED_VALUE"""),"No Relation")</f>
        <v>No Relation</v>
      </c>
      <c r="F1523" s="8">
        <f ca="1">IFERROR(__xludf.DUMMYFUNCTION("""COMPUTED_VALUE"""),23)</f>
        <v>23</v>
      </c>
    </row>
    <row r="1524" spans="1:6" ht="12.75">
      <c r="A1524" s="4">
        <v>1523</v>
      </c>
      <c r="B1524" s="8" t="str">
        <f ca="1">IFERROR(__xludf.DUMMYFUNCTION("""COMPUTED_VALUE"""),"20081112FLDIF")</f>
        <v>20081112FLDIF</v>
      </c>
      <c r="C1524" s="8" t="str">
        <f ca="1">IFERROR(__xludf.DUMMYFUNCTION("""COMPUTED_VALUE"""),"Fatal")</f>
        <v>Fatal</v>
      </c>
      <c r="D1524" s="8" t="str">
        <f ca="1">IFERROR(__xludf.DUMMYFUNCTION("""COMPUTED_VALUE"""),"Female")</f>
        <v>Female</v>
      </c>
      <c r="E1524" s="8" t="str">
        <f ca="1">IFERROR(__xludf.DUMMYFUNCTION("""COMPUTED_VALUE"""),"Student")</f>
        <v>Student</v>
      </c>
      <c r="F1524" s="8">
        <f ca="1">IFERROR(__xludf.DUMMYFUNCTION("""COMPUTED_VALUE"""),15)</f>
        <v>15</v>
      </c>
    </row>
    <row r="1525" spans="1:6" ht="12.75">
      <c r="A1525" s="4">
        <v>1524</v>
      </c>
      <c r="B1525" s="8" t="str">
        <f ca="1">IFERROR(__xludf.DUMMYFUNCTION("""COMPUTED_VALUE"""),"20081103CAELO")</f>
        <v>20081103CAELO</v>
      </c>
      <c r="C1525" s="8" t="str">
        <f ca="1">IFERROR(__xludf.DUMMYFUNCTION("""COMPUTED_VALUE"""),"None")</f>
        <v>None</v>
      </c>
      <c r="D1525" s="8"/>
      <c r="E1525" s="8"/>
      <c r="F1525" s="8"/>
    </row>
    <row r="1526" spans="1:6" ht="12.75">
      <c r="A1526" s="4">
        <v>1525</v>
      </c>
      <c r="B1526" s="8" t="str">
        <f ca="1">IFERROR(__xludf.DUMMYFUNCTION("""COMPUTED_VALUE"""),"20081103CABEB")</f>
        <v>20081103CABEB</v>
      </c>
      <c r="C1526" s="8" t="str">
        <f ca="1">IFERROR(__xludf.DUMMYFUNCTION("""COMPUTED_VALUE"""),"Fatal")</f>
        <v>Fatal</v>
      </c>
      <c r="D1526" s="8" t="str">
        <f ca="1">IFERROR(__xludf.DUMMYFUNCTION("""COMPUTED_VALUE"""),"Male")</f>
        <v>Male</v>
      </c>
      <c r="E1526" s="8"/>
      <c r="F1526" s="8">
        <f ca="1">IFERROR(__xludf.DUMMYFUNCTION("""COMPUTED_VALUE"""),18)</f>
        <v>18</v>
      </c>
    </row>
    <row r="1527" spans="1:6" ht="12.75">
      <c r="A1527" s="4">
        <v>1526</v>
      </c>
      <c r="B1527" s="8" t="str">
        <f ca="1">IFERROR(__xludf.DUMMYFUNCTION("""COMPUTED_VALUE"""),"20081031MESTS")</f>
        <v>20081031MESTS</v>
      </c>
      <c r="C1527" s="8" t="str">
        <f ca="1">IFERROR(__xludf.DUMMYFUNCTION("""COMPUTED_VALUE"""),"None")</f>
        <v>None</v>
      </c>
      <c r="D1527" s="8"/>
      <c r="E1527" s="8"/>
      <c r="F1527" s="8"/>
    </row>
    <row r="1528" spans="1:6" ht="12.75">
      <c r="A1528" s="4">
        <v>1527</v>
      </c>
      <c r="B1528" s="8" t="str">
        <f ca="1">IFERROR(__xludf.DUMMYFUNCTION("""COMPUTED_VALUE"""),"20081029CAELG")</f>
        <v>20081029CAELG</v>
      </c>
      <c r="C1528" s="8" t="str">
        <f ca="1">IFERROR(__xludf.DUMMYFUNCTION("""COMPUTED_VALUE"""),"Wounded")</f>
        <v>Wounded</v>
      </c>
      <c r="D1528" s="8" t="str">
        <f ca="1">IFERROR(__xludf.DUMMYFUNCTION("""COMPUTED_VALUE"""),"Female")</f>
        <v>Female</v>
      </c>
      <c r="E1528" s="8" t="str">
        <f ca="1">IFERROR(__xludf.DUMMYFUNCTION("""COMPUTED_VALUE"""),"Teacher")</f>
        <v>Teacher</v>
      </c>
      <c r="F1528" s="8" t="str">
        <f ca="1">IFERROR(__xludf.DUMMYFUNCTION("""COMPUTED_VALUE"""),"Adult")</f>
        <v>Adult</v>
      </c>
    </row>
    <row r="1529" spans="1:6" ht="12.75">
      <c r="A1529" s="4">
        <v>1528</v>
      </c>
      <c r="B1529" s="8" t="str">
        <f ca="1">IFERROR(__xludf.DUMMYFUNCTION("""COMPUTED_VALUE"""),"20081023ALPRP")</f>
        <v>20081023ALPRP</v>
      </c>
      <c r="C1529" s="8" t="str">
        <f ca="1">IFERROR(__xludf.DUMMYFUNCTION("""COMPUTED_VALUE"""),"Wounded")</f>
        <v>Wounded</v>
      </c>
      <c r="D1529" s="8" t="str">
        <f ca="1">IFERROR(__xludf.DUMMYFUNCTION("""COMPUTED_VALUE"""),"Female")</f>
        <v>Female</v>
      </c>
      <c r="E1529" s="8" t="str">
        <f ca="1">IFERROR(__xludf.DUMMYFUNCTION("""COMPUTED_VALUE"""),"Parent")</f>
        <v>Parent</v>
      </c>
      <c r="F1529" s="8">
        <f ca="1">IFERROR(__xludf.DUMMYFUNCTION("""COMPUTED_VALUE"""),43)</f>
        <v>43</v>
      </c>
    </row>
    <row r="1530" spans="1:6" ht="12.75">
      <c r="A1530" s="4">
        <v>1529</v>
      </c>
      <c r="B1530" s="8" t="str">
        <f ca="1">IFERROR(__xludf.DUMMYFUNCTION("""COMPUTED_VALUE"""),"20081020CAVAA")</f>
        <v>20081020CAVAA</v>
      </c>
      <c r="C1530" s="8" t="str">
        <f ca="1">IFERROR(__xludf.DUMMYFUNCTION("""COMPUTED_VALUE"""),"None")</f>
        <v>None</v>
      </c>
      <c r="D1530" s="8" t="str">
        <f ca="1">IFERROR(__xludf.DUMMYFUNCTION("""COMPUTED_VALUE"""),"Male")</f>
        <v>Male</v>
      </c>
      <c r="E1530" s="8" t="str">
        <f ca="1">IFERROR(__xludf.DUMMYFUNCTION("""COMPUTED_VALUE"""),"Student")</f>
        <v>Student</v>
      </c>
      <c r="F1530" s="8">
        <f ca="1">IFERROR(__xludf.DUMMYFUNCTION("""COMPUTED_VALUE"""),14)</f>
        <v>14</v>
      </c>
    </row>
    <row r="1531" spans="1:6" ht="12.75">
      <c r="A1531" s="4">
        <v>1530</v>
      </c>
      <c r="B1531" s="8" t="str">
        <f ca="1">IFERROR(__xludf.DUMMYFUNCTION("""COMPUTED_VALUE"""),"20081016MIHED")</f>
        <v>20081016MIHED</v>
      </c>
      <c r="C1531" s="8" t="str">
        <f ca="1">IFERROR(__xludf.DUMMYFUNCTION("""COMPUTED_VALUE"""),"Fatal")</f>
        <v>Fatal</v>
      </c>
      <c r="D1531" s="8" t="str">
        <f ca="1">IFERROR(__xludf.DUMMYFUNCTION("""COMPUTED_VALUE"""),"Male")</f>
        <v>Male</v>
      </c>
      <c r="E1531" s="8" t="str">
        <f ca="1">IFERROR(__xludf.DUMMYFUNCTION("""COMPUTED_VALUE"""),"Student")</f>
        <v>Student</v>
      </c>
      <c r="F1531" s="8">
        <f ca="1">IFERROR(__xludf.DUMMYFUNCTION("""COMPUTED_VALUE"""),16)</f>
        <v>16</v>
      </c>
    </row>
    <row r="1532" spans="1:6" ht="12.75">
      <c r="A1532" s="4">
        <v>1531</v>
      </c>
      <c r="B1532" s="8" t="str">
        <f ca="1">IFERROR(__xludf.DUMMYFUNCTION("""COMPUTED_VALUE"""),"20081016MIHED")</f>
        <v>20081016MIHED</v>
      </c>
      <c r="C1532" s="8" t="str">
        <f ca="1">IFERROR(__xludf.DUMMYFUNCTION("""COMPUTED_VALUE"""),"Wounded")</f>
        <v>Wounded</v>
      </c>
      <c r="D1532" s="8" t="str">
        <f ca="1">IFERROR(__xludf.DUMMYFUNCTION("""COMPUTED_VALUE"""),"Female")</f>
        <v>Female</v>
      </c>
      <c r="E1532" s="8" t="str">
        <f ca="1">IFERROR(__xludf.DUMMYFUNCTION("""COMPUTED_VALUE"""),"Student")</f>
        <v>Student</v>
      </c>
      <c r="F1532" s="8">
        <f ca="1">IFERROR(__xludf.DUMMYFUNCTION("""COMPUTED_VALUE"""),15)</f>
        <v>15</v>
      </c>
    </row>
    <row r="1533" spans="1:6" ht="12.75">
      <c r="A1533" s="4">
        <v>1532</v>
      </c>
      <c r="B1533" s="8" t="str">
        <f ca="1">IFERROR(__xludf.DUMMYFUNCTION("""COMPUTED_VALUE"""),"20081016MIHED")</f>
        <v>20081016MIHED</v>
      </c>
      <c r="C1533" s="8" t="str">
        <f ca="1">IFERROR(__xludf.DUMMYFUNCTION("""COMPUTED_VALUE"""),"Wounded")</f>
        <v>Wounded</v>
      </c>
      <c r="D1533" s="8" t="str">
        <f ca="1">IFERROR(__xludf.DUMMYFUNCTION("""COMPUTED_VALUE"""),"Male")</f>
        <v>Male</v>
      </c>
      <c r="E1533" s="8" t="str">
        <f ca="1">IFERROR(__xludf.DUMMYFUNCTION("""COMPUTED_VALUE"""),"Student")</f>
        <v>Student</v>
      </c>
      <c r="F1533" s="8">
        <f ca="1">IFERROR(__xludf.DUMMYFUNCTION("""COMPUTED_VALUE"""),16)</f>
        <v>16</v>
      </c>
    </row>
    <row r="1534" spans="1:6" ht="12.75">
      <c r="A1534" s="4">
        <v>1533</v>
      </c>
      <c r="B1534" s="8" t="str">
        <f ca="1">IFERROR(__xludf.DUMMYFUNCTION("""COMPUTED_VALUE"""),"20081016MIHED")</f>
        <v>20081016MIHED</v>
      </c>
      <c r="C1534" s="8" t="str">
        <f ca="1">IFERROR(__xludf.DUMMYFUNCTION("""COMPUTED_VALUE"""),"Wounded")</f>
        <v>Wounded</v>
      </c>
      <c r="D1534" s="8" t="str">
        <f ca="1">IFERROR(__xludf.DUMMYFUNCTION("""COMPUTED_VALUE"""),"Male")</f>
        <v>Male</v>
      </c>
      <c r="E1534" s="8" t="str">
        <f ca="1">IFERROR(__xludf.DUMMYFUNCTION("""COMPUTED_VALUE"""),"Former Student")</f>
        <v>Former Student</v>
      </c>
      <c r="F1534" s="8">
        <f ca="1">IFERROR(__xludf.DUMMYFUNCTION("""COMPUTED_VALUE"""),16)</f>
        <v>16</v>
      </c>
    </row>
    <row r="1535" spans="1:6" ht="12.75">
      <c r="A1535" s="4">
        <v>1534</v>
      </c>
      <c r="B1535" s="8" t="str">
        <f ca="1">IFERROR(__xludf.DUMMYFUNCTION("""COMPUTED_VALUE"""),"20080919CAGEA")</f>
        <v>20080919CAGEA</v>
      </c>
      <c r="C1535" s="8" t="str">
        <f ca="1">IFERROR(__xludf.DUMMYFUNCTION("""COMPUTED_VALUE"""),"Wounded")</f>
        <v>Wounded</v>
      </c>
      <c r="D1535" s="8" t="str">
        <f ca="1">IFERROR(__xludf.DUMMYFUNCTION("""COMPUTED_VALUE"""),"Female")</f>
        <v>Female</v>
      </c>
      <c r="E1535" s="8" t="str">
        <f ca="1">IFERROR(__xludf.DUMMYFUNCTION("""COMPUTED_VALUE"""),"Nonstudent Using Athletic Facilities/Attending Game")</f>
        <v>Nonstudent Using Athletic Facilities/Attending Game</v>
      </c>
      <c r="F1535" s="8">
        <f ca="1">IFERROR(__xludf.DUMMYFUNCTION("""COMPUTED_VALUE"""),12)</f>
        <v>12</v>
      </c>
    </row>
    <row r="1536" spans="1:6" ht="12.75">
      <c r="A1536" s="4">
        <v>1535</v>
      </c>
      <c r="B1536" s="8" t="str">
        <f ca="1">IFERROR(__xludf.DUMMYFUNCTION("""COMPUTED_VALUE"""),"20080919CAGEA")</f>
        <v>20080919CAGEA</v>
      </c>
      <c r="C1536" s="8" t="str">
        <f ca="1">IFERROR(__xludf.DUMMYFUNCTION("""COMPUTED_VALUE"""),"Wounded")</f>
        <v>Wounded</v>
      </c>
      <c r="D1536" s="8" t="str">
        <f ca="1">IFERROR(__xludf.DUMMYFUNCTION("""COMPUTED_VALUE"""),"Male")</f>
        <v>Male</v>
      </c>
      <c r="E1536" s="8" t="str">
        <f ca="1">IFERROR(__xludf.DUMMYFUNCTION("""COMPUTED_VALUE"""),"Nonstudent Using Athletic Facilities/Attending Game")</f>
        <v>Nonstudent Using Athletic Facilities/Attending Game</v>
      </c>
      <c r="F1536" s="8">
        <f ca="1">IFERROR(__xludf.DUMMYFUNCTION("""COMPUTED_VALUE"""),19)</f>
        <v>19</v>
      </c>
    </row>
    <row r="1537" spans="1:6" ht="12.75">
      <c r="A1537" s="4">
        <v>1536</v>
      </c>
      <c r="B1537" s="8" t="str">
        <f ca="1">IFERROR(__xludf.DUMMYFUNCTION("""COMPUTED_VALUE"""),"20080915CAMIS")</f>
        <v>20080915CAMIS</v>
      </c>
      <c r="C1537" s="8" t="str">
        <f ca="1">IFERROR(__xludf.DUMMYFUNCTION("""COMPUTED_VALUE"""),"None")</f>
        <v>None</v>
      </c>
      <c r="D1537" s="8" t="str">
        <f ca="1">IFERROR(__xludf.DUMMYFUNCTION("""COMPUTED_VALUE"""),"Male")</f>
        <v>Male</v>
      </c>
      <c r="E1537" s="8" t="str">
        <f ca="1">IFERROR(__xludf.DUMMYFUNCTION("""COMPUTED_VALUE"""),"Student")</f>
        <v>Student</v>
      </c>
      <c r="F1537" s="8">
        <f ca="1">IFERROR(__xludf.DUMMYFUNCTION("""COMPUTED_VALUE"""),17)</f>
        <v>17</v>
      </c>
    </row>
    <row r="1538" spans="1:6" ht="12.75">
      <c r="A1538" s="4">
        <v>1537</v>
      </c>
      <c r="B1538" s="8" t="str">
        <f ca="1">IFERROR(__xludf.DUMMYFUNCTION("""COMPUTED_VALUE"""),"20080902OHSOW")</f>
        <v>20080902OHSOW</v>
      </c>
      <c r="C1538" s="8" t="str">
        <f ca="1">IFERROR(__xludf.DUMMYFUNCTION("""COMPUTED_VALUE"""),"None")</f>
        <v>None</v>
      </c>
      <c r="D1538" s="8"/>
      <c r="E1538" s="8"/>
      <c r="F1538" s="8"/>
    </row>
    <row r="1539" spans="1:6" ht="12.75">
      <c r="A1539" s="4">
        <v>1538</v>
      </c>
      <c r="B1539" s="8" t="str">
        <f ca="1">IFERROR(__xludf.DUMMYFUNCTION("""COMPUTED_VALUE"""),"20080821TNCEK")</f>
        <v>20080821TNCEK</v>
      </c>
      <c r="C1539" s="8" t="str">
        <f ca="1">IFERROR(__xludf.DUMMYFUNCTION("""COMPUTED_VALUE"""),"Fatal")</f>
        <v>Fatal</v>
      </c>
      <c r="D1539" s="8" t="str">
        <f ca="1">IFERROR(__xludf.DUMMYFUNCTION("""COMPUTED_VALUE"""),"Male")</f>
        <v>Male</v>
      </c>
      <c r="E1539" s="8" t="str">
        <f ca="1">IFERROR(__xludf.DUMMYFUNCTION("""COMPUTED_VALUE"""),"Student")</f>
        <v>Student</v>
      </c>
      <c r="F1539" s="8">
        <f ca="1">IFERROR(__xludf.DUMMYFUNCTION("""COMPUTED_VALUE"""),15)</f>
        <v>15</v>
      </c>
    </row>
    <row r="1540" spans="1:6" ht="12.75">
      <c r="A1540" s="4">
        <v>1539</v>
      </c>
      <c r="B1540" s="8" t="str">
        <f ca="1">IFERROR(__xludf.DUMMYFUNCTION("""COMPUTED_VALUE"""),"20080814WALAF")</f>
        <v>20080814WALAF</v>
      </c>
      <c r="C1540" s="8" t="str">
        <f ca="1">IFERROR(__xludf.DUMMYFUNCTION("""COMPUTED_VALUE"""),"Fatal")</f>
        <v>Fatal</v>
      </c>
      <c r="D1540" s="8" t="str">
        <f ca="1">IFERROR(__xludf.DUMMYFUNCTION("""COMPUTED_VALUE"""),"Male")</f>
        <v>Male</v>
      </c>
      <c r="E1540" s="8"/>
      <c r="F1540" s="8">
        <f ca="1">IFERROR(__xludf.DUMMYFUNCTION("""COMPUTED_VALUE"""),26)</f>
        <v>26</v>
      </c>
    </row>
    <row r="1541" spans="1:6" ht="12.75">
      <c r="A1541" s="4">
        <v>1540</v>
      </c>
      <c r="B1541" s="8" t="str">
        <f ca="1">IFERROR(__xludf.DUMMYFUNCTION("""COMPUTED_VALUE"""),"20080811WAWAK")</f>
        <v>20080811WAWAK</v>
      </c>
      <c r="C1541" s="8" t="str">
        <f ca="1">IFERROR(__xludf.DUMMYFUNCTION("""COMPUTED_VALUE"""),"None")</f>
        <v>None</v>
      </c>
      <c r="D1541" s="8" t="str">
        <f ca="1">IFERROR(__xludf.DUMMYFUNCTION("""COMPUTED_VALUE"""),"Male")</f>
        <v>Male</v>
      </c>
      <c r="E1541" s="8" t="str">
        <f ca="1">IFERROR(__xludf.DUMMYFUNCTION("""COMPUTED_VALUE"""),"Student")</f>
        <v>Student</v>
      </c>
      <c r="F1541" s="8" t="str">
        <f ca="1">IFERROR(__xludf.DUMMYFUNCTION("""COMPUTED_VALUE"""),"Child")</f>
        <v>Child</v>
      </c>
    </row>
    <row r="1542" spans="1:6" ht="12.75">
      <c r="A1542" s="4">
        <v>1541</v>
      </c>
      <c r="B1542" s="8" t="str">
        <f ca="1">IFERROR(__xludf.DUMMYFUNCTION("""COMPUTED_VALUE"""),"20080516LAMAT")</f>
        <v>20080516LAMAT</v>
      </c>
      <c r="C1542" s="8" t="str">
        <f ca="1">IFERROR(__xludf.DUMMYFUNCTION("""COMPUTED_VALUE"""),"None")</f>
        <v>None</v>
      </c>
      <c r="D1542" s="8" t="str">
        <f ca="1">IFERROR(__xludf.DUMMYFUNCTION("""COMPUTED_VALUE"""),"Male")</f>
        <v>Male</v>
      </c>
      <c r="E1542" s="8" t="str">
        <f ca="1">IFERROR(__xludf.DUMMYFUNCTION("""COMPUTED_VALUE"""),"Student")</f>
        <v>Student</v>
      </c>
      <c r="F1542" s="8">
        <f ca="1">IFERROR(__xludf.DUMMYFUNCTION("""COMPUTED_VALUE"""),14)</f>
        <v>14</v>
      </c>
    </row>
    <row r="1543" spans="1:6" ht="12.75">
      <c r="A1543" s="4">
        <v>1542</v>
      </c>
      <c r="B1543" s="8" t="str">
        <f ca="1">IFERROR(__xludf.DUMMYFUNCTION("""COMPUTED_VALUE"""),"20080416CAROF")</f>
        <v>20080416CAROF</v>
      </c>
      <c r="C1543" s="8" t="str">
        <f ca="1">IFERROR(__xludf.DUMMYFUNCTION("""COMPUTED_VALUE"""),"Fatal")</f>
        <v>Fatal</v>
      </c>
      <c r="D1543" s="8" t="str">
        <f ca="1">IFERROR(__xludf.DUMMYFUNCTION("""COMPUTED_VALUE"""),"Male")</f>
        <v>Male</v>
      </c>
      <c r="E1543" s="8" t="str">
        <f ca="1">IFERROR(__xludf.DUMMYFUNCTION("""COMPUTED_VALUE"""),"Student")</f>
        <v>Student</v>
      </c>
      <c r="F1543" s="8">
        <f ca="1">IFERROR(__xludf.DUMMYFUNCTION("""COMPUTED_VALUE"""),17)</f>
        <v>17</v>
      </c>
    </row>
    <row r="1544" spans="1:6" ht="12.75">
      <c r="A1544" s="4">
        <v>1543</v>
      </c>
      <c r="B1544" s="8" t="str">
        <f ca="1">IFERROR(__xludf.DUMMYFUNCTION("""COMPUTED_VALUE"""),"20080306ALDAM")</f>
        <v>20080306ALDAM</v>
      </c>
      <c r="C1544" s="8" t="str">
        <f ca="1">IFERROR(__xludf.DUMMYFUNCTION("""COMPUTED_VALUE"""),"None")</f>
        <v>None</v>
      </c>
      <c r="D1544" s="8" t="str">
        <f ca="1">IFERROR(__xludf.DUMMYFUNCTION("""COMPUTED_VALUE"""),"Male")</f>
        <v>Male</v>
      </c>
      <c r="E1544" s="8" t="str">
        <f ca="1">IFERROR(__xludf.DUMMYFUNCTION("""COMPUTED_VALUE"""),"Student")</f>
        <v>Student</v>
      </c>
      <c r="F1544" s="8">
        <f ca="1">IFERROR(__xludf.DUMMYFUNCTION("""COMPUTED_VALUE"""),18)</f>
        <v>18</v>
      </c>
    </row>
    <row r="1545" spans="1:6" ht="12.75">
      <c r="A1545" s="4">
        <v>1544</v>
      </c>
      <c r="B1545" s="8" t="str">
        <f ca="1">IFERROR(__xludf.DUMMYFUNCTION("""COMPUTED_VALUE"""),"20080214CAEOO")</f>
        <v>20080214CAEOO</v>
      </c>
      <c r="C1545" s="8" t="str">
        <f ca="1">IFERROR(__xludf.DUMMYFUNCTION("""COMPUTED_VALUE"""),"Fatal")</f>
        <v>Fatal</v>
      </c>
      <c r="D1545" s="8" t="str">
        <f ca="1">IFERROR(__xludf.DUMMYFUNCTION("""COMPUTED_VALUE"""),"Male")</f>
        <v>Male</v>
      </c>
      <c r="E1545" s="8" t="str">
        <f ca="1">IFERROR(__xludf.DUMMYFUNCTION("""COMPUTED_VALUE"""),"Student")</f>
        <v>Student</v>
      </c>
      <c r="F1545" s="8">
        <f ca="1">IFERROR(__xludf.DUMMYFUNCTION("""COMPUTED_VALUE"""),14)</f>
        <v>14</v>
      </c>
    </row>
    <row r="1546" spans="1:6" ht="12.75">
      <c r="A1546" s="4">
        <v>1545</v>
      </c>
      <c r="B1546" s="8" t="str">
        <f ca="1">IFERROR(__xludf.DUMMYFUNCTION("""COMPUTED_VALUE"""),"20080211TNMIM")</f>
        <v>20080211TNMIM</v>
      </c>
      <c r="C1546" s="8" t="str">
        <f ca="1">IFERROR(__xludf.DUMMYFUNCTION("""COMPUTED_VALUE"""),"Wounded")</f>
        <v>Wounded</v>
      </c>
      <c r="D1546" s="8" t="str">
        <f ca="1">IFERROR(__xludf.DUMMYFUNCTION("""COMPUTED_VALUE"""),"Male")</f>
        <v>Male</v>
      </c>
      <c r="E1546" s="8" t="str">
        <f ca="1">IFERROR(__xludf.DUMMYFUNCTION("""COMPUTED_VALUE"""),"Student")</f>
        <v>Student</v>
      </c>
      <c r="F1546" s="8">
        <f ca="1">IFERROR(__xludf.DUMMYFUNCTION("""COMPUTED_VALUE"""),19)</f>
        <v>19</v>
      </c>
    </row>
    <row r="1547" spans="1:6" ht="12.75">
      <c r="A1547" s="4">
        <v>1546</v>
      </c>
      <c r="B1547" s="8" t="str">
        <f ca="1">IFERROR(__xludf.DUMMYFUNCTION("""COMPUTED_VALUE"""),"20080204TNHAM")</f>
        <v>20080204TNHAM</v>
      </c>
      <c r="C1547" s="8" t="str">
        <f ca="1">IFERROR(__xludf.DUMMYFUNCTION("""COMPUTED_VALUE"""),"Wounded")</f>
        <v>Wounded</v>
      </c>
      <c r="D1547" s="8" t="str">
        <f ca="1">IFERROR(__xludf.DUMMYFUNCTION("""COMPUTED_VALUE"""),"Male")</f>
        <v>Male</v>
      </c>
      <c r="E1547" s="8" t="str">
        <f ca="1">IFERROR(__xludf.DUMMYFUNCTION("""COMPUTED_VALUE"""),"Student")</f>
        <v>Student</v>
      </c>
      <c r="F1547" s="8" t="str">
        <f ca="1">IFERROR(__xludf.DUMMYFUNCTION("""COMPUTED_VALUE"""),"Teen")</f>
        <v>Teen</v>
      </c>
    </row>
    <row r="1548" spans="1:6" ht="12.75">
      <c r="A1548" s="4">
        <v>1547</v>
      </c>
      <c r="B1548" s="8" t="str">
        <f ca="1">IFERROR(__xludf.DUMMYFUNCTION("""COMPUTED_VALUE"""),"20071221CABAU")</f>
        <v>20071221CABAU</v>
      </c>
      <c r="C1548" s="8" t="str">
        <f ca="1">IFERROR(__xludf.DUMMYFUNCTION("""COMPUTED_VALUE"""),"Fatal")</f>
        <v>Fatal</v>
      </c>
      <c r="D1548" s="8" t="str">
        <f ca="1">IFERROR(__xludf.DUMMYFUNCTION("""COMPUTED_VALUE"""),"Male")</f>
        <v>Male</v>
      </c>
      <c r="E1548" s="8" t="str">
        <f ca="1">IFERROR(__xludf.DUMMYFUNCTION("""COMPUTED_VALUE"""),"Student")</f>
        <v>Student</v>
      </c>
      <c r="F1548" s="8">
        <f ca="1">IFERROR(__xludf.DUMMYFUNCTION("""COMPUTED_VALUE"""),14)</f>
        <v>14</v>
      </c>
    </row>
    <row r="1549" spans="1:6" ht="12.75">
      <c r="A1549" s="4">
        <v>1548</v>
      </c>
      <c r="B1549" s="8" t="str">
        <f ca="1">IFERROR(__xludf.DUMMYFUNCTION("""COMPUTED_VALUE"""),"20071126NYHOH")</f>
        <v>20071126NYHOH</v>
      </c>
      <c r="C1549" s="8" t="str">
        <f ca="1">IFERROR(__xludf.DUMMYFUNCTION("""COMPUTED_VALUE"""),"None")</f>
        <v>None</v>
      </c>
      <c r="D1549" s="8"/>
      <c r="E1549" s="8"/>
      <c r="F1549" s="8"/>
    </row>
    <row r="1550" spans="1:6" ht="12.75">
      <c r="A1550" s="4">
        <v>1549</v>
      </c>
      <c r="B1550" s="8" t="str">
        <f ca="1">IFERROR(__xludf.DUMMYFUNCTION("""COMPUTED_VALUE"""),"20071105LAJOR")</f>
        <v>20071105LAJOR</v>
      </c>
      <c r="C1550" s="8" t="str">
        <f ca="1">IFERROR(__xludf.DUMMYFUNCTION("""COMPUTED_VALUE"""),"None")</f>
        <v>None</v>
      </c>
      <c r="D1550" s="8" t="str">
        <f ca="1">IFERROR(__xludf.DUMMYFUNCTION("""COMPUTED_VALUE"""),"Male")</f>
        <v>Male</v>
      </c>
      <c r="E1550" s="8" t="str">
        <f ca="1">IFERROR(__xludf.DUMMYFUNCTION("""COMPUTED_VALUE"""),"Student")</f>
        <v>Student</v>
      </c>
      <c r="F1550" s="8">
        <f ca="1">IFERROR(__xludf.DUMMYFUNCTION("""COMPUTED_VALUE"""),13)</f>
        <v>13</v>
      </c>
    </row>
    <row r="1551" spans="1:6" ht="12.75">
      <c r="A1551" s="4">
        <v>1550</v>
      </c>
      <c r="B1551" s="8" t="str">
        <f ca="1">IFERROR(__xludf.DUMMYFUNCTION("""COMPUTED_VALUE"""),"20071024TNMAM")</f>
        <v>20071024TNMAM</v>
      </c>
      <c r="C1551" s="8" t="str">
        <f ca="1">IFERROR(__xludf.DUMMYFUNCTION("""COMPUTED_VALUE"""),"Wounded")</f>
        <v>Wounded</v>
      </c>
      <c r="D1551" s="8" t="str">
        <f ca="1">IFERROR(__xludf.DUMMYFUNCTION("""COMPUTED_VALUE"""),"Male")</f>
        <v>Male</v>
      </c>
      <c r="E1551" s="8" t="str">
        <f ca="1">IFERROR(__xludf.DUMMYFUNCTION("""COMPUTED_VALUE"""),"Student")</f>
        <v>Student</v>
      </c>
      <c r="F1551" s="8">
        <f ca="1">IFERROR(__xludf.DUMMYFUNCTION("""COMPUTED_VALUE"""),16)</f>
        <v>16</v>
      </c>
    </row>
    <row r="1552" spans="1:6" ht="12.75">
      <c r="A1552" s="4">
        <v>1551</v>
      </c>
      <c r="B1552" s="8" t="str">
        <f ca="1">IFERROR(__xludf.DUMMYFUNCTION("""COMPUTED_VALUE"""),"20071010OHSUC")</f>
        <v>20071010OHSUC</v>
      </c>
      <c r="C1552" s="8" t="str">
        <f ca="1">IFERROR(__xludf.DUMMYFUNCTION("""COMPUTED_VALUE"""),"Wounded")</f>
        <v>Wounded</v>
      </c>
      <c r="D1552" s="8" t="str">
        <f ca="1">IFERROR(__xludf.DUMMYFUNCTION("""COMPUTED_VALUE"""),"Male")</f>
        <v>Male</v>
      </c>
      <c r="E1552" s="8" t="str">
        <f ca="1">IFERROR(__xludf.DUMMYFUNCTION("""COMPUTED_VALUE"""),"Teacher")</f>
        <v>Teacher</v>
      </c>
      <c r="F1552" s="8">
        <f ca="1">IFERROR(__xludf.DUMMYFUNCTION("""COMPUTED_VALUE"""),57)</f>
        <v>57</v>
      </c>
    </row>
    <row r="1553" spans="1:6" ht="12.75">
      <c r="A1553" s="4">
        <v>1552</v>
      </c>
      <c r="B1553" s="8" t="str">
        <f ca="1">IFERROR(__xludf.DUMMYFUNCTION("""COMPUTED_VALUE"""),"20071010OHSUC")</f>
        <v>20071010OHSUC</v>
      </c>
      <c r="C1553" s="8" t="str">
        <f ca="1">IFERROR(__xludf.DUMMYFUNCTION("""COMPUTED_VALUE"""),"Wounded")</f>
        <v>Wounded</v>
      </c>
      <c r="D1553" s="8" t="str">
        <f ca="1">IFERROR(__xludf.DUMMYFUNCTION("""COMPUTED_VALUE"""),"Male")</f>
        <v>Male</v>
      </c>
      <c r="E1553" s="8" t="str">
        <f ca="1">IFERROR(__xludf.DUMMYFUNCTION("""COMPUTED_VALUE"""),"Teacher")</f>
        <v>Teacher</v>
      </c>
      <c r="F1553" s="8">
        <f ca="1">IFERROR(__xludf.DUMMYFUNCTION("""COMPUTED_VALUE"""),42)</f>
        <v>42</v>
      </c>
    </row>
    <row r="1554" spans="1:6" ht="12.75">
      <c r="A1554" s="4">
        <v>1553</v>
      </c>
      <c r="B1554" s="8" t="str">
        <f ca="1">IFERROR(__xludf.DUMMYFUNCTION("""COMPUTED_VALUE"""),"20071010OHSUC")</f>
        <v>20071010OHSUC</v>
      </c>
      <c r="C1554" s="8" t="str">
        <f ca="1">IFERROR(__xludf.DUMMYFUNCTION("""COMPUTED_VALUE"""),"Wounded")</f>
        <v>Wounded</v>
      </c>
      <c r="D1554" s="8" t="str">
        <f ca="1">IFERROR(__xludf.DUMMYFUNCTION("""COMPUTED_VALUE"""),"Male")</f>
        <v>Male</v>
      </c>
      <c r="E1554" s="8" t="str">
        <f ca="1">IFERROR(__xludf.DUMMYFUNCTION("""COMPUTED_VALUE"""),"Student")</f>
        <v>Student</v>
      </c>
      <c r="F1554" s="8">
        <f ca="1">IFERROR(__xludf.DUMMYFUNCTION("""COMPUTED_VALUE"""),15)</f>
        <v>15</v>
      </c>
    </row>
    <row r="1555" spans="1:6" ht="12.75">
      <c r="A1555" s="4">
        <v>1554</v>
      </c>
      <c r="B1555" s="8" t="str">
        <f ca="1">IFERROR(__xludf.DUMMYFUNCTION("""COMPUTED_VALUE"""),"20071010OHSUC")</f>
        <v>20071010OHSUC</v>
      </c>
      <c r="C1555" s="8" t="str">
        <f ca="1">IFERROR(__xludf.DUMMYFUNCTION("""COMPUTED_VALUE"""),"Wounded")</f>
        <v>Wounded</v>
      </c>
      <c r="D1555" s="8" t="str">
        <f ca="1">IFERROR(__xludf.DUMMYFUNCTION("""COMPUTED_VALUE"""),"Female")</f>
        <v>Female</v>
      </c>
      <c r="E1555" s="8" t="str">
        <f ca="1">IFERROR(__xludf.DUMMYFUNCTION("""COMPUTED_VALUE"""),"Student")</f>
        <v>Student</v>
      </c>
      <c r="F1555" s="8">
        <f ca="1">IFERROR(__xludf.DUMMYFUNCTION("""COMPUTED_VALUE"""),15)</f>
        <v>15</v>
      </c>
    </row>
    <row r="1556" spans="1:6" ht="12.75">
      <c r="A1556" s="4">
        <v>1555</v>
      </c>
      <c r="B1556" s="8" t="str">
        <f ca="1">IFERROR(__xludf.DUMMYFUNCTION("""COMPUTED_VALUE"""),"20071001CTPLM")</f>
        <v>20071001CTPLM</v>
      </c>
      <c r="C1556" s="8" t="str">
        <f ca="1">IFERROR(__xludf.DUMMYFUNCTION("""COMPUTED_VALUE"""),"Wounded")</f>
        <v>Wounded</v>
      </c>
      <c r="D1556" s="8" t="str">
        <f ca="1">IFERROR(__xludf.DUMMYFUNCTION("""COMPUTED_VALUE"""),"Male")</f>
        <v>Male</v>
      </c>
      <c r="E1556" s="8" t="str">
        <f ca="1">IFERROR(__xludf.DUMMYFUNCTION("""COMPUTED_VALUE"""),"Student")</f>
        <v>Student</v>
      </c>
      <c r="F1556" s="8">
        <f ca="1">IFERROR(__xludf.DUMMYFUNCTION("""COMPUTED_VALUE"""),16)</f>
        <v>16</v>
      </c>
    </row>
    <row r="1557" spans="1:6" ht="12.75">
      <c r="A1557" s="4">
        <v>1556</v>
      </c>
      <c r="B1557" s="8" t="str">
        <f ca="1">IFERROR(__xludf.DUMMYFUNCTION("""COMPUTED_VALUE"""),"20070930AZSSP")</f>
        <v>20070930AZSSP</v>
      </c>
      <c r="C1557" s="8" t="str">
        <f ca="1">IFERROR(__xludf.DUMMYFUNCTION("""COMPUTED_VALUE"""),"Wounded")</f>
        <v>Wounded</v>
      </c>
      <c r="D1557" s="8" t="str">
        <f ca="1">IFERROR(__xludf.DUMMYFUNCTION("""COMPUTED_VALUE"""),"Male")</f>
        <v>Male</v>
      </c>
      <c r="E1557" s="8"/>
      <c r="F1557" s="8"/>
    </row>
    <row r="1558" spans="1:6" ht="12.75">
      <c r="A1558" s="4">
        <v>1557</v>
      </c>
      <c r="B1558" s="8" t="str">
        <f ca="1">IFERROR(__xludf.DUMMYFUNCTION("""COMPUTED_VALUE"""),"20070930AZSSP")</f>
        <v>20070930AZSSP</v>
      </c>
      <c r="C1558" s="8" t="str">
        <f ca="1">IFERROR(__xludf.DUMMYFUNCTION("""COMPUTED_VALUE"""),"Wounded")</f>
        <v>Wounded</v>
      </c>
      <c r="D1558" s="8" t="str">
        <f ca="1">IFERROR(__xludf.DUMMYFUNCTION("""COMPUTED_VALUE"""),"Female")</f>
        <v>Female</v>
      </c>
      <c r="E1558" s="8"/>
      <c r="F1558" s="8"/>
    </row>
    <row r="1559" spans="1:6" ht="12.75">
      <c r="A1559" s="4">
        <v>1558</v>
      </c>
      <c r="B1559" s="8" t="str">
        <f ca="1">IFERROR(__xludf.DUMMYFUNCTION("""COMPUTED_VALUE"""),"20070928CALAO")</f>
        <v>20070928CALAO</v>
      </c>
      <c r="C1559" s="8" t="str">
        <f ca="1">IFERROR(__xludf.DUMMYFUNCTION("""COMPUTED_VALUE"""),"None")</f>
        <v>None</v>
      </c>
      <c r="D1559" s="8"/>
      <c r="E1559" s="8"/>
      <c r="F1559" s="8"/>
    </row>
    <row r="1560" spans="1:6" ht="12.75">
      <c r="A1560" s="4">
        <v>1559</v>
      </c>
      <c r="B1560" s="8" t="str">
        <f ca="1">IFERROR(__xludf.DUMMYFUNCTION("""COMPUTED_VALUE"""),"20070804NJMON")</f>
        <v>20070804NJMON</v>
      </c>
      <c r="C1560" s="8" t="str">
        <f ca="1">IFERROR(__xludf.DUMMYFUNCTION("""COMPUTED_VALUE"""),"Fatal")</f>
        <v>Fatal</v>
      </c>
      <c r="D1560" s="8" t="str">
        <f ca="1">IFERROR(__xludf.DUMMYFUNCTION("""COMPUTED_VALUE"""),"Male")</f>
        <v>Male</v>
      </c>
      <c r="E1560" s="8" t="str">
        <f ca="1">IFERROR(__xludf.DUMMYFUNCTION("""COMPUTED_VALUE"""),"No Relation")</f>
        <v>No Relation</v>
      </c>
      <c r="F1560" s="8">
        <f ca="1">IFERROR(__xludf.DUMMYFUNCTION("""COMPUTED_VALUE"""),17)</f>
        <v>17</v>
      </c>
    </row>
    <row r="1561" spans="1:6" ht="12.75">
      <c r="A1561" s="4">
        <v>1560</v>
      </c>
      <c r="B1561" s="8" t="str">
        <f ca="1">IFERROR(__xludf.DUMMYFUNCTION("""COMPUTED_VALUE"""),"20070804NJMON")</f>
        <v>20070804NJMON</v>
      </c>
      <c r="C1561" s="8" t="str">
        <f ca="1">IFERROR(__xludf.DUMMYFUNCTION("""COMPUTED_VALUE"""),"Wounded")</f>
        <v>Wounded</v>
      </c>
      <c r="D1561" s="8" t="str">
        <f ca="1">IFERROR(__xludf.DUMMYFUNCTION("""COMPUTED_VALUE"""),"Male")</f>
        <v>Male</v>
      </c>
      <c r="E1561" s="8" t="str">
        <f ca="1">IFERROR(__xludf.DUMMYFUNCTION("""COMPUTED_VALUE"""),"No Relation")</f>
        <v>No Relation</v>
      </c>
      <c r="F1561" s="8">
        <f ca="1">IFERROR(__xludf.DUMMYFUNCTION("""COMPUTED_VALUE"""),15)</f>
        <v>15</v>
      </c>
    </row>
    <row r="1562" spans="1:6" ht="12.75">
      <c r="A1562" s="4">
        <v>1561</v>
      </c>
      <c r="B1562" s="8" t="str">
        <f ca="1">IFERROR(__xludf.DUMMYFUNCTION("""COMPUTED_VALUE"""),"20070804NJMON")</f>
        <v>20070804NJMON</v>
      </c>
      <c r="C1562" s="8" t="str">
        <f ca="1">IFERROR(__xludf.DUMMYFUNCTION("""COMPUTED_VALUE"""),"Fatal")</f>
        <v>Fatal</v>
      </c>
      <c r="D1562" s="8" t="str">
        <f ca="1">IFERROR(__xludf.DUMMYFUNCTION("""COMPUTED_VALUE"""),"Male")</f>
        <v>Male</v>
      </c>
      <c r="E1562" s="8" t="str">
        <f ca="1">IFERROR(__xludf.DUMMYFUNCTION("""COMPUTED_VALUE"""),"No Relation")</f>
        <v>No Relation</v>
      </c>
      <c r="F1562" s="8">
        <f ca="1">IFERROR(__xludf.DUMMYFUNCTION("""COMPUTED_VALUE"""),18)</f>
        <v>18</v>
      </c>
    </row>
    <row r="1563" spans="1:6" ht="12.75">
      <c r="A1563" s="4">
        <v>1562</v>
      </c>
      <c r="B1563" s="8" t="str">
        <f ca="1">IFERROR(__xludf.DUMMYFUNCTION("""COMPUTED_VALUE"""),"20070804NJMON")</f>
        <v>20070804NJMON</v>
      </c>
      <c r="C1563" s="8" t="str">
        <f ca="1">IFERROR(__xludf.DUMMYFUNCTION("""COMPUTED_VALUE"""),"Fatal")</f>
        <v>Fatal</v>
      </c>
      <c r="D1563" s="8" t="str">
        <f ca="1">IFERROR(__xludf.DUMMYFUNCTION("""COMPUTED_VALUE"""),"Male")</f>
        <v>Male</v>
      </c>
      <c r="E1563" s="8" t="str">
        <f ca="1">IFERROR(__xludf.DUMMYFUNCTION("""COMPUTED_VALUE"""),"No Relation")</f>
        <v>No Relation</v>
      </c>
      <c r="F1563" s="8">
        <f ca="1">IFERROR(__xludf.DUMMYFUNCTION("""COMPUTED_VALUE"""),28)</f>
        <v>28</v>
      </c>
    </row>
    <row r="1564" spans="1:6" ht="12.75">
      <c r="A1564" s="4">
        <v>1563</v>
      </c>
      <c r="B1564" s="8" t="str">
        <f ca="1">IFERROR(__xludf.DUMMYFUNCTION("""COMPUTED_VALUE"""),"20070709ILCAC")</f>
        <v>20070709ILCAC</v>
      </c>
      <c r="C1564" s="8" t="str">
        <f ca="1">IFERROR(__xludf.DUMMYFUNCTION("""COMPUTED_VALUE"""),"Wounded")</f>
        <v>Wounded</v>
      </c>
      <c r="D1564" s="8" t="str">
        <f ca="1">IFERROR(__xludf.DUMMYFUNCTION("""COMPUTED_VALUE"""),"Male")</f>
        <v>Male</v>
      </c>
      <c r="E1564" s="8" t="str">
        <f ca="1">IFERROR(__xludf.DUMMYFUNCTION("""COMPUTED_VALUE"""),"No Relation")</f>
        <v>No Relation</v>
      </c>
      <c r="F1564" s="8">
        <f ca="1">IFERROR(__xludf.DUMMYFUNCTION("""COMPUTED_VALUE"""),14)</f>
        <v>14</v>
      </c>
    </row>
    <row r="1565" spans="1:6" ht="12.75">
      <c r="A1565" s="4">
        <v>1564</v>
      </c>
      <c r="B1565" s="8" t="str">
        <f ca="1">IFERROR(__xludf.DUMMYFUNCTION("""COMPUTED_VALUE"""),"20070709ILCAC")</f>
        <v>20070709ILCAC</v>
      </c>
      <c r="C1565" s="8" t="str">
        <f ca="1">IFERROR(__xludf.DUMMYFUNCTION("""COMPUTED_VALUE"""),"Wounded")</f>
        <v>Wounded</v>
      </c>
      <c r="D1565" s="8" t="str">
        <f ca="1">IFERROR(__xludf.DUMMYFUNCTION("""COMPUTED_VALUE"""),"Male")</f>
        <v>Male</v>
      </c>
      <c r="E1565" s="8" t="str">
        <f ca="1">IFERROR(__xludf.DUMMYFUNCTION("""COMPUTED_VALUE"""),"No Relation")</f>
        <v>No Relation</v>
      </c>
      <c r="F1565" s="8">
        <f ca="1">IFERROR(__xludf.DUMMYFUNCTION("""COMPUTED_VALUE"""),15)</f>
        <v>15</v>
      </c>
    </row>
    <row r="1566" spans="1:6" ht="12.75">
      <c r="A1566" s="4">
        <v>1565</v>
      </c>
      <c r="B1566" s="8" t="str">
        <f ca="1">IFERROR(__xludf.DUMMYFUNCTION("""COMPUTED_VALUE"""),"20070628TXDAD")</f>
        <v>20070628TXDAD</v>
      </c>
      <c r="C1566" s="8" t="str">
        <f ca="1">IFERROR(__xludf.DUMMYFUNCTION("""COMPUTED_VALUE"""),"Wounded")</f>
        <v>Wounded</v>
      </c>
      <c r="D1566" s="8" t="str">
        <f ca="1">IFERROR(__xludf.DUMMYFUNCTION("""COMPUTED_VALUE"""),"Male")</f>
        <v>Male</v>
      </c>
      <c r="E1566" s="8" t="str">
        <f ca="1">IFERROR(__xludf.DUMMYFUNCTION("""COMPUTED_VALUE"""),"Student")</f>
        <v>Student</v>
      </c>
      <c r="F1566" s="8" t="str">
        <f ca="1">IFERROR(__xludf.DUMMYFUNCTION("""COMPUTED_VALUE"""),"Teen")</f>
        <v>Teen</v>
      </c>
    </row>
    <row r="1567" spans="1:6" ht="12.75">
      <c r="A1567" s="4">
        <v>1566</v>
      </c>
      <c r="B1567" s="8" t="str">
        <f ca="1">IFERROR(__xludf.DUMMYFUNCTION("""COMPUTED_VALUE"""),"20070628TXDAD")</f>
        <v>20070628TXDAD</v>
      </c>
      <c r="C1567" s="8" t="str">
        <f ca="1">IFERROR(__xludf.DUMMYFUNCTION("""COMPUTED_VALUE"""),"Wounded")</f>
        <v>Wounded</v>
      </c>
      <c r="D1567" s="8" t="str">
        <f ca="1">IFERROR(__xludf.DUMMYFUNCTION("""COMPUTED_VALUE"""),"Male")</f>
        <v>Male</v>
      </c>
      <c r="E1567" s="8" t="str">
        <f ca="1">IFERROR(__xludf.DUMMYFUNCTION("""COMPUTED_VALUE"""),"Student")</f>
        <v>Student</v>
      </c>
      <c r="F1567" s="8" t="str">
        <f ca="1">IFERROR(__xludf.DUMMYFUNCTION("""COMPUTED_VALUE"""),"Teen")</f>
        <v>Teen</v>
      </c>
    </row>
    <row r="1568" spans="1:6" ht="12.75">
      <c r="A1568" s="4">
        <v>1567</v>
      </c>
      <c r="B1568" s="8" t="str">
        <f ca="1">IFERROR(__xludf.DUMMYFUNCTION("""COMPUTED_VALUE"""),"20070617SCBRB")</f>
        <v>20070617SCBRB</v>
      </c>
      <c r="C1568" s="8" t="str">
        <f ca="1">IFERROR(__xludf.DUMMYFUNCTION("""COMPUTED_VALUE"""),"Wounded")</f>
        <v>Wounded</v>
      </c>
      <c r="D1568" s="8" t="str">
        <f ca="1">IFERROR(__xludf.DUMMYFUNCTION("""COMPUTED_VALUE"""),"Male")</f>
        <v>Male</v>
      </c>
      <c r="E1568" s="8" t="str">
        <f ca="1">IFERROR(__xludf.DUMMYFUNCTION("""COMPUTED_VALUE"""),"Nonstudent")</f>
        <v>Nonstudent</v>
      </c>
      <c r="F1568" s="8">
        <f ca="1">IFERROR(__xludf.DUMMYFUNCTION("""COMPUTED_VALUE"""),22)</f>
        <v>22</v>
      </c>
    </row>
    <row r="1569" spans="1:6" ht="12.75">
      <c r="A1569" s="4">
        <v>1568</v>
      </c>
      <c r="B1569" s="8" t="str">
        <f ca="1">IFERROR(__xludf.DUMMYFUNCTION("""COMPUTED_VALUE"""),"20070531NCNOG")</f>
        <v>20070531NCNOG</v>
      </c>
      <c r="C1569" s="8" t="str">
        <f ca="1">IFERROR(__xludf.DUMMYFUNCTION("""COMPUTED_VALUE"""),"Minor Injuries")</f>
        <v>Minor Injuries</v>
      </c>
      <c r="D1569" s="8" t="str">
        <f ca="1">IFERROR(__xludf.DUMMYFUNCTION("""COMPUTED_VALUE"""),"Unknown")</f>
        <v>Unknown</v>
      </c>
      <c r="E1569" s="8" t="str">
        <f ca="1">IFERROR(__xludf.DUMMYFUNCTION("""COMPUTED_VALUE"""),"Student")</f>
        <v>Student</v>
      </c>
      <c r="F1569" s="8" t="str">
        <f ca="1">IFERROR(__xludf.DUMMYFUNCTION("""COMPUTED_VALUE"""),"Child")</f>
        <v>Child</v>
      </c>
    </row>
    <row r="1570" spans="1:6" ht="12.75">
      <c r="A1570" s="4">
        <v>1569</v>
      </c>
      <c r="B1570" s="8" t="str">
        <f ca="1">IFERROR(__xludf.DUMMYFUNCTION("""COMPUTED_VALUE"""),"20070531NCNOG")</f>
        <v>20070531NCNOG</v>
      </c>
      <c r="C1570" s="8" t="str">
        <f ca="1">IFERROR(__xludf.DUMMYFUNCTION("""COMPUTED_VALUE"""),"Minor Injuries")</f>
        <v>Minor Injuries</v>
      </c>
      <c r="D1570" s="8" t="str">
        <f ca="1">IFERROR(__xludf.DUMMYFUNCTION("""COMPUTED_VALUE"""),"Unknown")</f>
        <v>Unknown</v>
      </c>
      <c r="E1570" s="8" t="str">
        <f ca="1">IFERROR(__xludf.DUMMYFUNCTION("""COMPUTED_VALUE"""),"Student")</f>
        <v>Student</v>
      </c>
      <c r="F1570" s="8" t="str">
        <f ca="1">IFERROR(__xludf.DUMMYFUNCTION("""COMPUTED_VALUE"""),"Child")</f>
        <v>Child</v>
      </c>
    </row>
    <row r="1571" spans="1:6" ht="12.75">
      <c r="A1571" s="4">
        <v>1570</v>
      </c>
      <c r="B1571" s="8" t="str">
        <f ca="1">IFERROR(__xludf.DUMMYFUNCTION("""COMPUTED_VALUE"""),"20070531NCNOG")</f>
        <v>20070531NCNOG</v>
      </c>
      <c r="C1571" s="8" t="str">
        <f ca="1">IFERROR(__xludf.DUMMYFUNCTION("""COMPUTED_VALUE"""),"Minor Injuries")</f>
        <v>Minor Injuries</v>
      </c>
      <c r="D1571" s="8" t="str">
        <f ca="1">IFERROR(__xludf.DUMMYFUNCTION("""COMPUTED_VALUE"""),"Unknown")</f>
        <v>Unknown</v>
      </c>
      <c r="E1571" s="8" t="str">
        <f ca="1">IFERROR(__xludf.DUMMYFUNCTION("""COMPUTED_VALUE"""),"Student")</f>
        <v>Student</v>
      </c>
      <c r="F1571" s="8" t="str">
        <f ca="1">IFERROR(__xludf.DUMMYFUNCTION("""COMPUTED_VALUE"""),"Child")</f>
        <v>Child</v>
      </c>
    </row>
    <row r="1572" spans="1:6" ht="12.75">
      <c r="A1572" s="4">
        <v>1571</v>
      </c>
      <c r="B1572" s="8" t="str">
        <f ca="1">IFERROR(__xludf.DUMMYFUNCTION("""COMPUTED_VALUE"""),"20070530NCVAG")</f>
        <v>20070530NCVAG</v>
      </c>
      <c r="C1572" s="8" t="str">
        <f ca="1">IFERROR(__xludf.DUMMYFUNCTION("""COMPUTED_VALUE"""),"Wounded")</f>
        <v>Wounded</v>
      </c>
      <c r="D1572" s="8" t="str">
        <f ca="1">IFERROR(__xludf.DUMMYFUNCTION("""COMPUTED_VALUE"""),"Unknown")</f>
        <v>Unknown</v>
      </c>
      <c r="E1572" s="8" t="str">
        <f ca="1">IFERROR(__xludf.DUMMYFUNCTION("""COMPUTED_VALUE"""),"Parent")</f>
        <v>Parent</v>
      </c>
      <c r="F1572" s="8" t="str">
        <f ca="1">IFERROR(__xludf.DUMMYFUNCTION("""COMPUTED_VALUE"""),"Adult")</f>
        <v>Adult</v>
      </c>
    </row>
    <row r="1573" spans="1:6" ht="12.75">
      <c r="A1573" s="4">
        <v>1572</v>
      </c>
      <c r="B1573" s="8" t="str">
        <f ca="1">IFERROR(__xludf.DUMMYFUNCTION("""COMPUTED_VALUE"""),"20070523RIOAC")</f>
        <v>20070523RIOAC</v>
      </c>
      <c r="C1573" s="8" t="str">
        <f ca="1">IFERROR(__xludf.DUMMYFUNCTION("""COMPUTED_VALUE"""),"Wounded")</f>
        <v>Wounded</v>
      </c>
      <c r="D1573" s="8" t="str">
        <f ca="1">IFERROR(__xludf.DUMMYFUNCTION("""COMPUTED_VALUE"""),"Male")</f>
        <v>Male</v>
      </c>
      <c r="E1573" s="8" t="str">
        <f ca="1">IFERROR(__xludf.DUMMYFUNCTION("""COMPUTED_VALUE"""),"Student")</f>
        <v>Student</v>
      </c>
      <c r="F1573" s="8">
        <f ca="1">IFERROR(__xludf.DUMMYFUNCTION("""COMPUTED_VALUE"""),13)</f>
        <v>13</v>
      </c>
    </row>
    <row r="1574" spans="1:6" ht="12.75">
      <c r="A1574" s="4">
        <v>1573</v>
      </c>
      <c r="B1574" s="8" t="str">
        <f ca="1">IFERROR(__xludf.DUMMYFUNCTION("""COMPUTED_VALUE"""),"20070515TXLIL")</f>
        <v>20070515TXLIL</v>
      </c>
      <c r="C1574" s="8" t="str">
        <f ca="1">IFERROR(__xludf.DUMMYFUNCTION("""COMPUTED_VALUE"""),"None")</f>
        <v>None</v>
      </c>
      <c r="D1574" s="8"/>
      <c r="E1574" s="8"/>
      <c r="F1574" s="8"/>
    </row>
    <row r="1575" spans="1:6" ht="12.75">
      <c r="A1575" s="4">
        <v>1574</v>
      </c>
      <c r="B1575" s="8" t="str">
        <f ca="1">IFERROR(__xludf.DUMMYFUNCTION("""COMPUTED_VALUE"""),"20070512TXWEM")</f>
        <v>20070512TXWEM</v>
      </c>
      <c r="C1575" s="8" t="str">
        <f ca="1">IFERROR(__xludf.DUMMYFUNCTION("""COMPUTED_VALUE"""),"Wounded")</f>
        <v>Wounded</v>
      </c>
      <c r="D1575" s="8" t="str">
        <f ca="1">IFERROR(__xludf.DUMMYFUNCTION("""COMPUTED_VALUE"""),"Male")</f>
        <v>Male</v>
      </c>
      <c r="E1575" s="8" t="str">
        <f ca="1">IFERROR(__xludf.DUMMYFUNCTION("""COMPUTED_VALUE"""),"Student")</f>
        <v>Student</v>
      </c>
      <c r="F1575" s="8">
        <f ca="1">IFERROR(__xludf.DUMMYFUNCTION("""COMPUTED_VALUE"""),18)</f>
        <v>18</v>
      </c>
    </row>
    <row r="1576" spans="1:6" ht="12.75">
      <c r="A1576" s="4">
        <v>1575</v>
      </c>
      <c r="B1576" s="8" t="str">
        <f ca="1">IFERROR(__xludf.DUMMYFUNCTION("""COMPUTED_VALUE"""),"20070510MIHED")</f>
        <v>20070510MIHED</v>
      </c>
      <c r="C1576" s="8" t="str">
        <f ca="1">IFERROR(__xludf.DUMMYFUNCTION("""COMPUTED_VALUE"""),"Wounded")</f>
        <v>Wounded</v>
      </c>
      <c r="D1576" s="8" t="str">
        <f ca="1">IFERROR(__xludf.DUMMYFUNCTION("""COMPUTED_VALUE"""),"Male")</f>
        <v>Male</v>
      </c>
      <c r="E1576" s="8" t="str">
        <f ca="1">IFERROR(__xludf.DUMMYFUNCTION("""COMPUTED_VALUE"""),"Student")</f>
        <v>Student</v>
      </c>
      <c r="F1576" s="8">
        <f ca="1">IFERROR(__xludf.DUMMYFUNCTION("""COMPUTED_VALUE"""),17)</f>
        <v>17</v>
      </c>
    </row>
    <row r="1577" spans="1:6" ht="12.75">
      <c r="A1577" s="4">
        <v>1576</v>
      </c>
      <c r="B1577" s="8" t="str">
        <f ca="1">IFERROR(__xludf.DUMMYFUNCTION("""COMPUTED_VALUE"""),"20070510MIHED")</f>
        <v>20070510MIHED</v>
      </c>
      <c r="C1577" s="8" t="str">
        <f ca="1">IFERROR(__xludf.DUMMYFUNCTION("""COMPUTED_VALUE"""),"Wounded")</f>
        <v>Wounded</v>
      </c>
      <c r="D1577" s="8" t="str">
        <f ca="1">IFERROR(__xludf.DUMMYFUNCTION("""COMPUTED_VALUE"""),"Male")</f>
        <v>Male</v>
      </c>
      <c r="E1577" s="8" t="str">
        <f ca="1">IFERROR(__xludf.DUMMYFUNCTION("""COMPUTED_VALUE"""),"Student")</f>
        <v>Student</v>
      </c>
      <c r="F1577" s="8">
        <f ca="1">IFERROR(__xludf.DUMMYFUNCTION("""COMPUTED_VALUE"""),17)</f>
        <v>17</v>
      </c>
    </row>
    <row r="1578" spans="1:6" ht="12.75">
      <c r="A1578" s="4">
        <v>1577</v>
      </c>
      <c r="B1578" s="8" t="str">
        <f ca="1">IFERROR(__xludf.DUMMYFUNCTION("""COMPUTED_VALUE"""),"20070504TXTIE")</f>
        <v>20070504TXTIE</v>
      </c>
      <c r="C1578" s="8" t="str">
        <f ca="1">IFERROR(__xludf.DUMMYFUNCTION("""COMPUTED_VALUE"""),"None")</f>
        <v>None</v>
      </c>
      <c r="D1578" s="8" t="str">
        <f ca="1">IFERROR(__xludf.DUMMYFUNCTION("""COMPUTED_VALUE"""),"Female")</f>
        <v>Female</v>
      </c>
      <c r="E1578" s="8" t="str">
        <f ca="1">IFERROR(__xludf.DUMMYFUNCTION("""COMPUTED_VALUE"""),"Student")</f>
        <v>Student</v>
      </c>
      <c r="F1578" s="8">
        <f ca="1">IFERROR(__xludf.DUMMYFUNCTION("""COMPUTED_VALUE"""),15)</f>
        <v>15</v>
      </c>
    </row>
    <row r="1579" spans="1:6" ht="12.75">
      <c r="A1579" s="4">
        <v>1578</v>
      </c>
      <c r="B1579" s="8" t="str">
        <f ca="1">IFERROR(__xludf.DUMMYFUNCTION("""COMPUTED_VALUE"""),"20070503OHGED")</f>
        <v>20070503OHGED</v>
      </c>
      <c r="C1579" s="8" t="str">
        <f ca="1">IFERROR(__xludf.DUMMYFUNCTION("""COMPUTED_VALUE"""),"Wounded")</f>
        <v>Wounded</v>
      </c>
      <c r="D1579" s="8" t="str">
        <f ca="1">IFERROR(__xludf.DUMMYFUNCTION("""COMPUTED_VALUE"""),"Female")</f>
        <v>Female</v>
      </c>
      <c r="E1579" s="8" t="str">
        <f ca="1">IFERROR(__xludf.DUMMYFUNCTION("""COMPUTED_VALUE"""),"Bus Driver")</f>
        <v>Bus Driver</v>
      </c>
      <c r="F1579" s="8" t="str">
        <f ca="1">IFERROR(__xludf.DUMMYFUNCTION("""COMPUTED_VALUE"""),"Adult")</f>
        <v>Adult</v>
      </c>
    </row>
    <row r="1580" spans="1:6" ht="12.75">
      <c r="A1580" s="4">
        <v>1579</v>
      </c>
      <c r="B1580" s="8" t="str">
        <f ca="1">IFERROR(__xludf.DUMMYFUNCTION("""COMPUTED_VALUE"""),"20070418NCNOH")</f>
        <v>20070418NCNOH</v>
      </c>
      <c r="C1580" s="8" t="str">
        <f ca="1">IFERROR(__xludf.DUMMYFUNCTION("""COMPUTED_VALUE"""),"None")</f>
        <v>None</v>
      </c>
      <c r="D1580" s="8"/>
      <c r="E1580" s="8"/>
      <c r="F1580" s="8"/>
    </row>
    <row r="1581" spans="1:6" ht="12.75">
      <c r="A1581" s="4">
        <v>1580</v>
      </c>
      <c r="B1581" s="8" t="str">
        <f ca="1">IFERROR(__xludf.DUMMYFUNCTION("""COMPUTED_VALUE"""),"20070410ORSPG")</f>
        <v>20070410ORSPG</v>
      </c>
      <c r="C1581" s="8" t="str">
        <f ca="1">IFERROR(__xludf.DUMMYFUNCTION("""COMPUTED_VALUE"""),"Wounded")</f>
        <v>Wounded</v>
      </c>
      <c r="D1581" s="8" t="str">
        <f ca="1">IFERROR(__xludf.DUMMYFUNCTION("""COMPUTED_VALUE"""),"Unknown")</f>
        <v>Unknown</v>
      </c>
      <c r="E1581" s="8" t="str">
        <f ca="1">IFERROR(__xludf.DUMMYFUNCTION("""COMPUTED_VALUE"""),"Student")</f>
        <v>Student</v>
      </c>
      <c r="F1581" s="8" t="str">
        <f ca="1">IFERROR(__xludf.DUMMYFUNCTION("""COMPUTED_VALUE"""),"Teen")</f>
        <v>Teen</v>
      </c>
    </row>
    <row r="1582" spans="1:6" ht="12.75">
      <c r="A1582" s="4">
        <v>1581</v>
      </c>
      <c r="B1582" s="8" t="str">
        <f ca="1">IFERROR(__xludf.DUMMYFUNCTION("""COMPUTED_VALUE"""),"20070410ORSPG")</f>
        <v>20070410ORSPG</v>
      </c>
      <c r="C1582" s="8" t="str">
        <f ca="1">IFERROR(__xludf.DUMMYFUNCTION("""COMPUTED_VALUE"""),"Wounded")</f>
        <v>Wounded</v>
      </c>
      <c r="D1582" s="8" t="str">
        <f ca="1">IFERROR(__xludf.DUMMYFUNCTION("""COMPUTED_VALUE"""),"Unknown")</f>
        <v>Unknown</v>
      </c>
      <c r="E1582" s="8" t="str">
        <f ca="1">IFERROR(__xludf.DUMMYFUNCTION("""COMPUTED_VALUE"""),"Student")</f>
        <v>Student</v>
      </c>
      <c r="F1582" s="8" t="str">
        <f ca="1">IFERROR(__xludf.DUMMYFUNCTION("""COMPUTED_VALUE"""),"Teen")</f>
        <v>Teen</v>
      </c>
    </row>
    <row r="1583" spans="1:6" ht="12.75">
      <c r="A1583" s="4">
        <v>1582</v>
      </c>
      <c r="B1583" s="8" t="str">
        <f ca="1">IFERROR(__xludf.DUMMYFUNCTION("""COMPUTED_VALUE"""),"20070410ORSPG")</f>
        <v>20070410ORSPG</v>
      </c>
      <c r="C1583" s="8" t="str">
        <f ca="1">IFERROR(__xludf.DUMMYFUNCTION("""COMPUTED_VALUE"""),"Wounded")</f>
        <v>Wounded</v>
      </c>
      <c r="D1583" s="8" t="str">
        <f ca="1">IFERROR(__xludf.DUMMYFUNCTION("""COMPUTED_VALUE"""),"Unknown")</f>
        <v>Unknown</v>
      </c>
      <c r="E1583" s="8" t="str">
        <f ca="1">IFERROR(__xludf.DUMMYFUNCTION("""COMPUTED_VALUE"""),"Student")</f>
        <v>Student</v>
      </c>
      <c r="F1583" s="8" t="str">
        <f ca="1">IFERROR(__xludf.DUMMYFUNCTION("""COMPUTED_VALUE"""),"Teen")</f>
        <v>Teen</v>
      </c>
    </row>
    <row r="1584" spans="1:6" ht="12.75">
      <c r="A1584" s="4">
        <v>1583</v>
      </c>
      <c r="B1584" s="8" t="str">
        <f ca="1">IFERROR(__xludf.DUMMYFUNCTION("""COMPUTED_VALUE"""),"20070410ORSPG")</f>
        <v>20070410ORSPG</v>
      </c>
      <c r="C1584" s="8" t="str">
        <f ca="1">IFERROR(__xludf.DUMMYFUNCTION("""COMPUTED_VALUE"""),"Wounded")</f>
        <v>Wounded</v>
      </c>
      <c r="D1584" s="8" t="str">
        <f ca="1">IFERROR(__xludf.DUMMYFUNCTION("""COMPUTED_VALUE"""),"Unknown")</f>
        <v>Unknown</v>
      </c>
      <c r="E1584" s="8" t="str">
        <f ca="1">IFERROR(__xludf.DUMMYFUNCTION("""COMPUTED_VALUE"""),"Student")</f>
        <v>Student</v>
      </c>
      <c r="F1584" s="8" t="str">
        <f ca="1">IFERROR(__xludf.DUMMYFUNCTION("""COMPUTED_VALUE"""),"Teen")</f>
        <v>Teen</v>
      </c>
    </row>
    <row r="1585" spans="1:6" ht="12.75">
      <c r="A1585" s="4">
        <v>1584</v>
      </c>
      <c r="B1585" s="8" t="str">
        <f ca="1">IFERROR(__xludf.DUMMYFUNCTION("""COMPUTED_VALUE"""),"20070410ORSPG")</f>
        <v>20070410ORSPG</v>
      </c>
      <c r="C1585" s="8" t="str">
        <f ca="1">IFERROR(__xludf.DUMMYFUNCTION("""COMPUTED_VALUE"""),"Wounded")</f>
        <v>Wounded</v>
      </c>
      <c r="D1585" s="8" t="str">
        <f ca="1">IFERROR(__xludf.DUMMYFUNCTION("""COMPUTED_VALUE"""),"Unknown")</f>
        <v>Unknown</v>
      </c>
      <c r="E1585" s="8" t="str">
        <f ca="1">IFERROR(__xludf.DUMMYFUNCTION("""COMPUTED_VALUE"""),"Student")</f>
        <v>Student</v>
      </c>
      <c r="F1585" s="8" t="str">
        <f ca="1">IFERROR(__xludf.DUMMYFUNCTION("""COMPUTED_VALUE"""),"Teen")</f>
        <v>Teen</v>
      </c>
    </row>
    <row r="1586" spans="1:6" ht="12.75">
      <c r="A1586" s="4">
        <v>1585</v>
      </c>
      <c r="B1586" s="8" t="str">
        <f ca="1">IFERROR(__xludf.DUMMYFUNCTION("""COMPUTED_VALUE"""),"20070410ORSPG")</f>
        <v>20070410ORSPG</v>
      </c>
      <c r="C1586" s="8" t="str">
        <f ca="1">IFERROR(__xludf.DUMMYFUNCTION("""COMPUTED_VALUE"""),"Wounded")</f>
        <v>Wounded</v>
      </c>
      <c r="D1586" s="8" t="str">
        <f ca="1">IFERROR(__xludf.DUMMYFUNCTION("""COMPUTED_VALUE"""),"Unknown")</f>
        <v>Unknown</v>
      </c>
      <c r="E1586" s="8" t="str">
        <f ca="1">IFERROR(__xludf.DUMMYFUNCTION("""COMPUTED_VALUE"""),"Student")</f>
        <v>Student</v>
      </c>
      <c r="F1586" s="8" t="str">
        <f ca="1">IFERROR(__xludf.DUMMYFUNCTION("""COMPUTED_VALUE"""),"Teen")</f>
        <v>Teen</v>
      </c>
    </row>
    <row r="1587" spans="1:6" ht="12.75">
      <c r="A1587" s="4">
        <v>1586</v>
      </c>
      <c r="B1587" s="8" t="str">
        <f ca="1">IFERROR(__xludf.DUMMYFUNCTION("""COMPUTED_VALUE"""),"20070410ORSPG")</f>
        <v>20070410ORSPG</v>
      </c>
      <c r="C1587" s="8" t="str">
        <f ca="1">IFERROR(__xludf.DUMMYFUNCTION("""COMPUTED_VALUE"""),"Wounded")</f>
        <v>Wounded</v>
      </c>
      <c r="D1587" s="8" t="str">
        <f ca="1">IFERROR(__xludf.DUMMYFUNCTION("""COMPUTED_VALUE"""),"Unknown")</f>
        <v>Unknown</v>
      </c>
      <c r="E1587" s="8" t="str">
        <f ca="1">IFERROR(__xludf.DUMMYFUNCTION("""COMPUTED_VALUE"""),"Student")</f>
        <v>Student</v>
      </c>
      <c r="F1587" s="8" t="str">
        <f ca="1">IFERROR(__xludf.DUMMYFUNCTION("""COMPUTED_VALUE"""),"Teen")</f>
        <v>Teen</v>
      </c>
    </row>
    <row r="1588" spans="1:6" ht="12.75">
      <c r="A1588" s="4">
        <v>1587</v>
      </c>
      <c r="B1588" s="8" t="str">
        <f ca="1">IFERROR(__xludf.DUMMYFUNCTION("""COMPUTED_VALUE"""),"20070410ORSPG")</f>
        <v>20070410ORSPG</v>
      </c>
      <c r="C1588" s="8" t="str">
        <f ca="1">IFERROR(__xludf.DUMMYFUNCTION("""COMPUTED_VALUE"""),"Wounded")</f>
        <v>Wounded</v>
      </c>
      <c r="D1588" s="8" t="str">
        <f ca="1">IFERROR(__xludf.DUMMYFUNCTION("""COMPUTED_VALUE"""),"Unknown")</f>
        <v>Unknown</v>
      </c>
      <c r="E1588" s="8" t="str">
        <f ca="1">IFERROR(__xludf.DUMMYFUNCTION("""COMPUTED_VALUE"""),"Student")</f>
        <v>Student</v>
      </c>
      <c r="F1588" s="8" t="str">
        <f ca="1">IFERROR(__xludf.DUMMYFUNCTION("""COMPUTED_VALUE"""),"Teen")</f>
        <v>Teen</v>
      </c>
    </row>
    <row r="1589" spans="1:6" ht="12.75">
      <c r="A1589" s="4">
        <v>1588</v>
      </c>
      <c r="B1589" s="8" t="str">
        <f ca="1">IFERROR(__xludf.DUMMYFUNCTION("""COMPUTED_VALUE"""),"20070410ORSPG")</f>
        <v>20070410ORSPG</v>
      </c>
      <c r="C1589" s="8" t="str">
        <f ca="1">IFERROR(__xludf.DUMMYFUNCTION("""COMPUTED_VALUE"""),"Wounded")</f>
        <v>Wounded</v>
      </c>
      <c r="D1589" s="8" t="str">
        <f ca="1">IFERROR(__xludf.DUMMYFUNCTION("""COMPUTED_VALUE"""),"Unknown")</f>
        <v>Unknown</v>
      </c>
      <c r="E1589" s="8" t="str">
        <f ca="1">IFERROR(__xludf.DUMMYFUNCTION("""COMPUTED_VALUE"""),"Student")</f>
        <v>Student</v>
      </c>
      <c r="F1589" s="8" t="str">
        <f ca="1">IFERROR(__xludf.DUMMYFUNCTION("""COMPUTED_VALUE"""),"Teen")</f>
        <v>Teen</v>
      </c>
    </row>
    <row r="1590" spans="1:6" ht="12.75">
      <c r="A1590" s="4">
        <v>1589</v>
      </c>
      <c r="B1590" s="8" t="str">
        <f ca="1">IFERROR(__xludf.DUMMYFUNCTION("""COMPUTED_VALUE"""),"20070410ORSPG")</f>
        <v>20070410ORSPG</v>
      </c>
      <c r="C1590" s="8" t="str">
        <f ca="1">IFERROR(__xludf.DUMMYFUNCTION("""COMPUTED_VALUE"""),"Wounded")</f>
        <v>Wounded</v>
      </c>
      <c r="D1590" s="8" t="str">
        <f ca="1">IFERROR(__xludf.DUMMYFUNCTION("""COMPUTED_VALUE"""),"Unknown")</f>
        <v>Unknown</v>
      </c>
      <c r="E1590" s="8" t="str">
        <f ca="1">IFERROR(__xludf.DUMMYFUNCTION("""COMPUTED_VALUE"""),"Student")</f>
        <v>Student</v>
      </c>
      <c r="F1590" s="8" t="str">
        <f ca="1">IFERROR(__xludf.DUMMYFUNCTION("""COMPUTED_VALUE"""),"Teen")</f>
        <v>Teen</v>
      </c>
    </row>
    <row r="1591" spans="1:6" ht="12.75">
      <c r="A1591" s="4">
        <v>1590</v>
      </c>
      <c r="B1591" s="8" t="str">
        <f ca="1">IFERROR(__xludf.DUMMYFUNCTION("""COMPUTED_VALUE"""),"20070410ILCHC")</f>
        <v>20070410ILCHC</v>
      </c>
      <c r="C1591" s="8" t="str">
        <f ca="1">IFERROR(__xludf.DUMMYFUNCTION("""COMPUTED_VALUE"""),"Wounded")</f>
        <v>Wounded</v>
      </c>
      <c r="D1591" s="8" t="str">
        <f ca="1">IFERROR(__xludf.DUMMYFUNCTION("""COMPUTED_VALUE"""),"Male")</f>
        <v>Male</v>
      </c>
      <c r="E1591" s="8" t="str">
        <f ca="1">IFERROR(__xludf.DUMMYFUNCTION("""COMPUTED_VALUE"""),"Student")</f>
        <v>Student</v>
      </c>
      <c r="F1591" s="8">
        <f ca="1">IFERROR(__xludf.DUMMYFUNCTION("""COMPUTED_VALUE"""),15)</f>
        <v>15</v>
      </c>
    </row>
    <row r="1592" spans="1:6" ht="12.75">
      <c r="A1592" s="4">
        <v>1591</v>
      </c>
      <c r="B1592" s="8" t="str">
        <f ca="1">IFERROR(__xludf.DUMMYFUNCTION("""COMPUTED_VALUE"""),"20070329SCMYM")</f>
        <v>20070329SCMYM</v>
      </c>
      <c r="C1592" s="8" t="str">
        <f ca="1">IFERROR(__xludf.DUMMYFUNCTION("""COMPUTED_VALUE"""),"None")</f>
        <v>None</v>
      </c>
      <c r="D1592" s="8" t="str">
        <f ca="1">IFERROR(__xludf.DUMMYFUNCTION("""COMPUTED_VALUE"""),"Male")</f>
        <v>Male</v>
      </c>
      <c r="E1592" s="8" t="str">
        <f ca="1">IFERROR(__xludf.DUMMYFUNCTION("""COMPUTED_VALUE"""),"Student")</f>
        <v>Student</v>
      </c>
      <c r="F1592" s="8">
        <f ca="1">IFERROR(__xludf.DUMMYFUNCTION("""COMPUTED_VALUE"""),18)</f>
        <v>18</v>
      </c>
    </row>
    <row r="1593" spans="1:6" ht="12.75">
      <c r="A1593" s="4">
        <v>1592</v>
      </c>
      <c r="B1593" s="8" t="str">
        <f ca="1">IFERROR(__xludf.DUMMYFUNCTION("""COMPUTED_VALUE"""),"20070327CTSAH")</f>
        <v>20070327CTSAH</v>
      </c>
      <c r="C1593" s="8" t="str">
        <f ca="1">IFERROR(__xludf.DUMMYFUNCTION("""COMPUTED_VALUE"""),"Wounded")</f>
        <v>Wounded</v>
      </c>
      <c r="D1593" s="8" t="str">
        <f ca="1">IFERROR(__xludf.DUMMYFUNCTION("""COMPUTED_VALUE"""),"Male")</f>
        <v>Male</v>
      </c>
      <c r="E1593" s="8" t="str">
        <f ca="1">IFERROR(__xludf.DUMMYFUNCTION("""COMPUTED_VALUE"""),"No Relation")</f>
        <v>No Relation</v>
      </c>
      <c r="F1593" s="8">
        <f ca="1">IFERROR(__xludf.DUMMYFUNCTION("""COMPUTED_VALUE"""),16)</f>
        <v>16</v>
      </c>
    </row>
    <row r="1594" spans="1:6" ht="12.75">
      <c r="A1594" s="4">
        <v>1593</v>
      </c>
      <c r="B1594" s="8" t="str">
        <f ca="1">IFERROR(__xludf.DUMMYFUNCTION("""COMPUTED_VALUE"""),"20070323FLUNO")</f>
        <v>20070323FLUNO</v>
      </c>
      <c r="C1594" s="8" t="str">
        <f ca="1">IFERROR(__xludf.DUMMYFUNCTION("""COMPUTED_VALUE"""),"Wounded")</f>
        <v>Wounded</v>
      </c>
      <c r="D1594" s="8" t="str">
        <f ca="1">IFERROR(__xludf.DUMMYFUNCTION("""COMPUTED_VALUE"""),"Male")</f>
        <v>Male</v>
      </c>
      <c r="E1594" s="8" t="str">
        <f ca="1">IFERROR(__xludf.DUMMYFUNCTION("""COMPUTED_VALUE"""),"Student")</f>
        <v>Student</v>
      </c>
      <c r="F1594" s="8">
        <f ca="1">IFERROR(__xludf.DUMMYFUNCTION("""COMPUTED_VALUE"""),8)</f>
        <v>8</v>
      </c>
    </row>
    <row r="1595" spans="1:6" ht="12.75">
      <c r="A1595" s="4">
        <v>1594</v>
      </c>
      <c r="B1595" s="8" t="str">
        <f ca="1">IFERROR(__xludf.DUMMYFUNCTION("""COMPUTED_VALUE"""),"20070308TNEAC")</f>
        <v>20070308TNEAC</v>
      </c>
      <c r="C1595" s="8" t="str">
        <f ca="1">IFERROR(__xludf.DUMMYFUNCTION("""COMPUTED_VALUE"""),"None")</f>
        <v>None</v>
      </c>
      <c r="D1595" s="8" t="str">
        <f ca="1">IFERROR(__xludf.DUMMYFUNCTION("""COMPUTED_VALUE"""),"Male")</f>
        <v>Male</v>
      </c>
      <c r="E1595" s="8" t="str">
        <f ca="1">IFERROR(__xludf.DUMMYFUNCTION("""COMPUTED_VALUE"""),"Former Teacher")</f>
        <v>Former Teacher</v>
      </c>
      <c r="F1595" s="8">
        <f ca="1">IFERROR(__xludf.DUMMYFUNCTION("""COMPUTED_VALUE"""),62)</f>
        <v>62</v>
      </c>
    </row>
    <row r="1596" spans="1:6" ht="12.75">
      <c r="A1596" s="4">
        <v>1595</v>
      </c>
      <c r="B1596" s="8" t="str">
        <f ca="1">IFERROR(__xludf.DUMMYFUNCTION("""COMPUTED_VALUE"""),"20070307TXGRG")</f>
        <v>20070307TXGRG</v>
      </c>
      <c r="C1596" s="8" t="str">
        <f ca="1">IFERROR(__xludf.DUMMYFUNCTION("""COMPUTED_VALUE"""),"None")</f>
        <v>None</v>
      </c>
      <c r="D1596" s="8" t="str">
        <f ca="1">IFERROR(__xludf.DUMMYFUNCTION("""COMPUTED_VALUE"""),"Male")</f>
        <v>Male</v>
      </c>
      <c r="E1596" s="8" t="str">
        <f ca="1">IFERROR(__xludf.DUMMYFUNCTION("""COMPUTED_VALUE"""),"Student")</f>
        <v>Student</v>
      </c>
      <c r="F1596" s="8">
        <f ca="1">IFERROR(__xludf.DUMMYFUNCTION("""COMPUTED_VALUE"""),16)</f>
        <v>16</v>
      </c>
    </row>
    <row r="1597" spans="1:6" ht="12.75">
      <c r="A1597" s="4">
        <v>1596</v>
      </c>
      <c r="B1597" s="8" t="str">
        <f ca="1">IFERROR(__xludf.DUMMYFUNCTION("""COMPUTED_VALUE"""),"20070307MIHEM")</f>
        <v>20070307MIHEM</v>
      </c>
      <c r="C1597" s="8" t="str">
        <f ca="1">IFERROR(__xludf.DUMMYFUNCTION("""COMPUTED_VALUE"""),"Wounded")</f>
        <v>Wounded</v>
      </c>
      <c r="D1597" s="8" t="str">
        <f ca="1">IFERROR(__xludf.DUMMYFUNCTION("""COMPUTED_VALUE"""),"Female")</f>
        <v>Female</v>
      </c>
      <c r="E1597" s="8" t="str">
        <f ca="1">IFERROR(__xludf.DUMMYFUNCTION("""COMPUTED_VALUE"""),"Student")</f>
        <v>Student</v>
      </c>
      <c r="F1597" s="8">
        <f ca="1">IFERROR(__xludf.DUMMYFUNCTION("""COMPUTED_VALUE"""),17)</f>
        <v>17</v>
      </c>
    </row>
    <row r="1598" spans="1:6" ht="12.75">
      <c r="A1598" s="4">
        <v>1597</v>
      </c>
      <c r="B1598" s="8" t="str">
        <f ca="1">IFERROR(__xludf.DUMMYFUNCTION("""COMPUTED_VALUE"""),"20070307CACEC")</f>
        <v>20070307CACEC</v>
      </c>
      <c r="C1598" s="8" t="str">
        <f ca="1">IFERROR(__xludf.DUMMYFUNCTION("""COMPUTED_VALUE"""),"Wounded")</f>
        <v>Wounded</v>
      </c>
      <c r="D1598" s="8" t="str">
        <f ca="1">IFERROR(__xludf.DUMMYFUNCTION("""COMPUTED_VALUE"""),"Male")</f>
        <v>Male</v>
      </c>
      <c r="E1598" s="8" t="str">
        <f ca="1">IFERROR(__xludf.DUMMYFUNCTION("""COMPUTED_VALUE"""),"Student")</f>
        <v>Student</v>
      </c>
      <c r="F1598" s="8" t="str">
        <f ca="1">IFERROR(__xludf.DUMMYFUNCTION("""COMPUTED_VALUE"""),"Teen")</f>
        <v>Teen</v>
      </c>
    </row>
    <row r="1599" spans="1:6" ht="12.75">
      <c r="A1599" s="4">
        <v>1598</v>
      </c>
      <c r="B1599" s="8" t="str">
        <f ca="1">IFERROR(__xludf.DUMMYFUNCTION("""COMPUTED_VALUE"""),"20070227GACLA")</f>
        <v>20070227GACLA</v>
      </c>
      <c r="C1599" s="8" t="str">
        <f ca="1">IFERROR(__xludf.DUMMYFUNCTION("""COMPUTED_VALUE"""),"Wounded")</f>
        <v>Wounded</v>
      </c>
      <c r="D1599" s="8" t="str">
        <f ca="1">IFERROR(__xludf.DUMMYFUNCTION("""COMPUTED_VALUE"""),"Male")</f>
        <v>Male</v>
      </c>
      <c r="E1599" s="8" t="str">
        <f ca="1">IFERROR(__xludf.DUMMYFUNCTION("""COMPUTED_VALUE"""),"Student")</f>
        <v>Student</v>
      </c>
      <c r="F1599" s="8">
        <f ca="1">IFERROR(__xludf.DUMMYFUNCTION("""COMPUTED_VALUE"""),10)</f>
        <v>10</v>
      </c>
    </row>
    <row r="1600" spans="1:6" ht="12.75">
      <c r="A1600" s="4">
        <v>1599</v>
      </c>
      <c r="B1600" s="8" t="str">
        <f ca="1">IFERROR(__xludf.DUMMYFUNCTION("""COMPUTED_VALUE"""),"20070226CASLA")</f>
        <v>20070226CASLA</v>
      </c>
      <c r="C1600" s="8" t="str">
        <f ca="1">IFERROR(__xludf.DUMMYFUNCTION("""COMPUTED_VALUE"""),"Wounded")</f>
        <v>Wounded</v>
      </c>
      <c r="D1600" s="8" t="str">
        <f ca="1">IFERROR(__xludf.DUMMYFUNCTION("""COMPUTED_VALUE"""),"Male")</f>
        <v>Male</v>
      </c>
      <c r="E1600" s="8" t="str">
        <f ca="1">IFERROR(__xludf.DUMMYFUNCTION("""COMPUTED_VALUE"""),"Student")</f>
        <v>Student</v>
      </c>
      <c r="F1600" s="8">
        <f ca="1">IFERROR(__xludf.DUMMYFUNCTION("""COMPUTED_VALUE"""),12)</f>
        <v>12</v>
      </c>
    </row>
    <row r="1601" spans="1:6" ht="12.75">
      <c r="A1601" s="4">
        <v>1600</v>
      </c>
      <c r="B1601" s="8" t="str">
        <f ca="1">IFERROR(__xludf.DUMMYFUNCTION("""COMPUTED_VALUE"""),"20070226CASLA")</f>
        <v>20070226CASLA</v>
      </c>
      <c r="C1601" s="8" t="str">
        <f ca="1">IFERROR(__xludf.DUMMYFUNCTION("""COMPUTED_VALUE"""),"Wounded")</f>
        <v>Wounded</v>
      </c>
      <c r="D1601" s="8" t="str">
        <f ca="1">IFERROR(__xludf.DUMMYFUNCTION("""COMPUTED_VALUE"""),"Male")</f>
        <v>Male</v>
      </c>
      <c r="E1601" s="8" t="str">
        <f ca="1">IFERROR(__xludf.DUMMYFUNCTION("""COMPUTED_VALUE"""),"Student")</f>
        <v>Student</v>
      </c>
      <c r="F1601" s="8">
        <f ca="1">IFERROR(__xludf.DUMMYFUNCTION("""COMPUTED_VALUE"""),12)</f>
        <v>12</v>
      </c>
    </row>
    <row r="1602" spans="1:6" ht="12.75">
      <c r="A1602" s="4">
        <v>1601</v>
      </c>
      <c r="B1602" s="8" t="str">
        <f ca="1">IFERROR(__xludf.DUMMYFUNCTION("""COMPUTED_VALUE"""),"20070208TXSTP")</f>
        <v>20070208TXSTP</v>
      </c>
      <c r="C1602" s="8" t="str">
        <f ca="1">IFERROR(__xludf.DUMMYFUNCTION("""COMPUTED_VALUE"""),"Minor Injuries")</f>
        <v>Minor Injuries</v>
      </c>
      <c r="D1602" s="8" t="str">
        <f ca="1">IFERROR(__xludf.DUMMYFUNCTION("""COMPUTED_VALUE"""),"Male")</f>
        <v>Male</v>
      </c>
      <c r="E1602" s="8" t="str">
        <f ca="1">IFERROR(__xludf.DUMMYFUNCTION("""COMPUTED_VALUE"""),"Student")</f>
        <v>Student</v>
      </c>
      <c r="F1602" s="8" t="str">
        <f ca="1">IFERROR(__xludf.DUMMYFUNCTION("""COMPUTED_VALUE"""),"Teen")</f>
        <v>Teen</v>
      </c>
    </row>
    <row r="1603" spans="1:6" ht="12.75">
      <c r="A1603" s="4">
        <v>1602</v>
      </c>
      <c r="B1603" s="8" t="str">
        <f ca="1">IFERROR(__xludf.DUMMYFUNCTION("""COMPUTED_VALUE"""),"20070208ORCRP")</f>
        <v>20070208ORCRP</v>
      </c>
      <c r="C1603" s="8" t="str">
        <f ca="1">IFERROR(__xludf.DUMMYFUNCTION("""COMPUTED_VALUE"""),"None")</f>
        <v>None</v>
      </c>
      <c r="D1603" s="8" t="str">
        <f ca="1">IFERROR(__xludf.DUMMYFUNCTION("""COMPUTED_VALUE"""),"Male")</f>
        <v>Male</v>
      </c>
      <c r="E1603" s="8" t="str">
        <f ca="1">IFERROR(__xludf.DUMMYFUNCTION("""COMPUTED_VALUE"""),"Student")</f>
        <v>Student</v>
      </c>
      <c r="F1603" s="8">
        <f ca="1">IFERROR(__xludf.DUMMYFUNCTION("""COMPUTED_VALUE"""),18)</f>
        <v>18</v>
      </c>
    </row>
    <row r="1604" spans="1:6" ht="12.75">
      <c r="A1604" s="4">
        <v>1603</v>
      </c>
      <c r="B1604" s="8" t="str">
        <f ca="1">IFERROR(__xludf.DUMMYFUNCTION("""COMPUTED_VALUE"""),"20070207FLPAJ")</f>
        <v>20070207FLPAJ</v>
      </c>
      <c r="C1604" s="8" t="str">
        <f ca="1">IFERROR(__xludf.DUMMYFUNCTION("""COMPUTED_VALUE"""),"None")</f>
        <v>None</v>
      </c>
      <c r="D1604" s="8" t="str">
        <f ca="1">IFERROR(__xludf.DUMMYFUNCTION("""COMPUTED_VALUE"""),"Unknown")</f>
        <v>Unknown</v>
      </c>
      <c r="E1604" s="8" t="str">
        <f ca="1">IFERROR(__xludf.DUMMYFUNCTION("""COMPUTED_VALUE"""),"Police Officer/SRO")</f>
        <v>Police Officer/SRO</v>
      </c>
      <c r="F1604" s="8" t="str">
        <f ca="1">IFERROR(__xludf.DUMMYFUNCTION("""COMPUTED_VALUE"""),"Adult")</f>
        <v>Adult</v>
      </c>
    </row>
    <row r="1605" spans="1:6" ht="12.75">
      <c r="A1605" s="4">
        <v>1604</v>
      </c>
      <c r="B1605" s="8" t="str">
        <f ca="1">IFERROR(__xludf.DUMMYFUNCTION("""COMPUTED_VALUE"""),"20070131ILHIC")</f>
        <v>20070131ILHIC</v>
      </c>
      <c r="C1605" s="8" t="str">
        <f ca="1">IFERROR(__xludf.DUMMYFUNCTION("""COMPUTED_VALUE"""),"Wounded")</f>
        <v>Wounded</v>
      </c>
      <c r="D1605" s="8" t="str">
        <f ca="1">IFERROR(__xludf.DUMMYFUNCTION("""COMPUTED_VALUE"""),"Male")</f>
        <v>Male</v>
      </c>
      <c r="E1605" s="8" t="str">
        <f ca="1">IFERROR(__xludf.DUMMYFUNCTION("""COMPUTED_VALUE"""),"Student")</f>
        <v>Student</v>
      </c>
      <c r="F1605" s="8">
        <f ca="1">IFERROR(__xludf.DUMMYFUNCTION("""COMPUTED_VALUE"""),15)</f>
        <v>15</v>
      </c>
    </row>
    <row r="1606" spans="1:6" ht="12.75">
      <c r="A1606" s="4">
        <v>1605</v>
      </c>
      <c r="B1606" s="8" t="str">
        <f ca="1">IFERROR(__xludf.DUMMYFUNCTION("""COMPUTED_VALUE"""),"20070124TNHAS")</f>
        <v>20070124TNHAS</v>
      </c>
      <c r="C1606" s="8" t="str">
        <f ca="1">IFERROR(__xludf.DUMMYFUNCTION("""COMPUTED_VALUE"""),"None")</f>
        <v>None</v>
      </c>
      <c r="D1606" s="8" t="str">
        <f ca="1">IFERROR(__xludf.DUMMYFUNCTION("""COMPUTED_VALUE"""),"Male")</f>
        <v>Male</v>
      </c>
      <c r="E1606" s="8" t="str">
        <f ca="1">IFERROR(__xludf.DUMMYFUNCTION("""COMPUTED_VALUE"""),"Student")</f>
        <v>Student</v>
      </c>
      <c r="F1606" s="8">
        <f ca="1">IFERROR(__xludf.DUMMYFUNCTION("""COMPUTED_VALUE"""),17)</f>
        <v>17</v>
      </c>
    </row>
    <row r="1607" spans="1:6" ht="12.75">
      <c r="A1607" s="4">
        <v>1606</v>
      </c>
      <c r="B1607" s="8" t="str">
        <f ca="1">IFERROR(__xludf.DUMMYFUNCTION("""COMPUTED_VALUE"""),"20070118PAWIP")</f>
        <v>20070118PAWIP</v>
      </c>
      <c r="C1607" s="8" t="str">
        <f ca="1">IFERROR(__xludf.DUMMYFUNCTION("""COMPUTED_VALUE"""),"Wounded")</f>
        <v>Wounded</v>
      </c>
      <c r="D1607" s="8" t="str">
        <f ca="1">IFERROR(__xludf.DUMMYFUNCTION("""COMPUTED_VALUE"""),"Male")</f>
        <v>Male</v>
      </c>
      <c r="E1607" s="8" t="str">
        <f ca="1">IFERROR(__xludf.DUMMYFUNCTION("""COMPUTED_VALUE"""),"Student")</f>
        <v>Student</v>
      </c>
      <c r="F1607" s="8">
        <f ca="1">IFERROR(__xludf.DUMMYFUNCTION("""COMPUTED_VALUE"""),17)</f>
        <v>17</v>
      </c>
    </row>
    <row r="1608" spans="1:6" ht="12.75">
      <c r="A1608" s="4">
        <v>1607</v>
      </c>
      <c r="B1608" s="8" t="str">
        <f ca="1">IFERROR(__xludf.DUMMYFUNCTION("""COMPUTED_VALUE"""),"20070109NVWEL")</f>
        <v>20070109NVWEL</v>
      </c>
      <c r="C1608" s="8" t="str">
        <f ca="1">IFERROR(__xludf.DUMMYFUNCTION("""COMPUTED_VALUE"""),"Wounded")</f>
        <v>Wounded</v>
      </c>
      <c r="D1608" s="8" t="str">
        <f ca="1">IFERROR(__xludf.DUMMYFUNCTION("""COMPUTED_VALUE"""),"Male")</f>
        <v>Male</v>
      </c>
      <c r="E1608" s="8" t="str">
        <f ca="1">IFERROR(__xludf.DUMMYFUNCTION("""COMPUTED_VALUE"""),"Student")</f>
        <v>Student</v>
      </c>
      <c r="F1608" s="8" t="str">
        <f ca="1">IFERROR(__xludf.DUMMYFUNCTION("""COMPUTED_VALUE"""),"Teen")</f>
        <v>Teen</v>
      </c>
    </row>
    <row r="1609" spans="1:6" ht="12.75">
      <c r="A1609" s="4">
        <v>1608</v>
      </c>
      <c r="B1609" s="8" t="str">
        <f ca="1">IFERROR(__xludf.DUMMYFUNCTION("""COMPUTED_VALUE"""),"20070109NVWEL")</f>
        <v>20070109NVWEL</v>
      </c>
      <c r="C1609" s="8" t="str">
        <f ca="1">IFERROR(__xludf.DUMMYFUNCTION("""COMPUTED_VALUE"""),"Wounded")</f>
        <v>Wounded</v>
      </c>
      <c r="D1609" s="8" t="str">
        <f ca="1">IFERROR(__xludf.DUMMYFUNCTION("""COMPUTED_VALUE"""),"Female")</f>
        <v>Female</v>
      </c>
      <c r="E1609" s="8" t="str">
        <f ca="1">IFERROR(__xludf.DUMMYFUNCTION("""COMPUTED_VALUE"""),"Student")</f>
        <v>Student</v>
      </c>
      <c r="F1609" s="8" t="str">
        <f ca="1">IFERROR(__xludf.DUMMYFUNCTION("""COMPUTED_VALUE"""),"Teen")</f>
        <v>Teen</v>
      </c>
    </row>
    <row r="1610" spans="1:6" ht="12.75">
      <c r="A1610" s="4">
        <v>1609</v>
      </c>
      <c r="B1610" s="8" t="str">
        <f ca="1">IFERROR(__xludf.DUMMYFUNCTION("""COMPUTED_VALUE"""),"20070109CAGRV")</f>
        <v>20070109CAGRV</v>
      </c>
      <c r="C1610" s="8" t="str">
        <f ca="1">IFERROR(__xludf.DUMMYFUNCTION("""COMPUTED_VALUE"""),"Wounded")</f>
        <v>Wounded</v>
      </c>
      <c r="D1610" s="8" t="str">
        <f ca="1">IFERROR(__xludf.DUMMYFUNCTION("""COMPUTED_VALUE"""),"Male")</f>
        <v>Male</v>
      </c>
      <c r="E1610" s="8" t="str">
        <f ca="1">IFERROR(__xludf.DUMMYFUNCTION("""COMPUTED_VALUE"""),"Student")</f>
        <v>Student</v>
      </c>
      <c r="F1610" s="8">
        <f ca="1">IFERROR(__xludf.DUMMYFUNCTION("""COMPUTED_VALUE"""),16)</f>
        <v>16</v>
      </c>
    </row>
    <row r="1611" spans="1:6" ht="12.75">
      <c r="A1611" s="4">
        <v>1610</v>
      </c>
      <c r="B1611" s="8" t="str">
        <f ca="1">IFERROR(__xludf.DUMMYFUNCTION("""COMPUTED_VALUE"""),"20070109CAGRV")</f>
        <v>20070109CAGRV</v>
      </c>
      <c r="C1611" s="8" t="str">
        <f ca="1">IFERROR(__xludf.DUMMYFUNCTION("""COMPUTED_VALUE"""),"Wounded")</f>
        <v>Wounded</v>
      </c>
      <c r="D1611" s="8" t="str">
        <f ca="1">IFERROR(__xludf.DUMMYFUNCTION("""COMPUTED_VALUE"""),"Male")</f>
        <v>Male</v>
      </c>
      <c r="E1611" s="8" t="str">
        <f ca="1">IFERROR(__xludf.DUMMYFUNCTION("""COMPUTED_VALUE"""),"Student")</f>
        <v>Student</v>
      </c>
      <c r="F1611" s="8">
        <f ca="1">IFERROR(__xludf.DUMMYFUNCTION("""COMPUTED_VALUE"""),17)</f>
        <v>17</v>
      </c>
    </row>
    <row r="1612" spans="1:6" ht="12.75">
      <c r="A1612" s="4">
        <v>1611</v>
      </c>
      <c r="B1612" s="8" t="str">
        <f ca="1">IFERROR(__xludf.DUMMYFUNCTION("""COMPUTED_VALUE"""),"20070108OHROC")</f>
        <v>20070108OHROC</v>
      </c>
      <c r="C1612" s="8" t="str">
        <f ca="1">IFERROR(__xludf.DUMMYFUNCTION("""COMPUTED_VALUE"""),"None")</f>
        <v>None</v>
      </c>
      <c r="D1612" s="8" t="str">
        <f ca="1">IFERROR(__xludf.DUMMYFUNCTION("""COMPUTED_VALUE"""),"Unknown")</f>
        <v>Unknown</v>
      </c>
      <c r="E1612" s="8" t="str">
        <f ca="1">IFERROR(__xludf.DUMMYFUNCTION("""COMPUTED_VALUE"""),"Principal/Vice-Principal")</f>
        <v>Principal/Vice-Principal</v>
      </c>
      <c r="F1612" s="8" t="str">
        <f ca="1">IFERROR(__xludf.DUMMYFUNCTION("""COMPUTED_VALUE"""),"Adult")</f>
        <v>Adult</v>
      </c>
    </row>
    <row r="1613" spans="1:6" ht="12.75">
      <c r="A1613" s="4">
        <v>1612</v>
      </c>
      <c r="B1613" s="8" t="str">
        <f ca="1">IFERROR(__xludf.DUMMYFUNCTION("""COMPUTED_VALUE"""),"20070104MINOD")</f>
        <v>20070104MINOD</v>
      </c>
      <c r="C1613" s="8" t="str">
        <f ca="1">IFERROR(__xludf.DUMMYFUNCTION("""COMPUTED_VALUE"""),"Wounded")</f>
        <v>Wounded</v>
      </c>
      <c r="D1613" s="8" t="str">
        <f ca="1">IFERROR(__xludf.DUMMYFUNCTION("""COMPUTED_VALUE"""),"Female")</f>
        <v>Female</v>
      </c>
      <c r="E1613" s="8" t="str">
        <f ca="1">IFERROR(__xludf.DUMMYFUNCTION("""COMPUTED_VALUE"""),"Student")</f>
        <v>Student</v>
      </c>
      <c r="F1613" s="8">
        <f ca="1">IFERROR(__xludf.DUMMYFUNCTION("""COMPUTED_VALUE"""),14)</f>
        <v>14</v>
      </c>
    </row>
    <row r="1614" spans="1:6" ht="12.75">
      <c r="A1614" s="4">
        <v>1613</v>
      </c>
      <c r="B1614" s="8" t="str">
        <f ca="1">IFERROR(__xludf.DUMMYFUNCTION("""COMPUTED_VALUE"""),"20070103WAHET")</f>
        <v>20070103WAHET</v>
      </c>
      <c r="C1614" s="8" t="str">
        <f ca="1">IFERROR(__xludf.DUMMYFUNCTION("""COMPUTED_VALUE"""),"Fatal")</f>
        <v>Fatal</v>
      </c>
      <c r="D1614" s="8" t="str">
        <f ca="1">IFERROR(__xludf.DUMMYFUNCTION("""COMPUTED_VALUE"""),"Male")</f>
        <v>Male</v>
      </c>
      <c r="E1614" s="8" t="str">
        <f ca="1">IFERROR(__xludf.DUMMYFUNCTION("""COMPUTED_VALUE"""),"Student")</f>
        <v>Student</v>
      </c>
      <c r="F1614" s="8">
        <f ca="1">IFERROR(__xludf.DUMMYFUNCTION("""COMPUTED_VALUE"""),17)</f>
        <v>17</v>
      </c>
    </row>
    <row r="1615" spans="1:6" ht="12.75">
      <c r="A1615" s="4">
        <v>1614</v>
      </c>
      <c r="B1615" s="8" t="str">
        <f ca="1">IFERROR(__xludf.DUMMYFUNCTION("""COMPUTED_VALUE"""),"20070102NCWEF")</f>
        <v>20070102NCWEF</v>
      </c>
      <c r="C1615" s="8" t="str">
        <f ca="1">IFERROR(__xludf.DUMMYFUNCTION("""COMPUTED_VALUE"""),"None")</f>
        <v>None</v>
      </c>
      <c r="D1615" s="8" t="str">
        <f ca="1">IFERROR(__xludf.DUMMYFUNCTION("""COMPUTED_VALUE"""),"Male")</f>
        <v>Male</v>
      </c>
      <c r="E1615" s="8" t="str">
        <f ca="1">IFERROR(__xludf.DUMMYFUNCTION("""COMPUTED_VALUE"""),"Student")</f>
        <v>Student</v>
      </c>
      <c r="F1615" s="8">
        <f ca="1">IFERROR(__xludf.DUMMYFUNCTION("""COMPUTED_VALUE"""),17)</f>
        <v>17</v>
      </c>
    </row>
    <row r="1616" spans="1:6" ht="12.75">
      <c r="A1616" s="4">
        <v>1615</v>
      </c>
      <c r="B1616" s="8" t="str">
        <f ca="1">IFERROR(__xludf.DUMMYFUNCTION("""COMPUTED_VALUE"""),"20061214PAMCC")</f>
        <v>20061214PAMCC</v>
      </c>
      <c r="C1616" s="8" t="str">
        <f ca="1">IFERROR(__xludf.DUMMYFUNCTION("""COMPUTED_VALUE"""),"None")</f>
        <v>None</v>
      </c>
      <c r="D1616" s="8" t="str">
        <f ca="1">IFERROR(__xludf.DUMMYFUNCTION("""COMPUTED_VALUE"""),"Male")</f>
        <v>Male</v>
      </c>
      <c r="E1616" s="8" t="str">
        <f ca="1">IFERROR(__xludf.DUMMYFUNCTION("""COMPUTED_VALUE"""),"Student")</f>
        <v>Student</v>
      </c>
      <c r="F1616" s="8">
        <f ca="1">IFERROR(__xludf.DUMMYFUNCTION("""COMPUTED_VALUE"""),17)</f>
        <v>17</v>
      </c>
    </row>
    <row r="1617" spans="1:6" ht="12.75">
      <c r="A1617" s="4">
        <v>1616</v>
      </c>
      <c r="B1617" s="8" t="str">
        <f ca="1">IFERROR(__xludf.DUMMYFUNCTION("""COMPUTED_VALUE"""),"20061213PABAB")</f>
        <v>20061213PABAB</v>
      </c>
      <c r="C1617" s="8" t="str">
        <f ca="1">IFERROR(__xludf.DUMMYFUNCTION("""COMPUTED_VALUE"""),"Wounded")</f>
        <v>Wounded</v>
      </c>
      <c r="D1617" s="8" t="str">
        <f ca="1">IFERROR(__xludf.DUMMYFUNCTION("""COMPUTED_VALUE"""),"Female")</f>
        <v>Female</v>
      </c>
      <c r="E1617" s="8" t="str">
        <f ca="1">IFERROR(__xludf.DUMMYFUNCTION("""COMPUTED_VALUE"""),"Student")</f>
        <v>Student</v>
      </c>
      <c r="F1617" s="8" t="str">
        <f ca="1">IFERROR(__xludf.DUMMYFUNCTION("""COMPUTED_VALUE"""),"Teen")</f>
        <v>Teen</v>
      </c>
    </row>
    <row r="1618" spans="1:6" ht="12.75">
      <c r="A1618" s="4">
        <v>1617</v>
      </c>
      <c r="B1618" s="8" t="str">
        <f ca="1">IFERROR(__xludf.DUMMYFUNCTION("""COMPUTED_VALUE"""),"20061212PASPS")</f>
        <v>20061212PASPS</v>
      </c>
      <c r="C1618" s="8" t="str">
        <f ca="1">IFERROR(__xludf.DUMMYFUNCTION("""COMPUTED_VALUE"""),"None")</f>
        <v>None</v>
      </c>
      <c r="D1618" s="8" t="str">
        <f ca="1">IFERROR(__xludf.DUMMYFUNCTION("""COMPUTED_VALUE"""),"Male")</f>
        <v>Male</v>
      </c>
      <c r="E1618" s="8" t="str">
        <f ca="1">IFERROR(__xludf.DUMMYFUNCTION("""COMPUTED_VALUE"""),"Student")</f>
        <v>Student</v>
      </c>
      <c r="F1618" s="8">
        <f ca="1">IFERROR(__xludf.DUMMYFUNCTION("""COMPUTED_VALUE"""),16)</f>
        <v>16</v>
      </c>
    </row>
    <row r="1619" spans="1:6" ht="12.75">
      <c r="A1619" s="4">
        <v>1618</v>
      </c>
      <c r="B1619" s="8" t="str">
        <f ca="1">IFERROR(__xludf.DUMMYFUNCTION("""COMPUTED_VALUE"""),"20061211ILCLC")</f>
        <v>20061211ILCLC</v>
      </c>
      <c r="C1619" s="8" t="str">
        <f ca="1">IFERROR(__xludf.DUMMYFUNCTION("""COMPUTED_VALUE"""),"Wounded")</f>
        <v>Wounded</v>
      </c>
      <c r="D1619" s="8" t="str">
        <f ca="1">IFERROR(__xludf.DUMMYFUNCTION("""COMPUTED_VALUE"""),"Male")</f>
        <v>Male</v>
      </c>
      <c r="E1619" s="8" t="str">
        <f ca="1">IFERROR(__xludf.DUMMYFUNCTION("""COMPUTED_VALUE"""),"Police Officer/SRO")</f>
        <v>Police Officer/SRO</v>
      </c>
      <c r="F1619" s="8">
        <f ca="1">IFERROR(__xludf.DUMMYFUNCTION("""COMPUTED_VALUE"""),36)</f>
        <v>36</v>
      </c>
    </row>
    <row r="1620" spans="1:6" ht="12.75">
      <c r="A1620" s="4">
        <v>1619</v>
      </c>
      <c r="B1620" s="8" t="str">
        <f ca="1">IFERROR(__xludf.DUMMYFUNCTION("""COMPUTED_VALUE"""),"20061207NENOO")</f>
        <v>20061207NENOO</v>
      </c>
      <c r="C1620" s="8" t="str">
        <f ca="1">IFERROR(__xludf.DUMMYFUNCTION("""COMPUTED_VALUE"""),"Wounded")</f>
        <v>Wounded</v>
      </c>
      <c r="D1620" s="8" t="str">
        <f ca="1">IFERROR(__xludf.DUMMYFUNCTION("""COMPUTED_VALUE"""),"Male")</f>
        <v>Male</v>
      </c>
      <c r="E1620" s="8" t="str">
        <f ca="1">IFERROR(__xludf.DUMMYFUNCTION("""COMPUTED_VALUE"""),"Student")</f>
        <v>Student</v>
      </c>
      <c r="F1620" s="8">
        <f ca="1">IFERROR(__xludf.DUMMYFUNCTION("""COMPUTED_VALUE"""),17)</f>
        <v>17</v>
      </c>
    </row>
    <row r="1621" spans="1:6" ht="12.75">
      <c r="A1621" s="4">
        <v>1620</v>
      </c>
      <c r="B1621" s="8" t="str">
        <f ca="1">IFERROR(__xludf.DUMMYFUNCTION("""COMPUTED_VALUE"""),"20061201NCJOT")</f>
        <v>20061201NCJOT</v>
      </c>
      <c r="C1621" s="8" t="str">
        <f ca="1">IFERROR(__xludf.DUMMYFUNCTION("""COMPUTED_VALUE"""),"Fatal")</f>
        <v>Fatal</v>
      </c>
      <c r="D1621" s="8" t="str">
        <f ca="1">IFERROR(__xludf.DUMMYFUNCTION("""COMPUTED_VALUE"""),"Male")</f>
        <v>Male</v>
      </c>
      <c r="E1621" s="8" t="str">
        <f ca="1">IFERROR(__xludf.DUMMYFUNCTION("""COMPUTED_VALUE"""),"Former Student")</f>
        <v>Former Student</v>
      </c>
      <c r="F1621" s="8">
        <f ca="1">IFERROR(__xludf.DUMMYFUNCTION("""COMPUTED_VALUE"""),23)</f>
        <v>23</v>
      </c>
    </row>
    <row r="1622" spans="1:6" ht="12.75">
      <c r="A1622" s="4">
        <v>1621</v>
      </c>
      <c r="B1622" s="8" t="str">
        <f ca="1">IFERROR(__xludf.DUMMYFUNCTION("""COMPUTED_VALUE"""),"20061122GASAA")</f>
        <v>20061122GASAA</v>
      </c>
      <c r="C1622" s="8" t="str">
        <f ca="1">IFERROR(__xludf.DUMMYFUNCTION("""COMPUTED_VALUE"""),"Fatal")</f>
        <v>Fatal</v>
      </c>
      <c r="D1622" s="8" t="str">
        <f ca="1">IFERROR(__xludf.DUMMYFUNCTION("""COMPUTED_VALUE"""),"Male")</f>
        <v>Male</v>
      </c>
      <c r="E1622" s="8" t="str">
        <f ca="1">IFERROR(__xludf.DUMMYFUNCTION("""COMPUTED_VALUE"""),"Student")</f>
        <v>Student</v>
      </c>
      <c r="F1622" s="8">
        <f ca="1">IFERROR(__xludf.DUMMYFUNCTION("""COMPUTED_VALUE"""),14)</f>
        <v>14</v>
      </c>
    </row>
    <row r="1623" spans="1:6" ht="12.75">
      <c r="A1623" s="4">
        <v>1622</v>
      </c>
      <c r="B1623" s="8" t="str">
        <f ca="1">IFERROR(__xludf.DUMMYFUNCTION("""COMPUTED_VALUE"""),"20061111CALIO")</f>
        <v>20061111CALIO</v>
      </c>
      <c r="C1623" s="8" t="str">
        <f ca="1">IFERROR(__xludf.DUMMYFUNCTION("""COMPUTED_VALUE"""),"Fatal")</f>
        <v>Fatal</v>
      </c>
      <c r="D1623" s="8" t="str">
        <f ca="1">IFERROR(__xludf.DUMMYFUNCTION("""COMPUTED_VALUE"""),"Male")</f>
        <v>Male</v>
      </c>
      <c r="E1623" s="8" t="str">
        <f ca="1">IFERROR(__xludf.DUMMYFUNCTION("""COMPUTED_VALUE"""),"No Relation")</f>
        <v>No Relation</v>
      </c>
      <c r="F1623" s="8">
        <f ca="1">IFERROR(__xludf.DUMMYFUNCTION("""COMPUTED_VALUE"""),23)</f>
        <v>23</v>
      </c>
    </row>
    <row r="1624" spans="1:6" ht="12.75">
      <c r="A1624" s="4">
        <v>1623</v>
      </c>
      <c r="B1624" s="8" t="str">
        <f ca="1">IFERROR(__xludf.DUMMYFUNCTION("""COMPUTED_VALUE"""),"20061111CALIO")</f>
        <v>20061111CALIO</v>
      </c>
      <c r="C1624" s="8" t="str">
        <f ca="1">IFERROR(__xludf.DUMMYFUNCTION("""COMPUTED_VALUE"""),"Wounded")</f>
        <v>Wounded</v>
      </c>
      <c r="D1624" s="8" t="str">
        <f ca="1">IFERROR(__xludf.DUMMYFUNCTION("""COMPUTED_VALUE"""),"Male")</f>
        <v>Male</v>
      </c>
      <c r="E1624" s="8" t="str">
        <f ca="1">IFERROR(__xludf.DUMMYFUNCTION("""COMPUTED_VALUE"""),"No Relation")</f>
        <v>No Relation</v>
      </c>
      <c r="F1624" s="8">
        <f ca="1">IFERROR(__xludf.DUMMYFUNCTION("""COMPUTED_VALUE"""),20)</f>
        <v>20</v>
      </c>
    </row>
    <row r="1625" spans="1:6" ht="12.75">
      <c r="A1625" s="4">
        <v>1624</v>
      </c>
      <c r="B1625" s="8" t="str">
        <f ca="1">IFERROR(__xludf.DUMMYFUNCTION("""COMPUTED_VALUE"""),"20061031TNHAK")</f>
        <v>20061031TNHAK</v>
      </c>
      <c r="C1625" s="8" t="str">
        <f ca="1">IFERROR(__xludf.DUMMYFUNCTION("""COMPUTED_VALUE"""),"Fatal")</f>
        <v>Fatal</v>
      </c>
      <c r="D1625" s="8" t="str">
        <f ca="1">IFERROR(__xludf.DUMMYFUNCTION("""COMPUTED_VALUE"""),"Male")</f>
        <v>Male</v>
      </c>
      <c r="E1625" s="8" t="str">
        <f ca="1">IFERROR(__xludf.DUMMYFUNCTION("""COMPUTED_VALUE"""),"Security Guard")</f>
        <v>Security Guard</v>
      </c>
      <c r="F1625" s="8">
        <f ca="1">IFERROR(__xludf.DUMMYFUNCTION("""COMPUTED_VALUE"""),39)</f>
        <v>39</v>
      </c>
    </row>
    <row r="1626" spans="1:6" ht="12.75">
      <c r="A1626" s="4">
        <v>1625</v>
      </c>
      <c r="B1626" s="8" t="str">
        <f ca="1">IFERROR(__xludf.DUMMYFUNCTION("""COMPUTED_VALUE"""),"20061017TXSEK")</f>
        <v>20061017TXSEK</v>
      </c>
      <c r="C1626" s="8" t="str">
        <f ca="1">IFERROR(__xludf.DUMMYFUNCTION("""COMPUTED_VALUE"""),"None")</f>
        <v>None</v>
      </c>
      <c r="D1626" s="8" t="str">
        <f ca="1">IFERROR(__xludf.DUMMYFUNCTION("""COMPUTED_VALUE"""),"Male")</f>
        <v>Male</v>
      </c>
      <c r="E1626" s="8" t="str">
        <f ca="1">IFERROR(__xludf.DUMMYFUNCTION("""COMPUTED_VALUE"""),"Student")</f>
        <v>Student</v>
      </c>
      <c r="F1626" s="8">
        <f ca="1">IFERROR(__xludf.DUMMYFUNCTION("""COMPUTED_VALUE"""),16)</f>
        <v>16</v>
      </c>
    </row>
    <row r="1627" spans="1:6" ht="12.75">
      <c r="A1627" s="4">
        <v>1626</v>
      </c>
      <c r="B1627" s="8" t="str">
        <f ca="1">IFERROR(__xludf.DUMMYFUNCTION("""COMPUTED_VALUE"""),"20061012MDGRB")</f>
        <v>20061012MDGRB</v>
      </c>
      <c r="C1627" s="8" t="str">
        <f ca="1">IFERROR(__xludf.DUMMYFUNCTION("""COMPUTED_VALUE"""),"None")</f>
        <v>None</v>
      </c>
      <c r="D1627" s="8"/>
      <c r="E1627" s="8"/>
      <c r="F1627" s="8"/>
    </row>
    <row r="1628" spans="1:6" ht="12.75">
      <c r="A1628" s="4">
        <v>1627</v>
      </c>
      <c r="B1628" s="8" t="str">
        <f ca="1">IFERROR(__xludf.DUMMYFUNCTION("""COMPUTED_VALUE"""),"20061010NYPOP")</f>
        <v>20061010NYPOP</v>
      </c>
      <c r="C1628" s="8" t="str">
        <f ca="1">IFERROR(__xludf.DUMMYFUNCTION("""COMPUTED_VALUE"""),"Wounded")</f>
        <v>Wounded</v>
      </c>
      <c r="D1628" s="8" t="str">
        <f ca="1">IFERROR(__xludf.DUMMYFUNCTION("""COMPUTED_VALUE"""),"Male")</f>
        <v>Male</v>
      </c>
      <c r="E1628" s="8" t="str">
        <f ca="1">IFERROR(__xludf.DUMMYFUNCTION("""COMPUTED_VALUE"""),"Student")</f>
        <v>Student</v>
      </c>
      <c r="F1628" s="8">
        <f ca="1">IFERROR(__xludf.DUMMYFUNCTION("""COMPUTED_VALUE"""),12)</f>
        <v>12</v>
      </c>
    </row>
    <row r="1629" spans="1:6" ht="12.75">
      <c r="A1629" s="4">
        <v>1628</v>
      </c>
      <c r="B1629" s="8" t="str">
        <f ca="1">IFERROR(__xludf.DUMMYFUNCTION("""COMPUTED_VALUE"""),"20061010NYPOP")</f>
        <v>20061010NYPOP</v>
      </c>
      <c r="C1629" s="8" t="str">
        <f ca="1">IFERROR(__xludf.DUMMYFUNCTION("""COMPUTED_VALUE"""),"Wounded")</f>
        <v>Wounded</v>
      </c>
      <c r="D1629" s="8" t="str">
        <f ca="1">IFERROR(__xludf.DUMMYFUNCTION("""COMPUTED_VALUE"""),"Male")</f>
        <v>Male</v>
      </c>
      <c r="E1629" s="8" t="str">
        <f ca="1">IFERROR(__xludf.DUMMYFUNCTION("""COMPUTED_VALUE"""),"Student")</f>
        <v>Student</v>
      </c>
      <c r="F1629" s="8">
        <f ca="1">IFERROR(__xludf.DUMMYFUNCTION("""COMPUTED_VALUE"""),12)</f>
        <v>12</v>
      </c>
    </row>
    <row r="1630" spans="1:6" ht="12.75">
      <c r="A1630" s="4">
        <v>1629</v>
      </c>
      <c r="B1630" s="8" t="str">
        <f ca="1">IFERROR(__xludf.DUMMYFUNCTION("""COMPUTED_VALUE"""),"20061009MOMEJ")</f>
        <v>20061009MOMEJ</v>
      </c>
      <c r="C1630" s="8" t="str">
        <f ca="1">IFERROR(__xludf.DUMMYFUNCTION("""COMPUTED_VALUE"""),"None")</f>
        <v>None</v>
      </c>
      <c r="D1630" s="8"/>
      <c r="E1630" s="8"/>
      <c r="F1630" s="8"/>
    </row>
    <row r="1631" spans="1:6" ht="12.75">
      <c r="A1631" s="4">
        <v>1630</v>
      </c>
      <c r="B1631" s="8" t="str">
        <f ca="1">IFERROR(__xludf.DUMMYFUNCTION("""COMPUTED_VALUE"""),"20061002PAWEN")</f>
        <v>20061002PAWEN</v>
      </c>
      <c r="C1631" s="8" t="str">
        <f ca="1">IFERROR(__xludf.DUMMYFUNCTION("""COMPUTED_VALUE"""),"Fatal")</f>
        <v>Fatal</v>
      </c>
      <c r="D1631" s="8" t="str">
        <f ca="1">IFERROR(__xludf.DUMMYFUNCTION("""COMPUTED_VALUE"""),"Female")</f>
        <v>Female</v>
      </c>
      <c r="E1631" s="8" t="str">
        <f ca="1">IFERROR(__xludf.DUMMYFUNCTION("""COMPUTED_VALUE"""),"Student")</f>
        <v>Student</v>
      </c>
      <c r="F1631" s="8">
        <f ca="1">IFERROR(__xludf.DUMMYFUNCTION("""COMPUTED_VALUE"""),12)</f>
        <v>12</v>
      </c>
    </row>
    <row r="1632" spans="1:6" ht="12.75">
      <c r="A1632" s="4">
        <v>1631</v>
      </c>
      <c r="B1632" s="8" t="str">
        <f ca="1">IFERROR(__xludf.DUMMYFUNCTION("""COMPUTED_VALUE"""),"20061002PAWEN")</f>
        <v>20061002PAWEN</v>
      </c>
      <c r="C1632" s="8" t="str">
        <f ca="1">IFERROR(__xludf.DUMMYFUNCTION("""COMPUTED_VALUE"""),"Fatal")</f>
        <v>Fatal</v>
      </c>
      <c r="D1632" s="8" t="str">
        <f ca="1">IFERROR(__xludf.DUMMYFUNCTION("""COMPUTED_VALUE"""),"Female")</f>
        <v>Female</v>
      </c>
      <c r="E1632" s="8" t="str">
        <f ca="1">IFERROR(__xludf.DUMMYFUNCTION("""COMPUTED_VALUE"""),"Student")</f>
        <v>Student</v>
      </c>
      <c r="F1632" s="8">
        <f ca="1">IFERROR(__xludf.DUMMYFUNCTION("""COMPUTED_VALUE"""),7)</f>
        <v>7</v>
      </c>
    </row>
    <row r="1633" spans="1:6" ht="12.75">
      <c r="A1633" s="4">
        <v>1632</v>
      </c>
      <c r="B1633" s="8" t="str">
        <f ca="1">IFERROR(__xludf.DUMMYFUNCTION("""COMPUTED_VALUE"""),"20061002PAWEN")</f>
        <v>20061002PAWEN</v>
      </c>
      <c r="C1633" s="8" t="str">
        <f ca="1">IFERROR(__xludf.DUMMYFUNCTION("""COMPUTED_VALUE"""),"Wounded")</f>
        <v>Wounded</v>
      </c>
      <c r="D1633" s="8" t="str">
        <f ca="1">IFERROR(__xludf.DUMMYFUNCTION("""COMPUTED_VALUE"""),"Female")</f>
        <v>Female</v>
      </c>
      <c r="E1633" s="8" t="str">
        <f ca="1">IFERROR(__xludf.DUMMYFUNCTION("""COMPUTED_VALUE"""),"Student")</f>
        <v>Student</v>
      </c>
      <c r="F1633" s="8" t="str">
        <f ca="1">IFERROR(__xludf.DUMMYFUNCTION("""COMPUTED_VALUE"""),"Child")</f>
        <v>Child</v>
      </c>
    </row>
    <row r="1634" spans="1:6" ht="12.75">
      <c r="A1634" s="4">
        <v>1633</v>
      </c>
      <c r="B1634" s="8" t="str">
        <f ca="1">IFERROR(__xludf.DUMMYFUNCTION("""COMPUTED_VALUE"""),"20061002PAWEN")</f>
        <v>20061002PAWEN</v>
      </c>
      <c r="C1634" s="8" t="str">
        <f ca="1">IFERROR(__xludf.DUMMYFUNCTION("""COMPUTED_VALUE"""),"Wounded")</f>
        <v>Wounded</v>
      </c>
      <c r="D1634" s="8" t="str">
        <f ca="1">IFERROR(__xludf.DUMMYFUNCTION("""COMPUTED_VALUE"""),"Female")</f>
        <v>Female</v>
      </c>
      <c r="E1634" s="8" t="str">
        <f ca="1">IFERROR(__xludf.DUMMYFUNCTION("""COMPUTED_VALUE"""),"Student")</f>
        <v>Student</v>
      </c>
      <c r="F1634" s="8" t="str">
        <f ca="1">IFERROR(__xludf.DUMMYFUNCTION("""COMPUTED_VALUE"""),"Child")</f>
        <v>Child</v>
      </c>
    </row>
    <row r="1635" spans="1:6" ht="12.75">
      <c r="A1635" s="4">
        <v>1634</v>
      </c>
      <c r="B1635" s="8" t="str">
        <f ca="1">IFERROR(__xludf.DUMMYFUNCTION("""COMPUTED_VALUE"""),"20061002PAWEN")</f>
        <v>20061002PAWEN</v>
      </c>
      <c r="C1635" s="8" t="str">
        <f ca="1">IFERROR(__xludf.DUMMYFUNCTION("""COMPUTED_VALUE"""),"Wounded")</f>
        <v>Wounded</v>
      </c>
      <c r="D1635" s="8" t="str">
        <f ca="1">IFERROR(__xludf.DUMMYFUNCTION("""COMPUTED_VALUE"""),"Female")</f>
        <v>Female</v>
      </c>
      <c r="E1635" s="8" t="str">
        <f ca="1">IFERROR(__xludf.DUMMYFUNCTION("""COMPUTED_VALUE"""),"Student")</f>
        <v>Student</v>
      </c>
      <c r="F1635" s="8" t="str">
        <f ca="1">IFERROR(__xludf.DUMMYFUNCTION("""COMPUTED_VALUE"""),"Child")</f>
        <v>Child</v>
      </c>
    </row>
    <row r="1636" spans="1:6" ht="12.75">
      <c r="A1636" s="4">
        <v>1635</v>
      </c>
      <c r="B1636" s="8" t="str">
        <f ca="1">IFERROR(__xludf.DUMMYFUNCTION("""COMPUTED_VALUE"""),"20061002PAWEN")</f>
        <v>20061002PAWEN</v>
      </c>
      <c r="C1636" s="8" t="str">
        <f ca="1">IFERROR(__xludf.DUMMYFUNCTION("""COMPUTED_VALUE"""),"Fatal")</f>
        <v>Fatal</v>
      </c>
      <c r="D1636" s="8" t="str">
        <f ca="1">IFERROR(__xludf.DUMMYFUNCTION("""COMPUTED_VALUE"""),"Female")</f>
        <v>Female</v>
      </c>
      <c r="E1636" s="8" t="str">
        <f ca="1">IFERROR(__xludf.DUMMYFUNCTION("""COMPUTED_VALUE"""),"Student")</f>
        <v>Student</v>
      </c>
      <c r="F1636" s="8">
        <f ca="1">IFERROR(__xludf.DUMMYFUNCTION("""COMPUTED_VALUE"""),13)</f>
        <v>13</v>
      </c>
    </row>
    <row r="1637" spans="1:6" ht="12.75">
      <c r="A1637" s="4">
        <v>1636</v>
      </c>
      <c r="B1637" s="8" t="str">
        <f ca="1">IFERROR(__xludf.DUMMYFUNCTION("""COMPUTED_VALUE"""),"20061002PAWEN")</f>
        <v>20061002PAWEN</v>
      </c>
      <c r="C1637" s="8" t="str">
        <f ca="1">IFERROR(__xludf.DUMMYFUNCTION("""COMPUTED_VALUE"""),"Wounded")</f>
        <v>Wounded</v>
      </c>
      <c r="D1637" s="8" t="str">
        <f ca="1">IFERROR(__xludf.DUMMYFUNCTION("""COMPUTED_VALUE"""),"Female")</f>
        <v>Female</v>
      </c>
      <c r="E1637" s="8" t="str">
        <f ca="1">IFERROR(__xludf.DUMMYFUNCTION("""COMPUTED_VALUE"""),"Student")</f>
        <v>Student</v>
      </c>
      <c r="F1637" s="8" t="str">
        <f ca="1">IFERROR(__xludf.DUMMYFUNCTION("""COMPUTED_VALUE"""),"Child")</f>
        <v>Child</v>
      </c>
    </row>
    <row r="1638" spans="1:6" ht="12.75">
      <c r="A1638" s="4">
        <v>1637</v>
      </c>
      <c r="B1638" s="8" t="str">
        <f ca="1">IFERROR(__xludf.DUMMYFUNCTION("""COMPUTED_VALUE"""),"20061002PAWEN")</f>
        <v>20061002PAWEN</v>
      </c>
      <c r="C1638" s="8" t="str">
        <f ca="1">IFERROR(__xludf.DUMMYFUNCTION("""COMPUTED_VALUE"""),"Fatal")</f>
        <v>Fatal</v>
      </c>
      <c r="D1638" s="8" t="str">
        <f ca="1">IFERROR(__xludf.DUMMYFUNCTION("""COMPUTED_VALUE"""),"Female")</f>
        <v>Female</v>
      </c>
      <c r="E1638" s="8" t="str">
        <f ca="1">IFERROR(__xludf.DUMMYFUNCTION("""COMPUTED_VALUE"""),"Student")</f>
        <v>Student</v>
      </c>
      <c r="F1638" s="8">
        <f ca="1">IFERROR(__xludf.DUMMYFUNCTION("""COMPUTED_VALUE"""),8)</f>
        <v>8</v>
      </c>
    </row>
    <row r="1639" spans="1:6" ht="12.75">
      <c r="A1639" s="4">
        <v>1638</v>
      </c>
      <c r="B1639" s="8" t="str">
        <f ca="1">IFERROR(__xludf.DUMMYFUNCTION("""COMPUTED_VALUE"""),"20061002PAWEN")</f>
        <v>20061002PAWEN</v>
      </c>
      <c r="C1639" s="8" t="str">
        <f ca="1">IFERROR(__xludf.DUMMYFUNCTION("""COMPUTED_VALUE"""),"Wounded")</f>
        <v>Wounded</v>
      </c>
      <c r="D1639" s="8" t="str">
        <f ca="1">IFERROR(__xludf.DUMMYFUNCTION("""COMPUTED_VALUE"""),"Female")</f>
        <v>Female</v>
      </c>
      <c r="E1639" s="8" t="str">
        <f ca="1">IFERROR(__xludf.DUMMYFUNCTION("""COMPUTED_VALUE"""),"Student")</f>
        <v>Student</v>
      </c>
      <c r="F1639" s="8" t="str">
        <f ca="1">IFERROR(__xludf.DUMMYFUNCTION("""COMPUTED_VALUE"""),"Child")</f>
        <v>Child</v>
      </c>
    </row>
    <row r="1640" spans="1:6" ht="12.75">
      <c r="A1640" s="4">
        <v>1639</v>
      </c>
      <c r="B1640" s="8" t="str">
        <f ca="1">IFERROR(__xludf.DUMMYFUNCTION("""COMPUTED_VALUE"""),"20061002PAWEN")</f>
        <v>20061002PAWEN</v>
      </c>
      <c r="C1640" s="8" t="str">
        <f ca="1">IFERROR(__xludf.DUMMYFUNCTION("""COMPUTED_VALUE"""),"Fatal")</f>
        <v>Fatal</v>
      </c>
      <c r="D1640" s="8" t="str">
        <f ca="1">IFERROR(__xludf.DUMMYFUNCTION("""COMPUTED_VALUE"""),"Female")</f>
        <v>Female</v>
      </c>
      <c r="E1640" s="8" t="str">
        <f ca="1">IFERROR(__xludf.DUMMYFUNCTION("""COMPUTED_VALUE"""),"Student")</f>
        <v>Student</v>
      </c>
      <c r="F1640" s="8">
        <f ca="1">IFERROR(__xludf.DUMMYFUNCTION("""COMPUTED_VALUE"""),7)</f>
        <v>7</v>
      </c>
    </row>
    <row r="1641" spans="1:6" ht="12.75">
      <c r="A1641" s="4">
        <v>1640</v>
      </c>
      <c r="B1641" s="8" t="str">
        <f ca="1">IFERROR(__xludf.DUMMYFUNCTION("""COMPUTED_VALUE"""),"20060929WIWEC")</f>
        <v>20060929WIWEC</v>
      </c>
      <c r="C1641" s="8" t="str">
        <f ca="1">IFERROR(__xludf.DUMMYFUNCTION("""COMPUTED_VALUE"""),"Fatal")</f>
        <v>Fatal</v>
      </c>
      <c r="D1641" s="8" t="str">
        <f ca="1">IFERROR(__xludf.DUMMYFUNCTION("""COMPUTED_VALUE"""),"Male")</f>
        <v>Male</v>
      </c>
      <c r="E1641" s="8" t="str">
        <f ca="1">IFERROR(__xludf.DUMMYFUNCTION("""COMPUTED_VALUE"""),"Principal/Vice-Principal")</f>
        <v>Principal/Vice-Principal</v>
      </c>
      <c r="F1641" s="8" t="str">
        <f ca="1">IFERROR(__xludf.DUMMYFUNCTION("""COMPUTED_VALUE"""),"Adult")</f>
        <v>Adult</v>
      </c>
    </row>
    <row r="1642" spans="1:6" ht="12.75">
      <c r="A1642" s="4">
        <v>1641</v>
      </c>
      <c r="B1642" s="8" t="str">
        <f ca="1">IFERROR(__xludf.DUMMYFUNCTION("""COMPUTED_VALUE"""),"20060927COPLB")</f>
        <v>20060927COPLB</v>
      </c>
      <c r="C1642" s="8" t="str">
        <f ca="1">IFERROR(__xludf.DUMMYFUNCTION("""COMPUTED_VALUE"""),"Fatal")</f>
        <v>Fatal</v>
      </c>
      <c r="D1642" s="8" t="str">
        <f ca="1">IFERROR(__xludf.DUMMYFUNCTION("""COMPUTED_VALUE"""),"Female")</f>
        <v>Female</v>
      </c>
      <c r="E1642" s="8" t="str">
        <f ca="1">IFERROR(__xludf.DUMMYFUNCTION("""COMPUTED_VALUE"""),"Student")</f>
        <v>Student</v>
      </c>
      <c r="F1642" s="8">
        <f ca="1">IFERROR(__xludf.DUMMYFUNCTION("""COMPUTED_VALUE"""),16)</f>
        <v>16</v>
      </c>
    </row>
    <row r="1643" spans="1:6" ht="12.75">
      <c r="A1643" s="4">
        <v>1642</v>
      </c>
      <c r="B1643" s="8" t="str">
        <f ca="1">IFERROR(__xludf.DUMMYFUNCTION("""COMPUTED_VALUE"""),"20060921DCCAW")</f>
        <v>20060921DCCAW</v>
      </c>
      <c r="C1643" s="8" t="str">
        <f ca="1">IFERROR(__xludf.DUMMYFUNCTION("""COMPUTED_VALUE"""),"Wounded")</f>
        <v>Wounded</v>
      </c>
      <c r="D1643" s="8" t="str">
        <f ca="1">IFERROR(__xludf.DUMMYFUNCTION("""COMPUTED_VALUE"""),"Male")</f>
        <v>Male</v>
      </c>
      <c r="E1643" s="8" t="str">
        <f ca="1">IFERROR(__xludf.DUMMYFUNCTION("""COMPUTED_VALUE"""),"Student")</f>
        <v>Student</v>
      </c>
      <c r="F1643" s="8">
        <f ca="1">IFERROR(__xludf.DUMMYFUNCTION("""COMPUTED_VALUE"""),16)</f>
        <v>16</v>
      </c>
    </row>
    <row r="1644" spans="1:6" ht="12.75">
      <c r="A1644" s="4">
        <v>1643</v>
      </c>
      <c r="B1644" s="8" t="str">
        <f ca="1">IFERROR(__xludf.DUMMYFUNCTION("""COMPUTED_VALUE"""),"20060913MOWEC")</f>
        <v>20060913MOWEC</v>
      </c>
      <c r="C1644" s="8" t="str">
        <f ca="1">IFERROR(__xludf.DUMMYFUNCTION("""COMPUTED_VALUE"""),"None")</f>
        <v>None</v>
      </c>
      <c r="D1644" s="8" t="str">
        <f ca="1">IFERROR(__xludf.DUMMYFUNCTION("""COMPUTED_VALUE"""),"Male")</f>
        <v>Male</v>
      </c>
      <c r="E1644" s="8" t="str">
        <f ca="1">IFERROR(__xludf.DUMMYFUNCTION("""COMPUTED_VALUE"""),"Student")</f>
        <v>Student</v>
      </c>
      <c r="F1644" s="8">
        <f ca="1">IFERROR(__xludf.DUMMYFUNCTION("""COMPUTED_VALUE"""),17)</f>
        <v>17</v>
      </c>
    </row>
    <row r="1645" spans="1:6" ht="12.75">
      <c r="A1645" s="4">
        <v>1644</v>
      </c>
      <c r="B1645" s="8" t="str">
        <f ca="1">IFERROR(__xludf.DUMMYFUNCTION("""COMPUTED_VALUE"""),"20060908TXSOF")</f>
        <v>20060908TXSOF</v>
      </c>
      <c r="C1645" s="8" t="str">
        <f ca="1">IFERROR(__xludf.DUMMYFUNCTION("""COMPUTED_VALUE"""),"Wounded")</f>
        <v>Wounded</v>
      </c>
      <c r="D1645" s="8" t="str">
        <f ca="1">IFERROR(__xludf.DUMMYFUNCTION("""COMPUTED_VALUE"""),"Male")</f>
        <v>Male</v>
      </c>
      <c r="E1645" s="8" t="str">
        <f ca="1">IFERROR(__xludf.DUMMYFUNCTION("""COMPUTED_VALUE"""),"Student")</f>
        <v>Student</v>
      </c>
      <c r="F1645" s="8">
        <f ca="1">IFERROR(__xludf.DUMMYFUNCTION("""COMPUTED_VALUE"""),15)</f>
        <v>15</v>
      </c>
    </row>
    <row r="1646" spans="1:6" ht="12.75">
      <c r="A1646" s="4">
        <v>1645</v>
      </c>
      <c r="B1646" s="8" t="str">
        <f ca="1">IFERROR(__xludf.DUMMYFUNCTION("""COMPUTED_VALUE"""),"20060905TNKIM")</f>
        <v>20060905TNKIM</v>
      </c>
      <c r="C1646" s="8" t="str">
        <f ca="1">IFERROR(__xludf.DUMMYFUNCTION("""COMPUTED_VALUE"""),"Wounded")</f>
        <v>Wounded</v>
      </c>
      <c r="D1646" s="8" t="str">
        <f ca="1">IFERROR(__xludf.DUMMYFUNCTION("""COMPUTED_VALUE"""),"Male")</f>
        <v>Male</v>
      </c>
      <c r="E1646" s="8" t="str">
        <f ca="1">IFERROR(__xludf.DUMMYFUNCTION("""COMPUTED_VALUE"""),"Student")</f>
        <v>Student</v>
      </c>
      <c r="F1646" s="8" t="str">
        <f ca="1">IFERROR(__xludf.DUMMYFUNCTION("""COMPUTED_VALUE"""),"Teen")</f>
        <v>Teen</v>
      </c>
    </row>
    <row r="1647" spans="1:6" ht="12.75">
      <c r="A1647" s="4">
        <v>1646</v>
      </c>
      <c r="B1647" s="8" t="str">
        <f ca="1">IFERROR(__xludf.DUMMYFUNCTION("""COMPUTED_VALUE"""),"20060831ALOXO")</f>
        <v>20060831ALOXO</v>
      </c>
      <c r="C1647" s="8" t="str">
        <f ca="1">IFERROR(__xludf.DUMMYFUNCTION("""COMPUTED_VALUE"""),"Wounded")</f>
        <v>Wounded</v>
      </c>
      <c r="D1647" s="8" t="str">
        <f ca="1">IFERROR(__xludf.DUMMYFUNCTION("""COMPUTED_VALUE"""),"Male")</f>
        <v>Male</v>
      </c>
      <c r="E1647" s="8" t="str">
        <f ca="1">IFERROR(__xludf.DUMMYFUNCTION("""COMPUTED_VALUE"""),"Nonstudent Using Athletic Facilities/Attending Game")</f>
        <v>Nonstudent Using Athletic Facilities/Attending Game</v>
      </c>
      <c r="F1647" s="8">
        <f ca="1">IFERROR(__xludf.DUMMYFUNCTION("""COMPUTED_VALUE"""),21)</f>
        <v>21</v>
      </c>
    </row>
    <row r="1648" spans="1:6" ht="12.75">
      <c r="A1648" s="4">
        <v>1647</v>
      </c>
      <c r="B1648" s="8" t="str">
        <f ca="1">IFERROR(__xludf.DUMMYFUNCTION("""COMPUTED_VALUE"""),"20060830NCORH")</f>
        <v>20060830NCORH</v>
      </c>
      <c r="C1648" s="8" t="str">
        <f ca="1">IFERROR(__xludf.DUMMYFUNCTION("""COMPUTED_VALUE"""),"Wounded")</f>
        <v>Wounded</v>
      </c>
      <c r="D1648" s="8" t="str">
        <f ca="1">IFERROR(__xludf.DUMMYFUNCTION("""COMPUTED_VALUE"""),"Male")</f>
        <v>Male</v>
      </c>
      <c r="E1648" s="8" t="str">
        <f ca="1">IFERROR(__xludf.DUMMYFUNCTION("""COMPUTED_VALUE"""),"Student")</f>
        <v>Student</v>
      </c>
      <c r="F1648" s="8" t="str">
        <f ca="1">IFERROR(__xludf.DUMMYFUNCTION("""COMPUTED_VALUE"""),"Teen")</f>
        <v>Teen</v>
      </c>
    </row>
    <row r="1649" spans="1:6" ht="12.75">
      <c r="A1649" s="4">
        <v>1648</v>
      </c>
      <c r="B1649" s="8" t="str">
        <f ca="1">IFERROR(__xludf.DUMMYFUNCTION("""COMPUTED_VALUE"""),"20060830NCORH")</f>
        <v>20060830NCORH</v>
      </c>
      <c r="C1649" s="8" t="str">
        <f ca="1">IFERROR(__xludf.DUMMYFUNCTION("""COMPUTED_VALUE"""),"Wounded")</f>
        <v>Wounded</v>
      </c>
      <c r="D1649" s="8" t="str">
        <f ca="1">IFERROR(__xludf.DUMMYFUNCTION("""COMPUTED_VALUE"""),"Female")</f>
        <v>Female</v>
      </c>
      <c r="E1649" s="8" t="str">
        <f ca="1">IFERROR(__xludf.DUMMYFUNCTION("""COMPUTED_VALUE"""),"Student")</f>
        <v>Student</v>
      </c>
      <c r="F1649" s="8" t="str">
        <f ca="1">IFERROR(__xludf.DUMMYFUNCTION("""COMPUTED_VALUE"""),"Teen")</f>
        <v>Teen</v>
      </c>
    </row>
    <row r="1650" spans="1:6" ht="12.75">
      <c r="A1650" s="4">
        <v>1649</v>
      </c>
      <c r="B1650" s="8" t="str">
        <f ca="1">IFERROR(__xludf.DUMMYFUNCTION("""COMPUTED_VALUE"""),"20060829DCANW")</f>
        <v>20060829DCANW</v>
      </c>
      <c r="C1650" s="8" t="str">
        <f ca="1">IFERROR(__xludf.DUMMYFUNCTION("""COMPUTED_VALUE"""),"None")</f>
        <v>None</v>
      </c>
      <c r="D1650" s="8"/>
      <c r="E1650" s="8"/>
      <c r="F1650" s="8"/>
    </row>
    <row r="1651" spans="1:6" ht="12.75">
      <c r="A1651" s="4">
        <v>1650</v>
      </c>
      <c r="B1651" s="8" t="str">
        <f ca="1">IFERROR(__xludf.DUMMYFUNCTION("""COMPUTED_VALUE"""),"20060824VTESE")</f>
        <v>20060824VTESE</v>
      </c>
      <c r="C1651" s="8" t="str">
        <f ca="1">IFERROR(__xludf.DUMMYFUNCTION("""COMPUTED_VALUE"""),"Fatal")</f>
        <v>Fatal</v>
      </c>
      <c r="D1651" s="8" t="str">
        <f ca="1">IFERROR(__xludf.DUMMYFUNCTION("""COMPUTED_VALUE"""),"Female")</f>
        <v>Female</v>
      </c>
      <c r="E1651" s="8" t="str">
        <f ca="1">IFERROR(__xludf.DUMMYFUNCTION("""COMPUTED_VALUE"""),"Teacher")</f>
        <v>Teacher</v>
      </c>
      <c r="F1651" s="8" t="str">
        <f ca="1">IFERROR(__xludf.DUMMYFUNCTION("""COMPUTED_VALUE"""),"Adult")</f>
        <v>Adult</v>
      </c>
    </row>
    <row r="1652" spans="1:6" ht="12.75">
      <c r="A1652" s="4">
        <v>1651</v>
      </c>
      <c r="B1652" s="8" t="str">
        <f ca="1">IFERROR(__xludf.DUMMYFUNCTION("""COMPUTED_VALUE"""),"20060821INCAN")</f>
        <v>20060821INCAN</v>
      </c>
      <c r="C1652" s="8" t="str">
        <f ca="1">IFERROR(__xludf.DUMMYFUNCTION("""COMPUTED_VALUE"""),"None")</f>
        <v>None</v>
      </c>
      <c r="D1652" s="8" t="str">
        <f ca="1">IFERROR(__xludf.DUMMYFUNCTION("""COMPUTED_VALUE"""),"Male")</f>
        <v>Male</v>
      </c>
      <c r="E1652" s="8" t="str">
        <f ca="1">IFERROR(__xludf.DUMMYFUNCTION("""COMPUTED_VALUE"""),"Student")</f>
        <v>Student</v>
      </c>
      <c r="F1652" s="8">
        <f ca="1">IFERROR(__xludf.DUMMYFUNCTION("""COMPUTED_VALUE"""),16)</f>
        <v>16</v>
      </c>
    </row>
    <row r="1653" spans="1:6" ht="12.75">
      <c r="A1653" s="4">
        <v>1652</v>
      </c>
      <c r="B1653" s="8" t="str">
        <f ca="1">IFERROR(__xludf.DUMMYFUNCTION("""COMPUTED_VALUE"""),"20060820GALYH")</f>
        <v>20060820GALYH</v>
      </c>
      <c r="C1653" s="8" t="str">
        <f ca="1">IFERROR(__xludf.DUMMYFUNCTION("""COMPUTED_VALUE"""),"Wounded")</f>
        <v>Wounded</v>
      </c>
      <c r="D1653" s="8" t="str">
        <f ca="1">IFERROR(__xludf.DUMMYFUNCTION("""COMPUTED_VALUE"""),"Male")</f>
        <v>Male</v>
      </c>
      <c r="E1653" s="8" t="str">
        <f ca="1">IFERROR(__xludf.DUMMYFUNCTION("""COMPUTED_VALUE"""),"No Relation")</f>
        <v>No Relation</v>
      </c>
      <c r="F1653" s="8">
        <f ca="1">IFERROR(__xludf.DUMMYFUNCTION("""COMPUTED_VALUE"""),18)</f>
        <v>18</v>
      </c>
    </row>
    <row r="1654" spans="1:6" ht="12.75">
      <c r="A1654" s="4">
        <v>1653</v>
      </c>
      <c r="B1654" s="8" t="str">
        <f ca="1">IFERROR(__xludf.DUMMYFUNCTION("""COMPUTED_VALUE"""),"20060820GALYH")</f>
        <v>20060820GALYH</v>
      </c>
      <c r="C1654" s="8" t="str">
        <f ca="1">IFERROR(__xludf.DUMMYFUNCTION("""COMPUTED_VALUE"""),"Wounded")</f>
        <v>Wounded</v>
      </c>
      <c r="D1654" s="8" t="str">
        <f ca="1">IFERROR(__xludf.DUMMYFUNCTION("""COMPUTED_VALUE"""),"Male")</f>
        <v>Male</v>
      </c>
      <c r="E1654" s="8" t="str">
        <f ca="1">IFERROR(__xludf.DUMMYFUNCTION("""COMPUTED_VALUE"""),"No Relation")</f>
        <v>No Relation</v>
      </c>
      <c r="F1654" s="8">
        <f ca="1">IFERROR(__xludf.DUMMYFUNCTION("""COMPUTED_VALUE"""),17)</f>
        <v>17</v>
      </c>
    </row>
    <row r="1655" spans="1:6" ht="12.75">
      <c r="A1655" s="4">
        <v>1654</v>
      </c>
      <c r="B1655" s="8" t="str">
        <f ca="1">IFERROR(__xludf.DUMMYFUNCTION("""COMPUTED_VALUE"""),"20060819OHSOY")</f>
        <v>20060819OHSOY</v>
      </c>
      <c r="C1655" s="8" t="str">
        <f ca="1">IFERROR(__xludf.DUMMYFUNCTION("""COMPUTED_VALUE"""),"Fatal")</f>
        <v>Fatal</v>
      </c>
      <c r="D1655" s="8" t="str">
        <f ca="1">IFERROR(__xludf.DUMMYFUNCTION("""COMPUTED_VALUE"""),"Male")</f>
        <v>Male</v>
      </c>
      <c r="E1655" s="8" t="str">
        <f ca="1">IFERROR(__xludf.DUMMYFUNCTION("""COMPUTED_VALUE"""),"Parent")</f>
        <v>Parent</v>
      </c>
      <c r="F1655" s="8">
        <f ca="1">IFERROR(__xludf.DUMMYFUNCTION("""COMPUTED_VALUE"""),31)</f>
        <v>31</v>
      </c>
    </row>
    <row r="1656" spans="1:6" ht="12.75">
      <c r="A1656" s="4">
        <v>1655</v>
      </c>
      <c r="B1656" s="8" t="str">
        <f ca="1">IFERROR(__xludf.DUMMYFUNCTION("""COMPUTED_VALUE"""),"20060817TXMEA")</f>
        <v>20060817TXMEA</v>
      </c>
      <c r="C1656" s="8" t="str">
        <f ca="1">IFERROR(__xludf.DUMMYFUNCTION("""COMPUTED_VALUE"""),"Fatal")</f>
        <v>Fatal</v>
      </c>
      <c r="D1656" s="8" t="str">
        <f ca="1">IFERROR(__xludf.DUMMYFUNCTION("""COMPUTED_VALUE"""),"Male")</f>
        <v>Male</v>
      </c>
      <c r="E1656" s="8" t="str">
        <f ca="1">IFERROR(__xludf.DUMMYFUNCTION("""COMPUTED_VALUE"""),"Relative")</f>
        <v>Relative</v>
      </c>
      <c r="F1656" s="8">
        <f ca="1">IFERROR(__xludf.DUMMYFUNCTION("""COMPUTED_VALUE"""),21)</f>
        <v>21</v>
      </c>
    </row>
    <row r="1657" spans="1:6" ht="12.75">
      <c r="A1657" s="4">
        <v>1656</v>
      </c>
      <c r="B1657" s="8" t="str">
        <f ca="1">IFERROR(__xludf.DUMMYFUNCTION("""COMPUTED_VALUE"""),"20060815KYJTV")</f>
        <v>20060815KYJTV</v>
      </c>
      <c r="C1657" s="8" t="str">
        <f ca="1">IFERROR(__xludf.DUMMYFUNCTION("""COMPUTED_VALUE"""),"None")</f>
        <v>None</v>
      </c>
      <c r="D1657" s="8"/>
      <c r="E1657" s="8"/>
      <c r="F1657" s="8"/>
    </row>
    <row r="1658" spans="1:6" ht="12.75">
      <c r="A1658" s="4">
        <v>1657</v>
      </c>
      <c r="B1658" s="8" t="str">
        <f ca="1">IFERROR(__xludf.DUMMYFUNCTION("""COMPUTED_VALUE"""),"20060731FLYOT")</f>
        <v>20060731FLYOT</v>
      </c>
      <c r="C1658" s="8" t="str">
        <f ca="1">IFERROR(__xludf.DUMMYFUNCTION("""COMPUTED_VALUE"""),"Fatal")</f>
        <v>Fatal</v>
      </c>
      <c r="D1658" s="8" t="str">
        <f ca="1">IFERROR(__xludf.DUMMYFUNCTION("""COMPUTED_VALUE"""),"Female")</f>
        <v>Female</v>
      </c>
      <c r="E1658" s="8" t="str">
        <f ca="1">IFERROR(__xludf.DUMMYFUNCTION("""COMPUTED_VALUE"""),"Parent")</f>
        <v>Parent</v>
      </c>
      <c r="F1658" s="8">
        <f ca="1">IFERROR(__xludf.DUMMYFUNCTION("""COMPUTED_VALUE"""),38)</f>
        <v>38</v>
      </c>
    </row>
    <row r="1659" spans="1:6" ht="12.75">
      <c r="A1659" s="4">
        <v>1658</v>
      </c>
      <c r="B1659" s="8" t="str">
        <f ca="1">IFERROR(__xludf.DUMMYFUNCTION("""COMPUTED_VALUE"""),"20060615MIPED")</f>
        <v>20060615MIPED</v>
      </c>
      <c r="C1659" s="8" t="str">
        <f ca="1">IFERROR(__xludf.DUMMYFUNCTION("""COMPUTED_VALUE"""),"Wounded")</f>
        <v>Wounded</v>
      </c>
      <c r="D1659" s="8" t="str">
        <f ca="1">IFERROR(__xludf.DUMMYFUNCTION("""COMPUTED_VALUE"""),"Male")</f>
        <v>Male</v>
      </c>
      <c r="E1659" s="8" t="str">
        <f ca="1">IFERROR(__xludf.DUMMYFUNCTION("""COMPUTED_VALUE"""),"Student")</f>
        <v>Student</v>
      </c>
      <c r="F1659" s="8">
        <f ca="1">IFERROR(__xludf.DUMMYFUNCTION("""COMPUTED_VALUE"""),16)</f>
        <v>16</v>
      </c>
    </row>
    <row r="1660" spans="1:6" ht="12.75">
      <c r="A1660" s="4">
        <v>1659</v>
      </c>
      <c r="B1660" s="8" t="str">
        <f ca="1">IFERROR(__xludf.DUMMYFUNCTION("""COMPUTED_VALUE"""),"20060606INWIG")</f>
        <v>20060606INWIG</v>
      </c>
      <c r="C1660" s="8" t="str">
        <f ca="1">IFERROR(__xludf.DUMMYFUNCTION("""COMPUTED_VALUE"""),"Fatal")</f>
        <v>Fatal</v>
      </c>
      <c r="D1660" s="8" t="str">
        <f ca="1">IFERROR(__xludf.DUMMYFUNCTION("""COMPUTED_VALUE"""),"Male")</f>
        <v>Male</v>
      </c>
      <c r="E1660" s="8" t="str">
        <f ca="1">IFERROR(__xludf.DUMMYFUNCTION("""COMPUTED_VALUE"""),"Relative")</f>
        <v>Relative</v>
      </c>
      <c r="F1660" s="8">
        <f ca="1">IFERROR(__xludf.DUMMYFUNCTION("""COMPUTED_VALUE"""),21)</f>
        <v>21</v>
      </c>
    </row>
    <row r="1661" spans="1:6" ht="12.75">
      <c r="A1661" s="4">
        <v>1660</v>
      </c>
      <c r="B1661" s="8" t="str">
        <f ca="1">IFERROR(__xludf.DUMMYFUNCTION("""COMPUTED_VALUE"""),"20060605CAVEL")</f>
        <v>20060605CAVEL</v>
      </c>
      <c r="C1661" s="8" t="str">
        <f ca="1">IFERROR(__xludf.DUMMYFUNCTION("""COMPUTED_VALUE"""),"Fatal")</f>
        <v>Fatal</v>
      </c>
      <c r="D1661" s="8" t="str">
        <f ca="1">IFERROR(__xludf.DUMMYFUNCTION("""COMPUTED_VALUE"""),"Male")</f>
        <v>Male</v>
      </c>
      <c r="E1661" s="8" t="str">
        <f ca="1">IFERROR(__xludf.DUMMYFUNCTION("""COMPUTED_VALUE"""),"Student")</f>
        <v>Student</v>
      </c>
      <c r="F1661" s="8">
        <f ca="1">IFERROR(__xludf.DUMMYFUNCTION("""COMPUTED_VALUE"""),17)</f>
        <v>17</v>
      </c>
    </row>
    <row r="1662" spans="1:6" ht="12.75">
      <c r="A1662" s="4">
        <v>1661</v>
      </c>
      <c r="B1662" s="8" t="str">
        <f ca="1">IFERROR(__xludf.DUMMYFUNCTION("""COMPUTED_VALUE"""),"20060525PANON")</f>
        <v>20060525PANON</v>
      </c>
      <c r="C1662" s="8" t="str">
        <f ca="1">IFERROR(__xludf.DUMMYFUNCTION("""COMPUTED_VALUE"""),"None")</f>
        <v>None</v>
      </c>
      <c r="D1662" s="8"/>
      <c r="E1662" s="8"/>
      <c r="F1662" s="8"/>
    </row>
    <row r="1663" spans="1:6" ht="12.75">
      <c r="A1663" s="4">
        <v>1662</v>
      </c>
      <c r="B1663" s="8" t="str">
        <f ca="1">IFERROR(__xludf.DUMMYFUNCTION("""COMPUTED_VALUE"""),"20060522SCBUI")</f>
        <v>20060522SCBUI</v>
      </c>
      <c r="C1663" s="8" t="str">
        <f ca="1">IFERROR(__xludf.DUMMYFUNCTION("""COMPUTED_VALUE"""),"None")</f>
        <v>None</v>
      </c>
      <c r="D1663" s="8"/>
      <c r="E1663" s="8"/>
      <c r="F1663" s="8"/>
    </row>
    <row r="1664" spans="1:6" ht="12.75">
      <c r="A1664" s="4">
        <v>1663</v>
      </c>
      <c r="B1664" s="8" t="str">
        <f ca="1">IFERROR(__xludf.DUMMYFUNCTION("""COMPUTED_VALUE"""),"20060505FLPAM")</f>
        <v>20060505FLPAM</v>
      </c>
      <c r="C1664" s="8" t="str">
        <f ca="1">IFERROR(__xludf.DUMMYFUNCTION("""COMPUTED_VALUE"""),"Fatal")</f>
        <v>Fatal</v>
      </c>
      <c r="D1664" s="8" t="str">
        <f ca="1">IFERROR(__xludf.DUMMYFUNCTION("""COMPUTED_VALUE"""),"Male")</f>
        <v>Male</v>
      </c>
      <c r="E1664" s="8" t="str">
        <f ca="1">IFERROR(__xludf.DUMMYFUNCTION("""COMPUTED_VALUE"""),"Student")</f>
        <v>Student</v>
      </c>
      <c r="F1664" s="8">
        <f ca="1">IFERROR(__xludf.DUMMYFUNCTION("""COMPUTED_VALUE"""),19)</f>
        <v>19</v>
      </c>
    </row>
    <row r="1665" spans="1:6" ht="12.75">
      <c r="A1665" s="4">
        <v>1664</v>
      </c>
      <c r="B1665" s="8" t="str">
        <f ca="1">IFERROR(__xludf.DUMMYFUNCTION("""COMPUTED_VALUE"""),"20060424NCEAC")</f>
        <v>20060424NCEAC</v>
      </c>
      <c r="C1665" s="8" t="str">
        <f ca="1">IFERROR(__xludf.DUMMYFUNCTION("""COMPUTED_VALUE"""),"None")</f>
        <v>None</v>
      </c>
      <c r="D1665" s="8"/>
      <c r="E1665" s="8"/>
      <c r="F1665" s="8"/>
    </row>
    <row r="1666" spans="1:6" ht="12.75">
      <c r="A1666" s="4">
        <v>1665</v>
      </c>
      <c r="B1666" s="8" t="str">
        <f ca="1">IFERROR(__xludf.DUMMYFUNCTION("""COMPUTED_VALUE"""),"20060418TXWEH")</f>
        <v>20060418TXWEH</v>
      </c>
      <c r="C1666" s="8" t="str">
        <f ca="1">IFERROR(__xludf.DUMMYFUNCTION("""COMPUTED_VALUE"""),"Wounded")</f>
        <v>Wounded</v>
      </c>
      <c r="D1666" s="8" t="str">
        <f ca="1">IFERROR(__xludf.DUMMYFUNCTION("""COMPUTED_VALUE"""),"Unknown")</f>
        <v>Unknown</v>
      </c>
      <c r="E1666" s="8" t="str">
        <f ca="1">IFERROR(__xludf.DUMMYFUNCTION("""COMPUTED_VALUE"""),"Student")</f>
        <v>Student</v>
      </c>
      <c r="F1666" s="8" t="str">
        <f ca="1">IFERROR(__xludf.DUMMYFUNCTION("""COMPUTED_VALUE"""),"Teen")</f>
        <v>Teen</v>
      </c>
    </row>
    <row r="1667" spans="1:6" ht="12.75">
      <c r="A1667" s="4">
        <v>1666</v>
      </c>
      <c r="B1667" s="8" t="str">
        <f ca="1">IFERROR(__xludf.DUMMYFUNCTION("""COMPUTED_VALUE"""),"20060418TXWEH")</f>
        <v>20060418TXWEH</v>
      </c>
      <c r="C1667" s="8" t="str">
        <f ca="1">IFERROR(__xludf.DUMMYFUNCTION("""COMPUTED_VALUE"""),"Wounded")</f>
        <v>Wounded</v>
      </c>
      <c r="D1667" s="8" t="str">
        <f ca="1">IFERROR(__xludf.DUMMYFUNCTION("""COMPUTED_VALUE"""),"Unknown")</f>
        <v>Unknown</v>
      </c>
      <c r="E1667" s="8" t="str">
        <f ca="1">IFERROR(__xludf.DUMMYFUNCTION("""COMPUTED_VALUE"""),"Student")</f>
        <v>Student</v>
      </c>
      <c r="F1667" s="8" t="str">
        <f ca="1">IFERROR(__xludf.DUMMYFUNCTION("""COMPUTED_VALUE"""),"Teen")</f>
        <v>Teen</v>
      </c>
    </row>
    <row r="1668" spans="1:6" ht="12.75">
      <c r="A1668" s="4">
        <v>1667</v>
      </c>
      <c r="B1668" s="8" t="str">
        <f ca="1">IFERROR(__xludf.DUMMYFUNCTION("""COMPUTED_VALUE"""),"20060405DCROW")</f>
        <v>20060405DCROW</v>
      </c>
      <c r="C1668" s="8" t="str">
        <f ca="1">IFERROR(__xludf.DUMMYFUNCTION("""COMPUTED_VALUE"""),"Wounded")</f>
        <v>Wounded</v>
      </c>
      <c r="D1668" s="8" t="str">
        <f ca="1">IFERROR(__xludf.DUMMYFUNCTION("""COMPUTED_VALUE"""),"Male")</f>
        <v>Male</v>
      </c>
      <c r="E1668" s="8" t="str">
        <f ca="1">IFERROR(__xludf.DUMMYFUNCTION("""COMPUTED_VALUE"""),"Student")</f>
        <v>Student</v>
      </c>
      <c r="F1668" s="8">
        <f ca="1">IFERROR(__xludf.DUMMYFUNCTION("""COMPUTED_VALUE"""),19)</f>
        <v>19</v>
      </c>
    </row>
    <row r="1669" spans="1:6" ht="12.75">
      <c r="A1669" s="4">
        <v>1668</v>
      </c>
      <c r="B1669" s="8" t="str">
        <f ca="1">IFERROR(__xludf.DUMMYFUNCTION("""COMPUTED_VALUE"""),"20060405DCROW")</f>
        <v>20060405DCROW</v>
      </c>
      <c r="C1669" s="8" t="str">
        <f ca="1">IFERROR(__xludf.DUMMYFUNCTION("""COMPUTED_VALUE"""),"Wounded")</f>
        <v>Wounded</v>
      </c>
      <c r="D1669" s="8" t="str">
        <f ca="1">IFERROR(__xludf.DUMMYFUNCTION("""COMPUTED_VALUE"""),"Female")</f>
        <v>Female</v>
      </c>
      <c r="E1669" s="8" t="str">
        <f ca="1">IFERROR(__xludf.DUMMYFUNCTION("""COMPUTED_VALUE"""),"Student")</f>
        <v>Student</v>
      </c>
      <c r="F1669" s="8">
        <f ca="1">IFERROR(__xludf.DUMMYFUNCTION("""COMPUTED_VALUE"""),18)</f>
        <v>18</v>
      </c>
    </row>
    <row r="1670" spans="1:6" ht="12.75">
      <c r="A1670" s="4">
        <v>1669</v>
      </c>
      <c r="B1670" s="8" t="str">
        <f ca="1">IFERROR(__xludf.DUMMYFUNCTION("""COMPUTED_VALUE"""),"20060314NVPIR")</f>
        <v>20060314NVPIR</v>
      </c>
      <c r="C1670" s="8" t="str">
        <f ca="1">IFERROR(__xludf.DUMMYFUNCTION("""COMPUTED_VALUE"""),"Wounded")</f>
        <v>Wounded</v>
      </c>
      <c r="D1670" s="8" t="str">
        <f ca="1">IFERROR(__xludf.DUMMYFUNCTION("""COMPUTED_VALUE"""),"Male")</f>
        <v>Male</v>
      </c>
      <c r="E1670" s="8" t="str">
        <f ca="1">IFERROR(__xludf.DUMMYFUNCTION("""COMPUTED_VALUE"""),"Student")</f>
        <v>Student</v>
      </c>
      <c r="F1670" s="8" t="str">
        <f ca="1">IFERROR(__xludf.DUMMYFUNCTION("""COMPUTED_VALUE"""),"Teen")</f>
        <v>Teen</v>
      </c>
    </row>
    <row r="1671" spans="1:6" ht="12.75">
      <c r="A1671" s="4">
        <v>1670</v>
      </c>
      <c r="B1671" s="8" t="str">
        <f ca="1">IFERROR(__xludf.DUMMYFUNCTION("""COMPUTED_VALUE"""),"20060314NVPIR")</f>
        <v>20060314NVPIR</v>
      </c>
      <c r="C1671" s="8" t="str">
        <f ca="1">IFERROR(__xludf.DUMMYFUNCTION("""COMPUTED_VALUE"""),"Wounded")</f>
        <v>Wounded</v>
      </c>
      <c r="D1671" s="8" t="str">
        <f ca="1">IFERROR(__xludf.DUMMYFUNCTION("""COMPUTED_VALUE"""),"Male")</f>
        <v>Male</v>
      </c>
      <c r="E1671" s="8" t="str">
        <f ca="1">IFERROR(__xludf.DUMMYFUNCTION("""COMPUTED_VALUE"""),"Student")</f>
        <v>Student</v>
      </c>
      <c r="F1671" s="8" t="str">
        <f ca="1">IFERROR(__xludf.DUMMYFUNCTION("""COMPUTED_VALUE"""),"Teen")</f>
        <v>Teen</v>
      </c>
    </row>
    <row r="1672" spans="1:6" ht="12.75">
      <c r="A1672" s="4">
        <v>1671</v>
      </c>
      <c r="B1672" s="8" t="str">
        <f ca="1">IFERROR(__xludf.DUMMYFUNCTION("""COMPUTED_VALUE"""),"20060310NYISN")</f>
        <v>20060310NYISN</v>
      </c>
      <c r="C1672" s="8" t="str">
        <f ca="1">IFERROR(__xludf.DUMMYFUNCTION("""COMPUTED_VALUE"""),"Wounded")</f>
        <v>Wounded</v>
      </c>
      <c r="D1672" s="8" t="str">
        <f ca="1">IFERROR(__xludf.DUMMYFUNCTION("""COMPUTED_VALUE"""),"Male")</f>
        <v>Male</v>
      </c>
      <c r="E1672" s="8" t="str">
        <f ca="1">IFERROR(__xludf.DUMMYFUNCTION("""COMPUTED_VALUE"""),"Student")</f>
        <v>Student</v>
      </c>
      <c r="F1672" s="8" t="str">
        <f ca="1">IFERROR(__xludf.DUMMYFUNCTION("""COMPUTED_VALUE"""),"Teen")</f>
        <v>Teen</v>
      </c>
    </row>
    <row r="1673" spans="1:6" ht="12.75">
      <c r="A1673" s="4">
        <v>1672</v>
      </c>
      <c r="B1673" s="8" t="str">
        <f ca="1">IFERROR(__xludf.DUMMYFUNCTION("""COMPUTED_VALUE"""),"20060310NYISN")</f>
        <v>20060310NYISN</v>
      </c>
      <c r="C1673" s="8" t="str">
        <f ca="1">IFERROR(__xludf.DUMMYFUNCTION("""COMPUTED_VALUE"""),"Wounded")</f>
        <v>Wounded</v>
      </c>
      <c r="D1673" s="8" t="str">
        <f ca="1">IFERROR(__xludf.DUMMYFUNCTION("""COMPUTED_VALUE"""),"Male")</f>
        <v>Male</v>
      </c>
      <c r="E1673" s="8" t="str">
        <f ca="1">IFERROR(__xludf.DUMMYFUNCTION("""COMPUTED_VALUE"""),"Student")</f>
        <v>Student</v>
      </c>
      <c r="F1673" s="8" t="str">
        <f ca="1">IFERROR(__xludf.DUMMYFUNCTION("""COMPUTED_VALUE"""),"Teen")</f>
        <v>Teen</v>
      </c>
    </row>
    <row r="1674" spans="1:6" ht="12.75">
      <c r="A1674" s="4">
        <v>1673</v>
      </c>
      <c r="B1674" s="8" t="str">
        <f ca="1">IFERROR(__xludf.DUMMYFUNCTION("""COMPUTED_VALUE"""),"20060223ORROR")</f>
        <v>20060223ORROR</v>
      </c>
      <c r="C1674" s="8" t="str">
        <f ca="1">IFERROR(__xludf.DUMMYFUNCTION("""COMPUTED_VALUE"""),"Wounded")</f>
        <v>Wounded</v>
      </c>
      <c r="D1674" s="8" t="str">
        <f ca="1">IFERROR(__xludf.DUMMYFUNCTION("""COMPUTED_VALUE"""),"Male")</f>
        <v>Male</v>
      </c>
      <c r="E1674" s="8" t="str">
        <f ca="1">IFERROR(__xludf.DUMMYFUNCTION("""COMPUTED_VALUE"""),"Student")</f>
        <v>Student</v>
      </c>
      <c r="F1674" s="8">
        <f ca="1">IFERROR(__xludf.DUMMYFUNCTION("""COMPUTED_VALUE"""),14)</f>
        <v>14</v>
      </c>
    </row>
    <row r="1675" spans="1:6" ht="12.75">
      <c r="A1675" s="4">
        <v>1674</v>
      </c>
      <c r="B1675" s="8" t="str">
        <f ca="1">IFERROR(__xludf.DUMMYFUNCTION("""COMPUTED_VALUE"""),"20060221PAWEP")</f>
        <v>20060221PAWEP</v>
      </c>
      <c r="C1675" s="8" t="str">
        <f ca="1">IFERROR(__xludf.DUMMYFUNCTION("""COMPUTED_VALUE"""),"Wounded")</f>
        <v>Wounded</v>
      </c>
      <c r="D1675" s="8" t="str">
        <f ca="1">IFERROR(__xludf.DUMMYFUNCTION("""COMPUTED_VALUE"""),"Male")</f>
        <v>Male</v>
      </c>
      <c r="E1675" s="8" t="str">
        <f ca="1">IFERROR(__xludf.DUMMYFUNCTION("""COMPUTED_VALUE"""),"Student")</f>
        <v>Student</v>
      </c>
      <c r="F1675" s="8">
        <f ca="1">IFERROR(__xludf.DUMMYFUNCTION("""COMPUTED_VALUE"""),16)</f>
        <v>16</v>
      </c>
    </row>
    <row r="1676" spans="1:6" ht="12.75">
      <c r="A1676" s="4">
        <v>1675</v>
      </c>
      <c r="B1676" s="8" t="str">
        <f ca="1">IFERROR(__xludf.DUMMYFUNCTION("""COMPUTED_VALUE"""),"20060215PAWEY")</f>
        <v>20060215PAWEY</v>
      </c>
      <c r="C1676" s="8" t="str">
        <f ca="1">IFERROR(__xludf.DUMMYFUNCTION("""COMPUTED_VALUE"""),"None")</f>
        <v>None</v>
      </c>
      <c r="D1676" s="8" t="str">
        <f ca="1">IFERROR(__xludf.DUMMYFUNCTION("""COMPUTED_VALUE"""),"Male")</f>
        <v>Male</v>
      </c>
      <c r="E1676" s="8" t="str">
        <f ca="1">IFERROR(__xludf.DUMMYFUNCTION("""COMPUTED_VALUE"""),"Teacher")</f>
        <v>Teacher</v>
      </c>
      <c r="F1676" s="8" t="str">
        <f ca="1">IFERROR(__xludf.DUMMYFUNCTION("""COMPUTED_VALUE"""),"Adult")</f>
        <v>Adult</v>
      </c>
    </row>
    <row r="1677" spans="1:6" ht="12.75">
      <c r="A1677" s="4">
        <v>1676</v>
      </c>
      <c r="B1677" s="8" t="str">
        <f ca="1">IFERROR(__xludf.DUMMYFUNCTION("""COMPUTED_VALUE"""),"20060209DEWIN")</f>
        <v>20060209DEWIN</v>
      </c>
      <c r="C1677" s="8" t="str">
        <f ca="1">IFERROR(__xludf.DUMMYFUNCTION("""COMPUTED_VALUE"""),"Wounded")</f>
        <v>Wounded</v>
      </c>
      <c r="D1677" s="8" t="str">
        <f ca="1">IFERROR(__xludf.DUMMYFUNCTION("""COMPUTED_VALUE"""),"Male")</f>
        <v>Male</v>
      </c>
      <c r="E1677" s="8" t="str">
        <f ca="1">IFERROR(__xludf.DUMMYFUNCTION("""COMPUTED_VALUE"""),"Student")</f>
        <v>Student</v>
      </c>
      <c r="F1677" s="8">
        <f ca="1">IFERROR(__xludf.DUMMYFUNCTION("""COMPUTED_VALUE"""),18)</f>
        <v>18</v>
      </c>
    </row>
    <row r="1678" spans="1:6" ht="12.75">
      <c r="A1678" s="4">
        <v>1677</v>
      </c>
      <c r="B1678" s="8" t="str">
        <f ca="1">IFERROR(__xludf.DUMMYFUNCTION("""COMPUTED_VALUE"""),"20060203CALOC")</f>
        <v>20060203CALOC</v>
      </c>
      <c r="C1678" s="8" t="str">
        <f ca="1">IFERROR(__xludf.DUMMYFUNCTION("""COMPUTED_VALUE"""),"Wounded")</f>
        <v>Wounded</v>
      </c>
      <c r="D1678" s="8" t="str">
        <f ca="1">IFERROR(__xludf.DUMMYFUNCTION("""COMPUTED_VALUE"""),"Male")</f>
        <v>Male</v>
      </c>
      <c r="E1678" s="8" t="str">
        <f ca="1">IFERROR(__xludf.DUMMYFUNCTION("""COMPUTED_VALUE"""),"Student")</f>
        <v>Student</v>
      </c>
      <c r="F1678" s="8">
        <f ca="1">IFERROR(__xludf.DUMMYFUNCTION("""COMPUTED_VALUE"""),10)</f>
        <v>10</v>
      </c>
    </row>
    <row r="1679" spans="1:6" ht="12.75">
      <c r="A1679" s="4">
        <v>1678</v>
      </c>
      <c r="B1679" s="8" t="str">
        <f ca="1">IFERROR(__xludf.DUMMYFUNCTION("""COMPUTED_VALUE"""),"20060130MTCMG")</f>
        <v>20060130MTCMG</v>
      </c>
      <c r="C1679" s="8" t="str">
        <f ca="1">IFERROR(__xludf.DUMMYFUNCTION("""COMPUTED_VALUE"""),"None")</f>
        <v>None</v>
      </c>
      <c r="D1679" s="8" t="str">
        <f ca="1">IFERROR(__xludf.DUMMYFUNCTION("""COMPUTED_VALUE"""),"Male")</f>
        <v>Male</v>
      </c>
      <c r="E1679" s="8" t="str">
        <f ca="1">IFERROR(__xludf.DUMMYFUNCTION("""COMPUTED_VALUE"""),"Student")</f>
        <v>Student</v>
      </c>
      <c r="F1679" s="8">
        <f ca="1">IFERROR(__xludf.DUMMYFUNCTION("""COMPUTED_VALUE"""),16)</f>
        <v>16</v>
      </c>
    </row>
    <row r="1680" spans="1:6" ht="12.75">
      <c r="A1680" s="4">
        <v>1679</v>
      </c>
      <c r="B1680" s="8" t="str">
        <f ca="1">IFERROR(__xludf.DUMMYFUNCTION("""COMPUTED_VALUE"""),"20060127TXLAG")</f>
        <v>20060127TXLAG</v>
      </c>
      <c r="C1680" s="8" t="str">
        <f ca="1">IFERROR(__xludf.DUMMYFUNCTION("""COMPUTED_VALUE"""),"Wounded")</f>
        <v>Wounded</v>
      </c>
      <c r="D1680" s="8" t="str">
        <f ca="1">IFERROR(__xludf.DUMMYFUNCTION("""COMPUTED_VALUE"""),"Female")</f>
        <v>Female</v>
      </c>
      <c r="E1680" s="8" t="str">
        <f ca="1">IFERROR(__xludf.DUMMYFUNCTION("""COMPUTED_VALUE"""),"Student")</f>
        <v>Student</v>
      </c>
      <c r="F1680" s="8" t="str">
        <f ca="1">IFERROR(__xludf.DUMMYFUNCTION("""COMPUTED_VALUE"""),"Teen")</f>
        <v>Teen</v>
      </c>
    </row>
    <row r="1681" spans="1:6" ht="12.75">
      <c r="A1681" s="4">
        <v>1680</v>
      </c>
      <c r="B1681" s="8" t="str">
        <f ca="1">IFERROR(__xludf.DUMMYFUNCTION("""COMPUTED_VALUE"""),"20060127TXLAG")</f>
        <v>20060127TXLAG</v>
      </c>
      <c r="C1681" s="8" t="str">
        <f ca="1">IFERROR(__xludf.DUMMYFUNCTION("""COMPUTED_VALUE"""),"Wounded")</f>
        <v>Wounded</v>
      </c>
      <c r="D1681" s="8" t="str">
        <f ca="1">IFERROR(__xludf.DUMMYFUNCTION("""COMPUTED_VALUE"""),"Female")</f>
        <v>Female</v>
      </c>
      <c r="E1681" s="8" t="str">
        <f ca="1">IFERROR(__xludf.DUMMYFUNCTION("""COMPUTED_VALUE"""),"Student")</f>
        <v>Student</v>
      </c>
      <c r="F1681" s="8" t="str">
        <f ca="1">IFERROR(__xludf.DUMMYFUNCTION("""COMPUTED_VALUE"""),"Teen")</f>
        <v>Teen</v>
      </c>
    </row>
    <row r="1682" spans="1:6" ht="12.75">
      <c r="A1682" s="4">
        <v>1681</v>
      </c>
      <c r="B1682" s="8" t="str">
        <f ca="1">IFERROR(__xludf.DUMMYFUNCTION("""COMPUTED_VALUE"""),"20060123CAWIV")</f>
        <v>20060123CAWIV</v>
      </c>
      <c r="C1682" s="8" t="str">
        <f ca="1">IFERROR(__xludf.DUMMYFUNCTION("""COMPUTED_VALUE"""),"Wounded")</f>
        <v>Wounded</v>
      </c>
      <c r="D1682" s="8" t="str">
        <f ca="1">IFERROR(__xludf.DUMMYFUNCTION("""COMPUTED_VALUE"""),"Female")</f>
        <v>Female</v>
      </c>
      <c r="E1682" s="8" t="str">
        <f ca="1">IFERROR(__xludf.DUMMYFUNCTION("""COMPUTED_VALUE"""),"Student")</f>
        <v>Student</v>
      </c>
      <c r="F1682" s="8">
        <f ca="1">IFERROR(__xludf.DUMMYFUNCTION("""COMPUTED_VALUE"""),15)</f>
        <v>15</v>
      </c>
    </row>
    <row r="1683" spans="1:6" ht="12.75">
      <c r="A1683" s="4">
        <v>1682</v>
      </c>
      <c r="B1683" s="8" t="str">
        <f ca="1">IFERROR(__xludf.DUMMYFUNCTION("""COMPUTED_VALUE"""),"20060119OHWIC")</f>
        <v>20060119OHWIC</v>
      </c>
      <c r="C1683" s="8" t="str">
        <f ca="1">IFERROR(__xludf.DUMMYFUNCTION("""COMPUTED_VALUE"""),"Wounded")</f>
        <v>Wounded</v>
      </c>
      <c r="D1683" s="8" t="str">
        <f ca="1">IFERROR(__xludf.DUMMYFUNCTION("""COMPUTED_VALUE"""),"Male")</f>
        <v>Male</v>
      </c>
      <c r="E1683" s="8" t="str">
        <f ca="1">IFERROR(__xludf.DUMMYFUNCTION("""COMPUTED_VALUE"""),"No Relation")</f>
        <v>No Relation</v>
      </c>
      <c r="F1683" s="8">
        <f ca="1">IFERROR(__xludf.DUMMYFUNCTION("""COMPUTED_VALUE"""),20)</f>
        <v>20</v>
      </c>
    </row>
    <row r="1684" spans="1:6" ht="12.75">
      <c r="A1684" s="4">
        <v>1683</v>
      </c>
      <c r="B1684" s="8" t="str">
        <f ca="1">IFERROR(__xludf.DUMMYFUNCTION("""COMPUTED_VALUE"""),"20060119OHWIC")</f>
        <v>20060119OHWIC</v>
      </c>
      <c r="C1684" s="8" t="str">
        <f ca="1">IFERROR(__xludf.DUMMYFUNCTION("""COMPUTED_VALUE"""),"Wounded")</f>
        <v>Wounded</v>
      </c>
      <c r="D1684" s="8" t="str">
        <f ca="1">IFERROR(__xludf.DUMMYFUNCTION("""COMPUTED_VALUE"""),"Male")</f>
        <v>Male</v>
      </c>
      <c r="E1684" s="8" t="str">
        <f ca="1">IFERROR(__xludf.DUMMYFUNCTION("""COMPUTED_VALUE"""),"No Relation")</f>
        <v>No Relation</v>
      </c>
      <c r="F1684" s="8">
        <f ca="1">IFERROR(__xludf.DUMMYFUNCTION("""COMPUTED_VALUE"""),17)</f>
        <v>17</v>
      </c>
    </row>
    <row r="1685" spans="1:6" ht="12.75">
      <c r="A1685" s="4">
        <v>1684</v>
      </c>
      <c r="B1685" s="8" t="str">
        <f ca="1">IFERROR(__xludf.DUMMYFUNCTION("""COMPUTED_VALUE"""),"20060118VAINC")</f>
        <v>20060118VAINC</v>
      </c>
      <c r="C1685" s="8" t="str">
        <f ca="1">IFERROR(__xludf.DUMMYFUNCTION("""COMPUTED_VALUE"""),"None")</f>
        <v>None</v>
      </c>
      <c r="D1685" s="8" t="str">
        <f ca="1">IFERROR(__xludf.DUMMYFUNCTION("""COMPUTED_VALUE"""),"Unknown")</f>
        <v>Unknown</v>
      </c>
      <c r="E1685" s="8" t="str">
        <f ca="1">IFERROR(__xludf.DUMMYFUNCTION("""COMPUTED_VALUE"""),"Student")</f>
        <v>Student</v>
      </c>
      <c r="F1685" s="8" t="str">
        <f ca="1">IFERROR(__xludf.DUMMYFUNCTION("""COMPUTED_VALUE"""),"Teen")</f>
        <v>Teen</v>
      </c>
    </row>
    <row r="1686" spans="1:6" ht="12.75">
      <c r="A1686" s="4">
        <v>1685</v>
      </c>
      <c r="B1686" s="8" t="str">
        <f ca="1">IFERROR(__xludf.DUMMYFUNCTION("""COMPUTED_VALUE"""),"20060118TXPAA")</f>
        <v>20060118TXPAA</v>
      </c>
      <c r="C1686" s="8" t="str">
        <f ca="1">IFERROR(__xludf.DUMMYFUNCTION("""COMPUTED_VALUE"""),"Wounded")</f>
        <v>Wounded</v>
      </c>
      <c r="D1686" s="8" t="str">
        <f ca="1">IFERROR(__xludf.DUMMYFUNCTION("""COMPUTED_VALUE"""),"Male")</f>
        <v>Male</v>
      </c>
      <c r="E1686" s="8" t="str">
        <f ca="1">IFERROR(__xludf.DUMMYFUNCTION("""COMPUTED_VALUE"""),"Student")</f>
        <v>Student</v>
      </c>
      <c r="F1686" s="8">
        <f ca="1">IFERROR(__xludf.DUMMYFUNCTION("""COMPUTED_VALUE"""),12)</f>
        <v>12</v>
      </c>
    </row>
    <row r="1687" spans="1:6" ht="12.75">
      <c r="A1687" s="4">
        <v>1686</v>
      </c>
      <c r="B1687" s="8" t="str">
        <f ca="1">IFERROR(__xludf.DUMMYFUNCTION("""COMPUTED_VALUE"""),"20060118MTFRA")</f>
        <v>20060118MTFRA</v>
      </c>
      <c r="C1687" s="8" t="str">
        <f ca="1">IFERROR(__xludf.DUMMYFUNCTION("""COMPUTED_VALUE"""),"Wounded")</f>
        <v>Wounded</v>
      </c>
      <c r="D1687" s="8" t="str">
        <f ca="1">IFERROR(__xludf.DUMMYFUNCTION("""COMPUTED_VALUE"""),"Male")</f>
        <v>Male</v>
      </c>
      <c r="E1687" s="8" t="str">
        <f ca="1">IFERROR(__xludf.DUMMYFUNCTION("""COMPUTED_VALUE"""),"Student")</f>
        <v>Student</v>
      </c>
      <c r="F1687" s="8" t="str">
        <f ca="1">IFERROR(__xludf.DUMMYFUNCTION("""COMPUTED_VALUE"""),"Teen")</f>
        <v>Teen</v>
      </c>
    </row>
    <row r="1688" spans="1:6" ht="12.75">
      <c r="A1688" s="4">
        <v>1687</v>
      </c>
      <c r="B1688" s="8" t="str">
        <f ca="1">IFERROR(__xludf.DUMMYFUNCTION("""COMPUTED_VALUE"""),"20060113MIOSD")</f>
        <v>20060113MIOSD</v>
      </c>
      <c r="C1688" s="8" t="str">
        <f ca="1">IFERROR(__xludf.DUMMYFUNCTION("""COMPUTED_VALUE"""),"None")</f>
        <v>None</v>
      </c>
      <c r="D1688" s="8" t="str">
        <f ca="1">IFERROR(__xludf.DUMMYFUNCTION("""COMPUTED_VALUE"""),"Unknown")</f>
        <v>Unknown</v>
      </c>
      <c r="E1688" s="8" t="str">
        <f ca="1">IFERROR(__xludf.DUMMYFUNCTION("""COMPUTED_VALUE"""),"Principal/Vice-Principal")</f>
        <v>Principal/Vice-Principal</v>
      </c>
      <c r="F1688" s="8" t="str">
        <f ca="1">IFERROR(__xludf.DUMMYFUNCTION("""COMPUTED_VALUE"""),"Adult")</f>
        <v>Adult</v>
      </c>
    </row>
    <row r="1689" spans="1:6" ht="12.75">
      <c r="A1689" s="4">
        <v>1688</v>
      </c>
      <c r="B1689" s="8" t="str">
        <f ca="1">IFERROR(__xludf.DUMMYFUNCTION("""COMPUTED_VALUE"""),"20060113FLMIL")</f>
        <v>20060113FLMIL</v>
      </c>
      <c r="C1689" s="8" t="str">
        <f ca="1">IFERROR(__xludf.DUMMYFUNCTION("""COMPUTED_VALUE"""),"None")</f>
        <v>None</v>
      </c>
      <c r="D1689" s="8" t="str">
        <f ca="1">IFERROR(__xludf.DUMMYFUNCTION("""COMPUTED_VALUE"""),"Male")</f>
        <v>Male</v>
      </c>
      <c r="E1689" s="8" t="str">
        <f ca="1">IFERROR(__xludf.DUMMYFUNCTION("""COMPUTED_VALUE"""),"Student")</f>
        <v>Student</v>
      </c>
      <c r="F1689" s="8">
        <f ca="1">IFERROR(__xludf.DUMMYFUNCTION("""COMPUTED_VALUE"""),15)</f>
        <v>15</v>
      </c>
    </row>
    <row r="1690" spans="1:6" ht="12.75">
      <c r="A1690" s="4">
        <v>1689</v>
      </c>
      <c r="B1690" s="8" t="str">
        <f ca="1">IFERROR(__xludf.DUMMYFUNCTION("""COMPUTED_VALUE"""),"20060113ALPIP")</f>
        <v>20060113ALPIP</v>
      </c>
      <c r="C1690" s="8" t="str">
        <f ca="1">IFERROR(__xludf.DUMMYFUNCTION("""COMPUTED_VALUE"""),"Wounded")</f>
        <v>Wounded</v>
      </c>
      <c r="D1690" s="8" t="str">
        <f ca="1">IFERROR(__xludf.DUMMYFUNCTION("""COMPUTED_VALUE"""),"Male")</f>
        <v>Male</v>
      </c>
      <c r="E1690" s="8" t="str">
        <f ca="1">IFERROR(__xludf.DUMMYFUNCTION("""COMPUTED_VALUE"""),"Student")</f>
        <v>Student</v>
      </c>
      <c r="F1690" s="8">
        <f ca="1">IFERROR(__xludf.DUMMYFUNCTION("""COMPUTED_VALUE"""),17)</f>
        <v>17</v>
      </c>
    </row>
    <row r="1691" spans="1:6" ht="12.75">
      <c r="A1691" s="4">
        <v>1690</v>
      </c>
      <c r="B1691" s="8" t="str">
        <f ca="1">IFERROR(__xludf.DUMMYFUNCTION("""COMPUTED_VALUE"""),"20060111WIMAM")</f>
        <v>20060111WIMAM</v>
      </c>
      <c r="C1691" s="8" t="str">
        <f ca="1">IFERROR(__xludf.DUMMYFUNCTION("""COMPUTED_VALUE"""),"Wounded")</f>
        <v>Wounded</v>
      </c>
      <c r="D1691" s="8" t="str">
        <f ca="1">IFERROR(__xludf.DUMMYFUNCTION("""COMPUTED_VALUE"""),"Female")</f>
        <v>Female</v>
      </c>
      <c r="E1691" s="8" t="str">
        <f ca="1">IFERROR(__xludf.DUMMYFUNCTION("""COMPUTED_VALUE"""),"Student")</f>
        <v>Student</v>
      </c>
      <c r="F1691" s="8">
        <f ca="1">IFERROR(__xludf.DUMMYFUNCTION("""COMPUTED_VALUE"""),9)</f>
        <v>9</v>
      </c>
    </row>
    <row r="1692" spans="1:6" ht="12.75">
      <c r="A1692" s="4">
        <v>1691</v>
      </c>
      <c r="B1692" s="8" t="str">
        <f ca="1">IFERROR(__xludf.DUMMYFUNCTION("""COMPUTED_VALUE"""),"20060110DEMOW")</f>
        <v>20060110DEMOW</v>
      </c>
      <c r="C1692" s="8" t="str">
        <f ca="1">IFERROR(__xludf.DUMMYFUNCTION("""COMPUTED_VALUE"""),"Wounded")</f>
        <v>Wounded</v>
      </c>
      <c r="D1692" s="8" t="str">
        <f ca="1">IFERROR(__xludf.DUMMYFUNCTION("""COMPUTED_VALUE"""),"Male")</f>
        <v>Male</v>
      </c>
      <c r="E1692" s="8" t="str">
        <f ca="1">IFERROR(__xludf.DUMMYFUNCTION("""COMPUTED_VALUE"""),"Student")</f>
        <v>Student</v>
      </c>
      <c r="F1692" s="8">
        <f ca="1">IFERROR(__xludf.DUMMYFUNCTION("""COMPUTED_VALUE"""),16)</f>
        <v>16</v>
      </c>
    </row>
    <row r="1693" spans="1:6" ht="12.75">
      <c r="A1693" s="4">
        <v>1692</v>
      </c>
      <c r="B1693" s="8" t="str">
        <f ca="1">IFERROR(__xludf.DUMMYFUNCTION("""COMPUTED_VALUE"""),"20060103NJLIJ")</f>
        <v>20060103NJLIJ</v>
      </c>
      <c r="C1693" s="8" t="str">
        <f ca="1">IFERROR(__xludf.DUMMYFUNCTION("""COMPUTED_VALUE"""),"Wounded")</f>
        <v>Wounded</v>
      </c>
      <c r="D1693" s="8" t="str">
        <f ca="1">IFERROR(__xludf.DUMMYFUNCTION("""COMPUTED_VALUE"""),"Male")</f>
        <v>Male</v>
      </c>
      <c r="E1693" s="8" t="str">
        <f ca="1">IFERROR(__xludf.DUMMYFUNCTION("""COMPUTED_VALUE"""),"Student")</f>
        <v>Student</v>
      </c>
      <c r="F1693" s="8" t="str">
        <f ca="1">IFERROR(__xludf.DUMMYFUNCTION("""COMPUTED_VALUE"""),"Teen")</f>
        <v>Teen</v>
      </c>
    </row>
    <row r="1694" spans="1:6" ht="12.75">
      <c r="A1694" s="4">
        <v>1693</v>
      </c>
      <c r="B1694" s="8" t="str">
        <f ca="1">IFERROR(__xludf.DUMMYFUNCTION("""COMPUTED_VALUE"""),"20060103NJLIJ")</f>
        <v>20060103NJLIJ</v>
      </c>
      <c r="C1694" s="8" t="str">
        <f ca="1">IFERROR(__xludf.DUMMYFUNCTION("""COMPUTED_VALUE"""),"Wounded")</f>
        <v>Wounded</v>
      </c>
      <c r="D1694" s="8" t="str">
        <f ca="1">IFERROR(__xludf.DUMMYFUNCTION("""COMPUTED_VALUE"""),"Female")</f>
        <v>Female</v>
      </c>
      <c r="E1694" s="8" t="str">
        <f ca="1">IFERROR(__xludf.DUMMYFUNCTION("""COMPUTED_VALUE"""),"Student")</f>
        <v>Student</v>
      </c>
      <c r="F1694" s="8" t="str">
        <f ca="1">IFERROR(__xludf.DUMMYFUNCTION("""COMPUTED_VALUE"""),"Teen")</f>
        <v>Teen</v>
      </c>
    </row>
    <row r="1695" spans="1:6" ht="12.75">
      <c r="A1695" s="4">
        <v>1694</v>
      </c>
      <c r="B1695" s="8" t="str">
        <f ca="1">IFERROR(__xludf.DUMMYFUNCTION("""COMPUTED_VALUE"""),"20051206MICED")</f>
        <v>20051206MICED</v>
      </c>
      <c r="C1695" s="8" t="str">
        <f ca="1">IFERROR(__xludf.DUMMYFUNCTION("""COMPUTED_VALUE"""),"Wounded")</f>
        <v>Wounded</v>
      </c>
      <c r="D1695" s="8" t="str">
        <f ca="1">IFERROR(__xludf.DUMMYFUNCTION("""COMPUTED_VALUE"""),"Male")</f>
        <v>Male</v>
      </c>
      <c r="E1695" s="8" t="str">
        <f ca="1">IFERROR(__xludf.DUMMYFUNCTION("""COMPUTED_VALUE"""),"Nonstudent")</f>
        <v>Nonstudent</v>
      </c>
      <c r="F1695" s="8"/>
    </row>
    <row r="1696" spans="1:6" ht="12.75">
      <c r="A1696" s="4">
        <v>1695</v>
      </c>
      <c r="B1696" s="8" t="str">
        <f ca="1">IFERROR(__xludf.DUMMYFUNCTION("""COMPUTED_VALUE"""),"20051206CASAG")</f>
        <v>20051206CASAG</v>
      </c>
      <c r="C1696" s="8" t="str">
        <f ca="1">IFERROR(__xludf.DUMMYFUNCTION("""COMPUTED_VALUE"""),"Fatal")</f>
        <v>Fatal</v>
      </c>
      <c r="D1696" s="8" t="str">
        <f ca="1">IFERROR(__xludf.DUMMYFUNCTION("""COMPUTED_VALUE"""),"Male")</f>
        <v>Male</v>
      </c>
      <c r="E1696" s="8" t="str">
        <f ca="1">IFERROR(__xludf.DUMMYFUNCTION("""COMPUTED_VALUE"""),"Student")</f>
        <v>Student</v>
      </c>
      <c r="F1696" s="8">
        <f ca="1">IFERROR(__xludf.DUMMYFUNCTION("""COMPUTED_VALUE"""),16)</f>
        <v>16</v>
      </c>
    </row>
    <row r="1697" spans="1:6" ht="12.75">
      <c r="A1697" s="4">
        <v>1696</v>
      </c>
      <c r="B1697" s="8" t="str">
        <f ca="1">IFERROR(__xludf.DUMMYFUNCTION("""COMPUTED_VALUE"""),"20051205MABOR")</f>
        <v>20051205MABOR</v>
      </c>
      <c r="C1697" s="8" t="str">
        <f ca="1">IFERROR(__xludf.DUMMYFUNCTION("""COMPUTED_VALUE"""),"None")</f>
        <v>None</v>
      </c>
      <c r="D1697" s="8"/>
      <c r="E1697" s="8"/>
      <c r="F1697" s="8"/>
    </row>
    <row r="1698" spans="1:6" ht="12.75">
      <c r="A1698" s="4">
        <v>1697</v>
      </c>
      <c r="B1698" s="8" t="str">
        <f ca="1">IFERROR(__xludf.DUMMYFUNCTION("""COMPUTED_VALUE"""),"20051116TXIRS")</f>
        <v>20051116TXIRS</v>
      </c>
      <c r="C1698" s="8" t="str">
        <f ca="1">IFERROR(__xludf.DUMMYFUNCTION("""COMPUTED_VALUE"""),"Fatal")</f>
        <v>Fatal</v>
      </c>
      <c r="D1698" s="8" t="str">
        <f ca="1">IFERROR(__xludf.DUMMYFUNCTION("""COMPUTED_VALUE"""),"Male")</f>
        <v>Male</v>
      </c>
      <c r="E1698" s="8" t="str">
        <f ca="1">IFERROR(__xludf.DUMMYFUNCTION("""COMPUTED_VALUE"""),"No Relation")</f>
        <v>No Relation</v>
      </c>
      <c r="F1698" s="8" t="str">
        <f ca="1">IFERROR(__xludf.DUMMYFUNCTION("""COMPUTED_VALUE"""),"Adult")</f>
        <v>Adult</v>
      </c>
    </row>
    <row r="1699" spans="1:6" ht="12.75">
      <c r="A1699" s="4">
        <v>1698</v>
      </c>
      <c r="B1699" s="8" t="str">
        <f ca="1">IFERROR(__xludf.DUMMYFUNCTION("""COMPUTED_VALUE"""),"20051115FLPAM")</f>
        <v>20051115FLPAM</v>
      </c>
      <c r="C1699" s="8" t="str">
        <f ca="1">IFERROR(__xludf.DUMMYFUNCTION("""COMPUTED_VALUE"""),"Wounded")</f>
        <v>Wounded</v>
      </c>
      <c r="D1699" s="8" t="str">
        <f ca="1">IFERROR(__xludf.DUMMYFUNCTION("""COMPUTED_VALUE"""),"Female")</f>
        <v>Female</v>
      </c>
      <c r="E1699" s="8" t="str">
        <f ca="1">IFERROR(__xludf.DUMMYFUNCTION("""COMPUTED_VALUE"""),"Student")</f>
        <v>Student</v>
      </c>
      <c r="F1699" s="8">
        <f ca="1">IFERROR(__xludf.DUMMYFUNCTION("""COMPUTED_VALUE"""),17)</f>
        <v>17</v>
      </c>
    </row>
    <row r="1700" spans="1:6" ht="12.75">
      <c r="A1700" s="4">
        <v>1699</v>
      </c>
      <c r="B1700" s="8" t="str">
        <f ca="1">IFERROR(__xludf.DUMMYFUNCTION("""COMPUTED_VALUE"""),"20051108TNCAJ")</f>
        <v>20051108TNCAJ</v>
      </c>
      <c r="C1700" s="8" t="str">
        <f ca="1">IFERROR(__xludf.DUMMYFUNCTION("""COMPUTED_VALUE"""),"Wounded")</f>
        <v>Wounded</v>
      </c>
      <c r="D1700" s="8" t="str">
        <f ca="1">IFERROR(__xludf.DUMMYFUNCTION("""COMPUTED_VALUE"""),"Male")</f>
        <v>Male</v>
      </c>
      <c r="E1700" s="8" t="str">
        <f ca="1">IFERROR(__xludf.DUMMYFUNCTION("""COMPUTED_VALUE"""),"Principal/Vice-Principal")</f>
        <v>Principal/Vice-Principal</v>
      </c>
      <c r="F1700" s="8" t="str">
        <f ca="1">IFERROR(__xludf.DUMMYFUNCTION("""COMPUTED_VALUE"""),"Adult")</f>
        <v>Adult</v>
      </c>
    </row>
    <row r="1701" spans="1:6" ht="12.75">
      <c r="A1701" s="4">
        <v>1700</v>
      </c>
      <c r="B1701" s="8" t="str">
        <f ca="1">IFERROR(__xludf.DUMMYFUNCTION("""COMPUTED_VALUE"""),"20051108TNCAJ")</f>
        <v>20051108TNCAJ</v>
      </c>
      <c r="C1701" s="8" t="str">
        <f ca="1">IFERROR(__xludf.DUMMYFUNCTION("""COMPUTED_VALUE"""),"Wounded")</f>
        <v>Wounded</v>
      </c>
      <c r="D1701" s="8" t="str">
        <f ca="1">IFERROR(__xludf.DUMMYFUNCTION("""COMPUTED_VALUE"""),"Male")</f>
        <v>Male</v>
      </c>
      <c r="E1701" s="8" t="str">
        <f ca="1">IFERROR(__xludf.DUMMYFUNCTION("""COMPUTED_VALUE"""),"Principal/Vice-Principal")</f>
        <v>Principal/Vice-Principal</v>
      </c>
      <c r="F1701" s="8" t="str">
        <f ca="1">IFERROR(__xludf.DUMMYFUNCTION("""COMPUTED_VALUE"""),"Adult")</f>
        <v>Adult</v>
      </c>
    </row>
    <row r="1702" spans="1:6" ht="12.75">
      <c r="A1702" s="4">
        <v>1701</v>
      </c>
      <c r="B1702" s="8" t="str">
        <f ca="1">IFERROR(__xludf.DUMMYFUNCTION("""COMPUTED_VALUE"""),"20051108TNCAJ")</f>
        <v>20051108TNCAJ</v>
      </c>
      <c r="C1702" s="8" t="str">
        <f ca="1">IFERROR(__xludf.DUMMYFUNCTION("""COMPUTED_VALUE"""),"Fatal")</f>
        <v>Fatal</v>
      </c>
      <c r="D1702" s="8" t="str">
        <f ca="1">IFERROR(__xludf.DUMMYFUNCTION("""COMPUTED_VALUE"""),"Male")</f>
        <v>Male</v>
      </c>
      <c r="E1702" s="8" t="str">
        <f ca="1">IFERROR(__xludf.DUMMYFUNCTION("""COMPUTED_VALUE"""),"Principal/Vice-Principal")</f>
        <v>Principal/Vice-Principal</v>
      </c>
      <c r="F1702" s="8" t="str">
        <f ca="1">IFERROR(__xludf.DUMMYFUNCTION("""COMPUTED_VALUE"""),"Adult")</f>
        <v>Adult</v>
      </c>
    </row>
    <row r="1703" spans="1:6" ht="12.75">
      <c r="A1703" s="4">
        <v>1702</v>
      </c>
      <c r="B1703" s="8" t="str">
        <f ca="1">IFERROR(__xludf.DUMMYFUNCTION("""COMPUTED_VALUE"""),"20051028NYFAF")</f>
        <v>20051028NYFAF</v>
      </c>
      <c r="C1703" s="8" t="str">
        <f ca="1">IFERROR(__xludf.DUMMYFUNCTION("""COMPUTED_VALUE"""),"None")</f>
        <v>None</v>
      </c>
      <c r="D1703" s="8" t="str">
        <f ca="1">IFERROR(__xludf.DUMMYFUNCTION("""COMPUTED_VALUE"""),"Male")</f>
        <v>Male</v>
      </c>
      <c r="E1703" s="8" t="str">
        <f ca="1">IFERROR(__xludf.DUMMYFUNCTION("""COMPUTED_VALUE"""),"Security Guard")</f>
        <v>Security Guard</v>
      </c>
      <c r="F1703" s="8" t="str">
        <f ca="1">IFERROR(__xludf.DUMMYFUNCTION("""COMPUTED_VALUE"""),"Adult")</f>
        <v>Adult</v>
      </c>
    </row>
    <row r="1704" spans="1:6" ht="12.75">
      <c r="A1704" s="4">
        <v>1703</v>
      </c>
      <c r="B1704" s="8" t="str">
        <f ca="1">IFERROR(__xludf.DUMMYFUNCTION("""COMPUTED_VALUE"""),"20051028MDANA")</f>
        <v>20051028MDANA</v>
      </c>
      <c r="C1704" s="8" t="str">
        <f ca="1">IFERROR(__xludf.DUMMYFUNCTION("""COMPUTED_VALUE"""),"Wounded")</f>
        <v>Wounded</v>
      </c>
      <c r="D1704" s="8" t="str">
        <f ca="1">IFERROR(__xludf.DUMMYFUNCTION("""COMPUTED_VALUE"""),"Female")</f>
        <v>Female</v>
      </c>
      <c r="E1704" s="8" t="str">
        <f ca="1">IFERROR(__xludf.DUMMYFUNCTION("""COMPUTED_VALUE"""),"Student")</f>
        <v>Student</v>
      </c>
      <c r="F1704" s="8">
        <f ca="1">IFERROR(__xludf.DUMMYFUNCTION("""COMPUTED_VALUE"""),17)</f>
        <v>17</v>
      </c>
    </row>
    <row r="1705" spans="1:6" ht="12.75">
      <c r="A1705" s="4">
        <v>1704</v>
      </c>
      <c r="B1705" s="8" t="str">
        <f ca="1">IFERROR(__xludf.DUMMYFUNCTION("""COMPUTED_VALUE"""),"20051027CABIF")</f>
        <v>20051027CABIF</v>
      </c>
      <c r="C1705" s="8" t="str">
        <f ca="1">IFERROR(__xludf.DUMMYFUNCTION("""COMPUTED_VALUE"""),"Fatal")</f>
        <v>Fatal</v>
      </c>
      <c r="D1705" s="8" t="str">
        <f ca="1">IFERROR(__xludf.DUMMYFUNCTION("""COMPUTED_VALUE"""),"Male")</f>
        <v>Male</v>
      </c>
      <c r="E1705" s="8" t="str">
        <f ca="1">IFERROR(__xludf.DUMMYFUNCTION("""COMPUTED_VALUE"""),"Parent")</f>
        <v>Parent</v>
      </c>
      <c r="F1705" s="8">
        <f ca="1">IFERROR(__xludf.DUMMYFUNCTION("""COMPUTED_VALUE"""),37)</f>
        <v>37</v>
      </c>
    </row>
    <row r="1706" spans="1:6" ht="12.75">
      <c r="A1706" s="4">
        <v>1705</v>
      </c>
      <c r="B1706" s="8" t="str">
        <f ca="1">IFERROR(__xludf.DUMMYFUNCTION("""COMPUTED_VALUE"""),"20051020MISAS")</f>
        <v>20051020MISAS</v>
      </c>
      <c r="C1706" s="8" t="str">
        <f ca="1">IFERROR(__xludf.DUMMYFUNCTION("""COMPUTED_VALUE"""),"Wounded")</f>
        <v>Wounded</v>
      </c>
      <c r="D1706" s="8" t="str">
        <f ca="1">IFERROR(__xludf.DUMMYFUNCTION("""COMPUTED_VALUE"""),"Male")</f>
        <v>Male</v>
      </c>
      <c r="E1706" s="8" t="str">
        <f ca="1">IFERROR(__xludf.DUMMYFUNCTION("""COMPUTED_VALUE"""),"Student")</f>
        <v>Student</v>
      </c>
      <c r="F1706" s="8">
        <f ca="1">IFERROR(__xludf.DUMMYFUNCTION("""COMPUTED_VALUE"""),15)</f>
        <v>15</v>
      </c>
    </row>
    <row r="1707" spans="1:6" ht="12.75">
      <c r="A1707" s="4">
        <v>1706</v>
      </c>
      <c r="B1707" s="8" t="str">
        <f ca="1">IFERROR(__xludf.DUMMYFUNCTION("""COMPUTED_VALUE"""),"20051019CASAS")</f>
        <v>20051019CASAS</v>
      </c>
      <c r="C1707" s="8" t="str">
        <f ca="1">IFERROR(__xludf.DUMMYFUNCTION("""COMPUTED_VALUE"""),"Wounded")</f>
        <v>Wounded</v>
      </c>
      <c r="D1707" s="8" t="str">
        <f ca="1">IFERROR(__xludf.DUMMYFUNCTION("""COMPUTED_VALUE"""),"Male")</f>
        <v>Male</v>
      </c>
      <c r="E1707" s="8" t="str">
        <f ca="1">IFERROR(__xludf.DUMMYFUNCTION("""COMPUTED_VALUE"""),"Student")</f>
        <v>Student</v>
      </c>
      <c r="F1707" s="8">
        <f ca="1">IFERROR(__xludf.DUMMYFUNCTION("""COMPUTED_VALUE"""),16)</f>
        <v>16</v>
      </c>
    </row>
    <row r="1708" spans="1:6" ht="12.75">
      <c r="A1708" s="4">
        <v>1707</v>
      </c>
      <c r="B1708" s="8" t="str">
        <f ca="1">IFERROR(__xludf.DUMMYFUNCTION("""COMPUTED_VALUE"""),"20051014NYSAN")</f>
        <v>20051014NYSAN</v>
      </c>
      <c r="C1708" s="8" t="str">
        <f ca="1">IFERROR(__xludf.DUMMYFUNCTION("""COMPUTED_VALUE"""),"Wounded")</f>
        <v>Wounded</v>
      </c>
      <c r="D1708" s="8" t="str">
        <f ca="1">IFERROR(__xludf.DUMMYFUNCTION("""COMPUTED_VALUE"""),"Male")</f>
        <v>Male</v>
      </c>
      <c r="E1708" s="8" t="str">
        <f ca="1">IFERROR(__xludf.DUMMYFUNCTION("""COMPUTED_VALUE"""),"Student")</f>
        <v>Student</v>
      </c>
      <c r="F1708" s="8">
        <f ca="1">IFERROR(__xludf.DUMMYFUNCTION("""COMPUTED_VALUE"""),16)</f>
        <v>16</v>
      </c>
    </row>
    <row r="1709" spans="1:6" ht="12.75">
      <c r="A1709" s="4">
        <v>1708</v>
      </c>
      <c r="B1709" s="8" t="str">
        <f ca="1">IFERROR(__xludf.DUMMYFUNCTION("""COMPUTED_VALUE"""),"20051011MIFAF")</f>
        <v>20051011MIFAF</v>
      </c>
      <c r="C1709" s="8" t="str">
        <f ca="1">IFERROR(__xludf.DUMMYFUNCTION("""COMPUTED_VALUE"""),"None")</f>
        <v>None</v>
      </c>
      <c r="D1709" s="8"/>
      <c r="E1709" s="8"/>
      <c r="F1709" s="8"/>
    </row>
    <row r="1710" spans="1:6" ht="12.75">
      <c r="A1710" s="4">
        <v>1709</v>
      </c>
      <c r="B1710" s="8" t="str">
        <f ca="1">IFERROR(__xludf.DUMMYFUNCTION("""COMPUTED_VALUE"""),"20050924MISAS")</f>
        <v>20050924MISAS</v>
      </c>
      <c r="C1710" s="8" t="str">
        <f ca="1">IFERROR(__xludf.DUMMYFUNCTION("""COMPUTED_VALUE"""),"Wounded")</f>
        <v>Wounded</v>
      </c>
      <c r="D1710" s="8" t="str">
        <f ca="1">IFERROR(__xludf.DUMMYFUNCTION("""COMPUTED_VALUE"""),"Female")</f>
        <v>Female</v>
      </c>
      <c r="E1710" s="8" t="str">
        <f ca="1">IFERROR(__xludf.DUMMYFUNCTION("""COMPUTED_VALUE"""),"Student")</f>
        <v>Student</v>
      </c>
      <c r="F1710" s="8">
        <f ca="1">IFERROR(__xludf.DUMMYFUNCTION("""COMPUTED_VALUE"""),14)</f>
        <v>14</v>
      </c>
    </row>
    <row r="1711" spans="1:6" ht="12.75">
      <c r="A1711" s="4">
        <v>1710</v>
      </c>
      <c r="B1711" s="8" t="str">
        <f ca="1">IFERROR(__xludf.DUMMYFUNCTION("""COMPUTED_VALUE"""),"20050924MISAS")</f>
        <v>20050924MISAS</v>
      </c>
      <c r="C1711" s="8" t="str">
        <f ca="1">IFERROR(__xludf.DUMMYFUNCTION("""COMPUTED_VALUE"""),"Wounded")</f>
        <v>Wounded</v>
      </c>
      <c r="D1711" s="8" t="str">
        <f ca="1">IFERROR(__xludf.DUMMYFUNCTION("""COMPUTED_VALUE"""),"Male")</f>
        <v>Male</v>
      </c>
      <c r="E1711" s="8" t="str">
        <f ca="1">IFERROR(__xludf.DUMMYFUNCTION("""COMPUTED_VALUE"""),"Student")</f>
        <v>Student</v>
      </c>
      <c r="F1711" s="8">
        <f ca="1">IFERROR(__xludf.DUMMYFUNCTION("""COMPUTED_VALUE"""),15)</f>
        <v>15</v>
      </c>
    </row>
    <row r="1712" spans="1:6" ht="12.75">
      <c r="A1712" s="4">
        <v>1711</v>
      </c>
      <c r="B1712" s="8" t="str">
        <f ca="1">IFERROR(__xludf.DUMMYFUNCTION("""COMPUTED_VALUE"""),"20050913ILHAC")</f>
        <v>20050913ILHAC</v>
      </c>
      <c r="C1712" s="8" t="str">
        <f ca="1">IFERROR(__xludf.DUMMYFUNCTION("""COMPUTED_VALUE"""),"Wounded")</f>
        <v>Wounded</v>
      </c>
      <c r="D1712" s="8" t="str">
        <f ca="1">IFERROR(__xludf.DUMMYFUNCTION("""COMPUTED_VALUE"""),"Male")</f>
        <v>Male</v>
      </c>
      <c r="E1712" s="8" t="str">
        <f ca="1">IFERROR(__xludf.DUMMYFUNCTION("""COMPUTED_VALUE"""),"Student")</f>
        <v>Student</v>
      </c>
      <c r="F1712" s="8">
        <f ca="1">IFERROR(__xludf.DUMMYFUNCTION("""COMPUTED_VALUE"""),15)</f>
        <v>15</v>
      </c>
    </row>
    <row r="1713" spans="1:6" ht="12.75">
      <c r="A1713" s="4">
        <v>1712</v>
      </c>
      <c r="B1713" s="8" t="str">
        <f ca="1">IFERROR(__xludf.DUMMYFUNCTION("""COMPUTED_VALUE"""),"20050902FLSOJ")</f>
        <v>20050902FLSOJ</v>
      </c>
      <c r="C1713" s="8" t="str">
        <f ca="1">IFERROR(__xludf.DUMMYFUNCTION("""COMPUTED_VALUE"""),"Wounded")</f>
        <v>Wounded</v>
      </c>
      <c r="D1713" s="8" t="str">
        <f ca="1">IFERROR(__xludf.DUMMYFUNCTION("""COMPUTED_VALUE"""),"Male")</f>
        <v>Male</v>
      </c>
      <c r="E1713" s="8" t="str">
        <f ca="1">IFERROR(__xludf.DUMMYFUNCTION("""COMPUTED_VALUE"""),"Student")</f>
        <v>Student</v>
      </c>
      <c r="F1713" s="8">
        <f ca="1">IFERROR(__xludf.DUMMYFUNCTION("""COMPUTED_VALUE"""),17)</f>
        <v>17</v>
      </c>
    </row>
    <row r="1714" spans="1:6" ht="12.75">
      <c r="A1714" s="4">
        <v>1713</v>
      </c>
      <c r="B1714" s="8" t="str">
        <f ca="1">IFERROR(__xludf.DUMMYFUNCTION("""COMPUTED_VALUE"""),"20050901AKDIA")</f>
        <v>20050901AKDIA</v>
      </c>
      <c r="C1714" s="8" t="str">
        <f ca="1">IFERROR(__xludf.DUMMYFUNCTION("""COMPUTED_VALUE"""),"None")</f>
        <v>None</v>
      </c>
      <c r="D1714" s="8" t="str">
        <f ca="1">IFERROR(__xludf.DUMMYFUNCTION("""COMPUTED_VALUE"""),"Male")</f>
        <v>Male</v>
      </c>
      <c r="E1714" s="8" t="str">
        <f ca="1">IFERROR(__xludf.DUMMYFUNCTION("""COMPUTED_VALUE"""),"Student")</f>
        <v>Student</v>
      </c>
      <c r="F1714" s="8" t="str">
        <f ca="1">IFERROR(__xludf.DUMMYFUNCTION("""COMPUTED_VALUE"""),"Teen")</f>
        <v>Teen</v>
      </c>
    </row>
    <row r="1715" spans="1:6" ht="12.75">
      <c r="A1715" s="4">
        <v>1714</v>
      </c>
      <c r="B1715" s="8" t="str">
        <f ca="1">IFERROR(__xludf.DUMMYFUNCTION("""COMPUTED_VALUE"""),"20050901AKDIA")</f>
        <v>20050901AKDIA</v>
      </c>
      <c r="C1715" s="8" t="str">
        <f ca="1">IFERROR(__xludf.DUMMYFUNCTION("""COMPUTED_VALUE"""),"None")</f>
        <v>None</v>
      </c>
      <c r="D1715" s="8" t="str">
        <f ca="1">IFERROR(__xludf.DUMMYFUNCTION("""COMPUTED_VALUE"""),"Male")</f>
        <v>Male</v>
      </c>
      <c r="E1715" s="8" t="str">
        <f ca="1">IFERROR(__xludf.DUMMYFUNCTION("""COMPUTED_VALUE"""),"Student")</f>
        <v>Student</v>
      </c>
      <c r="F1715" s="8" t="str">
        <f ca="1">IFERROR(__xludf.DUMMYFUNCTION("""COMPUTED_VALUE"""),"Teen")</f>
        <v>Teen</v>
      </c>
    </row>
    <row r="1716" spans="1:6" ht="12.75">
      <c r="A1716" s="4">
        <v>1715</v>
      </c>
      <c r="B1716" s="8" t="str">
        <f ca="1">IFERROR(__xludf.DUMMYFUNCTION("""COMPUTED_VALUE"""),"20050825TNMAD")</f>
        <v>20050825TNMAD</v>
      </c>
      <c r="C1716" s="8" t="str">
        <f ca="1">IFERROR(__xludf.DUMMYFUNCTION("""COMPUTED_VALUE"""),"Wounded")</f>
        <v>Wounded</v>
      </c>
      <c r="D1716" s="8" t="str">
        <f ca="1">IFERROR(__xludf.DUMMYFUNCTION("""COMPUTED_VALUE"""),"Male")</f>
        <v>Male</v>
      </c>
      <c r="E1716" s="8" t="str">
        <f ca="1">IFERROR(__xludf.DUMMYFUNCTION("""COMPUTED_VALUE"""),"Student")</f>
        <v>Student</v>
      </c>
      <c r="F1716" s="8">
        <f ca="1">IFERROR(__xludf.DUMMYFUNCTION("""COMPUTED_VALUE"""),12)</f>
        <v>12</v>
      </c>
    </row>
    <row r="1717" spans="1:6" ht="12.75">
      <c r="A1717" s="4">
        <v>1716</v>
      </c>
      <c r="B1717" s="8" t="str">
        <f ca="1">IFERROR(__xludf.DUMMYFUNCTION("""COMPUTED_VALUE"""),"20050819GAMOM")</f>
        <v>20050819GAMOM</v>
      </c>
      <c r="C1717" s="8" t="str">
        <f ca="1">IFERROR(__xludf.DUMMYFUNCTION("""COMPUTED_VALUE"""),"Wounded")</f>
        <v>Wounded</v>
      </c>
      <c r="D1717" s="8" t="str">
        <f ca="1">IFERROR(__xludf.DUMMYFUNCTION("""COMPUTED_VALUE"""),"Male")</f>
        <v>Male</v>
      </c>
      <c r="E1717" s="8" t="str">
        <f ca="1">IFERROR(__xludf.DUMMYFUNCTION("""COMPUTED_VALUE"""),"Student")</f>
        <v>Student</v>
      </c>
      <c r="F1717" s="8">
        <f ca="1">IFERROR(__xludf.DUMMYFUNCTION("""COMPUTED_VALUE"""),18)</f>
        <v>18</v>
      </c>
    </row>
    <row r="1718" spans="1:6" ht="12.75">
      <c r="A1718" s="4">
        <v>1717</v>
      </c>
      <c r="B1718" s="8" t="str">
        <f ca="1">IFERROR(__xludf.DUMMYFUNCTION("""COMPUTED_VALUE"""),"20050819GAMOM")</f>
        <v>20050819GAMOM</v>
      </c>
      <c r="C1718" s="8" t="str">
        <f ca="1">IFERROR(__xludf.DUMMYFUNCTION("""COMPUTED_VALUE"""),"Wounded")</f>
        <v>Wounded</v>
      </c>
      <c r="D1718" s="8" t="str">
        <f ca="1">IFERROR(__xludf.DUMMYFUNCTION("""COMPUTED_VALUE"""),"Male")</f>
        <v>Male</v>
      </c>
      <c r="E1718" s="8" t="str">
        <f ca="1">IFERROR(__xludf.DUMMYFUNCTION("""COMPUTED_VALUE"""),"Nonstudent")</f>
        <v>Nonstudent</v>
      </c>
      <c r="F1718" s="8">
        <f ca="1">IFERROR(__xludf.DUMMYFUNCTION("""COMPUTED_VALUE"""),21)</f>
        <v>21</v>
      </c>
    </row>
    <row r="1719" spans="1:6" ht="12.75">
      <c r="A1719" s="4">
        <v>1718</v>
      </c>
      <c r="B1719" s="8" t="str">
        <f ca="1">IFERROR(__xludf.DUMMYFUNCTION("""COMPUTED_VALUE"""),"20050817CAPLB")</f>
        <v>20050817CAPLB</v>
      </c>
      <c r="C1719" s="8" t="str">
        <f ca="1">IFERROR(__xludf.DUMMYFUNCTION("""COMPUTED_VALUE"""),"Fatal")</f>
        <v>Fatal</v>
      </c>
      <c r="D1719" s="8" t="str">
        <f ca="1">IFERROR(__xludf.DUMMYFUNCTION("""COMPUTED_VALUE"""),"Male")</f>
        <v>Male</v>
      </c>
      <c r="E1719" s="8" t="str">
        <f ca="1">IFERROR(__xludf.DUMMYFUNCTION("""COMPUTED_VALUE"""),"No Relation")</f>
        <v>No Relation</v>
      </c>
      <c r="F1719" s="8">
        <f ca="1">IFERROR(__xludf.DUMMYFUNCTION("""COMPUTED_VALUE"""),15)</f>
        <v>15</v>
      </c>
    </row>
    <row r="1720" spans="1:6" ht="12.75">
      <c r="A1720" s="4">
        <v>1719</v>
      </c>
      <c r="B1720" s="8" t="str">
        <f ca="1">IFERROR(__xludf.DUMMYFUNCTION("""COMPUTED_VALUE"""),"20050816VICOE")</f>
        <v>20050816VICOE</v>
      </c>
      <c r="C1720" s="8" t="str">
        <f ca="1">IFERROR(__xludf.DUMMYFUNCTION("""COMPUTED_VALUE"""),"Wounded")</f>
        <v>Wounded</v>
      </c>
      <c r="D1720" s="8" t="str">
        <f ca="1">IFERROR(__xludf.DUMMYFUNCTION("""COMPUTED_VALUE"""),"Male")</f>
        <v>Male</v>
      </c>
      <c r="E1720" s="8" t="str">
        <f ca="1">IFERROR(__xludf.DUMMYFUNCTION("""COMPUTED_VALUE"""),"Other Staff")</f>
        <v>Other Staff</v>
      </c>
      <c r="F1720" s="8" t="str">
        <f ca="1">IFERROR(__xludf.DUMMYFUNCTION("""COMPUTED_VALUE"""),"Adult")</f>
        <v>Adult</v>
      </c>
    </row>
    <row r="1721" spans="1:6" ht="12.75">
      <c r="A1721" s="4">
        <v>1720</v>
      </c>
      <c r="B1721" s="8" t="str">
        <f ca="1">IFERROR(__xludf.DUMMYFUNCTION("""COMPUTED_VALUE"""),"20050718NJWEN")</f>
        <v>20050718NJWEN</v>
      </c>
      <c r="C1721" s="8" t="str">
        <f ca="1">IFERROR(__xludf.DUMMYFUNCTION("""COMPUTED_VALUE"""),"Fatal")</f>
        <v>Fatal</v>
      </c>
      <c r="D1721" s="8" t="str">
        <f ca="1">IFERROR(__xludf.DUMMYFUNCTION("""COMPUTED_VALUE"""),"Male")</f>
        <v>Male</v>
      </c>
      <c r="E1721" s="8" t="str">
        <f ca="1">IFERROR(__xludf.DUMMYFUNCTION("""COMPUTED_VALUE"""),"Police Officer/SRO")</f>
        <v>Police Officer/SRO</v>
      </c>
      <c r="F1721" s="8">
        <f ca="1">IFERROR(__xludf.DUMMYFUNCTION("""COMPUTED_VALUE"""),32)</f>
        <v>32</v>
      </c>
    </row>
    <row r="1722" spans="1:6" ht="12.75">
      <c r="A1722" s="4">
        <v>1721</v>
      </c>
      <c r="B1722" s="8" t="str">
        <f ca="1">IFERROR(__xludf.DUMMYFUNCTION("""COMPUTED_VALUE"""),"20050718NJWEN")</f>
        <v>20050718NJWEN</v>
      </c>
      <c r="C1722" s="8" t="str">
        <f ca="1">IFERROR(__xludf.DUMMYFUNCTION("""COMPUTED_VALUE"""),"Fatal")</f>
        <v>Fatal</v>
      </c>
      <c r="D1722" s="8" t="str">
        <f ca="1">IFERROR(__xludf.DUMMYFUNCTION("""COMPUTED_VALUE"""),"Male")</f>
        <v>Male</v>
      </c>
      <c r="E1722" s="8" t="str">
        <f ca="1">IFERROR(__xludf.DUMMYFUNCTION("""COMPUTED_VALUE"""),"Police Officer/SRO")</f>
        <v>Police Officer/SRO</v>
      </c>
      <c r="F1722" s="8">
        <f ca="1">IFERROR(__xludf.DUMMYFUNCTION("""COMPUTED_VALUE"""),23)</f>
        <v>23</v>
      </c>
    </row>
    <row r="1723" spans="1:6" ht="12.75">
      <c r="A1723" s="4">
        <v>1722</v>
      </c>
      <c r="B1723" s="8" t="str">
        <f ca="1">IFERROR(__xludf.DUMMYFUNCTION("""COMPUTED_VALUE"""),"20050612NJBAA")</f>
        <v>20050612NJBAA</v>
      </c>
      <c r="C1723" s="8" t="str">
        <f ca="1">IFERROR(__xludf.DUMMYFUNCTION("""COMPUTED_VALUE"""),"Wounded")</f>
        <v>Wounded</v>
      </c>
      <c r="D1723" s="8" t="str">
        <f ca="1">IFERROR(__xludf.DUMMYFUNCTION("""COMPUTED_VALUE"""),"Male")</f>
        <v>Male</v>
      </c>
      <c r="E1723" s="8" t="str">
        <f ca="1">IFERROR(__xludf.DUMMYFUNCTION("""COMPUTED_VALUE"""),"No Relation")</f>
        <v>No Relation</v>
      </c>
      <c r="F1723" s="8">
        <f ca="1">IFERROR(__xludf.DUMMYFUNCTION("""COMPUTED_VALUE"""),24)</f>
        <v>24</v>
      </c>
    </row>
    <row r="1724" spans="1:6" ht="12.75">
      <c r="A1724" s="4">
        <v>1723</v>
      </c>
      <c r="B1724" s="8" t="str">
        <f ca="1">IFERROR(__xludf.DUMMYFUNCTION("""COMPUTED_VALUE"""),"20050612NJBAA")</f>
        <v>20050612NJBAA</v>
      </c>
      <c r="C1724" s="8" t="str">
        <f ca="1">IFERROR(__xludf.DUMMYFUNCTION("""COMPUTED_VALUE"""),"Wounded")</f>
        <v>Wounded</v>
      </c>
      <c r="D1724" s="8" t="str">
        <f ca="1">IFERROR(__xludf.DUMMYFUNCTION("""COMPUTED_VALUE"""),"Male")</f>
        <v>Male</v>
      </c>
      <c r="E1724" s="8" t="str">
        <f ca="1">IFERROR(__xludf.DUMMYFUNCTION("""COMPUTED_VALUE"""),"No Relation")</f>
        <v>No Relation</v>
      </c>
      <c r="F1724" s="8">
        <f ca="1">IFERROR(__xludf.DUMMYFUNCTION("""COMPUTED_VALUE"""),20)</f>
        <v>20</v>
      </c>
    </row>
    <row r="1725" spans="1:6" ht="12.75">
      <c r="A1725" s="4">
        <v>1724</v>
      </c>
      <c r="B1725" s="8" t="str">
        <f ca="1">IFERROR(__xludf.DUMMYFUNCTION("""COMPUTED_VALUE"""),"20050612NJBAA")</f>
        <v>20050612NJBAA</v>
      </c>
      <c r="C1725" s="8" t="str">
        <f ca="1">IFERROR(__xludf.DUMMYFUNCTION("""COMPUTED_VALUE"""),"Wounded")</f>
        <v>Wounded</v>
      </c>
      <c r="D1725" s="8" t="str">
        <f ca="1">IFERROR(__xludf.DUMMYFUNCTION("""COMPUTED_VALUE"""),"Male")</f>
        <v>Male</v>
      </c>
      <c r="E1725" s="8" t="str">
        <f ca="1">IFERROR(__xludf.DUMMYFUNCTION("""COMPUTED_VALUE"""),"No Relation")</f>
        <v>No Relation</v>
      </c>
      <c r="F1725" s="8">
        <f ca="1">IFERROR(__xludf.DUMMYFUNCTION("""COMPUTED_VALUE"""),21)</f>
        <v>21</v>
      </c>
    </row>
    <row r="1726" spans="1:6" ht="12.75">
      <c r="A1726" s="4">
        <v>1725</v>
      </c>
      <c r="B1726" s="8" t="str">
        <f ca="1">IFERROR(__xludf.DUMMYFUNCTION("""COMPUTED_VALUE"""),"20050608NYARP")</f>
        <v>20050608NYARP</v>
      </c>
      <c r="C1726" s="8" t="str">
        <f ca="1">IFERROR(__xludf.DUMMYFUNCTION("""COMPUTED_VALUE"""),"Wounded")</f>
        <v>Wounded</v>
      </c>
      <c r="D1726" s="8" t="str">
        <f ca="1">IFERROR(__xludf.DUMMYFUNCTION("""COMPUTED_VALUE"""),"Unknown")</f>
        <v>Unknown</v>
      </c>
      <c r="E1726" s="8" t="str">
        <f ca="1">IFERROR(__xludf.DUMMYFUNCTION("""COMPUTED_VALUE"""),"Student")</f>
        <v>Student</v>
      </c>
      <c r="F1726" s="8" t="str">
        <f ca="1">IFERROR(__xludf.DUMMYFUNCTION("""COMPUTED_VALUE"""),"Teen")</f>
        <v>Teen</v>
      </c>
    </row>
    <row r="1727" spans="1:6" ht="12.75">
      <c r="A1727" s="4">
        <v>1726</v>
      </c>
      <c r="B1727" s="8" t="str">
        <f ca="1">IFERROR(__xludf.DUMMYFUNCTION("""COMPUTED_VALUE"""),"20050608NYARP")</f>
        <v>20050608NYARP</v>
      </c>
      <c r="C1727" s="8" t="str">
        <f ca="1">IFERROR(__xludf.DUMMYFUNCTION("""COMPUTED_VALUE"""),"Wounded")</f>
        <v>Wounded</v>
      </c>
      <c r="D1727" s="8" t="str">
        <f ca="1">IFERROR(__xludf.DUMMYFUNCTION("""COMPUTED_VALUE"""),"Unknown")</f>
        <v>Unknown</v>
      </c>
      <c r="E1727" s="8" t="str">
        <f ca="1">IFERROR(__xludf.DUMMYFUNCTION("""COMPUTED_VALUE"""),"Student")</f>
        <v>Student</v>
      </c>
      <c r="F1727" s="8" t="str">
        <f ca="1">IFERROR(__xludf.DUMMYFUNCTION("""COMPUTED_VALUE"""),"Teen")</f>
        <v>Teen</v>
      </c>
    </row>
    <row r="1728" spans="1:6" ht="12.75">
      <c r="A1728" s="4">
        <v>1727</v>
      </c>
      <c r="B1728" s="8" t="str">
        <f ca="1">IFERROR(__xludf.DUMMYFUNCTION("""COMPUTED_VALUE"""),"20050524LABOS")</f>
        <v>20050524LABOS</v>
      </c>
      <c r="C1728" s="8" t="str">
        <f ca="1">IFERROR(__xludf.DUMMYFUNCTION("""COMPUTED_VALUE"""),"None")</f>
        <v>None</v>
      </c>
      <c r="D1728" s="8" t="str">
        <f ca="1">IFERROR(__xludf.DUMMYFUNCTION("""COMPUTED_VALUE"""),"Male")</f>
        <v>Male</v>
      </c>
      <c r="E1728" s="8" t="str">
        <f ca="1">IFERROR(__xludf.DUMMYFUNCTION("""COMPUTED_VALUE"""),"Student")</f>
        <v>Student</v>
      </c>
      <c r="F1728" s="8">
        <f ca="1">IFERROR(__xludf.DUMMYFUNCTION("""COMPUTED_VALUE"""),16)</f>
        <v>16</v>
      </c>
    </row>
    <row r="1729" spans="1:6" ht="12.75">
      <c r="A1729" s="4">
        <v>1728</v>
      </c>
      <c r="B1729" s="8" t="str">
        <f ca="1">IFERROR(__xludf.DUMMYFUNCTION("""COMPUTED_VALUE"""),"20050524COACD")</f>
        <v>20050524COACD</v>
      </c>
      <c r="C1729" s="8" t="str">
        <f ca="1">IFERROR(__xludf.DUMMYFUNCTION("""COMPUTED_VALUE"""),"Wounded")</f>
        <v>Wounded</v>
      </c>
      <c r="D1729" s="8" t="str">
        <f ca="1">IFERROR(__xludf.DUMMYFUNCTION("""COMPUTED_VALUE"""),"Female")</f>
        <v>Female</v>
      </c>
      <c r="E1729" s="8" t="str">
        <f ca="1">IFERROR(__xludf.DUMMYFUNCTION("""COMPUTED_VALUE"""),"Teacher")</f>
        <v>Teacher</v>
      </c>
      <c r="F1729" s="8" t="str">
        <f ca="1">IFERROR(__xludf.DUMMYFUNCTION("""COMPUTED_VALUE"""),"Adult")</f>
        <v>Adult</v>
      </c>
    </row>
    <row r="1730" spans="1:6" ht="12.75">
      <c r="A1730" s="4">
        <v>1729</v>
      </c>
      <c r="B1730" s="8" t="str">
        <f ca="1">IFERROR(__xludf.DUMMYFUNCTION("""COMPUTED_VALUE"""),"20050524COACD")</f>
        <v>20050524COACD</v>
      </c>
      <c r="C1730" s="8" t="str">
        <f ca="1">IFERROR(__xludf.DUMMYFUNCTION("""COMPUTED_VALUE"""),"Wounded")</f>
        <v>Wounded</v>
      </c>
      <c r="D1730" s="8" t="str">
        <f ca="1">IFERROR(__xludf.DUMMYFUNCTION("""COMPUTED_VALUE"""),"Female")</f>
        <v>Female</v>
      </c>
      <c r="E1730" s="8" t="str">
        <f ca="1">IFERROR(__xludf.DUMMYFUNCTION("""COMPUTED_VALUE"""),"Teacher")</f>
        <v>Teacher</v>
      </c>
      <c r="F1730" s="8" t="str">
        <f ca="1">IFERROR(__xludf.DUMMYFUNCTION("""COMPUTED_VALUE"""),"Adult")</f>
        <v>Adult</v>
      </c>
    </row>
    <row r="1731" spans="1:6" ht="12.75">
      <c r="A1731" s="4">
        <v>1730</v>
      </c>
      <c r="B1731" s="8" t="str">
        <f ca="1">IFERROR(__xludf.DUMMYFUNCTION("""COMPUTED_VALUE"""),"20050520ILLOM")</f>
        <v>20050520ILLOM</v>
      </c>
      <c r="C1731" s="8" t="str">
        <f ca="1">IFERROR(__xludf.DUMMYFUNCTION("""COMPUTED_VALUE"""),"Wounded")</f>
        <v>Wounded</v>
      </c>
      <c r="D1731" s="8" t="str">
        <f ca="1">IFERROR(__xludf.DUMMYFUNCTION("""COMPUTED_VALUE"""),"Male")</f>
        <v>Male</v>
      </c>
      <c r="E1731" s="8" t="str">
        <f ca="1">IFERROR(__xludf.DUMMYFUNCTION("""COMPUTED_VALUE"""),"Student")</f>
        <v>Student</v>
      </c>
      <c r="F1731" s="8" t="str">
        <f ca="1">IFERROR(__xludf.DUMMYFUNCTION("""COMPUTED_VALUE"""),"Teen")</f>
        <v>Teen</v>
      </c>
    </row>
    <row r="1732" spans="1:6" ht="12.75">
      <c r="A1732" s="4">
        <v>1731</v>
      </c>
      <c r="B1732" s="8" t="str">
        <f ca="1">IFERROR(__xludf.DUMMYFUNCTION("""COMPUTED_VALUE"""),"20050520ILLOM")</f>
        <v>20050520ILLOM</v>
      </c>
      <c r="C1732" s="8" t="str">
        <f ca="1">IFERROR(__xludf.DUMMYFUNCTION("""COMPUTED_VALUE"""),"Wounded")</f>
        <v>Wounded</v>
      </c>
      <c r="D1732" s="8" t="str">
        <f ca="1">IFERROR(__xludf.DUMMYFUNCTION("""COMPUTED_VALUE"""),"Male")</f>
        <v>Male</v>
      </c>
      <c r="E1732" s="8" t="str">
        <f ca="1">IFERROR(__xludf.DUMMYFUNCTION("""COMPUTED_VALUE"""),"Student")</f>
        <v>Student</v>
      </c>
      <c r="F1732" s="8" t="str">
        <f ca="1">IFERROR(__xludf.DUMMYFUNCTION("""COMPUTED_VALUE"""),"Teen")</f>
        <v>Teen</v>
      </c>
    </row>
    <row r="1733" spans="1:6" ht="12.75">
      <c r="A1733" s="4">
        <v>1732</v>
      </c>
      <c r="B1733" s="8" t="str">
        <f ca="1">IFERROR(__xludf.DUMMYFUNCTION("""COMPUTED_VALUE"""),"20050517PAHIL")</f>
        <v>20050517PAHIL</v>
      </c>
      <c r="C1733" s="8" t="str">
        <f ca="1">IFERROR(__xludf.DUMMYFUNCTION("""COMPUTED_VALUE"""),"Fatal")</f>
        <v>Fatal</v>
      </c>
      <c r="D1733" s="8" t="str">
        <f ca="1">IFERROR(__xludf.DUMMYFUNCTION("""COMPUTED_VALUE"""),"Female")</f>
        <v>Female</v>
      </c>
      <c r="E1733" s="8" t="str">
        <f ca="1">IFERROR(__xludf.DUMMYFUNCTION("""COMPUTED_VALUE"""),"Parent")</f>
        <v>Parent</v>
      </c>
      <c r="F1733" s="8">
        <f ca="1">IFERROR(__xludf.DUMMYFUNCTION("""COMPUTED_VALUE"""),32)</f>
        <v>32</v>
      </c>
    </row>
    <row r="1734" spans="1:6" ht="12.75">
      <c r="A1734" s="4">
        <v>1733</v>
      </c>
      <c r="B1734" s="8" t="str">
        <f ca="1">IFERROR(__xludf.DUMMYFUNCTION("""COMPUTED_VALUE"""),"20050514TXBER")</f>
        <v>20050514TXBER</v>
      </c>
      <c r="C1734" s="8" t="str">
        <f ca="1">IFERROR(__xludf.DUMMYFUNCTION("""COMPUTED_VALUE"""),"Wounded")</f>
        <v>Wounded</v>
      </c>
      <c r="D1734" s="8" t="str">
        <f ca="1">IFERROR(__xludf.DUMMYFUNCTION("""COMPUTED_VALUE"""),"Male")</f>
        <v>Male</v>
      </c>
      <c r="E1734" s="8" t="str">
        <f ca="1">IFERROR(__xludf.DUMMYFUNCTION("""COMPUTED_VALUE"""),"Student")</f>
        <v>Student</v>
      </c>
      <c r="F1734" s="8">
        <f ca="1">IFERROR(__xludf.DUMMYFUNCTION("""COMPUTED_VALUE"""),18)</f>
        <v>18</v>
      </c>
    </row>
    <row r="1735" spans="1:6" ht="12.75">
      <c r="A1735" s="4">
        <v>1734</v>
      </c>
      <c r="B1735" s="8" t="str">
        <f ca="1">IFERROR(__xludf.DUMMYFUNCTION("""COMPUTED_VALUE"""),"20050429OHDAC")</f>
        <v>20050429OHDAC</v>
      </c>
      <c r="C1735" s="8" t="str">
        <f ca="1">IFERROR(__xludf.DUMMYFUNCTION("""COMPUTED_VALUE"""),"Wounded")</f>
        <v>Wounded</v>
      </c>
      <c r="D1735" s="8" t="str">
        <f ca="1">IFERROR(__xludf.DUMMYFUNCTION("""COMPUTED_VALUE"""),"Female")</f>
        <v>Female</v>
      </c>
      <c r="E1735" s="8" t="str">
        <f ca="1">IFERROR(__xludf.DUMMYFUNCTION("""COMPUTED_VALUE"""),"Other Staff")</f>
        <v>Other Staff</v>
      </c>
      <c r="F1735" s="8" t="str">
        <f ca="1">IFERROR(__xludf.DUMMYFUNCTION("""COMPUTED_VALUE"""),"Adult")</f>
        <v>Adult</v>
      </c>
    </row>
    <row r="1736" spans="1:6" ht="12.75">
      <c r="A1736" s="4">
        <v>1735</v>
      </c>
      <c r="B1736" s="8" t="str">
        <f ca="1">IFERROR(__xludf.DUMMYFUNCTION("""COMPUTED_VALUE"""),"20050427LALER")</f>
        <v>20050427LALER</v>
      </c>
      <c r="C1736" s="8" t="str">
        <f ca="1">IFERROR(__xludf.DUMMYFUNCTION("""COMPUTED_VALUE"""),"None")</f>
        <v>None</v>
      </c>
      <c r="D1736" s="8"/>
      <c r="E1736" s="8"/>
      <c r="F1736" s="8"/>
    </row>
    <row r="1737" spans="1:6" ht="12.75">
      <c r="A1737" s="4">
        <v>1736</v>
      </c>
      <c r="B1737" s="8" t="str">
        <f ca="1">IFERROR(__xludf.DUMMYFUNCTION("""COMPUTED_VALUE"""),"20050407TXCAC")</f>
        <v>20050407TXCAC</v>
      </c>
      <c r="C1737" s="8" t="str">
        <f ca="1">IFERROR(__xludf.DUMMYFUNCTION("""COMPUTED_VALUE"""),"Wounded")</f>
        <v>Wounded</v>
      </c>
      <c r="D1737" s="8" t="str">
        <f ca="1">IFERROR(__xludf.DUMMYFUNCTION("""COMPUTED_VALUE"""),"Male")</f>
        <v>Male</v>
      </c>
      <c r="E1737" s="8" t="str">
        <f ca="1">IFERROR(__xludf.DUMMYFUNCTION("""COMPUTED_VALUE"""),"Other Staff")</f>
        <v>Other Staff</v>
      </c>
      <c r="F1737" s="8">
        <f ca="1">IFERROR(__xludf.DUMMYFUNCTION("""COMPUTED_VALUE"""),37)</f>
        <v>37</v>
      </c>
    </row>
    <row r="1738" spans="1:6" ht="12.75">
      <c r="A1738" s="4">
        <v>1737</v>
      </c>
      <c r="B1738" s="8" t="str">
        <f ca="1">IFERROR(__xludf.DUMMYFUNCTION("""COMPUTED_VALUE"""),"20050330TNEAM")</f>
        <v>20050330TNEAM</v>
      </c>
      <c r="C1738" s="8" t="str">
        <f ca="1">IFERROR(__xludf.DUMMYFUNCTION("""COMPUTED_VALUE"""),"None")</f>
        <v>None</v>
      </c>
      <c r="D1738" s="8" t="str">
        <f ca="1">IFERROR(__xludf.DUMMYFUNCTION("""COMPUTED_VALUE"""),"Male")</f>
        <v>Male</v>
      </c>
      <c r="E1738" s="8" t="str">
        <f ca="1">IFERROR(__xludf.DUMMYFUNCTION("""COMPUTED_VALUE"""),"Student")</f>
        <v>Student</v>
      </c>
      <c r="F1738" s="8">
        <f ca="1">IFERROR(__xludf.DUMMYFUNCTION("""COMPUTED_VALUE"""),17)</f>
        <v>17</v>
      </c>
    </row>
    <row r="1739" spans="1:6" ht="12.75">
      <c r="A1739" s="4">
        <v>1738</v>
      </c>
      <c r="B1739" s="8" t="str">
        <f ca="1">IFERROR(__xludf.DUMMYFUNCTION("""COMPUTED_VALUE"""),"20050324TNFAM")</f>
        <v>20050324TNFAM</v>
      </c>
      <c r="C1739" s="8" t="str">
        <f ca="1">IFERROR(__xludf.DUMMYFUNCTION("""COMPUTED_VALUE"""),"None")</f>
        <v>None</v>
      </c>
      <c r="D1739" s="8" t="str">
        <f ca="1">IFERROR(__xludf.DUMMYFUNCTION("""COMPUTED_VALUE"""),"Female")</f>
        <v>Female</v>
      </c>
      <c r="E1739" s="8" t="str">
        <f ca="1">IFERROR(__xludf.DUMMYFUNCTION("""COMPUTED_VALUE"""),"Student")</f>
        <v>Student</v>
      </c>
      <c r="F1739" s="8">
        <f ca="1">IFERROR(__xludf.DUMMYFUNCTION("""COMPUTED_VALUE"""),17)</f>
        <v>17</v>
      </c>
    </row>
    <row r="1740" spans="1:6" ht="12.75">
      <c r="A1740" s="4">
        <v>1739</v>
      </c>
      <c r="B1740" s="8" t="str">
        <f ca="1">IFERROR(__xludf.DUMMYFUNCTION("""COMPUTED_VALUE"""),"20050321NYNEB")</f>
        <v>20050321NYNEB</v>
      </c>
      <c r="C1740" s="8" t="str">
        <f ca="1">IFERROR(__xludf.DUMMYFUNCTION("""COMPUTED_VALUE"""),"None")</f>
        <v>None</v>
      </c>
      <c r="D1740" s="8" t="str">
        <f ca="1">IFERROR(__xludf.DUMMYFUNCTION("""COMPUTED_VALUE"""),"Male")</f>
        <v>Male</v>
      </c>
      <c r="E1740" s="8" t="str">
        <f ca="1">IFERROR(__xludf.DUMMYFUNCTION("""COMPUTED_VALUE"""),"Student")</f>
        <v>Student</v>
      </c>
      <c r="F1740" s="8" t="str">
        <f ca="1">IFERROR(__xludf.DUMMYFUNCTION("""COMPUTED_VALUE"""),"Teen")</f>
        <v>Teen</v>
      </c>
    </row>
    <row r="1741" spans="1:6" ht="12.75">
      <c r="A1741" s="4">
        <v>1740</v>
      </c>
      <c r="B1741" s="8" t="str">
        <f ca="1">IFERROR(__xludf.DUMMYFUNCTION("""COMPUTED_VALUE"""),"20050321MNRER")</f>
        <v>20050321MNRER</v>
      </c>
      <c r="C1741" s="8" t="str">
        <f ca="1">IFERROR(__xludf.DUMMYFUNCTION("""COMPUTED_VALUE"""),"Fatal")</f>
        <v>Fatal</v>
      </c>
      <c r="D1741" s="8" t="str">
        <f ca="1">IFERROR(__xludf.DUMMYFUNCTION("""COMPUTED_VALUE"""),"Male")</f>
        <v>Male</v>
      </c>
      <c r="E1741" s="8" t="str">
        <f ca="1">IFERROR(__xludf.DUMMYFUNCTION("""COMPUTED_VALUE"""),"Student")</f>
        <v>Student</v>
      </c>
      <c r="F1741" s="8">
        <f ca="1">IFERROR(__xludf.DUMMYFUNCTION("""COMPUTED_VALUE"""),15)</f>
        <v>15</v>
      </c>
    </row>
    <row r="1742" spans="1:6" ht="12.75">
      <c r="A1742" s="4">
        <v>1741</v>
      </c>
      <c r="B1742" s="8" t="str">
        <f ca="1">IFERROR(__xludf.DUMMYFUNCTION("""COMPUTED_VALUE"""),"20050321MNRER")</f>
        <v>20050321MNRER</v>
      </c>
      <c r="C1742" s="8" t="str">
        <f ca="1">IFERROR(__xludf.DUMMYFUNCTION("""COMPUTED_VALUE"""),"Wounded")</f>
        <v>Wounded</v>
      </c>
      <c r="D1742" s="8" t="str">
        <f ca="1">IFERROR(__xludf.DUMMYFUNCTION("""COMPUTED_VALUE"""),"Unknown")</f>
        <v>Unknown</v>
      </c>
      <c r="E1742" s="8" t="str">
        <f ca="1">IFERROR(__xludf.DUMMYFUNCTION("""COMPUTED_VALUE"""),"Student")</f>
        <v>Student</v>
      </c>
      <c r="F1742" s="8">
        <f ca="1">IFERROR(__xludf.DUMMYFUNCTION("""COMPUTED_VALUE"""),15)</f>
        <v>15</v>
      </c>
    </row>
    <row r="1743" spans="1:6" ht="12.75">
      <c r="A1743" s="4">
        <v>1742</v>
      </c>
      <c r="B1743" s="8" t="str">
        <f ca="1">IFERROR(__xludf.DUMMYFUNCTION("""COMPUTED_VALUE"""),"20050321MNRER")</f>
        <v>20050321MNRER</v>
      </c>
      <c r="C1743" s="8" t="str">
        <f ca="1">IFERROR(__xludf.DUMMYFUNCTION("""COMPUTED_VALUE"""),"Fatal")</f>
        <v>Fatal</v>
      </c>
      <c r="D1743" s="8" t="str">
        <f ca="1">IFERROR(__xludf.DUMMYFUNCTION("""COMPUTED_VALUE"""),"Female")</f>
        <v>Female</v>
      </c>
      <c r="E1743" s="8" t="str">
        <f ca="1">IFERROR(__xludf.DUMMYFUNCTION("""COMPUTED_VALUE"""),"Teacher")</f>
        <v>Teacher</v>
      </c>
      <c r="F1743" s="8">
        <f ca="1">IFERROR(__xludf.DUMMYFUNCTION("""COMPUTED_VALUE"""),62)</f>
        <v>62</v>
      </c>
    </row>
    <row r="1744" spans="1:6" ht="12.75">
      <c r="A1744" s="4">
        <v>1743</v>
      </c>
      <c r="B1744" s="8" t="str">
        <f ca="1">IFERROR(__xludf.DUMMYFUNCTION("""COMPUTED_VALUE"""),"20050321MNRER")</f>
        <v>20050321MNRER</v>
      </c>
      <c r="C1744" s="8" t="str">
        <f ca="1">IFERROR(__xludf.DUMMYFUNCTION("""COMPUTED_VALUE"""),"Wounded")</f>
        <v>Wounded</v>
      </c>
      <c r="D1744" s="8" t="str">
        <f ca="1">IFERROR(__xludf.DUMMYFUNCTION("""COMPUTED_VALUE"""),"Unknown")</f>
        <v>Unknown</v>
      </c>
      <c r="E1744" s="8" t="str">
        <f ca="1">IFERROR(__xludf.DUMMYFUNCTION("""COMPUTED_VALUE"""),"Student")</f>
        <v>Student</v>
      </c>
      <c r="F1744" s="8">
        <f ca="1">IFERROR(__xludf.DUMMYFUNCTION("""COMPUTED_VALUE"""),15)</f>
        <v>15</v>
      </c>
    </row>
    <row r="1745" spans="1:6" ht="12.75">
      <c r="A1745" s="4">
        <v>1744</v>
      </c>
      <c r="B1745" s="8" t="str">
        <f ca="1">IFERROR(__xludf.DUMMYFUNCTION("""COMPUTED_VALUE"""),"20050321MNRER")</f>
        <v>20050321MNRER</v>
      </c>
      <c r="C1745" s="8" t="str">
        <f ca="1">IFERROR(__xludf.DUMMYFUNCTION("""COMPUTED_VALUE"""),"Fatal")</f>
        <v>Fatal</v>
      </c>
      <c r="D1745" s="8" t="str">
        <f ca="1">IFERROR(__xludf.DUMMYFUNCTION("""COMPUTED_VALUE"""),"Male")</f>
        <v>Male</v>
      </c>
      <c r="E1745" s="8" t="str">
        <f ca="1">IFERROR(__xludf.DUMMYFUNCTION("""COMPUTED_VALUE"""),"Student")</f>
        <v>Student</v>
      </c>
      <c r="F1745" s="8">
        <f ca="1">IFERROR(__xludf.DUMMYFUNCTION("""COMPUTED_VALUE"""),15)</f>
        <v>15</v>
      </c>
    </row>
    <row r="1746" spans="1:6" ht="12.75">
      <c r="A1746" s="4">
        <v>1745</v>
      </c>
      <c r="B1746" s="8" t="str">
        <f ca="1">IFERROR(__xludf.DUMMYFUNCTION("""COMPUTED_VALUE"""),"20050321MNRER")</f>
        <v>20050321MNRER</v>
      </c>
      <c r="C1746" s="8" t="str">
        <f ca="1">IFERROR(__xludf.DUMMYFUNCTION("""COMPUTED_VALUE"""),"Wounded")</f>
        <v>Wounded</v>
      </c>
      <c r="D1746" s="8" t="str">
        <f ca="1">IFERROR(__xludf.DUMMYFUNCTION("""COMPUTED_VALUE"""),"Unknown")</f>
        <v>Unknown</v>
      </c>
      <c r="E1746" s="8" t="str">
        <f ca="1">IFERROR(__xludf.DUMMYFUNCTION("""COMPUTED_VALUE"""),"Student")</f>
        <v>Student</v>
      </c>
      <c r="F1746" s="8">
        <f ca="1">IFERROR(__xludf.DUMMYFUNCTION("""COMPUTED_VALUE"""),15)</f>
        <v>15</v>
      </c>
    </row>
    <row r="1747" spans="1:6" ht="12.75">
      <c r="A1747" s="4">
        <v>1746</v>
      </c>
      <c r="B1747" s="8" t="str">
        <f ca="1">IFERROR(__xludf.DUMMYFUNCTION("""COMPUTED_VALUE"""),"20050321MNRER")</f>
        <v>20050321MNRER</v>
      </c>
      <c r="C1747" s="8" t="str">
        <f ca="1">IFERROR(__xludf.DUMMYFUNCTION("""COMPUTED_VALUE"""),"Fatal")</f>
        <v>Fatal</v>
      </c>
      <c r="D1747" s="8" t="str">
        <f ca="1">IFERROR(__xludf.DUMMYFUNCTION("""COMPUTED_VALUE"""),"Male")</f>
        <v>Male</v>
      </c>
      <c r="E1747" s="8" t="str">
        <f ca="1">IFERROR(__xludf.DUMMYFUNCTION("""COMPUTED_VALUE"""),"Student")</f>
        <v>Student</v>
      </c>
      <c r="F1747" s="8">
        <f ca="1">IFERROR(__xludf.DUMMYFUNCTION("""COMPUTED_VALUE"""),16)</f>
        <v>16</v>
      </c>
    </row>
    <row r="1748" spans="1:6" ht="12.75">
      <c r="A1748" s="4">
        <v>1747</v>
      </c>
      <c r="B1748" s="8" t="str">
        <f ca="1">IFERROR(__xludf.DUMMYFUNCTION("""COMPUTED_VALUE"""),"20050321MNRER")</f>
        <v>20050321MNRER</v>
      </c>
      <c r="C1748" s="8" t="str">
        <f ca="1">IFERROR(__xludf.DUMMYFUNCTION("""COMPUTED_VALUE"""),"Fatal")</f>
        <v>Fatal</v>
      </c>
      <c r="D1748" s="8" t="str">
        <f ca="1">IFERROR(__xludf.DUMMYFUNCTION("""COMPUTED_VALUE"""),"Female")</f>
        <v>Female</v>
      </c>
      <c r="E1748" s="8" t="str">
        <f ca="1">IFERROR(__xludf.DUMMYFUNCTION("""COMPUTED_VALUE"""),"Student")</f>
        <v>Student</v>
      </c>
      <c r="F1748" s="8">
        <f ca="1">IFERROR(__xludf.DUMMYFUNCTION("""COMPUTED_VALUE"""),15)</f>
        <v>15</v>
      </c>
    </row>
    <row r="1749" spans="1:6" ht="12.75">
      <c r="A1749" s="4">
        <v>1748</v>
      </c>
      <c r="B1749" s="8" t="str">
        <f ca="1">IFERROR(__xludf.DUMMYFUNCTION("""COMPUTED_VALUE"""),"20050321MNRER")</f>
        <v>20050321MNRER</v>
      </c>
      <c r="C1749" s="8" t="str">
        <f ca="1">IFERROR(__xludf.DUMMYFUNCTION("""COMPUTED_VALUE"""),"Fatal")</f>
        <v>Fatal</v>
      </c>
      <c r="D1749" s="8" t="str">
        <f ca="1">IFERROR(__xludf.DUMMYFUNCTION("""COMPUTED_VALUE"""),"Male")</f>
        <v>Male</v>
      </c>
      <c r="E1749" s="8" t="str">
        <f ca="1">IFERROR(__xludf.DUMMYFUNCTION("""COMPUTED_VALUE"""),"Security Guard")</f>
        <v>Security Guard</v>
      </c>
      <c r="F1749" s="8">
        <f ca="1">IFERROR(__xludf.DUMMYFUNCTION("""COMPUTED_VALUE"""),28)</f>
        <v>28</v>
      </c>
    </row>
    <row r="1750" spans="1:6" ht="12.75">
      <c r="A1750" s="4">
        <v>1749</v>
      </c>
      <c r="B1750" s="8" t="str">
        <f ca="1">IFERROR(__xludf.DUMMYFUNCTION("""COMPUTED_VALUE"""),"20050321MNRER")</f>
        <v>20050321MNRER</v>
      </c>
      <c r="C1750" s="8" t="str">
        <f ca="1">IFERROR(__xludf.DUMMYFUNCTION("""COMPUTED_VALUE"""),"Fatal")</f>
        <v>Fatal</v>
      </c>
      <c r="D1750" s="8" t="str">
        <f ca="1">IFERROR(__xludf.DUMMYFUNCTION("""COMPUTED_VALUE"""),"Female")</f>
        <v>Female</v>
      </c>
      <c r="E1750" s="8" t="str">
        <f ca="1">IFERROR(__xludf.DUMMYFUNCTION("""COMPUTED_VALUE"""),"Student")</f>
        <v>Student</v>
      </c>
      <c r="F1750" s="8">
        <f ca="1">IFERROR(__xludf.DUMMYFUNCTION("""COMPUTED_VALUE"""),14)</f>
        <v>14</v>
      </c>
    </row>
    <row r="1751" spans="1:6" ht="12.75">
      <c r="A1751" s="4">
        <v>1750</v>
      </c>
      <c r="B1751" s="8" t="str">
        <f ca="1">IFERROR(__xludf.DUMMYFUNCTION("""COMPUTED_VALUE"""),"20050321MNRER")</f>
        <v>20050321MNRER</v>
      </c>
      <c r="C1751" s="8" t="str">
        <f ca="1">IFERROR(__xludf.DUMMYFUNCTION("""COMPUTED_VALUE"""),"Fatal")</f>
        <v>Fatal</v>
      </c>
      <c r="D1751" s="8" t="str">
        <f ca="1">IFERROR(__xludf.DUMMYFUNCTION("""COMPUTED_VALUE"""),"Female")</f>
        <v>Female</v>
      </c>
      <c r="E1751" s="8" t="str">
        <f ca="1">IFERROR(__xludf.DUMMYFUNCTION("""COMPUTED_VALUE"""),"Student")</f>
        <v>Student</v>
      </c>
      <c r="F1751" s="8">
        <f ca="1">IFERROR(__xludf.DUMMYFUNCTION("""COMPUTED_VALUE"""),15)</f>
        <v>15</v>
      </c>
    </row>
    <row r="1752" spans="1:6" ht="12.75">
      <c r="A1752" s="4">
        <v>1751</v>
      </c>
      <c r="B1752" s="8" t="str">
        <f ca="1">IFERROR(__xludf.DUMMYFUNCTION("""COMPUTED_VALUE"""),"20050321MNRER")</f>
        <v>20050321MNRER</v>
      </c>
      <c r="C1752" s="8" t="str">
        <f ca="1">IFERROR(__xludf.DUMMYFUNCTION("""COMPUTED_VALUE"""),"Wounded")</f>
        <v>Wounded</v>
      </c>
      <c r="D1752" s="8" t="str">
        <f ca="1">IFERROR(__xludf.DUMMYFUNCTION("""COMPUTED_VALUE"""),"Unknown")</f>
        <v>Unknown</v>
      </c>
      <c r="E1752" s="8" t="str">
        <f ca="1">IFERROR(__xludf.DUMMYFUNCTION("""COMPUTED_VALUE"""),"Student")</f>
        <v>Student</v>
      </c>
      <c r="F1752" s="8">
        <f ca="1">IFERROR(__xludf.DUMMYFUNCTION("""COMPUTED_VALUE"""),16)</f>
        <v>16</v>
      </c>
    </row>
    <row r="1753" spans="1:6" ht="12.75">
      <c r="A1753" s="4">
        <v>1752</v>
      </c>
      <c r="B1753" s="8" t="str">
        <f ca="1">IFERROR(__xludf.DUMMYFUNCTION("""COMPUTED_VALUE"""),"20050321MNRER")</f>
        <v>20050321MNRER</v>
      </c>
      <c r="C1753" s="8" t="str">
        <f ca="1">IFERROR(__xludf.DUMMYFUNCTION("""COMPUTED_VALUE"""),"Wounded")</f>
        <v>Wounded</v>
      </c>
      <c r="D1753" s="8" t="str">
        <f ca="1">IFERROR(__xludf.DUMMYFUNCTION("""COMPUTED_VALUE"""),"Unknown")</f>
        <v>Unknown</v>
      </c>
      <c r="E1753" s="8" t="str">
        <f ca="1">IFERROR(__xludf.DUMMYFUNCTION("""COMPUTED_VALUE"""),"Student")</f>
        <v>Student</v>
      </c>
      <c r="F1753" s="8">
        <f ca="1">IFERROR(__xludf.DUMMYFUNCTION("""COMPUTED_VALUE"""),15)</f>
        <v>15</v>
      </c>
    </row>
    <row r="1754" spans="1:6" ht="12.75">
      <c r="A1754" s="4">
        <v>1753</v>
      </c>
      <c r="B1754" s="8" t="str">
        <f ca="1">IFERROR(__xludf.DUMMYFUNCTION("""COMPUTED_VALUE"""),"20050317LAOPA")</f>
        <v>20050317LAOPA</v>
      </c>
      <c r="C1754" s="8" t="str">
        <f ca="1">IFERROR(__xludf.DUMMYFUNCTION("""COMPUTED_VALUE"""),"Wounded")</f>
        <v>Wounded</v>
      </c>
      <c r="D1754" s="8" t="str">
        <f ca="1">IFERROR(__xludf.DUMMYFUNCTION("""COMPUTED_VALUE"""),"Male")</f>
        <v>Male</v>
      </c>
      <c r="E1754" s="8" t="str">
        <f ca="1">IFERROR(__xludf.DUMMYFUNCTION("""COMPUTED_VALUE"""),"Student")</f>
        <v>Student</v>
      </c>
      <c r="F1754" s="8">
        <f ca="1">IFERROR(__xludf.DUMMYFUNCTION("""COMPUTED_VALUE"""),16)</f>
        <v>16</v>
      </c>
    </row>
    <row r="1755" spans="1:6" ht="12.75">
      <c r="A1755" s="4">
        <v>1754</v>
      </c>
      <c r="B1755" s="8" t="str">
        <f ca="1">IFERROR(__xludf.DUMMYFUNCTION("""COMPUTED_VALUE"""),"20050317CALOL")</f>
        <v>20050317CALOL</v>
      </c>
      <c r="C1755" s="8" t="str">
        <f ca="1">IFERROR(__xludf.DUMMYFUNCTION("""COMPUTED_VALUE"""),"Fatal")</f>
        <v>Fatal</v>
      </c>
      <c r="D1755" s="8" t="str">
        <f ca="1">IFERROR(__xludf.DUMMYFUNCTION("""COMPUTED_VALUE"""),"Female")</f>
        <v>Female</v>
      </c>
      <c r="E1755" s="8" t="str">
        <f ca="1">IFERROR(__xludf.DUMMYFUNCTION("""COMPUTED_VALUE"""),"Student")</f>
        <v>Student</v>
      </c>
      <c r="F1755" s="8">
        <f ca="1">IFERROR(__xludf.DUMMYFUNCTION("""COMPUTED_VALUE"""),15)</f>
        <v>15</v>
      </c>
    </row>
    <row r="1756" spans="1:6" ht="12.75">
      <c r="A1756" s="4">
        <v>1755</v>
      </c>
      <c r="B1756" s="8" t="str">
        <f ca="1">IFERROR(__xludf.DUMMYFUNCTION("""COMPUTED_VALUE"""),"20050316PACAP")</f>
        <v>20050316PACAP</v>
      </c>
      <c r="C1756" s="8" t="str">
        <f ca="1">IFERROR(__xludf.DUMMYFUNCTION("""COMPUTED_VALUE"""),"Fatal")</f>
        <v>Fatal</v>
      </c>
      <c r="D1756" s="8" t="str">
        <f ca="1">IFERROR(__xludf.DUMMYFUNCTION("""COMPUTED_VALUE"""),"Male")</f>
        <v>Male</v>
      </c>
      <c r="E1756" s="8" t="str">
        <f ca="1">IFERROR(__xludf.DUMMYFUNCTION("""COMPUTED_VALUE"""),"Student")</f>
        <v>Student</v>
      </c>
      <c r="F1756" s="8">
        <f ca="1">IFERROR(__xludf.DUMMYFUNCTION("""COMPUTED_VALUE"""),16)</f>
        <v>16</v>
      </c>
    </row>
    <row r="1757" spans="1:6" ht="12.75">
      <c r="A1757" s="4">
        <v>1756</v>
      </c>
      <c r="B1757" s="8" t="str">
        <f ca="1">IFERROR(__xludf.DUMMYFUNCTION("""COMPUTED_VALUE"""),"20050316PACAP")</f>
        <v>20050316PACAP</v>
      </c>
      <c r="C1757" s="8" t="str">
        <f ca="1">IFERROR(__xludf.DUMMYFUNCTION("""COMPUTED_VALUE"""),"Wounded")</f>
        <v>Wounded</v>
      </c>
      <c r="D1757" s="8" t="str">
        <f ca="1">IFERROR(__xludf.DUMMYFUNCTION("""COMPUTED_VALUE"""),"Male")</f>
        <v>Male</v>
      </c>
      <c r="E1757" s="8" t="str">
        <f ca="1">IFERROR(__xludf.DUMMYFUNCTION("""COMPUTED_VALUE"""),"Student")</f>
        <v>Student</v>
      </c>
      <c r="F1757" s="8">
        <f ca="1">IFERROR(__xludf.DUMMYFUNCTION("""COMPUTED_VALUE"""),17)</f>
        <v>17</v>
      </c>
    </row>
    <row r="1758" spans="1:6" ht="12.75">
      <c r="A1758" s="4">
        <v>1757</v>
      </c>
      <c r="B1758" s="8" t="str">
        <f ca="1">IFERROR(__xludf.DUMMYFUNCTION("""COMPUTED_VALUE"""),"20050316PACAP")</f>
        <v>20050316PACAP</v>
      </c>
      <c r="C1758" s="8" t="str">
        <f ca="1">IFERROR(__xludf.DUMMYFUNCTION("""COMPUTED_VALUE"""),"Wounded")</f>
        <v>Wounded</v>
      </c>
      <c r="D1758" s="8" t="str">
        <f ca="1">IFERROR(__xludf.DUMMYFUNCTION("""COMPUTED_VALUE"""),"Male")</f>
        <v>Male</v>
      </c>
      <c r="E1758" s="8" t="str">
        <f ca="1">IFERROR(__xludf.DUMMYFUNCTION("""COMPUTED_VALUE"""),"Student")</f>
        <v>Student</v>
      </c>
      <c r="F1758" s="8">
        <f ca="1">IFERROR(__xludf.DUMMYFUNCTION("""COMPUTED_VALUE"""),16)</f>
        <v>16</v>
      </c>
    </row>
    <row r="1759" spans="1:6" ht="12.75">
      <c r="A1759" s="4">
        <v>1758</v>
      </c>
      <c r="B1759" s="8" t="str">
        <f ca="1">IFERROR(__xludf.DUMMYFUNCTION("""COMPUTED_VALUE"""),"20050314OHLEC")</f>
        <v>20050314OHLEC</v>
      </c>
      <c r="C1759" s="8" t="str">
        <f ca="1">IFERROR(__xludf.DUMMYFUNCTION("""COMPUTED_VALUE"""),"Wounded")</f>
        <v>Wounded</v>
      </c>
      <c r="D1759" s="8" t="str">
        <f ca="1">IFERROR(__xludf.DUMMYFUNCTION("""COMPUTED_VALUE"""),"Male")</f>
        <v>Male</v>
      </c>
      <c r="E1759" s="8" t="str">
        <f ca="1">IFERROR(__xludf.DUMMYFUNCTION("""COMPUTED_VALUE"""),"Student")</f>
        <v>Student</v>
      </c>
      <c r="F1759" s="8">
        <f ca="1">IFERROR(__xludf.DUMMYFUNCTION("""COMPUTED_VALUE"""),7)</f>
        <v>7</v>
      </c>
    </row>
    <row r="1760" spans="1:6" ht="12.75">
      <c r="A1760" s="4">
        <v>1759</v>
      </c>
      <c r="B1760" s="8" t="str">
        <f ca="1">IFERROR(__xludf.DUMMYFUNCTION("""COMPUTED_VALUE"""),"20050310TXZAD")</f>
        <v>20050310TXZAD</v>
      </c>
      <c r="C1760" s="8" t="str">
        <f ca="1">IFERROR(__xludf.DUMMYFUNCTION("""COMPUTED_VALUE"""),"Wounded")</f>
        <v>Wounded</v>
      </c>
      <c r="D1760" s="8" t="str">
        <f ca="1">IFERROR(__xludf.DUMMYFUNCTION("""COMPUTED_VALUE"""),"Male")</f>
        <v>Male</v>
      </c>
      <c r="E1760" s="8" t="str">
        <f ca="1">IFERROR(__xludf.DUMMYFUNCTION("""COMPUTED_VALUE"""),"No Relation")</f>
        <v>No Relation</v>
      </c>
      <c r="F1760" s="8" t="str">
        <f ca="1">IFERROR(__xludf.DUMMYFUNCTION("""COMPUTED_VALUE"""),"Adult")</f>
        <v>Adult</v>
      </c>
    </row>
    <row r="1761" spans="1:6" ht="12.75">
      <c r="A1761" s="4">
        <v>1760</v>
      </c>
      <c r="B1761" s="8" t="str">
        <f ca="1">IFERROR(__xludf.DUMMYFUNCTION("""COMPUTED_VALUE"""),"20050309TNMAN")</f>
        <v>20050309TNMAN</v>
      </c>
      <c r="C1761" s="8" t="str">
        <f ca="1">IFERROR(__xludf.DUMMYFUNCTION("""COMPUTED_VALUE"""),"Wounded")</f>
        <v>Wounded</v>
      </c>
      <c r="D1761" s="8" t="str">
        <f ca="1">IFERROR(__xludf.DUMMYFUNCTION("""COMPUTED_VALUE"""),"Male")</f>
        <v>Male</v>
      </c>
      <c r="E1761" s="8" t="str">
        <f ca="1">IFERROR(__xludf.DUMMYFUNCTION("""COMPUTED_VALUE"""),"Student")</f>
        <v>Student</v>
      </c>
      <c r="F1761" s="8">
        <f ca="1">IFERROR(__xludf.DUMMYFUNCTION("""COMPUTED_VALUE"""),19)</f>
        <v>19</v>
      </c>
    </row>
    <row r="1762" spans="1:6" ht="12.75">
      <c r="A1762" s="4">
        <v>1761</v>
      </c>
      <c r="B1762" s="8" t="str">
        <f ca="1">IFERROR(__xludf.DUMMYFUNCTION("""COMPUTED_VALUE"""),"20050302TNSTD")</f>
        <v>20050302TNSTD</v>
      </c>
      <c r="C1762" s="8" t="str">
        <f ca="1">IFERROR(__xludf.DUMMYFUNCTION("""COMPUTED_VALUE"""),"Fatal")</f>
        <v>Fatal</v>
      </c>
      <c r="D1762" s="8" t="str">
        <f ca="1">IFERROR(__xludf.DUMMYFUNCTION("""COMPUTED_VALUE"""),"Female")</f>
        <v>Female</v>
      </c>
      <c r="E1762" s="8" t="str">
        <f ca="1">IFERROR(__xludf.DUMMYFUNCTION("""COMPUTED_VALUE"""),"Bus Driver")</f>
        <v>Bus Driver</v>
      </c>
      <c r="F1762" s="8">
        <f ca="1">IFERROR(__xludf.DUMMYFUNCTION("""COMPUTED_VALUE"""),47)</f>
        <v>47</v>
      </c>
    </row>
    <row r="1763" spans="1:6" ht="12.75">
      <c r="A1763" s="4">
        <v>1762</v>
      </c>
      <c r="B1763" s="8" t="str">
        <f ca="1">IFERROR(__xludf.DUMMYFUNCTION("""COMPUTED_VALUE"""),"20050208ILBOC")</f>
        <v>20050208ILBOC</v>
      </c>
      <c r="C1763" s="8" t="str">
        <f ca="1">IFERROR(__xludf.DUMMYFUNCTION("""COMPUTED_VALUE"""),"Wounded")</f>
        <v>Wounded</v>
      </c>
      <c r="D1763" s="8" t="str">
        <f ca="1">IFERROR(__xludf.DUMMYFUNCTION("""COMPUTED_VALUE"""),"Female")</f>
        <v>Female</v>
      </c>
      <c r="E1763" s="8" t="str">
        <f ca="1">IFERROR(__xludf.DUMMYFUNCTION("""COMPUTED_VALUE"""),"Student")</f>
        <v>Student</v>
      </c>
      <c r="F1763" s="8">
        <f ca="1">IFERROR(__xludf.DUMMYFUNCTION("""COMPUTED_VALUE"""),18)</f>
        <v>18</v>
      </c>
    </row>
    <row r="1764" spans="1:6" ht="12.75">
      <c r="A1764" s="4">
        <v>1763</v>
      </c>
      <c r="B1764" s="8" t="str">
        <f ca="1">IFERROR(__xludf.DUMMYFUNCTION("""COMPUTED_VALUE"""),"20050204GAMCA")</f>
        <v>20050204GAMCA</v>
      </c>
      <c r="C1764" s="8" t="str">
        <f ca="1">IFERROR(__xludf.DUMMYFUNCTION("""COMPUTED_VALUE"""),"Wounded")</f>
        <v>Wounded</v>
      </c>
      <c r="D1764" s="8" t="str">
        <f ca="1">IFERROR(__xludf.DUMMYFUNCTION("""COMPUTED_VALUE"""),"Female")</f>
        <v>Female</v>
      </c>
      <c r="E1764" s="8" t="str">
        <f ca="1">IFERROR(__xludf.DUMMYFUNCTION("""COMPUTED_VALUE"""),"Student")</f>
        <v>Student</v>
      </c>
      <c r="F1764" s="8">
        <f ca="1">IFERROR(__xludf.DUMMYFUNCTION("""COMPUTED_VALUE"""),15)</f>
        <v>15</v>
      </c>
    </row>
    <row r="1765" spans="1:6" ht="12.75">
      <c r="A1765" s="4">
        <v>1764</v>
      </c>
      <c r="B1765" s="8" t="str">
        <f ca="1">IFERROR(__xludf.DUMMYFUNCTION("""COMPUTED_VALUE"""),"20050126ILWOP")</f>
        <v>20050126ILWOP</v>
      </c>
      <c r="C1765" s="8" t="str">
        <f ca="1">IFERROR(__xludf.DUMMYFUNCTION("""COMPUTED_VALUE"""),"None")</f>
        <v>None</v>
      </c>
      <c r="D1765" s="8" t="str">
        <f ca="1">IFERROR(__xludf.DUMMYFUNCTION("""COMPUTED_VALUE"""),"Unknown")</f>
        <v>Unknown</v>
      </c>
      <c r="E1765" s="8" t="str">
        <f ca="1">IFERROR(__xludf.DUMMYFUNCTION("""COMPUTED_VALUE"""),"Student")</f>
        <v>Student</v>
      </c>
      <c r="F1765" s="8" t="str">
        <f ca="1">IFERROR(__xludf.DUMMYFUNCTION("""COMPUTED_VALUE"""),"Teen")</f>
        <v>Teen</v>
      </c>
    </row>
    <row r="1766" spans="1:6" ht="12.75">
      <c r="A1766" s="4">
        <v>1765</v>
      </c>
      <c r="B1766" s="8" t="str">
        <f ca="1">IFERROR(__xludf.DUMMYFUNCTION("""COMPUTED_VALUE"""),"20050105PAMUN")</f>
        <v>20050105PAMUN</v>
      </c>
      <c r="C1766" s="8" t="str">
        <f ca="1">IFERROR(__xludf.DUMMYFUNCTION("""COMPUTED_VALUE"""),"Fatal")</f>
        <v>Fatal</v>
      </c>
      <c r="D1766" s="8" t="str">
        <f ca="1">IFERROR(__xludf.DUMMYFUNCTION("""COMPUTED_VALUE"""),"Male")</f>
        <v>Male</v>
      </c>
      <c r="E1766" s="8" t="str">
        <f ca="1">IFERROR(__xludf.DUMMYFUNCTION("""COMPUTED_VALUE"""),"Student")</f>
        <v>Student</v>
      </c>
      <c r="F1766" s="8">
        <f ca="1">IFERROR(__xludf.DUMMYFUNCTION("""COMPUTED_VALUE"""),18)</f>
        <v>18</v>
      </c>
    </row>
    <row r="1767" spans="1:6" ht="12.75">
      <c r="A1767" s="4">
        <v>1766</v>
      </c>
      <c r="B1767" s="8" t="str">
        <f ca="1">IFERROR(__xludf.DUMMYFUNCTION("""COMPUTED_VALUE"""),"20041231TXRIR")</f>
        <v>20041231TXRIR</v>
      </c>
      <c r="C1767" s="8" t="str">
        <f ca="1">IFERROR(__xludf.DUMMYFUNCTION("""COMPUTED_VALUE"""),"Wounded")</f>
        <v>Wounded</v>
      </c>
      <c r="D1767" s="8" t="str">
        <f ca="1">IFERROR(__xludf.DUMMYFUNCTION("""COMPUTED_VALUE"""),"Female")</f>
        <v>Female</v>
      </c>
      <c r="E1767" s="8" t="str">
        <f ca="1">IFERROR(__xludf.DUMMYFUNCTION("""COMPUTED_VALUE"""),"Other Staff")</f>
        <v>Other Staff</v>
      </c>
      <c r="F1767" s="8">
        <f ca="1">IFERROR(__xludf.DUMMYFUNCTION("""COMPUTED_VALUE"""),38)</f>
        <v>38</v>
      </c>
    </row>
    <row r="1768" spans="1:6" ht="12.75">
      <c r="A1768" s="4">
        <v>1767</v>
      </c>
      <c r="B1768" s="8" t="str">
        <f ca="1">IFERROR(__xludf.DUMMYFUNCTION("""COMPUTED_VALUE"""),"20041213LALAL")</f>
        <v>20041213LALAL</v>
      </c>
      <c r="C1768" s="8" t="str">
        <f ca="1">IFERROR(__xludf.DUMMYFUNCTION("""COMPUTED_VALUE"""),"Wounded")</f>
        <v>Wounded</v>
      </c>
      <c r="D1768" s="8" t="str">
        <f ca="1">IFERROR(__xludf.DUMMYFUNCTION("""COMPUTED_VALUE"""),"Male")</f>
        <v>Male</v>
      </c>
      <c r="E1768" s="8" t="str">
        <f ca="1">IFERROR(__xludf.DUMMYFUNCTION("""COMPUTED_VALUE"""),"Student")</f>
        <v>Student</v>
      </c>
      <c r="F1768" s="8">
        <f ca="1">IFERROR(__xludf.DUMMYFUNCTION("""COMPUTED_VALUE"""),18)</f>
        <v>18</v>
      </c>
    </row>
    <row r="1769" spans="1:6" ht="12.75">
      <c r="A1769" s="4">
        <v>1768</v>
      </c>
      <c r="B1769" s="8" t="str">
        <f ca="1">IFERROR(__xludf.DUMMYFUNCTION("""COMPUTED_VALUE"""),"20041209WALAS")</f>
        <v>20041209WALAS</v>
      </c>
      <c r="C1769" s="8" t="str">
        <f ca="1">IFERROR(__xludf.DUMMYFUNCTION("""COMPUTED_VALUE"""),"None")</f>
        <v>None</v>
      </c>
      <c r="D1769" s="8" t="str">
        <f ca="1">IFERROR(__xludf.DUMMYFUNCTION("""COMPUTED_VALUE"""),"Male")</f>
        <v>Male</v>
      </c>
      <c r="E1769" s="8" t="str">
        <f ca="1">IFERROR(__xludf.DUMMYFUNCTION("""COMPUTED_VALUE"""),"Student")</f>
        <v>Student</v>
      </c>
      <c r="F1769" s="8">
        <f ca="1">IFERROR(__xludf.DUMMYFUNCTION("""COMPUTED_VALUE"""),16)</f>
        <v>16</v>
      </c>
    </row>
    <row r="1770" spans="1:6" ht="12.75">
      <c r="A1770" s="4">
        <v>1769</v>
      </c>
      <c r="B1770" s="8" t="str">
        <f ca="1">IFERROR(__xludf.DUMMYFUNCTION("""COMPUTED_VALUE"""),"20041119FLTEJ")</f>
        <v>20041119FLTEJ</v>
      </c>
      <c r="C1770" s="8" t="str">
        <f ca="1">IFERROR(__xludf.DUMMYFUNCTION("""COMPUTED_VALUE"""),"Wounded")</f>
        <v>Wounded</v>
      </c>
      <c r="D1770" s="8" t="str">
        <f ca="1">IFERROR(__xludf.DUMMYFUNCTION("""COMPUTED_VALUE"""),"Male")</f>
        <v>Male</v>
      </c>
      <c r="E1770" s="8" t="str">
        <f ca="1">IFERROR(__xludf.DUMMYFUNCTION("""COMPUTED_VALUE"""),"Student")</f>
        <v>Student</v>
      </c>
      <c r="F1770" s="8" t="str">
        <f ca="1">IFERROR(__xludf.DUMMYFUNCTION("""COMPUTED_VALUE"""),"Teen")</f>
        <v>Teen</v>
      </c>
    </row>
    <row r="1771" spans="1:6" ht="12.75">
      <c r="A1771" s="4">
        <v>1770</v>
      </c>
      <c r="B1771" s="8" t="str">
        <f ca="1">IFERROR(__xludf.DUMMYFUNCTION("""COMPUTED_VALUE"""),"20041117FLAPA")</f>
        <v>20041117FLAPA</v>
      </c>
      <c r="C1771" s="8" t="str">
        <f ca="1">IFERROR(__xludf.DUMMYFUNCTION("""COMPUTED_VALUE"""),"None")</f>
        <v>None</v>
      </c>
      <c r="D1771" s="8"/>
      <c r="E1771" s="8"/>
      <c r="F1771" s="8"/>
    </row>
    <row r="1772" spans="1:6" ht="12.75">
      <c r="A1772" s="4">
        <v>1771</v>
      </c>
      <c r="B1772" s="8" t="str">
        <f ca="1">IFERROR(__xludf.DUMMYFUNCTION("""COMPUTED_VALUE"""),"20041116SCBAB")</f>
        <v>20041116SCBAB</v>
      </c>
      <c r="C1772" s="8" t="str">
        <f ca="1">IFERROR(__xludf.DUMMYFUNCTION("""COMPUTED_VALUE"""),"Wounded")</f>
        <v>Wounded</v>
      </c>
      <c r="D1772" s="8" t="str">
        <f ca="1">IFERROR(__xludf.DUMMYFUNCTION("""COMPUTED_VALUE"""),"Male")</f>
        <v>Male</v>
      </c>
      <c r="E1772" s="8" t="str">
        <f ca="1">IFERROR(__xludf.DUMMYFUNCTION("""COMPUTED_VALUE"""),"Unknown")</f>
        <v>Unknown</v>
      </c>
      <c r="F1772" s="8">
        <f ca="1">IFERROR(__xludf.DUMMYFUNCTION("""COMPUTED_VALUE"""),19)</f>
        <v>19</v>
      </c>
    </row>
    <row r="1773" spans="1:6" ht="12.75">
      <c r="A1773" s="4">
        <v>1772</v>
      </c>
      <c r="B1773" s="8" t="str">
        <f ca="1">IFERROR(__xludf.DUMMYFUNCTION("""COMPUTED_VALUE"""),"20041115INBRG")</f>
        <v>20041115INBRG</v>
      </c>
      <c r="C1773" s="8" t="str">
        <f ca="1">IFERROR(__xludf.DUMMYFUNCTION("""COMPUTED_VALUE"""),"Wounded")</f>
        <v>Wounded</v>
      </c>
      <c r="D1773" s="8" t="str">
        <f ca="1">IFERROR(__xludf.DUMMYFUNCTION("""COMPUTED_VALUE"""),"Male")</f>
        <v>Male</v>
      </c>
      <c r="E1773" s="8" t="str">
        <f ca="1">IFERROR(__xludf.DUMMYFUNCTION("""COMPUTED_VALUE"""),"Parent")</f>
        <v>Parent</v>
      </c>
      <c r="F1773" s="8">
        <f ca="1">IFERROR(__xludf.DUMMYFUNCTION("""COMPUTED_VALUE"""),28)</f>
        <v>28</v>
      </c>
    </row>
    <row r="1774" spans="1:6" ht="12.75">
      <c r="A1774" s="4">
        <v>1773</v>
      </c>
      <c r="B1774" s="8" t="str">
        <f ca="1">IFERROR(__xludf.DUMMYFUNCTION("""COMPUTED_VALUE"""),"20041115ALPAB")</f>
        <v>20041115ALPAB</v>
      </c>
      <c r="C1774" s="8" t="str">
        <f ca="1">IFERROR(__xludf.DUMMYFUNCTION("""COMPUTED_VALUE"""),"Wounded")</f>
        <v>Wounded</v>
      </c>
      <c r="D1774" s="8" t="str">
        <f ca="1">IFERROR(__xludf.DUMMYFUNCTION("""COMPUTED_VALUE"""),"Male")</f>
        <v>Male</v>
      </c>
      <c r="E1774" s="8" t="str">
        <f ca="1">IFERROR(__xludf.DUMMYFUNCTION("""COMPUTED_VALUE"""),"Unknown")</f>
        <v>Unknown</v>
      </c>
      <c r="F1774" s="8">
        <f ca="1">IFERROR(__xludf.DUMMYFUNCTION("""COMPUTED_VALUE"""),20)</f>
        <v>20</v>
      </c>
    </row>
    <row r="1775" spans="1:6" ht="12.75">
      <c r="A1775" s="4">
        <v>1774</v>
      </c>
      <c r="B1775" s="8" t="str">
        <f ca="1">IFERROR(__xludf.DUMMYFUNCTION("""COMPUTED_VALUE"""),"20041022CATYH")</f>
        <v>20041022CATYH</v>
      </c>
      <c r="C1775" s="8" t="str">
        <f ca="1">IFERROR(__xludf.DUMMYFUNCTION("""COMPUTED_VALUE"""),"Fatal")</f>
        <v>Fatal</v>
      </c>
      <c r="D1775" s="8" t="str">
        <f ca="1">IFERROR(__xludf.DUMMYFUNCTION("""COMPUTED_VALUE"""),"Male")</f>
        <v>Male</v>
      </c>
      <c r="E1775" s="8" t="str">
        <f ca="1">IFERROR(__xludf.DUMMYFUNCTION("""COMPUTED_VALUE"""),"No Relation")</f>
        <v>No Relation</v>
      </c>
      <c r="F1775" s="8">
        <f ca="1">IFERROR(__xludf.DUMMYFUNCTION("""COMPUTED_VALUE"""),32)</f>
        <v>32</v>
      </c>
    </row>
    <row r="1776" spans="1:6" ht="12.75">
      <c r="A1776" s="4">
        <v>1775</v>
      </c>
      <c r="B1776" s="8" t="str">
        <f ca="1">IFERROR(__xludf.DUMMYFUNCTION("""COMPUTED_VALUE"""),"20041021MDTHB")</f>
        <v>20041021MDTHB</v>
      </c>
      <c r="C1776" s="8" t="str">
        <f ca="1">IFERROR(__xludf.DUMMYFUNCTION("""COMPUTED_VALUE"""),"Wounded")</f>
        <v>Wounded</v>
      </c>
      <c r="D1776" s="8" t="str">
        <f ca="1">IFERROR(__xludf.DUMMYFUNCTION("""COMPUTED_VALUE"""),"Male")</f>
        <v>Male</v>
      </c>
      <c r="E1776" s="8" t="str">
        <f ca="1">IFERROR(__xludf.DUMMYFUNCTION("""COMPUTED_VALUE"""),"Student")</f>
        <v>Student</v>
      </c>
      <c r="F1776" s="8">
        <f ca="1">IFERROR(__xludf.DUMMYFUNCTION("""COMPUTED_VALUE"""),19)</f>
        <v>19</v>
      </c>
    </row>
    <row r="1777" spans="1:6" ht="12.75">
      <c r="A1777" s="4">
        <v>1776</v>
      </c>
      <c r="B1777" s="8" t="str">
        <f ca="1">IFERROR(__xludf.DUMMYFUNCTION("""COMPUTED_VALUE"""),"20041021MDTHB")</f>
        <v>20041021MDTHB</v>
      </c>
      <c r="C1777" s="8" t="str">
        <f ca="1">IFERROR(__xludf.DUMMYFUNCTION("""COMPUTED_VALUE"""),"Wounded")</f>
        <v>Wounded</v>
      </c>
      <c r="D1777" s="8" t="str">
        <f ca="1">IFERROR(__xludf.DUMMYFUNCTION("""COMPUTED_VALUE"""),"Male")</f>
        <v>Male</v>
      </c>
      <c r="E1777" s="8" t="str">
        <f ca="1">IFERROR(__xludf.DUMMYFUNCTION("""COMPUTED_VALUE"""),"Student")</f>
        <v>Student</v>
      </c>
      <c r="F1777" s="8">
        <f ca="1">IFERROR(__xludf.DUMMYFUNCTION("""COMPUTED_VALUE"""),15)</f>
        <v>15</v>
      </c>
    </row>
    <row r="1778" spans="1:6" ht="12.75">
      <c r="A1778" s="4">
        <v>1777</v>
      </c>
      <c r="B1778" s="8" t="str">
        <f ca="1">IFERROR(__xludf.DUMMYFUNCTION("""COMPUTED_VALUE"""),"20041015CABIB")</f>
        <v>20041015CABIB</v>
      </c>
      <c r="C1778" s="8" t="str">
        <f ca="1">IFERROR(__xludf.DUMMYFUNCTION("""COMPUTED_VALUE"""),"Wounded")</f>
        <v>Wounded</v>
      </c>
      <c r="D1778" s="8" t="str">
        <f ca="1">IFERROR(__xludf.DUMMYFUNCTION("""COMPUTED_VALUE"""),"Male")</f>
        <v>Male</v>
      </c>
      <c r="E1778" s="8" t="str">
        <f ca="1">IFERROR(__xludf.DUMMYFUNCTION("""COMPUTED_VALUE"""),"Student")</f>
        <v>Student</v>
      </c>
      <c r="F1778" s="8">
        <f ca="1">IFERROR(__xludf.DUMMYFUNCTION("""COMPUTED_VALUE"""),17)</f>
        <v>17</v>
      </c>
    </row>
    <row r="1779" spans="1:6" ht="12.75">
      <c r="A1779" s="4">
        <v>1778</v>
      </c>
      <c r="B1779" s="8" t="str">
        <f ca="1">IFERROR(__xludf.DUMMYFUNCTION("""COMPUTED_VALUE"""),"20041012CALAS")</f>
        <v>20041012CALAS</v>
      </c>
      <c r="C1779" s="8" t="str">
        <f ca="1">IFERROR(__xludf.DUMMYFUNCTION("""COMPUTED_VALUE"""),"None")</f>
        <v>None</v>
      </c>
      <c r="D1779" s="8" t="str">
        <f ca="1">IFERROR(__xludf.DUMMYFUNCTION("""COMPUTED_VALUE"""),"Male")</f>
        <v>Male</v>
      </c>
      <c r="E1779" s="8" t="str">
        <f ca="1">IFERROR(__xludf.DUMMYFUNCTION("""COMPUTED_VALUE"""),"No Relation")</f>
        <v>No Relation</v>
      </c>
      <c r="F1779" s="8">
        <f ca="1">IFERROR(__xludf.DUMMYFUNCTION("""COMPUTED_VALUE"""),25)</f>
        <v>25</v>
      </c>
    </row>
    <row r="1780" spans="1:6" ht="12.75">
      <c r="A1780" s="4">
        <v>1779</v>
      </c>
      <c r="B1780" s="8" t="str">
        <f ca="1">IFERROR(__xludf.DUMMYFUNCTION("""COMPUTED_VALUE"""),"20041007MANEN")</f>
        <v>20041007MANEN</v>
      </c>
      <c r="C1780" s="8" t="str">
        <f ca="1">IFERROR(__xludf.DUMMYFUNCTION("""COMPUTED_VALUE"""),"None")</f>
        <v>None</v>
      </c>
      <c r="D1780" s="8" t="str">
        <f ca="1">IFERROR(__xludf.DUMMYFUNCTION("""COMPUTED_VALUE"""),"Male")</f>
        <v>Male</v>
      </c>
      <c r="E1780" s="8" t="str">
        <f ca="1">IFERROR(__xludf.DUMMYFUNCTION("""COMPUTED_VALUE"""),"Student")</f>
        <v>Student</v>
      </c>
      <c r="F1780" s="8">
        <f ca="1">IFERROR(__xludf.DUMMYFUNCTION("""COMPUTED_VALUE"""),15)</f>
        <v>15</v>
      </c>
    </row>
    <row r="1781" spans="1:6" ht="12.75">
      <c r="A1781" s="4">
        <v>1780</v>
      </c>
      <c r="B1781" s="8" t="str">
        <f ca="1">IFERROR(__xludf.DUMMYFUNCTION("""COMPUTED_VALUE"""),"20041002NEJEG")</f>
        <v>20041002NEJEG</v>
      </c>
      <c r="C1781" s="8" t="str">
        <f ca="1">IFERROR(__xludf.DUMMYFUNCTION("""COMPUTED_VALUE"""),"Wounded")</f>
        <v>Wounded</v>
      </c>
      <c r="D1781" s="8" t="str">
        <f ca="1">IFERROR(__xludf.DUMMYFUNCTION("""COMPUTED_VALUE"""),"Female")</f>
        <v>Female</v>
      </c>
      <c r="E1781" s="8" t="str">
        <f ca="1">IFERROR(__xludf.DUMMYFUNCTION("""COMPUTED_VALUE"""),"No Relation")</f>
        <v>No Relation</v>
      </c>
      <c r="F1781" s="8">
        <f ca="1">IFERROR(__xludf.DUMMYFUNCTION("""COMPUTED_VALUE"""),21)</f>
        <v>21</v>
      </c>
    </row>
    <row r="1782" spans="1:6" ht="12.75">
      <c r="A1782" s="4">
        <v>1781</v>
      </c>
      <c r="B1782" s="8" t="str">
        <f ca="1">IFERROR(__xludf.DUMMYFUNCTION("""COMPUTED_VALUE"""),"20040915INWIG")</f>
        <v>20040915INWIG</v>
      </c>
      <c r="C1782" s="8" t="str">
        <f ca="1">IFERROR(__xludf.DUMMYFUNCTION("""COMPUTED_VALUE"""),"None")</f>
        <v>None</v>
      </c>
      <c r="D1782" s="8"/>
      <c r="E1782" s="8"/>
      <c r="F1782" s="8"/>
    </row>
    <row r="1783" spans="1:6" ht="12.75">
      <c r="A1783" s="4">
        <v>1782</v>
      </c>
      <c r="B1783" s="8" t="str">
        <f ca="1">IFERROR(__xludf.DUMMYFUNCTION("""COMPUTED_VALUE"""),"20040912LABON")</f>
        <v>20040912LABON</v>
      </c>
      <c r="C1783" s="8" t="str">
        <f ca="1">IFERROR(__xludf.DUMMYFUNCTION("""COMPUTED_VALUE"""),"Wounded")</f>
        <v>Wounded</v>
      </c>
      <c r="D1783" s="8" t="str">
        <f ca="1">IFERROR(__xludf.DUMMYFUNCTION("""COMPUTED_VALUE"""),"Male")</f>
        <v>Male</v>
      </c>
      <c r="E1783" s="8" t="str">
        <f ca="1">IFERROR(__xludf.DUMMYFUNCTION("""COMPUTED_VALUE"""),"Student")</f>
        <v>Student</v>
      </c>
      <c r="F1783" s="8">
        <f ca="1">IFERROR(__xludf.DUMMYFUNCTION("""COMPUTED_VALUE"""),16)</f>
        <v>16</v>
      </c>
    </row>
    <row r="1784" spans="1:6" ht="12.75">
      <c r="A1784" s="4">
        <v>1783</v>
      </c>
      <c r="B1784" s="8" t="str">
        <f ca="1">IFERROR(__xludf.DUMMYFUNCTION("""COMPUTED_VALUE"""),"20040830ILPRM")</f>
        <v>20040830ILPRM</v>
      </c>
      <c r="C1784" s="8" t="str">
        <f ca="1">IFERROR(__xludf.DUMMYFUNCTION("""COMPUTED_VALUE"""),"Fatal")</f>
        <v>Fatal</v>
      </c>
      <c r="D1784" s="8" t="str">
        <f ca="1">IFERROR(__xludf.DUMMYFUNCTION("""COMPUTED_VALUE"""),"Male")</f>
        <v>Male</v>
      </c>
      <c r="E1784" s="8" t="str">
        <f ca="1">IFERROR(__xludf.DUMMYFUNCTION("""COMPUTED_VALUE"""),"Relative")</f>
        <v>Relative</v>
      </c>
      <c r="F1784" s="8">
        <f ca="1">IFERROR(__xludf.DUMMYFUNCTION("""COMPUTED_VALUE"""),22)</f>
        <v>22</v>
      </c>
    </row>
    <row r="1785" spans="1:6" ht="12.75">
      <c r="A1785" s="4">
        <v>1784</v>
      </c>
      <c r="B1785" s="8" t="str">
        <f ca="1">IFERROR(__xludf.DUMMYFUNCTION("""COMPUTED_VALUE"""),"20040824TNHAM")</f>
        <v>20040824TNHAM</v>
      </c>
      <c r="C1785" s="8" t="str">
        <f ca="1">IFERROR(__xludf.DUMMYFUNCTION("""COMPUTED_VALUE"""),"None")</f>
        <v>None</v>
      </c>
      <c r="D1785" s="8" t="str">
        <f ca="1">IFERROR(__xludf.DUMMYFUNCTION("""COMPUTED_VALUE"""),"Male")</f>
        <v>Male</v>
      </c>
      <c r="E1785" s="8" t="str">
        <f ca="1">IFERROR(__xludf.DUMMYFUNCTION("""COMPUTED_VALUE"""),"Student")</f>
        <v>Student</v>
      </c>
      <c r="F1785" s="8">
        <f ca="1">IFERROR(__xludf.DUMMYFUNCTION("""COMPUTED_VALUE"""),17)</f>
        <v>17</v>
      </c>
    </row>
    <row r="1786" spans="1:6" ht="12.75">
      <c r="A1786" s="4">
        <v>1785</v>
      </c>
      <c r="B1786" s="8" t="str">
        <f ca="1">IFERROR(__xludf.DUMMYFUNCTION("""COMPUTED_VALUE"""),"20040803ALHUB")</f>
        <v>20040803ALHUB</v>
      </c>
      <c r="C1786" s="8" t="str">
        <f ca="1">IFERROR(__xludf.DUMMYFUNCTION("""COMPUTED_VALUE"""),"Wounded")</f>
        <v>Wounded</v>
      </c>
      <c r="D1786" s="8" t="str">
        <f ca="1">IFERROR(__xludf.DUMMYFUNCTION("""COMPUTED_VALUE"""),"Male")</f>
        <v>Male</v>
      </c>
      <c r="E1786" s="8" t="str">
        <f ca="1">IFERROR(__xludf.DUMMYFUNCTION("""COMPUTED_VALUE"""),"Student")</f>
        <v>Student</v>
      </c>
      <c r="F1786" s="8">
        <f ca="1">IFERROR(__xludf.DUMMYFUNCTION("""COMPUTED_VALUE"""),16)</f>
        <v>16</v>
      </c>
    </row>
    <row r="1787" spans="1:6" ht="12.75">
      <c r="A1787" s="4">
        <v>1786</v>
      </c>
      <c r="B1787" s="8" t="str">
        <f ca="1">IFERROR(__xludf.DUMMYFUNCTION("""COMPUTED_VALUE"""),"20040609CACAO")</f>
        <v>20040609CACAO</v>
      </c>
      <c r="C1787" s="8" t="str">
        <f ca="1">IFERROR(__xludf.DUMMYFUNCTION("""COMPUTED_VALUE"""),"Wounded")</f>
        <v>Wounded</v>
      </c>
      <c r="D1787" s="8" t="str">
        <f ca="1">IFERROR(__xludf.DUMMYFUNCTION("""COMPUTED_VALUE"""),"Male")</f>
        <v>Male</v>
      </c>
      <c r="E1787" s="8" t="str">
        <f ca="1">IFERROR(__xludf.DUMMYFUNCTION("""COMPUTED_VALUE"""),"Student")</f>
        <v>Student</v>
      </c>
      <c r="F1787" s="8">
        <f ca="1">IFERROR(__xludf.DUMMYFUNCTION("""COMPUTED_VALUE"""),15)</f>
        <v>15</v>
      </c>
    </row>
    <row r="1788" spans="1:6" ht="12.75">
      <c r="A1788" s="4">
        <v>1787</v>
      </c>
      <c r="B1788" s="8" t="str">
        <f ca="1">IFERROR(__xludf.DUMMYFUNCTION("""COMPUTED_VALUE"""),"20040609CACAO")</f>
        <v>20040609CACAO</v>
      </c>
      <c r="C1788" s="8" t="str">
        <f ca="1">IFERROR(__xludf.DUMMYFUNCTION("""COMPUTED_VALUE"""),"Wounded")</f>
        <v>Wounded</v>
      </c>
      <c r="D1788" s="8" t="str">
        <f ca="1">IFERROR(__xludf.DUMMYFUNCTION("""COMPUTED_VALUE"""),"Male")</f>
        <v>Male</v>
      </c>
      <c r="E1788" s="8" t="str">
        <f ca="1">IFERROR(__xludf.DUMMYFUNCTION("""COMPUTED_VALUE"""),"Student")</f>
        <v>Student</v>
      </c>
      <c r="F1788" s="8">
        <f ca="1">IFERROR(__xludf.DUMMYFUNCTION("""COMPUTED_VALUE"""),15)</f>
        <v>15</v>
      </c>
    </row>
    <row r="1789" spans="1:6" ht="12.75">
      <c r="A1789" s="4">
        <v>1788</v>
      </c>
      <c r="B1789" s="8" t="str">
        <f ca="1">IFERROR(__xludf.DUMMYFUNCTION("""COMPUTED_VALUE"""),"20040524UTWES")</f>
        <v>20040524UTWES</v>
      </c>
      <c r="C1789" s="8" t="str">
        <f ca="1">IFERROR(__xludf.DUMMYFUNCTION("""COMPUTED_VALUE"""),"Fatal")</f>
        <v>Fatal</v>
      </c>
      <c r="D1789" s="8" t="str">
        <f ca="1">IFERROR(__xludf.DUMMYFUNCTION("""COMPUTED_VALUE"""),"Female")</f>
        <v>Female</v>
      </c>
      <c r="E1789" s="8" t="str">
        <f ca="1">IFERROR(__xludf.DUMMYFUNCTION("""COMPUTED_VALUE"""),"Other Staff")</f>
        <v>Other Staff</v>
      </c>
      <c r="F1789" s="8">
        <f ca="1">IFERROR(__xludf.DUMMYFUNCTION("""COMPUTED_VALUE"""),39)</f>
        <v>39</v>
      </c>
    </row>
    <row r="1790" spans="1:6" ht="12.75">
      <c r="A1790" s="4">
        <v>1789</v>
      </c>
      <c r="B1790" s="8" t="str">
        <f ca="1">IFERROR(__xludf.DUMMYFUNCTION("""COMPUTED_VALUE"""),"20040512CAEAM")</f>
        <v>20040512CAEAM</v>
      </c>
      <c r="C1790" s="8" t="str">
        <f ca="1">IFERROR(__xludf.DUMMYFUNCTION("""COMPUTED_VALUE"""),"Wounded")</f>
        <v>Wounded</v>
      </c>
      <c r="D1790" s="8" t="str">
        <f ca="1">IFERROR(__xludf.DUMMYFUNCTION("""COMPUTED_VALUE"""),"Female")</f>
        <v>Female</v>
      </c>
      <c r="E1790" s="8" t="str">
        <f ca="1">IFERROR(__xludf.DUMMYFUNCTION("""COMPUTED_VALUE"""),"Student")</f>
        <v>Student</v>
      </c>
      <c r="F1790" s="8">
        <f ca="1">IFERROR(__xludf.DUMMYFUNCTION("""COMPUTED_VALUE"""),17)</f>
        <v>17</v>
      </c>
    </row>
    <row r="1791" spans="1:6" ht="12.75">
      <c r="A1791" s="4">
        <v>1790</v>
      </c>
      <c r="B1791" s="8" t="str">
        <f ca="1">IFERROR(__xludf.DUMMYFUNCTION("""COMPUTED_VALUE"""),"20040512CAEAM")</f>
        <v>20040512CAEAM</v>
      </c>
      <c r="C1791" s="8" t="str">
        <f ca="1">IFERROR(__xludf.DUMMYFUNCTION("""COMPUTED_VALUE"""),"Wounded")</f>
        <v>Wounded</v>
      </c>
      <c r="D1791" s="8" t="str">
        <f ca="1">IFERROR(__xludf.DUMMYFUNCTION("""COMPUTED_VALUE"""),"Male")</f>
        <v>Male</v>
      </c>
      <c r="E1791" s="8" t="str">
        <f ca="1">IFERROR(__xludf.DUMMYFUNCTION("""COMPUTED_VALUE"""),"Student")</f>
        <v>Student</v>
      </c>
      <c r="F1791" s="8">
        <f ca="1">IFERROR(__xludf.DUMMYFUNCTION("""COMPUTED_VALUE"""),19)</f>
        <v>19</v>
      </c>
    </row>
    <row r="1792" spans="1:6" ht="12.75">
      <c r="A1792" s="4">
        <v>1791</v>
      </c>
      <c r="B1792" s="8" t="str">
        <f ca="1">IFERROR(__xludf.DUMMYFUNCTION("""COMPUTED_VALUE"""),"20040507MDRAR")</f>
        <v>20040507MDRAR</v>
      </c>
      <c r="C1792" s="8" t="str">
        <f ca="1">IFERROR(__xludf.DUMMYFUNCTION("""COMPUTED_VALUE"""),"Wounded")</f>
        <v>Wounded</v>
      </c>
      <c r="D1792" s="8" t="str">
        <f ca="1">IFERROR(__xludf.DUMMYFUNCTION("""COMPUTED_VALUE"""),"Male")</f>
        <v>Male</v>
      </c>
      <c r="E1792" s="8" t="str">
        <f ca="1">IFERROR(__xludf.DUMMYFUNCTION("""COMPUTED_VALUE"""),"Student")</f>
        <v>Student</v>
      </c>
      <c r="F1792" s="8">
        <f ca="1">IFERROR(__xludf.DUMMYFUNCTION("""COMPUTED_VALUE"""),17)</f>
        <v>17</v>
      </c>
    </row>
    <row r="1793" spans="1:6" ht="12.75">
      <c r="A1793" s="4">
        <v>1792</v>
      </c>
      <c r="B1793" s="8" t="str">
        <f ca="1">IFERROR(__xludf.DUMMYFUNCTION("""COMPUTED_VALUE"""),"20040507MDRAR")</f>
        <v>20040507MDRAR</v>
      </c>
      <c r="C1793" s="8" t="str">
        <f ca="1">IFERROR(__xludf.DUMMYFUNCTION("""COMPUTED_VALUE"""),"Wounded")</f>
        <v>Wounded</v>
      </c>
      <c r="D1793" s="8" t="str">
        <f ca="1">IFERROR(__xludf.DUMMYFUNCTION("""COMPUTED_VALUE"""),"Male")</f>
        <v>Male</v>
      </c>
      <c r="E1793" s="8" t="str">
        <f ca="1">IFERROR(__xludf.DUMMYFUNCTION("""COMPUTED_VALUE"""),"Student")</f>
        <v>Student</v>
      </c>
      <c r="F1793" s="8">
        <f ca="1">IFERROR(__xludf.DUMMYFUNCTION("""COMPUTED_VALUE"""),17)</f>
        <v>17</v>
      </c>
    </row>
    <row r="1794" spans="1:6" ht="12.75">
      <c r="A1794" s="4">
        <v>1793</v>
      </c>
      <c r="B1794" s="8" t="str">
        <f ca="1">IFERROR(__xludf.DUMMYFUNCTION("""COMPUTED_VALUE"""),"20040507MDRAR")</f>
        <v>20040507MDRAR</v>
      </c>
      <c r="C1794" s="8" t="str">
        <f ca="1">IFERROR(__xludf.DUMMYFUNCTION("""COMPUTED_VALUE"""),"Wounded")</f>
        <v>Wounded</v>
      </c>
      <c r="D1794" s="8" t="str">
        <f ca="1">IFERROR(__xludf.DUMMYFUNCTION("""COMPUTED_VALUE"""),"Male")</f>
        <v>Male</v>
      </c>
      <c r="E1794" s="8" t="str">
        <f ca="1">IFERROR(__xludf.DUMMYFUNCTION("""COMPUTED_VALUE"""),"Student")</f>
        <v>Student</v>
      </c>
      <c r="F1794" s="8">
        <f ca="1">IFERROR(__xludf.DUMMYFUNCTION("""COMPUTED_VALUE"""),16)</f>
        <v>16</v>
      </c>
    </row>
    <row r="1795" spans="1:6" ht="12.75">
      <c r="A1795" s="4">
        <v>1794</v>
      </c>
      <c r="B1795" s="8" t="str">
        <f ca="1">IFERROR(__xludf.DUMMYFUNCTION("""COMPUTED_VALUE"""),"20040507MDRAR")</f>
        <v>20040507MDRAR</v>
      </c>
      <c r="C1795" s="8" t="str">
        <f ca="1">IFERROR(__xludf.DUMMYFUNCTION("""COMPUTED_VALUE"""),"Wounded")</f>
        <v>Wounded</v>
      </c>
      <c r="D1795" s="8" t="str">
        <f ca="1">IFERROR(__xludf.DUMMYFUNCTION("""COMPUTED_VALUE"""),"Male")</f>
        <v>Male</v>
      </c>
      <c r="E1795" s="8" t="str">
        <f ca="1">IFERROR(__xludf.DUMMYFUNCTION("""COMPUTED_VALUE"""),"Student")</f>
        <v>Student</v>
      </c>
      <c r="F1795" s="8">
        <f ca="1">IFERROR(__xludf.DUMMYFUNCTION("""COMPUTED_VALUE"""),16)</f>
        <v>16</v>
      </c>
    </row>
    <row r="1796" spans="1:6" ht="12.75">
      <c r="A1796" s="4">
        <v>1795</v>
      </c>
      <c r="B1796" s="8" t="str">
        <f ca="1">IFERROR(__xludf.DUMMYFUNCTION("""COMPUTED_VALUE"""),"20040504TXKAH")</f>
        <v>20040504TXKAH</v>
      </c>
      <c r="C1796" s="8" t="str">
        <f ca="1">IFERROR(__xludf.DUMMYFUNCTION("""COMPUTED_VALUE"""),"None")</f>
        <v>None</v>
      </c>
      <c r="D1796" s="8"/>
      <c r="E1796" s="8"/>
      <c r="F1796" s="8"/>
    </row>
    <row r="1797" spans="1:6" ht="12.75">
      <c r="A1797" s="4">
        <v>1796</v>
      </c>
      <c r="B1797" s="8" t="str">
        <f ca="1">IFERROR(__xludf.DUMMYFUNCTION("""COMPUTED_VALUE"""),"20040317WACRJ")</f>
        <v>20040317WACRJ</v>
      </c>
      <c r="C1797" s="8" t="str">
        <f ca="1">IFERROR(__xludf.DUMMYFUNCTION("""COMPUTED_VALUE"""),"None")</f>
        <v>None</v>
      </c>
      <c r="D1797" s="8" t="str">
        <f ca="1">IFERROR(__xludf.DUMMYFUNCTION("""COMPUTED_VALUE"""),"Male")</f>
        <v>Male</v>
      </c>
      <c r="E1797" s="8" t="str">
        <f ca="1">IFERROR(__xludf.DUMMYFUNCTION("""COMPUTED_VALUE"""),"Student")</f>
        <v>Student</v>
      </c>
      <c r="F1797" s="8">
        <f ca="1">IFERROR(__xludf.DUMMYFUNCTION("""COMPUTED_VALUE"""),13)</f>
        <v>13</v>
      </c>
    </row>
    <row r="1798" spans="1:6" ht="12.75">
      <c r="A1798" s="4">
        <v>1797</v>
      </c>
      <c r="B1798" s="8" t="str">
        <f ca="1">IFERROR(__xludf.DUMMYFUNCTION("""COMPUTED_VALUE"""),"20040305CASAL")</f>
        <v>20040305CASAL</v>
      </c>
      <c r="C1798" s="8" t="str">
        <f ca="1">IFERROR(__xludf.DUMMYFUNCTION("""COMPUTED_VALUE"""),"Wounded")</f>
        <v>Wounded</v>
      </c>
      <c r="D1798" s="8" t="str">
        <f ca="1">IFERROR(__xludf.DUMMYFUNCTION("""COMPUTED_VALUE"""),"Male")</f>
        <v>Male</v>
      </c>
      <c r="E1798" s="8" t="str">
        <f ca="1">IFERROR(__xludf.DUMMYFUNCTION("""COMPUTED_VALUE"""),"Student")</f>
        <v>Student</v>
      </c>
      <c r="F1798" s="8">
        <f ca="1">IFERROR(__xludf.DUMMYFUNCTION("""COMPUTED_VALUE"""),17)</f>
        <v>17</v>
      </c>
    </row>
    <row r="1799" spans="1:6" ht="12.75">
      <c r="A1799" s="4">
        <v>1798</v>
      </c>
      <c r="B1799" s="8" t="str">
        <f ca="1">IFERROR(__xludf.DUMMYFUNCTION("""COMPUTED_VALUE"""),"20040305CASAL")</f>
        <v>20040305CASAL</v>
      </c>
      <c r="C1799" s="8" t="str">
        <f ca="1">IFERROR(__xludf.DUMMYFUNCTION("""COMPUTED_VALUE"""),"Wounded")</f>
        <v>Wounded</v>
      </c>
      <c r="D1799" s="8" t="str">
        <f ca="1">IFERROR(__xludf.DUMMYFUNCTION("""COMPUTED_VALUE"""),"Female")</f>
        <v>Female</v>
      </c>
      <c r="E1799" s="8" t="str">
        <f ca="1">IFERROR(__xludf.DUMMYFUNCTION("""COMPUTED_VALUE"""),"Student")</f>
        <v>Student</v>
      </c>
      <c r="F1799" s="8">
        <f ca="1">IFERROR(__xludf.DUMMYFUNCTION("""COMPUTED_VALUE"""),16)</f>
        <v>16</v>
      </c>
    </row>
    <row r="1800" spans="1:6" ht="12.75">
      <c r="A1800" s="4">
        <v>1799</v>
      </c>
      <c r="B1800" s="8" t="str">
        <f ca="1">IFERROR(__xludf.DUMMYFUNCTION("""COMPUTED_VALUE"""),"20040220LAGAS")</f>
        <v>20040220LAGAS</v>
      </c>
      <c r="C1800" s="8" t="str">
        <f ca="1">IFERROR(__xludf.DUMMYFUNCTION("""COMPUTED_VALUE"""),"Fatal")</f>
        <v>Fatal</v>
      </c>
      <c r="D1800" s="8" t="str">
        <f ca="1">IFERROR(__xludf.DUMMYFUNCTION("""COMPUTED_VALUE"""),"Female")</f>
        <v>Female</v>
      </c>
      <c r="E1800" s="8" t="str">
        <f ca="1">IFERROR(__xludf.DUMMYFUNCTION("""COMPUTED_VALUE"""),"Teacher")</f>
        <v>Teacher</v>
      </c>
      <c r="F1800" s="8">
        <f ca="1">IFERROR(__xludf.DUMMYFUNCTION("""COMPUTED_VALUE"""),19)</f>
        <v>19</v>
      </c>
    </row>
    <row r="1801" spans="1:6" ht="12.75">
      <c r="A1801" s="4">
        <v>1800</v>
      </c>
      <c r="B1801" s="8" t="str">
        <f ca="1">IFERROR(__xludf.DUMMYFUNCTION("""COMPUTED_VALUE"""),"20040213OHCOD")</f>
        <v>20040213OHCOD</v>
      </c>
      <c r="C1801" s="8" t="str">
        <f ca="1">IFERROR(__xludf.DUMMYFUNCTION("""COMPUTED_VALUE"""),"Wounded")</f>
        <v>Wounded</v>
      </c>
      <c r="D1801" s="8" t="str">
        <f ca="1">IFERROR(__xludf.DUMMYFUNCTION("""COMPUTED_VALUE"""),"Male")</f>
        <v>Male</v>
      </c>
      <c r="E1801" s="8" t="str">
        <f ca="1">IFERROR(__xludf.DUMMYFUNCTION("""COMPUTED_VALUE"""),"Student")</f>
        <v>Student</v>
      </c>
      <c r="F1801" s="8">
        <f ca="1">IFERROR(__xludf.DUMMYFUNCTION("""COMPUTED_VALUE"""),17)</f>
        <v>17</v>
      </c>
    </row>
    <row r="1802" spans="1:6" ht="12.75">
      <c r="A1802" s="4">
        <v>1801</v>
      </c>
      <c r="B1802" s="8" t="str">
        <f ca="1">IFERROR(__xludf.DUMMYFUNCTION("""COMPUTED_VALUE"""),"20040211PATMP")</f>
        <v>20040211PATMP</v>
      </c>
      <c r="C1802" s="8" t="str">
        <f ca="1">IFERROR(__xludf.DUMMYFUNCTION("""COMPUTED_VALUE"""),"Fatal")</f>
        <v>Fatal</v>
      </c>
      <c r="D1802" s="8" t="str">
        <f ca="1">IFERROR(__xludf.DUMMYFUNCTION("""COMPUTED_VALUE"""),"Male")</f>
        <v>Male</v>
      </c>
      <c r="E1802" s="8" t="str">
        <f ca="1">IFERROR(__xludf.DUMMYFUNCTION("""COMPUTED_VALUE"""),"Student")</f>
        <v>Student</v>
      </c>
      <c r="F1802" s="8">
        <f ca="1">IFERROR(__xludf.DUMMYFUNCTION("""COMPUTED_VALUE"""),10)</f>
        <v>10</v>
      </c>
    </row>
    <row r="1803" spans="1:6" ht="12.75">
      <c r="A1803" s="4">
        <v>1802</v>
      </c>
      <c r="B1803" s="8" t="str">
        <f ca="1">IFERROR(__xludf.DUMMYFUNCTION("""COMPUTED_VALUE"""),"20040211PATMP")</f>
        <v>20040211PATMP</v>
      </c>
      <c r="C1803" s="8" t="str">
        <f ca="1">IFERROR(__xludf.DUMMYFUNCTION("""COMPUTED_VALUE"""),"Wounded")</f>
        <v>Wounded</v>
      </c>
      <c r="D1803" s="8" t="str">
        <f ca="1">IFERROR(__xludf.DUMMYFUNCTION("""COMPUTED_VALUE"""),"Female")</f>
        <v>Female</v>
      </c>
      <c r="E1803" s="8" t="str">
        <f ca="1">IFERROR(__xludf.DUMMYFUNCTION("""COMPUTED_VALUE"""),"Teacher")</f>
        <v>Teacher</v>
      </c>
      <c r="F1803" s="8" t="str">
        <f ca="1">IFERROR(__xludf.DUMMYFUNCTION("""COMPUTED_VALUE"""),"Adult")</f>
        <v>Adult</v>
      </c>
    </row>
    <row r="1804" spans="1:6" ht="12.75">
      <c r="A1804" s="4">
        <v>1803</v>
      </c>
      <c r="B1804" s="8" t="str">
        <f ca="1">IFERROR(__xludf.DUMMYFUNCTION("""COMPUTED_VALUE"""),"20040209NYCOE")</f>
        <v>20040209NYCOE</v>
      </c>
      <c r="C1804" s="8" t="str">
        <f ca="1">IFERROR(__xludf.DUMMYFUNCTION("""COMPUTED_VALUE"""),"Wounded")</f>
        <v>Wounded</v>
      </c>
      <c r="D1804" s="8" t="str">
        <f ca="1">IFERROR(__xludf.DUMMYFUNCTION("""COMPUTED_VALUE"""),"Male")</f>
        <v>Male</v>
      </c>
      <c r="E1804" s="8" t="str">
        <f ca="1">IFERROR(__xludf.DUMMYFUNCTION("""COMPUTED_VALUE"""),"Teacher")</f>
        <v>Teacher</v>
      </c>
      <c r="F1804" s="8" t="str">
        <f ca="1">IFERROR(__xludf.DUMMYFUNCTION("""COMPUTED_VALUE"""),"Adult")</f>
        <v>Adult</v>
      </c>
    </row>
    <row r="1805" spans="1:6" ht="12.75">
      <c r="A1805" s="4">
        <v>1804</v>
      </c>
      <c r="B1805" s="8" t="str">
        <f ca="1">IFERROR(__xludf.DUMMYFUNCTION("""COMPUTED_VALUE"""),"20040206LAFAS")</f>
        <v>20040206LAFAS</v>
      </c>
      <c r="C1805" s="8" t="str">
        <f ca="1">IFERROR(__xludf.DUMMYFUNCTION("""COMPUTED_VALUE"""),"None")</f>
        <v>None</v>
      </c>
      <c r="D1805" s="8"/>
      <c r="E1805" s="8"/>
      <c r="F1805" s="8"/>
    </row>
    <row r="1806" spans="1:6" ht="12.75">
      <c r="A1806" s="4">
        <v>1805</v>
      </c>
      <c r="B1806" s="8" t="str">
        <f ca="1">IFERROR(__xludf.DUMMYFUNCTION("""COMPUTED_VALUE"""),"20040203TXYOH")</f>
        <v>20040203TXYOH</v>
      </c>
      <c r="C1806" s="8" t="str">
        <f ca="1">IFERROR(__xludf.DUMMYFUNCTION("""COMPUTED_VALUE"""),"None")</f>
        <v>None</v>
      </c>
      <c r="D1806" s="8" t="str">
        <f ca="1">IFERROR(__xludf.DUMMYFUNCTION("""COMPUTED_VALUE"""),"Male")</f>
        <v>Male</v>
      </c>
      <c r="E1806" s="8" t="str">
        <f ca="1">IFERROR(__xludf.DUMMYFUNCTION("""COMPUTED_VALUE"""),"Student")</f>
        <v>Student</v>
      </c>
      <c r="F1806" s="8">
        <f ca="1">IFERROR(__xludf.DUMMYFUNCTION("""COMPUTED_VALUE"""),12)</f>
        <v>12</v>
      </c>
    </row>
    <row r="1807" spans="1:6" ht="12.75">
      <c r="A1807" s="4">
        <v>1806</v>
      </c>
      <c r="B1807" s="8" t="str">
        <f ca="1">IFERROR(__xludf.DUMMYFUNCTION("""COMPUTED_VALUE"""),"20040202DCBAW")</f>
        <v>20040202DCBAW</v>
      </c>
      <c r="C1807" s="8" t="str">
        <f ca="1">IFERROR(__xludf.DUMMYFUNCTION("""COMPUTED_VALUE"""),"Fatal")</f>
        <v>Fatal</v>
      </c>
      <c r="D1807" s="8" t="str">
        <f ca="1">IFERROR(__xludf.DUMMYFUNCTION("""COMPUTED_VALUE"""),"Male")</f>
        <v>Male</v>
      </c>
      <c r="E1807" s="8" t="str">
        <f ca="1">IFERROR(__xludf.DUMMYFUNCTION("""COMPUTED_VALUE"""),"Student")</f>
        <v>Student</v>
      </c>
      <c r="F1807" s="8">
        <f ca="1">IFERROR(__xludf.DUMMYFUNCTION("""COMPUTED_VALUE"""),17)</f>
        <v>17</v>
      </c>
    </row>
    <row r="1808" spans="1:6" ht="12.75">
      <c r="A1808" s="4">
        <v>1807</v>
      </c>
      <c r="B1808" s="8" t="str">
        <f ca="1">IFERROR(__xludf.DUMMYFUNCTION("""COMPUTED_VALUE"""),"20040121NVFAH")</f>
        <v>20040121NVFAH</v>
      </c>
      <c r="C1808" s="8" t="str">
        <f ca="1">IFERROR(__xludf.DUMMYFUNCTION("""COMPUTED_VALUE"""),"Fatal")</f>
        <v>Fatal</v>
      </c>
      <c r="D1808" s="8" t="str">
        <f ca="1">IFERROR(__xludf.DUMMYFUNCTION("""COMPUTED_VALUE"""),"Male")</f>
        <v>Male</v>
      </c>
      <c r="E1808" s="8" t="str">
        <f ca="1">IFERROR(__xludf.DUMMYFUNCTION("""COMPUTED_VALUE"""),"Intimate Relationship")</f>
        <v>Intimate Relationship</v>
      </c>
      <c r="F1808" s="8" t="str">
        <f ca="1">IFERROR(__xludf.DUMMYFUNCTION("""COMPUTED_VALUE"""),"Adult")</f>
        <v>Adult</v>
      </c>
    </row>
    <row r="1809" spans="1:6" ht="12.75">
      <c r="A1809" s="4">
        <v>1808</v>
      </c>
      <c r="B1809" s="8" t="str">
        <f ca="1">IFERROR(__xludf.DUMMYFUNCTION("""COMPUTED_VALUE"""),"20040115CAPOP")</f>
        <v>20040115CAPOP</v>
      </c>
      <c r="C1809" s="8" t="str">
        <f ca="1">IFERROR(__xludf.DUMMYFUNCTION("""COMPUTED_VALUE"""),"Wounded")</f>
        <v>Wounded</v>
      </c>
      <c r="D1809" s="8" t="str">
        <f ca="1">IFERROR(__xludf.DUMMYFUNCTION("""COMPUTED_VALUE"""),"Female")</f>
        <v>Female</v>
      </c>
      <c r="E1809" s="8" t="str">
        <f ca="1">IFERROR(__xludf.DUMMYFUNCTION("""COMPUTED_VALUE"""),"Student")</f>
        <v>Student</v>
      </c>
      <c r="F1809" s="8">
        <f ca="1">IFERROR(__xludf.DUMMYFUNCTION("""COMPUTED_VALUE"""),16)</f>
        <v>16</v>
      </c>
    </row>
    <row r="1810" spans="1:6" ht="12.75">
      <c r="A1810" s="4">
        <v>1809</v>
      </c>
      <c r="B1810" s="8" t="str">
        <f ca="1">IFERROR(__xludf.DUMMYFUNCTION("""COMPUTED_VALUE"""),"20031229FLABE")</f>
        <v>20031229FLABE</v>
      </c>
      <c r="C1810" s="8" t="str">
        <f ca="1">IFERROR(__xludf.DUMMYFUNCTION("""COMPUTED_VALUE"""),"Wounded")</f>
        <v>Wounded</v>
      </c>
      <c r="D1810" s="8" t="str">
        <f ca="1">IFERROR(__xludf.DUMMYFUNCTION("""COMPUTED_VALUE"""),"Male")</f>
        <v>Male</v>
      </c>
      <c r="E1810" s="8" t="str">
        <f ca="1">IFERROR(__xludf.DUMMYFUNCTION("""COMPUTED_VALUE"""),"No Relation")</f>
        <v>No Relation</v>
      </c>
      <c r="F1810" s="8">
        <f ca="1">IFERROR(__xludf.DUMMYFUNCTION("""COMPUTED_VALUE"""),16)</f>
        <v>16</v>
      </c>
    </row>
    <row r="1811" spans="1:6" ht="12.75">
      <c r="A1811" s="4">
        <v>1810</v>
      </c>
      <c r="B1811" s="8" t="str">
        <f ca="1">IFERROR(__xludf.DUMMYFUNCTION("""COMPUTED_VALUE"""),"20031229FLABE")</f>
        <v>20031229FLABE</v>
      </c>
      <c r="C1811" s="8" t="str">
        <f ca="1">IFERROR(__xludf.DUMMYFUNCTION("""COMPUTED_VALUE"""),"Fatal")</f>
        <v>Fatal</v>
      </c>
      <c r="D1811" s="8" t="str">
        <f ca="1">IFERROR(__xludf.DUMMYFUNCTION("""COMPUTED_VALUE"""),"Male")</f>
        <v>Male</v>
      </c>
      <c r="E1811" s="8" t="str">
        <f ca="1">IFERROR(__xludf.DUMMYFUNCTION("""COMPUTED_VALUE"""),"No Relation")</f>
        <v>No Relation</v>
      </c>
      <c r="F1811" s="8">
        <f ca="1">IFERROR(__xludf.DUMMYFUNCTION("""COMPUTED_VALUE"""),19)</f>
        <v>19</v>
      </c>
    </row>
    <row r="1812" spans="1:6" ht="12.75">
      <c r="A1812" s="4">
        <v>1811</v>
      </c>
      <c r="B1812" s="8" t="str">
        <f ca="1">IFERROR(__xludf.DUMMYFUNCTION("""COMPUTED_VALUE"""),"20031222NJCOW")</f>
        <v>20031222NJCOW</v>
      </c>
      <c r="C1812" s="8" t="str">
        <f ca="1">IFERROR(__xludf.DUMMYFUNCTION("""COMPUTED_VALUE"""),"Wounded")</f>
        <v>Wounded</v>
      </c>
      <c r="D1812" s="8" t="str">
        <f ca="1">IFERROR(__xludf.DUMMYFUNCTION("""COMPUTED_VALUE"""),"Male")</f>
        <v>Male</v>
      </c>
      <c r="E1812" s="8" t="str">
        <f ca="1">IFERROR(__xludf.DUMMYFUNCTION("""COMPUTED_VALUE"""),"Student")</f>
        <v>Student</v>
      </c>
      <c r="F1812" s="8">
        <f ca="1">IFERROR(__xludf.DUMMYFUNCTION("""COMPUTED_VALUE"""),18)</f>
        <v>18</v>
      </c>
    </row>
    <row r="1813" spans="1:6" ht="12.75">
      <c r="A1813" s="4">
        <v>1812</v>
      </c>
      <c r="B1813" s="8" t="str">
        <f ca="1">IFERROR(__xludf.DUMMYFUNCTION("""COMPUTED_VALUE"""),"20031217MDOLM")</f>
        <v>20031217MDOLM</v>
      </c>
      <c r="C1813" s="8" t="str">
        <f ca="1">IFERROR(__xludf.DUMMYFUNCTION("""COMPUTED_VALUE"""),"None")</f>
        <v>None</v>
      </c>
      <c r="D1813" s="8"/>
      <c r="E1813" s="8"/>
      <c r="F1813" s="8"/>
    </row>
    <row r="1814" spans="1:6" ht="12.75">
      <c r="A1814" s="4">
        <v>1813</v>
      </c>
      <c r="B1814" s="8" t="str">
        <f ca="1">IFERROR(__xludf.DUMMYFUNCTION("""COMPUTED_VALUE"""),"20031205ILCAC")</f>
        <v>20031205ILCAC</v>
      </c>
      <c r="C1814" s="8" t="str">
        <f ca="1">IFERROR(__xludf.DUMMYFUNCTION("""COMPUTED_VALUE"""),"Wounded")</f>
        <v>Wounded</v>
      </c>
      <c r="D1814" s="8" t="str">
        <f ca="1">IFERROR(__xludf.DUMMYFUNCTION("""COMPUTED_VALUE"""),"Male")</f>
        <v>Male</v>
      </c>
      <c r="E1814" s="8" t="str">
        <f ca="1">IFERROR(__xludf.DUMMYFUNCTION("""COMPUTED_VALUE"""),"Other Staff")</f>
        <v>Other Staff</v>
      </c>
      <c r="F1814" s="8">
        <f ca="1">IFERROR(__xludf.DUMMYFUNCTION("""COMPUTED_VALUE"""),33)</f>
        <v>33</v>
      </c>
    </row>
    <row r="1815" spans="1:6" ht="12.75">
      <c r="A1815" s="4">
        <v>1814</v>
      </c>
      <c r="B1815" s="8" t="str">
        <f ca="1">IFERROR(__xludf.DUMMYFUNCTION("""COMPUTED_VALUE"""),"20031204OKDOO")</f>
        <v>20031204OKDOO</v>
      </c>
      <c r="C1815" s="8" t="str">
        <f ca="1">IFERROR(__xludf.DUMMYFUNCTION("""COMPUTED_VALUE"""),"Wounded")</f>
        <v>Wounded</v>
      </c>
      <c r="D1815" s="8" t="str">
        <f ca="1">IFERROR(__xludf.DUMMYFUNCTION("""COMPUTED_VALUE"""),"Female")</f>
        <v>Female</v>
      </c>
      <c r="E1815" s="8" t="str">
        <f ca="1">IFERROR(__xludf.DUMMYFUNCTION("""COMPUTED_VALUE"""),"Student")</f>
        <v>Student</v>
      </c>
      <c r="F1815" s="8">
        <f ca="1">IFERROR(__xludf.DUMMYFUNCTION("""COMPUTED_VALUE"""),17)</f>
        <v>17</v>
      </c>
    </row>
    <row r="1816" spans="1:6" ht="12.75">
      <c r="A1816" s="4">
        <v>1815</v>
      </c>
      <c r="B1816" s="8" t="str">
        <f ca="1">IFERROR(__xludf.DUMMYFUNCTION("""COMPUTED_VALUE"""),"20031202ILFEC")</f>
        <v>20031202ILFEC</v>
      </c>
      <c r="C1816" s="8" t="str">
        <f ca="1">IFERROR(__xludf.DUMMYFUNCTION("""COMPUTED_VALUE"""),"None")</f>
        <v>None</v>
      </c>
      <c r="D1816" s="8" t="str">
        <f ca="1">IFERROR(__xludf.DUMMYFUNCTION("""COMPUTED_VALUE"""),"Male")</f>
        <v>Male</v>
      </c>
      <c r="E1816" s="8" t="str">
        <f ca="1">IFERROR(__xludf.DUMMYFUNCTION("""COMPUTED_VALUE"""),"Unknown")</f>
        <v>Unknown</v>
      </c>
      <c r="F1816" s="8">
        <f ca="1">IFERROR(__xludf.DUMMYFUNCTION("""COMPUTED_VALUE"""),18)</f>
        <v>18</v>
      </c>
    </row>
    <row r="1817" spans="1:6" ht="12.75">
      <c r="A1817" s="4">
        <v>1816</v>
      </c>
      <c r="B1817" s="8" t="str">
        <f ca="1">IFERROR(__xludf.DUMMYFUNCTION("""COMPUTED_VALUE"""),"20031113NCEAC")</f>
        <v>20031113NCEAC</v>
      </c>
      <c r="C1817" s="8" t="str">
        <f ca="1">IFERROR(__xludf.DUMMYFUNCTION("""COMPUTED_VALUE"""),"Wounded")</f>
        <v>Wounded</v>
      </c>
      <c r="D1817" s="8" t="str">
        <f ca="1">IFERROR(__xludf.DUMMYFUNCTION("""COMPUTED_VALUE"""),"Male")</f>
        <v>Male</v>
      </c>
      <c r="E1817" s="8" t="str">
        <f ca="1">IFERROR(__xludf.DUMMYFUNCTION("""COMPUTED_VALUE"""),"Student")</f>
        <v>Student</v>
      </c>
      <c r="F1817" s="8" t="str">
        <f ca="1">IFERROR(__xludf.DUMMYFUNCTION("""COMPUTED_VALUE"""),"Teen")</f>
        <v>Teen</v>
      </c>
    </row>
    <row r="1818" spans="1:6" ht="12.75">
      <c r="A1818" s="4">
        <v>1817</v>
      </c>
      <c r="B1818" s="8" t="str">
        <f ca="1">IFERROR(__xludf.DUMMYFUNCTION("""COMPUTED_VALUE"""),"20031113NCEAC")</f>
        <v>20031113NCEAC</v>
      </c>
      <c r="C1818" s="8" t="str">
        <f ca="1">IFERROR(__xludf.DUMMYFUNCTION("""COMPUTED_VALUE"""),"Wounded")</f>
        <v>Wounded</v>
      </c>
      <c r="D1818" s="8" t="str">
        <f ca="1">IFERROR(__xludf.DUMMYFUNCTION("""COMPUTED_VALUE"""),"Male")</f>
        <v>Male</v>
      </c>
      <c r="E1818" s="8" t="str">
        <f ca="1">IFERROR(__xludf.DUMMYFUNCTION("""COMPUTED_VALUE"""),"Student")</f>
        <v>Student</v>
      </c>
      <c r="F1818" s="8" t="str">
        <f ca="1">IFERROR(__xludf.DUMMYFUNCTION("""COMPUTED_VALUE"""),"Teen")</f>
        <v>Teen</v>
      </c>
    </row>
    <row r="1819" spans="1:6" ht="12.75">
      <c r="A1819" s="4">
        <v>1818</v>
      </c>
      <c r="B1819" s="8" t="str">
        <f ca="1">IFERROR(__xludf.DUMMYFUNCTION("""COMPUTED_VALUE"""),"20031108TXHIS")</f>
        <v>20031108TXHIS</v>
      </c>
      <c r="C1819" s="8" t="str">
        <f ca="1">IFERROR(__xludf.DUMMYFUNCTION("""COMPUTED_VALUE"""),"Fatal")</f>
        <v>Fatal</v>
      </c>
      <c r="D1819" s="8" t="str">
        <f ca="1">IFERROR(__xludf.DUMMYFUNCTION("""COMPUTED_VALUE"""),"Female")</f>
        <v>Female</v>
      </c>
      <c r="E1819" s="8" t="str">
        <f ca="1">IFERROR(__xludf.DUMMYFUNCTION("""COMPUTED_VALUE"""),"Student")</f>
        <v>Student</v>
      </c>
      <c r="F1819" s="8">
        <f ca="1">IFERROR(__xludf.DUMMYFUNCTION("""COMPUTED_VALUE"""),17)</f>
        <v>17</v>
      </c>
    </row>
    <row r="1820" spans="1:6" ht="12.75">
      <c r="A1820" s="4">
        <v>1819</v>
      </c>
      <c r="B1820" s="8" t="str">
        <f ca="1">IFERROR(__xludf.DUMMYFUNCTION("""COMPUTED_VALUE"""),"20031030DCANW")</f>
        <v>20031030DCANW</v>
      </c>
      <c r="C1820" s="8" t="str">
        <f ca="1">IFERROR(__xludf.DUMMYFUNCTION("""COMPUTED_VALUE"""),"Fatal")</f>
        <v>Fatal</v>
      </c>
      <c r="D1820" s="8" t="str">
        <f ca="1">IFERROR(__xludf.DUMMYFUNCTION("""COMPUTED_VALUE"""),"Male")</f>
        <v>Male</v>
      </c>
      <c r="E1820" s="8" t="str">
        <f ca="1">IFERROR(__xludf.DUMMYFUNCTION("""COMPUTED_VALUE"""),"Student")</f>
        <v>Student</v>
      </c>
      <c r="F1820" s="8">
        <f ca="1">IFERROR(__xludf.DUMMYFUNCTION("""COMPUTED_VALUE"""),16)</f>
        <v>16</v>
      </c>
    </row>
    <row r="1821" spans="1:6" ht="12.75">
      <c r="A1821" s="4">
        <v>1820</v>
      </c>
      <c r="B1821" s="8" t="str">
        <f ca="1">IFERROR(__xludf.DUMMYFUNCTION("""COMPUTED_VALUE"""),"20031030DCANW")</f>
        <v>20031030DCANW</v>
      </c>
      <c r="C1821" s="8" t="str">
        <f ca="1">IFERROR(__xludf.DUMMYFUNCTION("""COMPUTED_VALUE"""),"Wounded")</f>
        <v>Wounded</v>
      </c>
      <c r="D1821" s="8" t="str">
        <f ca="1">IFERROR(__xludf.DUMMYFUNCTION("""COMPUTED_VALUE"""),"Female")</f>
        <v>Female</v>
      </c>
      <c r="E1821" s="8" t="str">
        <f ca="1">IFERROR(__xludf.DUMMYFUNCTION("""COMPUTED_VALUE"""),"Student")</f>
        <v>Student</v>
      </c>
      <c r="F1821" s="8">
        <f ca="1">IFERROR(__xludf.DUMMYFUNCTION("""COMPUTED_VALUE"""),15)</f>
        <v>15</v>
      </c>
    </row>
    <row r="1822" spans="1:6" ht="12.75">
      <c r="A1822" s="4">
        <v>1821</v>
      </c>
      <c r="B1822" s="8" t="str">
        <f ca="1">IFERROR(__xludf.DUMMYFUNCTION("""COMPUTED_VALUE"""),"20031029LAMAM")</f>
        <v>20031029LAMAM</v>
      </c>
      <c r="C1822" s="8" t="str">
        <f ca="1">IFERROR(__xludf.DUMMYFUNCTION("""COMPUTED_VALUE"""),"None")</f>
        <v>None</v>
      </c>
      <c r="D1822" s="8" t="str">
        <f ca="1">IFERROR(__xludf.DUMMYFUNCTION("""COMPUTED_VALUE"""),"Male")</f>
        <v>Male</v>
      </c>
      <c r="E1822" s="8" t="str">
        <f ca="1">IFERROR(__xludf.DUMMYFUNCTION("""COMPUTED_VALUE"""),"Student")</f>
        <v>Student</v>
      </c>
      <c r="F1822" s="8">
        <f ca="1">IFERROR(__xludf.DUMMYFUNCTION("""COMPUTED_VALUE"""),12)</f>
        <v>12</v>
      </c>
    </row>
    <row r="1823" spans="1:6" ht="12.75">
      <c r="A1823" s="4">
        <v>1822</v>
      </c>
      <c r="B1823" s="8" t="str">
        <f ca="1">IFERROR(__xludf.DUMMYFUNCTION("""COMPUTED_VALUE"""),"20031007OHKEA")</f>
        <v>20031007OHKEA</v>
      </c>
      <c r="C1823" s="8" t="str">
        <f ca="1">IFERROR(__xludf.DUMMYFUNCTION("""COMPUTED_VALUE"""),"Wounded")</f>
        <v>Wounded</v>
      </c>
      <c r="D1823" s="8" t="str">
        <f ca="1">IFERROR(__xludf.DUMMYFUNCTION("""COMPUTED_VALUE"""),"Male")</f>
        <v>Male</v>
      </c>
      <c r="E1823" s="8" t="str">
        <f ca="1">IFERROR(__xludf.DUMMYFUNCTION("""COMPUTED_VALUE"""),"Student")</f>
        <v>Student</v>
      </c>
      <c r="F1823" s="8">
        <f ca="1">IFERROR(__xludf.DUMMYFUNCTION("""COMPUTED_VALUE"""),17)</f>
        <v>17</v>
      </c>
    </row>
    <row r="1824" spans="1:6" ht="12.75">
      <c r="A1824" s="4">
        <v>1823</v>
      </c>
      <c r="B1824" s="8" t="str">
        <f ca="1">IFERROR(__xludf.DUMMYFUNCTION("""COMPUTED_VALUE"""),"20031001CARIS")</f>
        <v>20031001CARIS</v>
      </c>
      <c r="C1824" s="8" t="str">
        <f ca="1">IFERROR(__xludf.DUMMYFUNCTION("""COMPUTED_VALUE"""),"Wounded")</f>
        <v>Wounded</v>
      </c>
      <c r="D1824" s="8" t="str">
        <f ca="1">IFERROR(__xludf.DUMMYFUNCTION("""COMPUTED_VALUE"""),"Male")</f>
        <v>Male</v>
      </c>
      <c r="E1824" s="8" t="str">
        <f ca="1">IFERROR(__xludf.DUMMYFUNCTION("""COMPUTED_VALUE"""),"Principal/Vice-Principal")</f>
        <v>Principal/Vice-Principal</v>
      </c>
      <c r="F1824" s="8" t="str">
        <f ca="1">IFERROR(__xludf.DUMMYFUNCTION("""COMPUTED_VALUE"""),"Adult")</f>
        <v>Adult</v>
      </c>
    </row>
    <row r="1825" spans="1:6" ht="12.75">
      <c r="A1825" s="4">
        <v>1824</v>
      </c>
      <c r="B1825" s="8" t="str">
        <f ca="1">IFERROR(__xludf.DUMMYFUNCTION("""COMPUTED_VALUE"""),"20030925NCBUL")</f>
        <v>20030925NCBUL</v>
      </c>
      <c r="C1825" s="8" t="str">
        <f ca="1">IFERROR(__xludf.DUMMYFUNCTION("""COMPUTED_VALUE"""),"None")</f>
        <v>None</v>
      </c>
      <c r="D1825" s="8"/>
      <c r="E1825" s="8"/>
      <c r="F1825" s="8"/>
    </row>
    <row r="1826" spans="1:6" ht="12.75">
      <c r="A1826" s="4">
        <v>1825</v>
      </c>
      <c r="B1826" s="8" t="str">
        <f ca="1">IFERROR(__xludf.DUMMYFUNCTION("""COMPUTED_VALUE"""),"20030924MNROC")</f>
        <v>20030924MNROC</v>
      </c>
      <c r="C1826" s="8" t="str">
        <f ca="1">IFERROR(__xludf.DUMMYFUNCTION("""COMPUTED_VALUE"""),"Fatal")</f>
        <v>Fatal</v>
      </c>
      <c r="D1826" s="8" t="str">
        <f ca="1">IFERROR(__xludf.DUMMYFUNCTION("""COMPUTED_VALUE"""),"Male")</f>
        <v>Male</v>
      </c>
      <c r="E1826" s="8" t="str">
        <f ca="1">IFERROR(__xludf.DUMMYFUNCTION("""COMPUTED_VALUE"""),"Student")</f>
        <v>Student</v>
      </c>
      <c r="F1826" s="8">
        <f ca="1">IFERROR(__xludf.DUMMYFUNCTION("""COMPUTED_VALUE"""),14)</f>
        <v>14</v>
      </c>
    </row>
    <row r="1827" spans="1:6" ht="12.75">
      <c r="A1827" s="4">
        <v>1826</v>
      </c>
      <c r="B1827" s="8" t="str">
        <f ca="1">IFERROR(__xludf.DUMMYFUNCTION("""COMPUTED_VALUE"""),"20030924MNROC")</f>
        <v>20030924MNROC</v>
      </c>
      <c r="C1827" s="8" t="str">
        <f ca="1">IFERROR(__xludf.DUMMYFUNCTION("""COMPUTED_VALUE"""),"Fatal")</f>
        <v>Fatal</v>
      </c>
      <c r="D1827" s="8" t="str">
        <f ca="1">IFERROR(__xludf.DUMMYFUNCTION("""COMPUTED_VALUE"""),"Male")</f>
        <v>Male</v>
      </c>
      <c r="E1827" s="8" t="str">
        <f ca="1">IFERROR(__xludf.DUMMYFUNCTION("""COMPUTED_VALUE"""),"Student")</f>
        <v>Student</v>
      </c>
      <c r="F1827" s="8">
        <f ca="1">IFERROR(__xludf.DUMMYFUNCTION("""COMPUTED_VALUE"""),17)</f>
        <v>17</v>
      </c>
    </row>
    <row r="1828" spans="1:6" ht="12.75">
      <c r="A1828" s="4">
        <v>1827</v>
      </c>
      <c r="B1828" s="8" t="str">
        <f ca="1">IFERROR(__xludf.DUMMYFUNCTION("""COMPUTED_VALUE"""),"20030922WALES")</f>
        <v>20030922WALES</v>
      </c>
      <c r="C1828" s="8" t="str">
        <f ca="1">IFERROR(__xludf.DUMMYFUNCTION("""COMPUTED_VALUE"""),"Wounded")</f>
        <v>Wounded</v>
      </c>
      <c r="D1828" s="8" t="str">
        <f ca="1">IFERROR(__xludf.DUMMYFUNCTION("""COMPUTED_VALUE"""),"Male")</f>
        <v>Male</v>
      </c>
      <c r="E1828" s="8" t="str">
        <f ca="1">IFERROR(__xludf.DUMMYFUNCTION("""COMPUTED_VALUE"""),"Student")</f>
        <v>Student</v>
      </c>
      <c r="F1828" s="8">
        <f ca="1">IFERROR(__xludf.DUMMYFUNCTION("""COMPUTED_VALUE"""),17)</f>
        <v>17</v>
      </c>
    </row>
    <row r="1829" spans="1:6" ht="12.75">
      <c r="A1829" s="4">
        <v>1828</v>
      </c>
      <c r="B1829" s="8" t="str">
        <f ca="1">IFERROR(__xludf.DUMMYFUNCTION("""COMPUTED_VALUE"""),"20030917MDOKE")</f>
        <v>20030917MDOKE</v>
      </c>
      <c r="C1829" s="8" t="str">
        <f ca="1">IFERROR(__xludf.DUMMYFUNCTION("""COMPUTED_VALUE"""),"None")</f>
        <v>None</v>
      </c>
      <c r="D1829" s="8"/>
      <c r="E1829" s="8"/>
      <c r="F1829" s="8"/>
    </row>
    <row r="1830" spans="1:6" ht="12.75">
      <c r="A1830" s="4">
        <v>1829</v>
      </c>
      <c r="B1830" s="8" t="str">
        <f ca="1">IFERROR(__xludf.DUMMYFUNCTION("""COMPUTED_VALUE"""),"20030917MACHB")</f>
        <v>20030917MACHB</v>
      </c>
      <c r="C1830" s="8" t="str">
        <f ca="1">IFERROR(__xludf.DUMMYFUNCTION("""COMPUTED_VALUE"""),"Wounded")</f>
        <v>Wounded</v>
      </c>
      <c r="D1830" s="8" t="str">
        <f ca="1">IFERROR(__xludf.DUMMYFUNCTION("""COMPUTED_VALUE"""),"Male")</f>
        <v>Male</v>
      </c>
      <c r="E1830" s="8" t="str">
        <f ca="1">IFERROR(__xludf.DUMMYFUNCTION("""COMPUTED_VALUE"""),"Student")</f>
        <v>Student</v>
      </c>
      <c r="F1830" s="8">
        <f ca="1">IFERROR(__xludf.DUMMYFUNCTION("""COMPUTED_VALUE"""),15)</f>
        <v>15</v>
      </c>
    </row>
    <row r="1831" spans="1:6" ht="12.75">
      <c r="A1831" s="4">
        <v>1830</v>
      </c>
      <c r="B1831" s="8" t="str">
        <f ca="1">IFERROR(__xludf.DUMMYFUNCTION("""COMPUTED_VALUE"""),"20030917MACHB")</f>
        <v>20030917MACHB</v>
      </c>
      <c r="C1831" s="8" t="str">
        <f ca="1">IFERROR(__xludf.DUMMYFUNCTION("""COMPUTED_VALUE"""),"Wounded")</f>
        <v>Wounded</v>
      </c>
      <c r="D1831" s="8" t="str">
        <f ca="1">IFERROR(__xludf.DUMMYFUNCTION("""COMPUTED_VALUE"""),"Male")</f>
        <v>Male</v>
      </c>
      <c r="E1831" s="8" t="str">
        <f ca="1">IFERROR(__xludf.DUMMYFUNCTION("""COMPUTED_VALUE"""),"Police Officer/SRO")</f>
        <v>Police Officer/SRO</v>
      </c>
      <c r="F1831" s="8" t="str">
        <f ca="1">IFERROR(__xludf.DUMMYFUNCTION("""COMPUTED_VALUE"""),"Adult")</f>
        <v>Adult</v>
      </c>
    </row>
    <row r="1832" spans="1:6" ht="12.75">
      <c r="A1832" s="4">
        <v>1831</v>
      </c>
      <c r="B1832" s="8" t="str">
        <f ca="1">IFERROR(__xludf.DUMMYFUNCTION("""COMPUTED_VALUE"""),"20030910MSVIV")</f>
        <v>20030910MSVIV</v>
      </c>
      <c r="C1832" s="8" t="str">
        <f ca="1">IFERROR(__xludf.DUMMYFUNCTION("""COMPUTED_VALUE"""),"Fatal")</f>
        <v>Fatal</v>
      </c>
      <c r="D1832" s="8" t="str">
        <f ca="1">IFERROR(__xludf.DUMMYFUNCTION("""COMPUTED_VALUE"""),"Male")</f>
        <v>Male</v>
      </c>
      <c r="E1832" s="8"/>
      <c r="F1832" s="8">
        <f ca="1">IFERROR(__xludf.DUMMYFUNCTION("""COMPUTED_VALUE"""),20)</f>
        <v>20</v>
      </c>
    </row>
    <row r="1833" spans="1:6" ht="12.75">
      <c r="A1833" s="4">
        <v>1832</v>
      </c>
      <c r="B1833" s="8" t="str">
        <f ca="1">IFERROR(__xludf.DUMMYFUNCTION("""COMPUTED_VALUE"""),"20030604PAROW")</f>
        <v>20030604PAROW</v>
      </c>
      <c r="C1833" s="8" t="str">
        <f ca="1">IFERROR(__xludf.DUMMYFUNCTION("""COMPUTED_VALUE"""),"None")</f>
        <v>None</v>
      </c>
      <c r="D1833" s="8" t="str">
        <f ca="1">IFERROR(__xludf.DUMMYFUNCTION("""COMPUTED_VALUE"""),"Male")</f>
        <v>Male</v>
      </c>
      <c r="E1833" s="8" t="str">
        <f ca="1">IFERROR(__xludf.DUMMYFUNCTION("""COMPUTED_VALUE"""),"Student")</f>
        <v>Student</v>
      </c>
      <c r="F1833" s="8">
        <f ca="1">IFERROR(__xludf.DUMMYFUNCTION("""COMPUTED_VALUE"""),12)</f>
        <v>12</v>
      </c>
    </row>
    <row r="1834" spans="1:6" ht="12.75">
      <c r="A1834" s="4">
        <v>1833</v>
      </c>
      <c r="B1834" s="8" t="str">
        <f ca="1">IFERROR(__xludf.DUMMYFUNCTION("""COMPUTED_VALUE"""),"20030513PAFOJ")</f>
        <v>20030513PAFOJ</v>
      </c>
      <c r="C1834" s="8" t="str">
        <f ca="1">IFERROR(__xludf.DUMMYFUNCTION("""COMPUTED_VALUE"""),"None")</f>
        <v>None</v>
      </c>
      <c r="D1834" s="8" t="str">
        <f ca="1">IFERROR(__xludf.DUMMYFUNCTION("""COMPUTED_VALUE"""),"Male")</f>
        <v>Male</v>
      </c>
      <c r="E1834" s="8" t="str">
        <f ca="1">IFERROR(__xludf.DUMMYFUNCTION("""COMPUTED_VALUE"""),"Student")</f>
        <v>Student</v>
      </c>
      <c r="F1834" s="8">
        <f ca="1">IFERROR(__xludf.DUMMYFUNCTION("""COMPUTED_VALUE"""),18)</f>
        <v>18</v>
      </c>
    </row>
    <row r="1835" spans="1:6" ht="12.75">
      <c r="A1835" s="4">
        <v>1834</v>
      </c>
      <c r="B1835" s="8" t="str">
        <f ca="1">IFERROR(__xludf.DUMMYFUNCTION("""COMPUTED_VALUE"""),"20030424PARER")</f>
        <v>20030424PARER</v>
      </c>
      <c r="C1835" s="8" t="str">
        <f ca="1">IFERROR(__xludf.DUMMYFUNCTION("""COMPUTED_VALUE"""),"Fatal")</f>
        <v>Fatal</v>
      </c>
      <c r="D1835" s="8" t="str">
        <f ca="1">IFERROR(__xludf.DUMMYFUNCTION("""COMPUTED_VALUE"""),"Male")</f>
        <v>Male</v>
      </c>
      <c r="E1835" s="8" t="str">
        <f ca="1">IFERROR(__xludf.DUMMYFUNCTION("""COMPUTED_VALUE"""),"Principal/Vice-Principal")</f>
        <v>Principal/Vice-Principal</v>
      </c>
      <c r="F1835" s="8" t="str">
        <f ca="1">IFERROR(__xludf.DUMMYFUNCTION("""COMPUTED_VALUE"""),"Adult")</f>
        <v>Adult</v>
      </c>
    </row>
    <row r="1836" spans="1:6" ht="12.75">
      <c r="A1836" s="4">
        <v>1835</v>
      </c>
      <c r="B1836" s="8" t="str">
        <f ca="1">IFERROR(__xludf.DUMMYFUNCTION("""COMPUTED_VALUE"""),"20030416TXGRA")</f>
        <v>20030416TXGRA</v>
      </c>
      <c r="C1836" s="8" t="str">
        <f ca="1">IFERROR(__xludf.DUMMYFUNCTION("""COMPUTED_VALUE"""),"None")</f>
        <v>None</v>
      </c>
      <c r="D1836" s="8" t="str">
        <f ca="1">IFERROR(__xludf.DUMMYFUNCTION("""COMPUTED_VALUE"""),"Female")</f>
        <v>Female</v>
      </c>
      <c r="E1836" s="8" t="str">
        <f ca="1">IFERROR(__xludf.DUMMYFUNCTION("""COMPUTED_VALUE"""),"Student")</f>
        <v>Student</v>
      </c>
      <c r="F1836" s="8">
        <f ca="1">IFERROR(__xludf.DUMMYFUNCTION("""COMPUTED_VALUE"""),12)</f>
        <v>12</v>
      </c>
    </row>
    <row r="1837" spans="1:6" ht="12.75">
      <c r="A1837" s="4">
        <v>1836</v>
      </c>
      <c r="B1837" s="8" t="str">
        <f ca="1">IFERROR(__xludf.DUMMYFUNCTION("""COMPUTED_VALUE"""),"20030414LAJON")</f>
        <v>20030414LAJON</v>
      </c>
      <c r="C1837" s="8" t="str">
        <f ca="1">IFERROR(__xludf.DUMMYFUNCTION("""COMPUTED_VALUE"""),"Wounded")</f>
        <v>Wounded</v>
      </c>
      <c r="D1837" s="8" t="str">
        <f ca="1">IFERROR(__xludf.DUMMYFUNCTION("""COMPUTED_VALUE"""),"Male")</f>
        <v>Male</v>
      </c>
      <c r="E1837" s="8" t="str">
        <f ca="1">IFERROR(__xludf.DUMMYFUNCTION("""COMPUTED_VALUE"""),"Student")</f>
        <v>Student</v>
      </c>
      <c r="F1837" s="8">
        <f ca="1">IFERROR(__xludf.DUMMYFUNCTION("""COMPUTED_VALUE"""),18)</f>
        <v>18</v>
      </c>
    </row>
    <row r="1838" spans="1:6" ht="12.75">
      <c r="A1838" s="4">
        <v>1837</v>
      </c>
      <c r="B1838" s="8" t="str">
        <f ca="1">IFERROR(__xludf.DUMMYFUNCTION("""COMPUTED_VALUE"""),"20030414LAJON")</f>
        <v>20030414LAJON</v>
      </c>
      <c r="C1838" s="8" t="str">
        <f ca="1">IFERROR(__xludf.DUMMYFUNCTION("""COMPUTED_VALUE"""),"Wounded")</f>
        <v>Wounded</v>
      </c>
      <c r="D1838" s="8" t="str">
        <f ca="1">IFERROR(__xludf.DUMMYFUNCTION("""COMPUTED_VALUE"""),"Male")</f>
        <v>Male</v>
      </c>
      <c r="E1838" s="8" t="str">
        <f ca="1">IFERROR(__xludf.DUMMYFUNCTION("""COMPUTED_VALUE"""),"Student")</f>
        <v>Student</v>
      </c>
      <c r="F1838" s="8">
        <f ca="1">IFERROR(__xludf.DUMMYFUNCTION("""COMPUTED_VALUE"""),15)</f>
        <v>15</v>
      </c>
    </row>
    <row r="1839" spans="1:6" ht="12.75">
      <c r="A1839" s="4">
        <v>1838</v>
      </c>
      <c r="B1839" s="8" t="str">
        <f ca="1">IFERROR(__xludf.DUMMYFUNCTION("""COMPUTED_VALUE"""),"20030414LAJON")</f>
        <v>20030414LAJON</v>
      </c>
      <c r="C1839" s="8" t="str">
        <f ca="1">IFERROR(__xludf.DUMMYFUNCTION("""COMPUTED_VALUE"""),"Wounded")</f>
        <v>Wounded</v>
      </c>
      <c r="D1839" s="8" t="str">
        <f ca="1">IFERROR(__xludf.DUMMYFUNCTION("""COMPUTED_VALUE"""),"Male")</f>
        <v>Male</v>
      </c>
      <c r="E1839" s="8" t="str">
        <f ca="1">IFERROR(__xludf.DUMMYFUNCTION("""COMPUTED_VALUE"""),"Student")</f>
        <v>Student</v>
      </c>
      <c r="F1839" s="8">
        <f ca="1">IFERROR(__xludf.DUMMYFUNCTION("""COMPUTED_VALUE"""),18)</f>
        <v>18</v>
      </c>
    </row>
    <row r="1840" spans="1:6" ht="12.75">
      <c r="A1840" s="4">
        <v>1839</v>
      </c>
      <c r="B1840" s="8" t="str">
        <f ca="1">IFERROR(__xludf.DUMMYFUNCTION("""COMPUTED_VALUE"""),"20030414LAJON")</f>
        <v>20030414LAJON</v>
      </c>
      <c r="C1840" s="8" t="str">
        <f ca="1">IFERROR(__xludf.DUMMYFUNCTION("""COMPUTED_VALUE"""),"Fatal")</f>
        <v>Fatal</v>
      </c>
      <c r="D1840" s="8" t="str">
        <f ca="1">IFERROR(__xludf.DUMMYFUNCTION("""COMPUTED_VALUE"""),"Male")</f>
        <v>Male</v>
      </c>
      <c r="E1840" s="8" t="str">
        <f ca="1">IFERROR(__xludf.DUMMYFUNCTION("""COMPUTED_VALUE"""),"Student")</f>
        <v>Student</v>
      </c>
      <c r="F1840" s="8">
        <f ca="1">IFERROR(__xludf.DUMMYFUNCTION("""COMPUTED_VALUE"""),18)</f>
        <v>18</v>
      </c>
    </row>
    <row r="1841" spans="1:6" ht="12.75">
      <c r="A1841" s="4">
        <v>1840</v>
      </c>
      <c r="B1841" s="8" t="str">
        <f ca="1">IFERROR(__xludf.DUMMYFUNCTION("""COMPUTED_VALUE"""),"20030414LAJON")</f>
        <v>20030414LAJON</v>
      </c>
      <c r="C1841" s="8" t="str">
        <f ca="1">IFERROR(__xludf.DUMMYFUNCTION("""COMPUTED_VALUE"""),"Wounded")</f>
        <v>Wounded</v>
      </c>
      <c r="D1841" s="8" t="str">
        <f ca="1">IFERROR(__xludf.DUMMYFUNCTION("""COMPUTED_VALUE"""),"Female")</f>
        <v>Female</v>
      </c>
      <c r="E1841" s="8" t="str">
        <f ca="1">IFERROR(__xludf.DUMMYFUNCTION("""COMPUTED_VALUE"""),"Student")</f>
        <v>Student</v>
      </c>
      <c r="F1841" s="8">
        <f ca="1">IFERROR(__xludf.DUMMYFUNCTION("""COMPUTED_VALUE"""),16)</f>
        <v>16</v>
      </c>
    </row>
    <row r="1842" spans="1:6" ht="12.75">
      <c r="A1842" s="4">
        <v>1841</v>
      </c>
      <c r="B1842" s="8" t="str">
        <f ca="1">IFERROR(__xludf.DUMMYFUNCTION("""COMPUTED_VALUE"""),"20030414LAFAS")</f>
        <v>20030414LAFAS</v>
      </c>
      <c r="C1842" s="8" t="str">
        <f ca="1">IFERROR(__xludf.DUMMYFUNCTION("""COMPUTED_VALUE"""),"Wounded")</f>
        <v>Wounded</v>
      </c>
      <c r="D1842" s="8" t="str">
        <f ca="1">IFERROR(__xludf.DUMMYFUNCTION("""COMPUTED_VALUE"""),"Male")</f>
        <v>Male</v>
      </c>
      <c r="E1842" s="8" t="str">
        <f ca="1">IFERROR(__xludf.DUMMYFUNCTION("""COMPUTED_VALUE"""),"Student")</f>
        <v>Student</v>
      </c>
      <c r="F1842" s="8">
        <f ca="1">IFERROR(__xludf.DUMMYFUNCTION("""COMPUTED_VALUE"""),18)</f>
        <v>18</v>
      </c>
    </row>
    <row r="1843" spans="1:6" ht="12.75">
      <c r="A1843" s="4">
        <v>1842</v>
      </c>
      <c r="B1843" s="8" t="str">
        <f ca="1">IFERROR(__xludf.DUMMYFUNCTION("""COMPUTED_VALUE"""),"20030401DCCAW")</f>
        <v>20030401DCCAW</v>
      </c>
      <c r="C1843" s="8" t="str">
        <f ca="1">IFERROR(__xludf.DUMMYFUNCTION("""COMPUTED_VALUE"""),"Wounded")</f>
        <v>Wounded</v>
      </c>
      <c r="D1843" s="8" t="str">
        <f ca="1">IFERROR(__xludf.DUMMYFUNCTION("""COMPUTED_VALUE"""),"Male")</f>
        <v>Male</v>
      </c>
      <c r="E1843" s="8" t="str">
        <f ca="1">IFERROR(__xludf.DUMMYFUNCTION("""COMPUTED_VALUE"""),"Student")</f>
        <v>Student</v>
      </c>
      <c r="F1843" s="8">
        <f ca="1">IFERROR(__xludf.DUMMYFUNCTION("""COMPUTED_VALUE"""),16)</f>
        <v>16</v>
      </c>
    </row>
    <row r="1844" spans="1:6" ht="12.75">
      <c r="A1844" s="4">
        <v>1843</v>
      </c>
      <c r="B1844" s="8" t="str">
        <f ca="1">IFERROR(__xludf.DUMMYFUNCTION("""COMPUTED_VALUE"""),"20030330CAROW")</f>
        <v>20030330CAROW</v>
      </c>
      <c r="C1844" s="8" t="str">
        <f ca="1">IFERROR(__xludf.DUMMYFUNCTION("""COMPUTED_VALUE"""),"Fatal")</f>
        <v>Fatal</v>
      </c>
      <c r="D1844" s="8" t="str">
        <f ca="1">IFERROR(__xludf.DUMMYFUNCTION("""COMPUTED_VALUE"""),"Male")</f>
        <v>Male</v>
      </c>
      <c r="E1844" s="8" t="str">
        <f ca="1">IFERROR(__xludf.DUMMYFUNCTION("""COMPUTED_VALUE"""),"No Relation")</f>
        <v>No Relation</v>
      </c>
      <c r="F1844" s="8">
        <f ca="1">IFERROR(__xludf.DUMMYFUNCTION("""COMPUTED_VALUE"""),30)</f>
        <v>30</v>
      </c>
    </row>
    <row r="1845" spans="1:6" ht="12.75">
      <c r="A1845" s="4">
        <v>1844</v>
      </c>
      <c r="B1845" s="8" t="str">
        <f ca="1">IFERROR(__xludf.DUMMYFUNCTION("""COMPUTED_VALUE"""),"20030321MSNOM")</f>
        <v>20030321MSNOM</v>
      </c>
      <c r="C1845" s="8" t="str">
        <f ca="1">IFERROR(__xludf.DUMMYFUNCTION("""COMPUTED_VALUE"""),"None")</f>
        <v>None</v>
      </c>
      <c r="D1845" s="8" t="str">
        <f ca="1">IFERROR(__xludf.DUMMYFUNCTION("""COMPUTED_VALUE"""),"Male")</f>
        <v>Male</v>
      </c>
      <c r="E1845" s="8" t="str">
        <f ca="1">IFERROR(__xludf.DUMMYFUNCTION("""COMPUTED_VALUE"""),"Student")</f>
        <v>Student</v>
      </c>
      <c r="F1845" s="8">
        <f ca="1">IFERROR(__xludf.DUMMYFUNCTION("""COMPUTED_VALUE"""),15)</f>
        <v>15</v>
      </c>
    </row>
    <row r="1846" spans="1:6" ht="12.75">
      <c r="A1846" s="4">
        <v>1845</v>
      </c>
      <c r="B1846" s="8" t="str">
        <f ca="1">IFERROR(__xludf.DUMMYFUNCTION("""COMPUTED_VALUE"""),"20030318IACLG")</f>
        <v>20030318IACLG</v>
      </c>
      <c r="C1846" s="8" t="str">
        <f ca="1">IFERROR(__xludf.DUMMYFUNCTION("""COMPUTED_VALUE"""),"None")</f>
        <v>None</v>
      </c>
      <c r="D1846" s="8" t="str">
        <f ca="1">IFERROR(__xludf.DUMMYFUNCTION("""COMPUTED_VALUE"""),"Male")</f>
        <v>Male</v>
      </c>
      <c r="E1846" s="8" t="str">
        <f ca="1">IFERROR(__xludf.DUMMYFUNCTION("""COMPUTED_VALUE"""),"Student")</f>
        <v>Student</v>
      </c>
      <c r="F1846" s="8">
        <f ca="1">IFERROR(__xludf.DUMMYFUNCTION("""COMPUTED_VALUE"""),17)</f>
        <v>17</v>
      </c>
    </row>
    <row r="1847" spans="1:6" ht="12.75">
      <c r="A1847" s="4">
        <v>1846</v>
      </c>
      <c r="B1847" s="8" t="str">
        <f ca="1">IFERROR(__xludf.DUMMYFUNCTION("""COMPUTED_VALUE"""),"20030205CORAW")</f>
        <v>20030205CORAW</v>
      </c>
      <c r="C1847" s="8" t="str">
        <f ca="1">IFERROR(__xludf.DUMMYFUNCTION("""COMPUTED_VALUE"""),"None")</f>
        <v>None</v>
      </c>
      <c r="D1847" s="8" t="str">
        <f ca="1">IFERROR(__xludf.DUMMYFUNCTION("""COMPUTED_VALUE"""),"Male")</f>
        <v>Male</v>
      </c>
      <c r="E1847" s="8" t="str">
        <f ca="1">IFERROR(__xludf.DUMMYFUNCTION("""COMPUTED_VALUE"""),"Student")</f>
        <v>Student</v>
      </c>
      <c r="F1847" s="8">
        <f ca="1">IFERROR(__xludf.DUMMYFUNCTION("""COMPUTED_VALUE"""),14)</f>
        <v>14</v>
      </c>
    </row>
    <row r="1848" spans="1:6" ht="12.75">
      <c r="A1848" s="4">
        <v>1847</v>
      </c>
      <c r="B1848" s="8" t="str">
        <f ca="1">IFERROR(__xludf.DUMMYFUNCTION("""COMPUTED_VALUE"""),"20030130OKJEJ")</f>
        <v>20030130OKJEJ</v>
      </c>
      <c r="C1848" s="8" t="str">
        <f ca="1">IFERROR(__xludf.DUMMYFUNCTION("""COMPUTED_VALUE"""),"None")</f>
        <v>None</v>
      </c>
      <c r="D1848" s="8"/>
      <c r="E1848" s="8"/>
      <c r="F1848" s="8"/>
    </row>
    <row r="1849" spans="1:6" ht="12.75">
      <c r="A1849" s="4">
        <v>1848</v>
      </c>
      <c r="B1849" s="8" t="str">
        <f ca="1">IFERROR(__xludf.DUMMYFUNCTION("""COMPUTED_VALUE"""),"20030121KYWEO")</f>
        <v>20030121KYWEO</v>
      </c>
      <c r="C1849" s="8" t="str">
        <f ca="1">IFERROR(__xludf.DUMMYFUNCTION("""COMPUTED_VALUE"""),"None")</f>
        <v>None</v>
      </c>
      <c r="D1849" s="8" t="str">
        <f ca="1">IFERROR(__xludf.DUMMYFUNCTION("""COMPUTED_VALUE"""),"Male")</f>
        <v>Male</v>
      </c>
      <c r="E1849" s="8" t="str">
        <f ca="1">IFERROR(__xludf.DUMMYFUNCTION("""COMPUTED_VALUE"""),"Student")</f>
        <v>Student</v>
      </c>
      <c r="F1849" s="8" t="str">
        <f ca="1">IFERROR(__xludf.DUMMYFUNCTION("""COMPUTED_VALUE"""),"Child")</f>
        <v>Child</v>
      </c>
    </row>
    <row r="1850" spans="1:6" ht="12.75">
      <c r="A1850" s="4">
        <v>1849</v>
      </c>
      <c r="B1850" s="8" t="str">
        <f ca="1">IFERROR(__xludf.DUMMYFUNCTION("""COMPUTED_VALUE"""),"20021216ILENC")</f>
        <v>20021216ILENC</v>
      </c>
      <c r="C1850" s="8" t="str">
        <f ca="1">IFERROR(__xludf.DUMMYFUNCTION("""COMPUTED_VALUE"""),"Fatal")</f>
        <v>Fatal</v>
      </c>
      <c r="D1850" s="8" t="str">
        <f ca="1">IFERROR(__xludf.DUMMYFUNCTION("""COMPUTED_VALUE"""),"Male")</f>
        <v>Male</v>
      </c>
      <c r="E1850" s="8" t="str">
        <f ca="1">IFERROR(__xludf.DUMMYFUNCTION("""COMPUTED_VALUE"""),"Student")</f>
        <v>Student</v>
      </c>
      <c r="F1850" s="8">
        <f ca="1">IFERROR(__xludf.DUMMYFUNCTION("""COMPUTED_VALUE"""),18)</f>
        <v>18</v>
      </c>
    </row>
    <row r="1851" spans="1:6" ht="12.75">
      <c r="A1851" s="4">
        <v>1850</v>
      </c>
      <c r="B1851" s="8" t="str">
        <f ca="1">IFERROR(__xludf.DUMMYFUNCTION("""COMPUTED_VALUE"""),"20021216ILENC")</f>
        <v>20021216ILENC</v>
      </c>
      <c r="C1851" s="8" t="str">
        <f ca="1">IFERROR(__xludf.DUMMYFUNCTION("""COMPUTED_VALUE"""),"Wounded")</f>
        <v>Wounded</v>
      </c>
      <c r="D1851" s="8" t="str">
        <f ca="1">IFERROR(__xludf.DUMMYFUNCTION("""COMPUTED_VALUE"""),"Female")</f>
        <v>Female</v>
      </c>
      <c r="E1851" s="8" t="str">
        <f ca="1">IFERROR(__xludf.DUMMYFUNCTION("""COMPUTED_VALUE"""),"Student")</f>
        <v>Student</v>
      </c>
      <c r="F1851" s="8">
        <f ca="1">IFERROR(__xludf.DUMMYFUNCTION("""COMPUTED_VALUE"""),17)</f>
        <v>17</v>
      </c>
    </row>
    <row r="1852" spans="1:6" ht="12.75">
      <c r="A1852" s="4">
        <v>1851</v>
      </c>
      <c r="B1852" s="8" t="str">
        <f ca="1">IFERROR(__xludf.DUMMYFUNCTION("""COMPUTED_VALUE"""),"20021212WAWIC")</f>
        <v>20021212WAWIC</v>
      </c>
      <c r="C1852" s="8" t="str">
        <f ca="1">IFERROR(__xludf.DUMMYFUNCTION("""COMPUTED_VALUE"""),"Minor Injuries")</f>
        <v>Minor Injuries</v>
      </c>
      <c r="D1852" s="8" t="str">
        <f ca="1">IFERROR(__xludf.DUMMYFUNCTION("""COMPUTED_VALUE"""),"Male")</f>
        <v>Male</v>
      </c>
      <c r="E1852" s="8" t="str">
        <f ca="1">IFERROR(__xludf.DUMMYFUNCTION("""COMPUTED_VALUE"""),"Student")</f>
        <v>Student</v>
      </c>
      <c r="F1852" s="8" t="str">
        <f ca="1">IFERROR(__xludf.DUMMYFUNCTION("""COMPUTED_VALUE"""),"Teen")</f>
        <v>Teen</v>
      </c>
    </row>
    <row r="1853" spans="1:6" ht="12.75">
      <c r="A1853" s="4">
        <v>1852</v>
      </c>
      <c r="B1853" s="8" t="str">
        <f ca="1">IFERROR(__xludf.DUMMYFUNCTION("""COMPUTED_VALUE"""),"20021212WAWIC")</f>
        <v>20021212WAWIC</v>
      </c>
      <c r="C1853" s="8" t="str">
        <f ca="1">IFERROR(__xludf.DUMMYFUNCTION("""COMPUTED_VALUE"""),"Minor Injuries")</f>
        <v>Minor Injuries</v>
      </c>
      <c r="D1853" s="8" t="str">
        <f ca="1">IFERROR(__xludf.DUMMYFUNCTION("""COMPUTED_VALUE"""),"Female")</f>
        <v>Female</v>
      </c>
      <c r="E1853" s="8" t="str">
        <f ca="1">IFERROR(__xludf.DUMMYFUNCTION("""COMPUTED_VALUE"""),"Student")</f>
        <v>Student</v>
      </c>
      <c r="F1853" s="8" t="str">
        <f ca="1">IFERROR(__xludf.DUMMYFUNCTION("""COMPUTED_VALUE"""),"Teen")</f>
        <v>Teen</v>
      </c>
    </row>
    <row r="1854" spans="1:6" ht="12.75">
      <c r="A1854" s="4">
        <v>1853</v>
      </c>
      <c r="B1854" s="8" t="str">
        <f ca="1">IFERROR(__xludf.DUMMYFUNCTION("""COMPUTED_VALUE"""),"20021202MIOSD")</f>
        <v>20021202MIOSD</v>
      </c>
      <c r="C1854" s="8" t="str">
        <f ca="1">IFERROR(__xludf.DUMMYFUNCTION("""COMPUTED_VALUE"""),"None")</f>
        <v>None</v>
      </c>
      <c r="D1854" s="8" t="str">
        <f ca="1">IFERROR(__xludf.DUMMYFUNCTION("""COMPUTED_VALUE"""),"Male")</f>
        <v>Male</v>
      </c>
      <c r="E1854" s="8" t="str">
        <f ca="1">IFERROR(__xludf.DUMMYFUNCTION("""COMPUTED_VALUE"""),"Student")</f>
        <v>Student</v>
      </c>
      <c r="F1854" s="8">
        <f ca="1">IFERROR(__xludf.DUMMYFUNCTION("""COMPUTED_VALUE"""),15)</f>
        <v>15</v>
      </c>
    </row>
    <row r="1855" spans="1:6" ht="12.75">
      <c r="A1855" s="4">
        <v>1854</v>
      </c>
      <c r="B1855" s="8" t="str">
        <f ca="1">IFERROR(__xludf.DUMMYFUNCTION("""COMPUTED_VALUE"""),"20021115TXSCS")</f>
        <v>20021115TXSCS</v>
      </c>
      <c r="C1855" s="8" t="str">
        <f ca="1">IFERROR(__xludf.DUMMYFUNCTION("""COMPUTED_VALUE"""),"None")</f>
        <v>None</v>
      </c>
      <c r="D1855" s="8"/>
      <c r="E1855" s="8"/>
      <c r="F1855" s="8"/>
    </row>
    <row r="1856" spans="1:6" ht="12.75">
      <c r="A1856" s="4">
        <v>1855</v>
      </c>
      <c r="B1856" s="8" t="str">
        <f ca="1">IFERROR(__xludf.DUMMYFUNCTION("""COMPUTED_VALUE"""),"20021115CAAML")</f>
        <v>20021115CAAML</v>
      </c>
      <c r="C1856" s="8" t="str">
        <f ca="1">IFERROR(__xludf.DUMMYFUNCTION("""COMPUTED_VALUE"""),"Wounded")</f>
        <v>Wounded</v>
      </c>
      <c r="D1856" s="8" t="str">
        <f ca="1">IFERROR(__xludf.DUMMYFUNCTION("""COMPUTED_VALUE"""),"Male")</f>
        <v>Male</v>
      </c>
      <c r="E1856" s="8" t="str">
        <f ca="1">IFERROR(__xludf.DUMMYFUNCTION("""COMPUTED_VALUE"""),"Student")</f>
        <v>Student</v>
      </c>
      <c r="F1856" s="8">
        <f ca="1">IFERROR(__xludf.DUMMYFUNCTION("""COMPUTED_VALUE"""),12)</f>
        <v>12</v>
      </c>
    </row>
    <row r="1857" spans="1:6" ht="12.75">
      <c r="A1857" s="4">
        <v>1856</v>
      </c>
      <c r="B1857" s="8" t="str">
        <f ca="1">IFERROR(__xludf.DUMMYFUNCTION("""COMPUTED_VALUE"""),"20021115CAAML")</f>
        <v>20021115CAAML</v>
      </c>
      <c r="C1857" s="8" t="str">
        <f ca="1">IFERROR(__xludf.DUMMYFUNCTION("""COMPUTED_VALUE"""),"Wounded")</f>
        <v>Wounded</v>
      </c>
      <c r="D1857" s="8" t="str">
        <f ca="1">IFERROR(__xludf.DUMMYFUNCTION("""COMPUTED_VALUE"""),"Male")</f>
        <v>Male</v>
      </c>
      <c r="E1857" s="8" t="str">
        <f ca="1">IFERROR(__xludf.DUMMYFUNCTION("""COMPUTED_VALUE"""),"No Relation")</f>
        <v>No Relation</v>
      </c>
      <c r="F1857" s="8">
        <f ca="1">IFERROR(__xludf.DUMMYFUNCTION("""COMPUTED_VALUE"""),21)</f>
        <v>21</v>
      </c>
    </row>
    <row r="1858" spans="1:6" ht="12.75">
      <c r="A1858" s="4">
        <v>1857</v>
      </c>
      <c r="B1858" s="8" t="str">
        <f ca="1">IFERROR(__xludf.DUMMYFUNCTION("""COMPUTED_VALUE"""),"20021107MOSTL")</f>
        <v>20021107MOSTL</v>
      </c>
      <c r="C1858" s="8" t="str">
        <f ca="1">IFERROR(__xludf.DUMMYFUNCTION("""COMPUTED_VALUE"""),"Wounded")</f>
        <v>Wounded</v>
      </c>
      <c r="D1858" s="8" t="str">
        <f ca="1">IFERROR(__xludf.DUMMYFUNCTION("""COMPUTED_VALUE"""),"Female")</f>
        <v>Female</v>
      </c>
      <c r="E1858" s="8" t="str">
        <f ca="1">IFERROR(__xludf.DUMMYFUNCTION("""COMPUTED_VALUE"""),"Parent")</f>
        <v>Parent</v>
      </c>
      <c r="F1858" s="8" t="str">
        <f ca="1">IFERROR(__xludf.DUMMYFUNCTION("""COMPUTED_VALUE"""),"Adult")</f>
        <v>Adult</v>
      </c>
    </row>
    <row r="1859" spans="1:6" ht="12.75">
      <c r="A1859" s="4">
        <v>1858</v>
      </c>
      <c r="B1859" s="8" t="str">
        <f ca="1">IFERROR(__xludf.DUMMYFUNCTION("""COMPUTED_VALUE"""),"20021107MOSTL")</f>
        <v>20021107MOSTL</v>
      </c>
      <c r="C1859" s="8" t="str">
        <f ca="1">IFERROR(__xludf.DUMMYFUNCTION("""COMPUTED_VALUE"""),"Fatal")</f>
        <v>Fatal</v>
      </c>
      <c r="D1859" s="8" t="str">
        <f ca="1">IFERROR(__xludf.DUMMYFUNCTION("""COMPUTED_VALUE"""),"Male")</f>
        <v>Male</v>
      </c>
      <c r="E1859" s="8" t="str">
        <f ca="1">IFERROR(__xludf.DUMMYFUNCTION("""COMPUTED_VALUE"""),"Student")</f>
        <v>Student</v>
      </c>
      <c r="F1859" s="8">
        <f ca="1">IFERROR(__xludf.DUMMYFUNCTION("""COMPUTED_VALUE"""),9)</f>
        <v>9</v>
      </c>
    </row>
    <row r="1860" spans="1:6" ht="12.75">
      <c r="A1860" s="4">
        <v>1859</v>
      </c>
      <c r="B1860" s="8" t="str">
        <f ca="1">IFERROR(__xludf.DUMMYFUNCTION("""COMPUTED_VALUE"""),"20021029NJLIJ")</f>
        <v>20021029NJLIJ</v>
      </c>
      <c r="C1860" s="8" t="str">
        <f ca="1">IFERROR(__xludf.DUMMYFUNCTION("""COMPUTED_VALUE"""),"Wounded")</f>
        <v>Wounded</v>
      </c>
      <c r="D1860" s="8" t="str">
        <f ca="1">IFERROR(__xludf.DUMMYFUNCTION("""COMPUTED_VALUE"""),"Male")</f>
        <v>Male</v>
      </c>
      <c r="E1860" s="8" t="str">
        <f ca="1">IFERROR(__xludf.DUMMYFUNCTION("""COMPUTED_VALUE"""),"Student")</f>
        <v>Student</v>
      </c>
      <c r="F1860" s="8">
        <f ca="1">IFERROR(__xludf.DUMMYFUNCTION("""COMPUTED_VALUE"""),15)</f>
        <v>15</v>
      </c>
    </row>
    <row r="1861" spans="1:6" ht="12.75">
      <c r="A1861" s="4">
        <v>1860</v>
      </c>
      <c r="B1861" s="8" t="str">
        <f ca="1">IFERROR(__xludf.DUMMYFUNCTION("""COMPUTED_VALUE"""),"20021007MDBEB")</f>
        <v>20021007MDBEB</v>
      </c>
      <c r="C1861" s="8" t="str">
        <f ca="1">IFERROR(__xludf.DUMMYFUNCTION("""COMPUTED_VALUE"""),"Wounded")</f>
        <v>Wounded</v>
      </c>
      <c r="D1861" s="8" t="str">
        <f ca="1">IFERROR(__xludf.DUMMYFUNCTION("""COMPUTED_VALUE"""),"Male")</f>
        <v>Male</v>
      </c>
      <c r="E1861" s="8" t="str">
        <f ca="1">IFERROR(__xludf.DUMMYFUNCTION("""COMPUTED_VALUE"""),"Student")</f>
        <v>Student</v>
      </c>
      <c r="F1861" s="8">
        <f ca="1">IFERROR(__xludf.DUMMYFUNCTION("""COMPUTED_VALUE"""),13)</f>
        <v>13</v>
      </c>
    </row>
    <row r="1862" spans="1:6" ht="12.75">
      <c r="A1862" s="4">
        <v>1861</v>
      </c>
      <c r="B1862" s="8" t="str">
        <f ca="1">IFERROR(__xludf.DUMMYFUNCTION("""COMPUTED_VALUE"""),"20021004TXPAS")</f>
        <v>20021004TXPAS</v>
      </c>
      <c r="C1862" s="8" t="str">
        <f ca="1">IFERROR(__xludf.DUMMYFUNCTION("""COMPUTED_VALUE"""),"None")</f>
        <v>None</v>
      </c>
      <c r="D1862" s="8" t="str">
        <f ca="1">IFERROR(__xludf.DUMMYFUNCTION("""COMPUTED_VALUE"""),"Female")</f>
        <v>Female</v>
      </c>
      <c r="E1862" s="8" t="str">
        <f ca="1">IFERROR(__xludf.DUMMYFUNCTION("""COMPUTED_VALUE"""),"Student")</f>
        <v>Student</v>
      </c>
      <c r="F1862" s="8">
        <f ca="1">IFERROR(__xludf.DUMMYFUNCTION("""COMPUTED_VALUE"""),13)</f>
        <v>13</v>
      </c>
    </row>
    <row r="1863" spans="1:6" ht="12.75">
      <c r="A1863" s="4">
        <v>1862</v>
      </c>
      <c r="B1863" s="8" t="str">
        <f ca="1">IFERROR(__xludf.DUMMYFUNCTION("""COMPUTED_VALUE"""),"20021004MTCMG")</f>
        <v>20021004MTCMG</v>
      </c>
      <c r="C1863" s="8" t="str">
        <f ca="1">IFERROR(__xludf.DUMMYFUNCTION("""COMPUTED_VALUE"""),"None")</f>
        <v>None</v>
      </c>
      <c r="D1863" s="8" t="str">
        <f ca="1">IFERROR(__xludf.DUMMYFUNCTION("""COMPUTED_VALUE"""),"Male")</f>
        <v>Male</v>
      </c>
      <c r="E1863" s="8" t="str">
        <f ca="1">IFERROR(__xludf.DUMMYFUNCTION("""COMPUTED_VALUE"""),"Student")</f>
        <v>Student</v>
      </c>
      <c r="F1863" s="8" t="str">
        <f ca="1">IFERROR(__xludf.DUMMYFUNCTION("""COMPUTED_VALUE"""),"Teen")</f>
        <v>Teen</v>
      </c>
    </row>
    <row r="1864" spans="1:6" ht="12.75">
      <c r="A1864" s="4">
        <v>1863</v>
      </c>
      <c r="B1864" s="8" t="str">
        <f ca="1">IFERROR(__xludf.DUMMYFUNCTION("""COMPUTED_VALUE"""),"20020426LAABN")</f>
        <v>20020426LAABN</v>
      </c>
      <c r="C1864" s="8" t="str">
        <f ca="1">IFERROR(__xludf.DUMMYFUNCTION("""COMPUTED_VALUE"""),"Fatal")</f>
        <v>Fatal</v>
      </c>
      <c r="D1864" s="8" t="str">
        <f ca="1">IFERROR(__xludf.DUMMYFUNCTION("""COMPUTED_VALUE"""),"Male")</f>
        <v>Male</v>
      </c>
      <c r="E1864" s="8" t="str">
        <f ca="1">IFERROR(__xludf.DUMMYFUNCTION("""COMPUTED_VALUE"""),"Security Guard")</f>
        <v>Security Guard</v>
      </c>
      <c r="F1864" s="8">
        <f ca="1">IFERROR(__xludf.DUMMYFUNCTION("""COMPUTED_VALUE"""),54)</f>
        <v>54</v>
      </c>
    </row>
    <row r="1865" spans="1:6" ht="12.75">
      <c r="A1865" s="4">
        <v>1864</v>
      </c>
      <c r="B1865" s="8" t="str">
        <f ca="1">IFERROR(__xludf.DUMMYFUNCTION("""COMPUTED_VALUE"""),"20020406MDLEB")</f>
        <v>20020406MDLEB</v>
      </c>
      <c r="C1865" s="8" t="str">
        <f ca="1">IFERROR(__xludf.DUMMYFUNCTION("""COMPUTED_VALUE"""),"Fatal")</f>
        <v>Fatal</v>
      </c>
      <c r="D1865" s="8" t="str">
        <f ca="1">IFERROR(__xludf.DUMMYFUNCTION("""COMPUTED_VALUE"""),"Male")</f>
        <v>Male</v>
      </c>
      <c r="E1865" s="8" t="str">
        <f ca="1">IFERROR(__xludf.DUMMYFUNCTION("""COMPUTED_VALUE"""),"No Relation")</f>
        <v>No Relation</v>
      </c>
      <c r="F1865" s="8">
        <f ca="1">IFERROR(__xludf.DUMMYFUNCTION("""COMPUTED_VALUE"""),14)</f>
        <v>14</v>
      </c>
    </row>
    <row r="1866" spans="1:6" ht="12.75">
      <c r="A1866" s="4">
        <v>1865</v>
      </c>
      <c r="B1866" s="8" t="str">
        <f ca="1">IFERROR(__xludf.DUMMYFUNCTION("""COMPUTED_VALUE"""),"20020322CAJOC")</f>
        <v>20020322CAJOC</v>
      </c>
      <c r="C1866" s="8" t="str">
        <f ca="1">IFERROR(__xludf.DUMMYFUNCTION("""COMPUTED_VALUE"""),"None")</f>
        <v>None</v>
      </c>
      <c r="D1866" s="8" t="str">
        <f ca="1">IFERROR(__xludf.DUMMYFUNCTION("""COMPUTED_VALUE"""),"Female")</f>
        <v>Female</v>
      </c>
      <c r="E1866" s="8" t="str">
        <f ca="1">IFERROR(__xludf.DUMMYFUNCTION("""COMPUTED_VALUE"""),"Teacher")</f>
        <v>Teacher</v>
      </c>
      <c r="F1866" s="8" t="str">
        <f ca="1">IFERROR(__xludf.DUMMYFUNCTION("""COMPUTED_VALUE"""),"Adult")</f>
        <v>Adult</v>
      </c>
    </row>
    <row r="1867" spans="1:6" ht="12.75">
      <c r="A1867" s="4">
        <v>1866</v>
      </c>
      <c r="B1867" s="8" t="str">
        <f ca="1">IFERROR(__xludf.DUMMYFUNCTION("""COMPUTED_VALUE"""),"20020207ILROC")</f>
        <v>20020207ILROC</v>
      </c>
      <c r="C1867" s="8" t="str">
        <f ca="1">IFERROR(__xludf.DUMMYFUNCTION("""COMPUTED_VALUE"""),"Wounded")</f>
        <v>Wounded</v>
      </c>
      <c r="D1867" s="8" t="str">
        <f ca="1">IFERROR(__xludf.DUMMYFUNCTION("""COMPUTED_VALUE"""),"Male")</f>
        <v>Male</v>
      </c>
      <c r="E1867" s="8" t="str">
        <f ca="1">IFERROR(__xludf.DUMMYFUNCTION("""COMPUTED_VALUE"""),"Student")</f>
        <v>Student</v>
      </c>
      <c r="F1867" s="8" t="str">
        <f ca="1">IFERROR(__xludf.DUMMYFUNCTION("""COMPUTED_VALUE"""),"Teen")</f>
        <v>Teen</v>
      </c>
    </row>
    <row r="1868" spans="1:6" ht="12.75">
      <c r="A1868" s="4">
        <v>1867</v>
      </c>
      <c r="B1868" s="8" t="str">
        <f ca="1">IFERROR(__xludf.DUMMYFUNCTION("""COMPUTED_VALUE"""),"20020207ILROC")</f>
        <v>20020207ILROC</v>
      </c>
      <c r="C1868" s="8" t="str">
        <f ca="1">IFERROR(__xludf.DUMMYFUNCTION("""COMPUTED_VALUE"""),"Wounded")</f>
        <v>Wounded</v>
      </c>
      <c r="D1868" s="8" t="str">
        <f ca="1">IFERROR(__xludf.DUMMYFUNCTION("""COMPUTED_VALUE"""),"Male")</f>
        <v>Male</v>
      </c>
      <c r="E1868" s="8" t="str">
        <f ca="1">IFERROR(__xludf.DUMMYFUNCTION("""COMPUTED_VALUE"""),"Student")</f>
        <v>Student</v>
      </c>
      <c r="F1868" s="8" t="str">
        <f ca="1">IFERROR(__xludf.DUMMYFUNCTION("""COMPUTED_VALUE"""),"Teen")</f>
        <v>Teen</v>
      </c>
    </row>
    <row r="1869" spans="1:6" ht="12.75">
      <c r="A1869" s="4">
        <v>1868</v>
      </c>
      <c r="B1869" s="8" t="str">
        <f ca="1">IFERROR(__xludf.DUMMYFUNCTION("""COMPUTED_VALUE"""),"20020207ILROC")</f>
        <v>20020207ILROC</v>
      </c>
      <c r="C1869" s="8" t="str">
        <f ca="1">IFERROR(__xludf.DUMMYFUNCTION("""COMPUTED_VALUE"""),"Wounded")</f>
        <v>Wounded</v>
      </c>
      <c r="D1869" s="8" t="str">
        <f ca="1">IFERROR(__xludf.DUMMYFUNCTION("""COMPUTED_VALUE"""),"Female")</f>
        <v>Female</v>
      </c>
      <c r="E1869" s="8" t="str">
        <f ca="1">IFERROR(__xludf.DUMMYFUNCTION("""COMPUTED_VALUE"""),"Student")</f>
        <v>Student</v>
      </c>
      <c r="F1869" s="8" t="str">
        <f ca="1">IFERROR(__xludf.DUMMYFUNCTION("""COMPUTED_VALUE"""),"Teen")</f>
        <v>Teen</v>
      </c>
    </row>
    <row r="1870" spans="1:6" ht="12.75">
      <c r="A1870" s="4">
        <v>1869</v>
      </c>
      <c r="B1870" s="8" t="str">
        <f ca="1">IFERROR(__xludf.DUMMYFUNCTION("""COMPUTED_VALUE"""),"20020206CAGAL")</f>
        <v>20020206CAGAL</v>
      </c>
      <c r="C1870" s="8" t="str">
        <f ca="1">IFERROR(__xludf.DUMMYFUNCTION("""COMPUTED_VALUE"""),"Wounded")</f>
        <v>Wounded</v>
      </c>
      <c r="D1870" s="8" t="str">
        <f ca="1">IFERROR(__xludf.DUMMYFUNCTION("""COMPUTED_VALUE"""),"Male")</f>
        <v>Male</v>
      </c>
      <c r="E1870" s="8" t="str">
        <f ca="1">IFERROR(__xludf.DUMMYFUNCTION("""COMPUTED_VALUE"""),"Student")</f>
        <v>Student</v>
      </c>
      <c r="F1870" s="8">
        <f ca="1">IFERROR(__xludf.DUMMYFUNCTION("""COMPUTED_VALUE"""),19)</f>
        <v>19</v>
      </c>
    </row>
    <row r="1871" spans="1:6" ht="12.75">
      <c r="A1871" s="4">
        <v>1870</v>
      </c>
      <c r="B1871" s="8" t="str">
        <f ca="1">IFERROR(__xludf.DUMMYFUNCTION("""COMPUTED_VALUE"""),"20020206CAGAL")</f>
        <v>20020206CAGAL</v>
      </c>
      <c r="C1871" s="8" t="str">
        <f ca="1">IFERROR(__xludf.DUMMYFUNCTION("""COMPUTED_VALUE"""),"Wounded")</f>
        <v>Wounded</v>
      </c>
      <c r="D1871" s="8" t="str">
        <f ca="1">IFERROR(__xludf.DUMMYFUNCTION("""COMPUTED_VALUE"""),"Female")</f>
        <v>Female</v>
      </c>
      <c r="E1871" s="8" t="str">
        <f ca="1">IFERROR(__xludf.DUMMYFUNCTION("""COMPUTED_VALUE"""),"Student")</f>
        <v>Student</v>
      </c>
      <c r="F1871" s="8">
        <f ca="1">IFERROR(__xludf.DUMMYFUNCTION("""COMPUTED_VALUE"""),16)</f>
        <v>16</v>
      </c>
    </row>
    <row r="1872" spans="1:6" ht="12.75">
      <c r="A1872" s="4">
        <v>1871</v>
      </c>
      <c r="B1872" s="8" t="str">
        <f ca="1">IFERROR(__xludf.DUMMYFUNCTION("""COMPUTED_VALUE"""),"20020201TXBRB")</f>
        <v>20020201TXBRB</v>
      </c>
      <c r="C1872" s="8" t="str">
        <f ca="1">IFERROR(__xludf.DUMMYFUNCTION("""COMPUTED_VALUE"""),"Wounded")</f>
        <v>Wounded</v>
      </c>
      <c r="D1872" s="8" t="str">
        <f ca="1">IFERROR(__xludf.DUMMYFUNCTION("""COMPUTED_VALUE"""),"Female")</f>
        <v>Female</v>
      </c>
      <c r="E1872" s="8" t="str">
        <f ca="1">IFERROR(__xludf.DUMMYFUNCTION("""COMPUTED_VALUE"""),"Intimate Relationship")</f>
        <v>Intimate Relationship</v>
      </c>
      <c r="F1872" s="8">
        <f ca="1">IFERROR(__xludf.DUMMYFUNCTION("""COMPUTED_VALUE"""),34)</f>
        <v>34</v>
      </c>
    </row>
    <row r="1873" spans="1:6" ht="12.75">
      <c r="A1873" s="4">
        <v>1872</v>
      </c>
      <c r="B1873" s="8" t="str">
        <f ca="1">IFERROR(__xludf.DUMMYFUNCTION("""COMPUTED_VALUE"""),"20020201TXBRB")</f>
        <v>20020201TXBRB</v>
      </c>
      <c r="C1873" s="8" t="str">
        <f ca="1">IFERROR(__xludf.DUMMYFUNCTION("""COMPUTED_VALUE"""),"Wounded")</f>
        <v>Wounded</v>
      </c>
      <c r="D1873" s="8" t="str">
        <f ca="1">IFERROR(__xludf.DUMMYFUNCTION("""COMPUTED_VALUE"""),"Male")</f>
        <v>Male</v>
      </c>
      <c r="E1873" s="8" t="str">
        <f ca="1">IFERROR(__xludf.DUMMYFUNCTION("""COMPUTED_VALUE"""),"Other Staff")</f>
        <v>Other Staff</v>
      </c>
      <c r="F1873" s="8">
        <f ca="1">IFERROR(__xludf.DUMMYFUNCTION("""COMPUTED_VALUE"""),43)</f>
        <v>43</v>
      </c>
    </row>
    <row r="1874" spans="1:6" ht="12.75">
      <c r="A1874" s="4">
        <v>1873</v>
      </c>
      <c r="B1874" s="8" t="str">
        <f ca="1">IFERROR(__xludf.DUMMYFUNCTION("""COMPUTED_VALUE"""),"20020124PAOLO")</f>
        <v>20020124PAOLO</v>
      </c>
      <c r="C1874" s="8" t="str">
        <f ca="1">IFERROR(__xludf.DUMMYFUNCTION("""COMPUTED_VALUE"""),"None")</f>
        <v>None</v>
      </c>
      <c r="D1874" s="8"/>
      <c r="E1874" s="8"/>
      <c r="F1874" s="8"/>
    </row>
    <row r="1875" spans="1:6" ht="12.75">
      <c r="A1875" s="4">
        <v>1874</v>
      </c>
      <c r="B1875" s="8" t="str">
        <f ca="1">IFERROR(__xludf.DUMMYFUNCTION("""COMPUTED_VALUE"""),"20020115NYMAN")</f>
        <v>20020115NYMAN</v>
      </c>
      <c r="C1875" s="8" t="str">
        <f ca="1">IFERROR(__xludf.DUMMYFUNCTION("""COMPUTED_VALUE"""),"Wounded")</f>
        <v>Wounded</v>
      </c>
      <c r="D1875" s="8" t="str">
        <f ca="1">IFERROR(__xludf.DUMMYFUNCTION("""COMPUTED_VALUE"""),"Male")</f>
        <v>Male</v>
      </c>
      <c r="E1875" s="8" t="str">
        <f ca="1">IFERROR(__xludf.DUMMYFUNCTION("""COMPUTED_VALUE"""),"Student")</f>
        <v>Student</v>
      </c>
      <c r="F1875" s="8">
        <f ca="1">IFERROR(__xludf.DUMMYFUNCTION("""COMPUTED_VALUE"""),16)</f>
        <v>16</v>
      </c>
    </row>
    <row r="1876" spans="1:6" ht="12.75">
      <c r="A1876" s="4">
        <v>1875</v>
      </c>
      <c r="B1876" s="8" t="str">
        <f ca="1">IFERROR(__xludf.DUMMYFUNCTION("""COMPUTED_VALUE"""),"20020115NYMAN")</f>
        <v>20020115NYMAN</v>
      </c>
      <c r="C1876" s="8" t="str">
        <f ca="1">IFERROR(__xludf.DUMMYFUNCTION("""COMPUTED_VALUE"""),"Wounded")</f>
        <v>Wounded</v>
      </c>
      <c r="D1876" s="8" t="str">
        <f ca="1">IFERROR(__xludf.DUMMYFUNCTION("""COMPUTED_VALUE"""),"Male")</f>
        <v>Male</v>
      </c>
      <c r="E1876" s="8" t="str">
        <f ca="1">IFERROR(__xludf.DUMMYFUNCTION("""COMPUTED_VALUE"""),"Student")</f>
        <v>Student</v>
      </c>
      <c r="F1876" s="8">
        <f ca="1">IFERROR(__xludf.DUMMYFUNCTION("""COMPUTED_VALUE"""),17)</f>
        <v>17</v>
      </c>
    </row>
    <row r="1877" spans="1:6" ht="12.75">
      <c r="A1877" s="4">
        <v>1876</v>
      </c>
      <c r="B1877" s="8" t="str">
        <f ca="1">IFERROR(__xludf.DUMMYFUNCTION("""COMPUTED_VALUE"""),"20020111MSRAJ")</f>
        <v>20020111MSRAJ</v>
      </c>
      <c r="C1877" s="8" t="str">
        <f ca="1">IFERROR(__xludf.DUMMYFUNCTION("""COMPUTED_VALUE"""),"None")</f>
        <v>None</v>
      </c>
      <c r="D1877" s="8"/>
      <c r="E1877" s="8"/>
      <c r="F1877" s="8"/>
    </row>
    <row r="1878" spans="1:6" ht="12.75">
      <c r="A1878" s="4">
        <v>1877</v>
      </c>
      <c r="B1878" s="8" t="str">
        <f ca="1">IFERROR(__xludf.DUMMYFUNCTION("""COMPUTED_VALUE"""),"20011130TXFRF")</f>
        <v>20011130TXFRF</v>
      </c>
      <c r="C1878" s="8" t="str">
        <f ca="1">IFERROR(__xludf.DUMMYFUNCTION("""COMPUTED_VALUE"""),"None")</f>
        <v>None</v>
      </c>
      <c r="D1878" s="8"/>
      <c r="E1878" s="8"/>
      <c r="F1878" s="8"/>
    </row>
    <row r="1879" spans="1:6" ht="12.75">
      <c r="A1879" s="4">
        <v>1878</v>
      </c>
      <c r="B1879" s="8" t="str">
        <f ca="1">IFERROR(__xludf.DUMMYFUNCTION("""COMPUTED_VALUE"""),"20011112MICAC")</f>
        <v>20011112MICAC</v>
      </c>
      <c r="C1879" s="8" t="str">
        <f ca="1">IFERROR(__xludf.DUMMYFUNCTION("""COMPUTED_VALUE"""),"None")</f>
        <v>None</v>
      </c>
      <c r="D1879" s="8" t="str">
        <f ca="1">IFERROR(__xludf.DUMMYFUNCTION("""COMPUTED_VALUE"""),"Male")</f>
        <v>Male</v>
      </c>
      <c r="E1879" s="8" t="str">
        <f ca="1">IFERROR(__xludf.DUMMYFUNCTION("""COMPUTED_VALUE"""),"Student")</f>
        <v>Student</v>
      </c>
      <c r="F1879" s="8">
        <f ca="1">IFERROR(__xludf.DUMMYFUNCTION("""COMPUTED_VALUE"""),17)</f>
        <v>17</v>
      </c>
    </row>
    <row r="1880" spans="1:6" ht="12.75">
      <c r="A1880" s="4">
        <v>1879</v>
      </c>
      <c r="B1880" s="8" t="str">
        <f ca="1">IFERROR(__xludf.DUMMYFUNCTION("""COMPUTED_VALUE"""),"20011026MIBES")</f>
        <v>20011026MIBES</v>
      </c>
      <c r="C1880" s="8" t="str">
        <f ca="1">IFERROR(__xludf.DUMMYFUNCTION("""COMPUTED_VALUE"""),"Wounded")</f>
        <v>Wounded</v>
      </c>
      <c r="D1880" s="8" t="str">
        <f ca="1">IFERROR(__xludf.DUMMYFUNCTION("""COMPUTED_VALUE"""),"Male")</f>
        <v>Male</v>
      </c>
      <c r="E1880" s="8" t="str">
        <f ca="1">IFERROR(__xludf.DUMMYFUNCTION("""COMPUTED_VALUE"""),"Student")</f>
        <v>Student</v>
      </c>
      <c r="F1880" s="8">
        <f ca="1">IFERROR(__xludf.DUMMYFUNCTION("""COMPUTED_VALUE"""),17)</f>
        <v>17</v>
      </c>
    </row>
    <row r="1881" spans="1:6" ht="12.75">
      <c r="A1881" s="4">
        <v>1880</v>
      </c>
      <c r="B1881" s="8" t="str">
        <f ca="1">IFERROR(__xludf.DUMMYFUNCTION("""COMPUTED_VALUE"""),"20011026CARER")</f>
        <v>20011026CARER</v>
      </c>
      <c r="C1881" s="8" t="str">
        <f ca="1">IFERROR(__xludf.DUMMYFUNCTION("""COMPUTED_VALUE"""),"Wounded")</f>
        <v>Wounded</v>
      </c>
      <c r="D1881" s="8" t="str">
        <f ca="1">IFERROR(__xludf.DUMMYFUNCTION("""COMPUTED_VALUE"""),"Male")</f>
        <v>Male</v>
      </c>
      <c r="E1881" s="8" t="str">
        <f ca="1">IFERROR(__xludf.DUMMYFUNCTION("""COMPUTED_VALUE"""),"Student")</f>
        <v>Student</v>
      </c>
      <c r="F1881" s="8">
        <f ca="1">IFERROR(__xludf.DUMMYFUNCTION("""COMPUTED_VALUE"""),16)</f>
        <v>16</v>
      </c>
    </row>
    <row r="1882" spans="1:6" ht="12.75">
      <c r="A1882" s="4">
        <v>1881</v>
      </c>
      <c r="B1882" s="8" t="str">
        <f ca="1">IFERROR(__xludf.DUMMYFUNCTION("""COMPUTED_VALUE"""),"20011012UTTAT")</f>
        <v>20011012UTTAT</v>
      </c>
      <c r="C1882" s="8" t="str">
        <f ca="1">IFERROR(__xludf.DUMMYFUNCTION("""COMPUTED_VALUE"""),"None")</f>
        <v>None</v>
      </c>
      <c r="D1882" s="8" t="str">
        <f ca="1">IFERROR(__xludf.DUMMYFUNCTION("""COMPUTED_VALUE"""),"Male")</f>
        <v>Male</v>
      </c>
      <c r="E1882" s="8" t="str">
        <f ca="1">IFERROR(__xludf.DUMMYFUNCTION("""COMPUTED_VALUE"""),"Student")</f>
        <v>Student</v>
      </c>
      <c r="F1882" s="8">
        <f ca="1">IFERROR(__xludf.DUMMYFUNCTION("""COMPUTED_VALUE"""),17)</f>
        <v>17</v>
      </c>
    </row>
    <row r="1883" spans="1:6" ht="12.75">
      <c r="A1883" s="4">
        <v>1882</v>
      </c>
      <c r="B1883" s="8" t="str">
        <f ca="1">IFERROR(__xludf.DUMMYFUNCTION("""COMPUTED_VALUE"""),"20010921MDLAB")</f>
        <v>20010921MDLAB</v>
      </c>
      <c r="C1883" s="8" t="str">
        <f ca="1">IFERROR(__xludf.DUMMYFUNCTION("""COMPUTED_VALUE"""),"Wounded")</f>
        <v>Wounded</v>
      </c>
      <c r="D1883" s="8" t="str">
        <f ca="1">IFERROR(__xludf.DUMMYFUNCTION("""COMPUTED_VALUE"""),"Male")</f>
        <v>Male</v>
      </c>
      <c r="E1883" s="8" t="str">
        <f ca="1">IFERROR(__xludf.DUMMYFUNCTION("""COMPUTED_VALUE"""),"Student")</f>
        <v>Student</v>
      </c>
      <c r="F1883" s="8">
        <f ca="1">IFERROR(__xludf.DUMMYFUNCTION("""COMPUTED_VALUE"""),17)</f>
        <v>17</v>
      </c>
    </row>
    <row r="1884" spans="1:6" ht="12.75">
      <c r="A1884" s="4">
        <v>1883</v>
      </c>
      <c r="B1884" s="8" t="str">
        <f ca="1">IFERROR(__xludf.DUMMYFUNCTION("""COMPUTED_VALUE"""),"20010912KYLAC")</f>
        <v>20010912KYLAC</v>
      </c>
      <c r="C1884" s="8" t="str">
        <f ca="1">IFERROR(__xludf.DUMMYFUNCTION("""COMPUTED_VALUE"""),"Fatal")</f>
        <v>Fatal</v>
      </c>
      <c r="D1884" s="8" t="str">
        <f ca="1">IFERROR(__xludf.DUMMYFUNCTION("""COMPUTED_VALUE"""),"Female")</f>
        <v>Female</v>
      </c>
      <c r="E1884" s="8" t="str">
        <f ca="1">IFERROR(__xludf.DUMMYFUNCTION("""COMPUTED_VALUE"""),"Parent")</f>
        <v>Parent</v>
      </c>
      <c r="F1884" s="8">
        <f ca="1">IFERROR(__xludf.DUMMYFUNCTION("""COMPUTED_VALUE"""),29)</f>
        <v>29</v>
      </c>
    </row>
    <row r="1885" spans="1:6" ht="12.75">
      <c r="A1885" s="4">
        <v>1884</v>
      </c>
      <c r="B1885" s="8" t="str">
        <f ca="1">IFERROR(__xludf.DUMMYFUNCTION("""COMPUTED_VALUE"""),"20010730CABEL")</f>
        <v>20010730CABEL</v>
      </c>
      <c r="C1885" s="8" t="str">
        <f ca="1">IFERROR(__xludf.DUMMYFUNCTION("""COMPUTED_VALUE"""),"Wounded")</f>
        <v>Wounded</v>
      </c>
      <c r="D1885" s="8" t="str">
        <f ca="1">IFERROR(__xludf.DUMMYFUNCTION("""COMPUTED_VALUE"""),"Male")</f>
        <v>Male</v>
      </c>
      <c r="E1885" s="8" t="str">
        <f ca="1">IFERROR(__xludf.DUMMYFUNCTION("""COMPUTED_VALUE"""),"No Relation")</f>
        <v>No Relation</v>
      </c>
      <c r="F1885" s="8">
        <f ca="1">IFERROR(__xludf.DUMMYFUNCTION("""COMPUTED_VALUE"""),33)</f>
        <v>33</v>
      </c>
    </row>
    <row r="1886" spans="1:6" ht="12.75">
      <c r="A1886" s="4">
        <v>1885</v>
      </c>
      <c r="B1886" s="8" t="str">
        <f ca="1">IFERROR(__xludf.DUMMYFUNCTION("""COMPUTED_VALUE"""),"20010607TXOUA")</f>
        <v>20010607TXOUA</v>
      </c>
      <c r="C1886" s="8" t="str">
        <f ca="1">IFERROR(__xludf.DUMMYFUNCTION("""COMPUTED_VALUE"""),"Fatal")</f>
        <v>Fatal</v>
      </c>
      <c r="D1886" s="8" t="str">
        <f ca="1">IFERROR(__xludf.DUMMYFUNCTION("""COMPUTED_VALUE"""),"Male")</f>
        <v>Male</v>
      </c>
      <c r="E1886" s="8" t="str">
        <f ca="1">IFERROR(__xludf.DUMMYFUNCTION("""COMPUTED_VALUE"""),"No Relation")</f>
        <v>No Relation</v>
      </c>
      <c r="F1886" s="8">
        <f ca="1">IFERROR(__xludf.DUMMYFUNCTION("""COMPUTED_VALUE"""),27)</f>
        <v>27</v>
      </c>
    </row>
    <row r="1887" spans="1:6" ht="12.75">
      <c r="A1887" s="4">
        <v>1886</v>
      </c>
      <c r="B1887" s="8" t="str">
        <f ca="1">IFERROR(__xludf.DUMMYFUNCTION("""COMPUTED_VALUE"""),"20010515TXENE")</f>
        <v>20010515TXENE</v>
      </c>
      <c r="C1887" s="8" t="str">
        <f ca="1">IFERROR(__xludf.DUMMYFUNCTION("""COMPUTED_VALUE"""),"None")</f>
        <v>None</v>
      </c>
      <c r="D1887" s="8" t="str">
        <f ca="1">IFERROR(__xludf.DUMMYFUNCTION("""COMPUTED_VALUE"""),"Male")</f>
        <v>Male</v>
      </c>
      <c r="E1887" s="8" t="str">
        <f ca="1">IFERROR(__xludf.DUMMYFUNCTION("""COMPUTED_VALUE"""),"Student")</f>
        <v>Student</v>
      </c>
      <c r="F1887" s="8">
        <f ca="1">IFERROR(__xludf.DUMMYFUNCTION("""COMPUTED_VALUE"""),16)</f>
        <v>16</v>
      </c>
    </row>
    <row r="1888" spans="1:6" ht="12.75">
      <c r="A1888" s="4">
        <v>1887</v>
      </c>
      <c r="B1888" s="8" t="str">
        <f ca="1">IFERROR(__xludf.DUMMYFUNCTION("""COMPUTED_VALUE"""),"20010425OHJOC")</f>
        <v>20010425OHJOC</v>
      </c>
      <c r="C1888" s="8" t="str">
        <f ca="1">IFERROR(__xludf.DUMMYFUNCTION("""COMPUTED_VALUE"""),"Fatal")</f>
        <v>Fatal</v>
      </c>
      <c r="D1888" s="8" t="str">
        <f ca="1">IFERROR(__xludf.DUMMYFUNCTION("""COMPUTED_VALUE"""),"Male")</f>
        <v>Male</v>
      </c>
      <c r="E1888" s="8" t="str">
        <f ca="1">IFERROR(__xludf.DUMMYFUNCTION("""COMPUTED_VALUE"""),"Other Staff")</f>
        <v>Other Staff</v>
      </c>
      <c r="F1888" s="8">
        <f ca="1">IFERROR(__xludf.DUMMYFUNCTION("""COMPUTED_VALUE"""),33)</f>
        <v>33</v>
      </c>
    </row>
    <row r="1889" spans="1:6" ht="12.75">
      <c r="A1889" s="4">
        <v>1888</v>
      </c>
      <c r="B1889" s="8" t="str">
        <f ca="1">IFERROR(__xludf.DUMMYFUNCTION("""COMPUTED_VALUE"""),"20010420LAMOM")</f>
        <v>20010420LAMOM</v>
      </c>
      <c r="C1889" s="8" t="str">
        <f ca="1">IFERROR(__xludf.DUMMYFUNCTION("""COMPUTED_VALUE"""),"None")</f>
        <v>None</v>
      </c>
      <c r="D1889" s="8"/>
      <c r="E1889" s="8"/>
      <c r="F1889" s="8"/>
    </row>
    <row r="1890" spans="1:6" ht="12.75">
      <c r="A1890" s="4">
        <v>1889</v>
      </c>
      <c r="B1890" s="8" t="str">
        <f ca="1">IFERROR(__xludf.DUMMYFUNCTION("""COMPUTED_VALUE"""),"20010410WAWAM")</f>
        <v>20010410WAWAM</v>
      </c>
      <c r="C1890" s="8" t="str">
        <f ca="1">IFERROR(__xludf.DUMMYFUNCTION("""COMPUTED_VALUE"""),"None")</f>
        <v>None</v>
      </c>
      <c r="D1890" s="8"/>
      <c r="E1890" s="8"/>
      <c r="F1890" s="8"/>
    </row>
    <row r="1891" spans="1:6" ht="12.75">
      <c r="A1891" s="4">
        <v>1890</v>
      </c>
      <c r="B1891" s="8" t="str">
        <f ca="1">IFERROR(__xludf.DUMMYFUNCTION("""COMPUTED_VALUE"""),"20010402TXKLH")</f>
        <v>20010402TXKLH</v>
      </c>
      <c r="C1891" s="8" t="str">
        <f ca="1">IFERROR(__xludf.DUMMYFUNCTION("""COMPUTED_VALUE"""),"None")</f>
        <v>None</v>
      </c>
      <c r="D1891" s="8" t="str">
        <f ca="1">IFERROR(__xludf.DUMMYFUNCTION("""COMPUTED_VALUE"""),"Female")</f>
        <v>Female</v>
      </c>
      <c r="E1891" s="8" t="str">
        <f ca="1">IFERROR(__xludf.DUMMYFUNCTION("""COMPUTED_VALUE"""),"Student")</f>
        <v>Student</v>
      </c>
      <c r="F1891" s="8">
        <f ca="1">IFERROR(__xludf.DUMMYFUNCTION("""COMPUTED_VALUE"""),13)</f>
        <v>13</v>
      </c>
    </row>
    <row r="1892" spans="1:6" ht="12.75">
      <c r="A1892" s="4">
        <v>1891</v>
      </c>
      <c r="B1892" s="8" t="str">
        <f ca="1">IFERROR(__xludf.DUMMYFUNCTION("""COMPUTED_VALUE"""),"20010330INLEG")</f>
        <v>20010330INLEG</v>
      </c>
      <c r="C1892" s="8" t="str">
        <f ca="1">IFERROR(__xludf.DUMMYFUNCTION("""COMPUTED_VALUE"""),"Fatal")</f>
        <v>Fatal</v>
      </c>
      <c r="D1892" s="8" t="str">
        <f ca="1">IFERROR(__xludf.DUMMYFUNCTION("""COMPUTED_VALUE"""),"Male")</f>
        <v>Male</v>
      </c>
      <c r="E1892" s="8" t="str">
        <f ca="1">IFERROR(__xludf.DUMMYFUNCTION("""COMPUTED_VALUE"""),"Student")</f>
        <v>Student</v>
      </c>
      <c r="F1892" s="8">
        <f ca="1">IFERROR(__xludf.DUMMYFUNCTION("""COMPUTED_VALUE"""),16)</f>
        <v>16</v>
      </c>
    </row>
    <row r="1893" spans="1:6" ht="12.75">
      <c r="A1893" s="4">
        <v>1892</v>
      </c>
      <c r="B1893" s="8" t="str">
        <f ca="1">IFERROR(__xludf.DUMMYFUNCTION("""COMPUTED_VALUE"""),"20010322CAGRE")</f>
        <v>20010322CAGRE</v>
      </c>
      <c r="C1893" s="8" t="str">
        <f ca="1">IFERROR(__xludf.DUMMYFUNCTION("""COMPUTED_VALUE"""),"Wounded")</f>
        <v>Wounded</v>
      </c>
      <c r="D1893" s="8" t="str">
        <f ca="1">IFERROR(__xludf.DUMMYFUNCTION("""COMPUTED_VALUE"""),"Male")</f>
        <v>Male</v>
      </c>
      <c r="E1893" s="8" t="str">
        <f ca="1">IFERROR(__xludf.DUMMYFUNCTION("""COMPUTED_VALUE"""),"Student")</f>
        <v>Student</v>
      </c>
      <c r="F1893" s="8">
        <f ca="1">IFERROR(__xludf.DUMMYFUNCTION("""COMPUTED_VALUE"""),15)</f>
        <v>15</v>
      </c>
    </row>
    <row r="1894" spans="1:6" ht="12.75">
      <c r="A1894" s="4">
        <v>1893</v>
      </c>
      <c r="B1894" s="8" t="str">
        <f ca="1">IFERROR(__xludf.DUMMYFUNCTION("""COMPUTED_VALUE"""),"20010322CAGRE")</f>
        <v>20010322CAGRE</v>
      </c>
      <c r="C1894" s="8" t="str">
        <f ca="1">IFERROR(__xludf.DUMMYFUNCTION("""COMPUTED_VALUE"""),"Wounded")</f>
        <v>Wounded</v>
      </c>
      <c r="D1894" s="8" t="str">
        <f ca="1">IFERROR(__xludf.DUMMYFUNCTION("""COMPUTED_VALUE"""),"Male")</f>
        <v>Male</v>
      </c>
      <c r="E1894" s="8" t="str">
        <f ca="1">IFERROR(__xludf.DUMMYFUNCTION("""COMPUTED_VALUE"""),"Student")</f>
        <v>Student</v>
      </c>
      <c r="F1894" s="8">
        <f ca="1">IFERROR(__xludf.DUMMYFUNCTION("""COMPUTED_VALUE"""),17)</f>
        <v>17</v>
      </c>
    </row>
    <row r="1895" spans="1:6" ht="12.75">
      <c r="A1895" s="4">
        <v>1894</v>
      </c>
      <c r="B1895" s="8" t="str">
        <f ca="1">IFERROR(__xludf.DUMMYFUNCTION("""COMPUTED_VALUE"""),"20010322CAGRE")</f>
        <v>20010322CAGRE</v>
      </c>
      <c r="C1895" s="8" t="str">
        <f ca="1">IFERROR(__xludf.DUMMYFUNCTION("""COMPUTED_VALUE"""),"Wounded")</f>
        <v>Wounded</v>
      </c>
      <c r="D1895" s="8" t="str">
        <f ca="1">IFERROR(__xludf.DUMMYFUNCTION("""COMPUTED_VALUE"""),"Female")</f>
        <v>Female</v>
      </c>
      <c r="E1895" s="8" t="str">
        <f ca="1">IFERROR(__xludf.DUMMYFUNCTION("""COMPUTED_VALUE"""),"Student")</f>
        <v>Student</v>
      </c>
      <c r="F1895" s="8">
        <f ca="1">IFERROR(__xludf.DUMMYFUNCTION("""COMPUTED_VALUE"""),15)</f>
        <v>15</v>
      </c>
    </row>
    <row r="1896" spans="1:6" ht="12.75">
      <c r="A1896" s="4">
        <v>1895</v>
      </c>
      <c r="B1896" s="8" t="str">
        <f ca="1">IFERROR(__xludf.DUMMYFUNCTION("""COMPUTED_VALUE"""),"20010322CAGRE")</f>
        <v>20010322CAGRE</v>
      </c>
      <c r="C1896" s="8" t="str">
        <f ca="1">IFERROR(__xludf.DUMMYFUNCTION("""COMPUTED_VALUE"""),"Wounded")</f>
        <v>Wounded</v>
      </c>
      <c r="D1896" s="8" t="str">
        <f ca="1">IFERROR(__xludf.DUMMYFUNCTION("""COMPUTED_VALUE"""),"Female")</f>
        <v>Female</v>
      </c>
      <c r="E1896" s="8" t="str">
        <f ca="1">IFERROR(__xludf.DUMMYFUNCTION("""COMPUTED_VALUE"""),"Teacher")</f>
        <v>Teacher</v>
      </c>
      <c r="F1896" s="8">
        <f ca="1">IFERROR(__xludf.DUMMYFUNCTION("""COMPUTED_VALUE"""),53)</f>
        <v>53</v>
      </c>
    </row>
    <row r="1897" spans="1:6" ht="12.75">
      <c r="A1897" s="4">
        <v>1896</v>
      </c>
      <c r="B1897" s="8" t="str">
        <f ca="1">IFERROR(__xludf.DUMMYFUNCTION("""COMPUTED_VALUE"""),"20010322CAGRE")</f>
        <v>20010322CAGRE</v>
      </c>
      <c r="C1897" s="8" t="str">
        <f ca="1">IFERROR(__xludf.DUMMYFUNCTION("""COMPUTED_VALUE"""),"Wounded")</f>
        <v>Wounded</v>
      </c>
      <c r="D1897" s="8" t="str">
        <f ca="1">IFERROR(__xludf.DUMMYFUNCTION("""COMPUTED_VALUE"""),"Female")</f>
        <v>Female</v>
      </c>
      <c r="E1897" s="8" t="str">
        <f ca="1">IFERROR(__xludf.DUMMYFUNCTION("""COMPUTED_VALUE"""),"Teacher")</f>
        <v>Teacher</v>
      </c>
      <c r="F1897" s="8">
        <f ca="1">IFERROR(__xludf.DUMMYFUNCTION("""COMPUTED_VALUE"""),47)</f>
        <v>47</v>
      </c>
    </row>
    <row r="1898" spans="1:6" ht="12.75">
      <c r="A1898" s="4">
        <v>1897</v>
      </c>
      <c r="B1898" s="8" t="str">
        <f ca="1">IFERROR(__xludf.DUMMYFUNCTION("""COMPUTED_VALUE"""),"20010307WAKEC")</f>
        <v>20010307WAKEC</v>
      </c>
      <c r="C1898" s="8" t="str">
        <f ca="1">IFERROR(__xludf.DUMMYFUNCTION("""COMPUTED_VALUE"""),"None")</f>
        <v>None</v>
      </c>
      <c r="D1898" s="8"/>
      <c r="E1898" s="8"/>
      <c r="F1898" s="8"/>
    </row>
    <row r="1899" spans="1:6" ht="12.75">
      <c r="A1899" s="4">
        <v>1898</v>
      </c>
      <c r="B1899" s="8" t="str">
        <f ca="1">IFERROR(__xludf.DUMMYFUNCTION("""COMPUTED_VALUE"""),"20010307PABIW")</f>
        <v>20010307PABIW</v>
      </c>
      <c r="C1899" s="8" t="str">
        <f ca="1">IFERROR(__xludf.DUMMYFUNCTION("""COMPUTED_VALUE"""),"Wounded")</f>
        <v>Wounded</v>
      </c>
      <c r="D1899" s="8" t="str">
        <f ca="1">IFERROR(__xludf.DUMMYFUNCTION("""COMPUTED_VALUE"""),"Female")</f>
        <v>Female</v>
      </c>
      <c r="E1899" s="8" t="str">
        <f ca="1">IFERROR(__xludf.DUMMYFUNCTION("""COMPUTED_VALUE"""),"Student")</f>
        <v>Student</v>
      </c>
      <c r="F1899" s="8">
        <f ca="1">IFERROR(__xludf.DUMMYFUNCTION("""COMPUTED_VALUE"""),13)</f>
        <v>13</v>
      </c>
    </row>
    <row r="1900" spans="1:6" ht="12.75">
      <c r="A1900" s="4">
        <v>1899</v>
      </c>
      <c r="B1900" s="8" t="str">
        <f ca="1">IFERROR(__xludf.DUMMYFUNCTION("""COMPUTED_VALUE"""),"20010306MDLAL")</f>
        <v>20010306MDLAL</v>
      </c>
      <c r="C1900" s="8" t="str">
        <f ca="1">IFERROR(__xludf.DUMMYFUNCTION("""COMPUTED_VALUE"""),"Wounded")</f>
        <v>Wounded</v>
      </c>
      <c r="D1900" s="8" t="str">
        <f ca="1">IFERROR(__xludf.DUMMYFUNCTION("""COMPUTED_VALUE"""),"Male")</f>
        <v>Male</v>
      </c>
      <c r="E1900" s="8" t="str">
        <f ca="1">IFERROR(__xludf.DUMMYFUNCTION("""COMPUTED_VALUE"""),"Student")</f>
        <v>Student</v>
      </c>
      <c r="F1900" s="8">
        <f ca="1">IFERROR(__xludf.DUMMYFUNCTION("""COMPUTED_VALUE"""),17)</f>
        <v>17</v>
      </c>
    </row>
    <row r="1901" spans="1:6" ht="12.75">
      <c r="A1901" s="4">
        <v>1900</v>
      </c>
      <c r="B1901" s="8" t="str">
        <f ca="1">IFERROR(__xludf.DUMMYFUNCTION("""COMPUTED_VALUE"""),"20010305CASAS")</f>
        <v>20010305CASAS</v>
      </c>
      <c r="C1901" s="8" t="str">
        <f ca="1">IFERROR(__xludf.DUMMYFUNCTION("""COMPUTED_VALUE"""),"Fatal")</f>
        <v>Fatal</v>
      </c>
      <c r="D1901" s="8" t="str">
        <f ca="1">IFERROR(__xludf.DUMMYFUNCTION("""COMPUTED_VALUE"""),"Male")</f>
        <v>Male</v>
      </c>
      <c r="E1901" s="8" t="str">
        <f ca="1">IFERROR(__xludf.DUMMYFUNCTION("""COMPUTED_VALUE"""),"Student")</f>
        <v>Student</v>
      </c>
      <c r="F1901" s="8">
        <f ca="1">IFERROR(__xludf.DUMMYFUNCTION("""COMPUTED_VALUE"""),15)</f>
        <v>15</v>
      </c>
    </row>
    <row r="1902" spans="1:6" ht="12.75">
      <c r="A1902" s="4">
        <v>1901</v>
      </c>
      <c r="B1902" s="8" t="str">
        <f ca="1">IFERROR(__xludf.DUMMYFUNCTION("""COMPUTED_VALUE"""),"20010305CASAS")</f>
        <v>20010305CASAS</v>
      </c>
      <c r="C1902" s="8" t="str">
        <f ca="1">IFERROR(__xludf.DUMMYFUNCTION("""COMPUTED_VALUE"""),"Wounded")</f>
        <v>Wounded</v>
      </c>
      <c r="D1902" s="8" t="str">
        <f ca="1">IFERROR(__xludf.DUMMYFUNCTION("""COMPUTED_VALUE"""),"Male")</f>
        <v>Male</v>
      </c>
      <c r="E1902" s="8" t="str">
        <f ca="1">IFERROR(__xludf.DUMMYFUNCTION("""COMPUTED_VALUE"""),"Student")</f>
        <v>Student</v>
      </c>
      <c r="F1902" s="8" t="str">
        <f ca="1">IFERROR(__xludf.DUMMYFUNCTION("""COMPUTED_VALUE"""),"Teen")</f>
        <v>Teen</v>
      </c>
    </row>
    <row r="1903" spans="1:6" ht="12.75">
      <c r="A1903" s="4">
        <v>1902</v>
      </c>
      <c r="B1903" s="8" t="str">
        <f ca="1">IFERROR(__xludf.DUMMYFUNCTION("""COMPUTED_VALUE"""),"20010305CASAS")</f>
        <v>20010305CASAS</v>
      </c>
      <c r="C1903" s="8" t="str">
        <f ca="1">IFERROR(__xludf.DUMMYFUNCTION("""COMPUTED_VALUE"""),"Wounded")</f>
        <v>Wounded</v>
      </c>
      <c r="D1903" s="8" t="str">
        <f ca="1">IFERROR(__xludf.DUMMYFUNCTION("""COMPUTED_VALUE"""),"Female")</f>
        <v>Female</v>
      </c>
      <c r="E1903" s="8" t="str">
        <f ca="1">IFERROR(__xludf.DUMMYFUNCTION("""COMPUTED_VALUE"""),"Student")</f>
        <v>Student</v>
      </c>
      <c r="F1903" s="8">
        <f ca="1">IFERROR(__xludf.DUMMYFUNCTION("""COMPUTED_VALUE"""),16)</f>
        <v>16</v>
      </c>
    </row>
    <row r="1904" spans="1:6" ht="12.75">
      <c r="A1904" s="4">
        <v>1903</v>
      </c>
      <c r="B1904" s="8" t="str">
        <f ca="1">IFERROR(__xludf.DUMMYFUNCTION("""COMPUTED_VALUE"""),"20010305CASAS")</f>
        <v>20010305CASAS</v>
      </c>
      <c r="C1904" s="8" t="str">
        <f ca="1">IFERROR(__xludf.DUMMYFUNCTION("""COMPUTED_VALUE"""),"Wounded")</f>
        <v>Wounded</v>
      </c>
      <c r="D1904" s="8" t="str">
        <f ca="1">IFERROR(__xludf.DUMMYFUNCTION("""COMPUTED_VALUE"""),"Male")</f>
        <v>Male</v>
      </c>
      <c r="E1904" s="8" t="str">
        <f ca="1">IFERROR(__xludf.DUMMYFUNCTION("""COMPUTED_VALUE"""),"Student")</f>
        <v>Student</v>
      </c>
      <c r="F1904" s="8">
        <f ca="1">IFERROR(__xludf.DUMMYFUNCTION("""COMPUTED_VALUE"""),16)</f>
        <v>16</v>
      </c>
    </row>
    <row r="1905" spans="1:6" ht="12.75">
      <c r="A1905" s="4">
        <v>1904</v>
      </c>
      <c r="B1905" s="8" t="str">
        <f ca="1">IFERROR(__xludf.DUMMYFUNCTION("""COMPUTED_VALUE"""),"20010305CASAS")</f>
        <v>20010305CASAS</v>
      </c>
      <c r="C1905" s="8" t="str">
        <f ca="1">IFERROR(__xludf.DUMMYFUNCTION("""COMPUTED_VALUE"""),"Wounded")</f>
        <v>Wounded</v>
      </c>
      <c r="D1905" s="8" t="str">
        <f ca="1">IFERROR(__xludf.DUMMYFUNCTION("""COMPUTED_VALUE"""),"Male")</f>
        <v>Male</v>
      </c>
      <c r="E1905" s="8" t="str">
        <f ca="1">IFERROR(__xludf.DUMMYFUNCTION("""COMPUTED_VALUE"""),"Student")</f>
        <v>Student</v>
      </c>
      <c r="F1905" s="8" t="str">
        <f ca="1">IFERROR(__xludf.DUMMYFUNCTION("""COMPUTED_VALUE"""),"Teen")</f>
        <v>Teen</v>
      </c>
    </row>
    <row r="1906" spans="1:6" ht="12.75">
      <c r="A1906" s="4">
        <v>1905</v>
      </c>
      <c r="B1906" s="8" t="str">
        <f ca="1">IFERROR(__xludf.DUMMYFUNCTION("""COMPUTED_VALUE"""),"20010305CASAS")</f>
        <v>20010305CASAS</v>
      </c>
      <c r="C1906" s="8" t="str">
        <f ca="1">IFERROR(__xludf.DUMMYFUNCTION("""COMPUTED_VALUE"""),"Wounded")</f>
        <v>Wounded</v>
      </c>
      <c r="D1906" s="8" t="str">
        <f ca="1">IFERROR(__xludf.DUMMYFUNCTION("""COMPUTED_VALUE"""),"Female")</f>
        <v>Female</v>
      </c>
      <c r="E1906" s="8" t="str">
        <f ca="1">IFERROR(__xludf.DUMMYFUNCTION("""COMPUTED_VALUE"""),"Student")</f>
        <v>Student</v>
      </c>
      <c r="F1906" s="8">
        <f ca="1">IFERROR(__xludf.DUMMYFUNCTION("""COMPUTED_VALUE"""),15)</f>
        <v>15</v>
      </c>
    </row>
    <row r="1907" spans="1:6" ht="12.75">
      <c r="A1907" s="4">
        <v>1906</v>
      </c>
      <c r="B1907" s="8" t="str">
        <f ca="1">IFERROR(__xludf.DUMMYFUNCTION("""COMPUTED_VALUE"""),"20010305CASAS")</f>
        <v>20010305CASAS</v>
      </c>
      <c r="C1907" s="8" t="str">
        <f ca="1">IFERROR(__xludf.DUMMYFUNCTION("""COMPUTED_VALUE"""),"Wounded")</f>
        <v>Wounded</v>
      </c>
      <c r="D1907" s="8" t="str">
        <f ca="1">IFERROR(__xludf.DUMMYFUNCTION("""COMPUTED_VALUE"""),"Male")</f>
        <v>Male</v>
      </c>
      <c r="E1907" s="8" t="str">
        <f ca="1">IFERROR(__xludf.DUMMYFUNCTION("""COMPUTED_VALUE"""),"Student")</f>
        <v>Student</v>
      </c>
      <c r="F1907" s="8">
        <f ca="1">IFERROR(__xludf.DUMMYFUNCTION("""COMPUTED_VALUE"""),18)</f>
        <v>18</v>
      </c>
    </row>
    <row r="1908" spans="1:6" ht="12.75">
      <c r="A1908" s="4">
        <v>1907</v>
      </c>
      <c r="B1908" s="8" t="str">
        <f ca="1">IFERROR(__xludf.DUMMYFUNCTION("""COMPUTED_VALUE"""),"20010305CASAS")</f>
        <v>20010305CASAS</v>
      </c>
      <c r="C1908" s="8" t="str">
        <f ca="1">IFERROR(__xludf.DUMMYFUNCTION("""COMPUTED_VALUE"""),"Wounded")</f>
        <v>Wounded</v>
      </c>
      <c r="D1908" s="8" t="str">
        <f ca="1">IFERROR(__xludf.DUMMYFUNCTION("""COMPUTED_VALUE"""),"Male")</f>
        <v>Male</v>
      </c>
      <c r="E1908" s="8" t="str">
        <f ca="1">IFERROR(__xludf.DUMMYFUNCTION("""COMPUTED_VALUE"""),"Student")</f>
        <v>Student</v>
      </c>
      <c r="F1908" s="8">
        <f ca="1">IFERROR(__xludf.DUMMYFUNCTION("""COMPUTED_VALUE"""),18)</f>
        <v>18</v>
      </c>
    </row>
    <row r="1909" spans="1:6" ht="12.75">
      <c r="A1909" s="4">
        <v>1908</v>
      </c>
      <c r="B1909" s="8" t="str">
        <f ca="1">IFERROR(__xludf.DUMMYFUNCTION("""COMPUTED_VALUE"""),"20010305CASAS")</f>
        <v>20010305CASAS</v>
      </c>
      <c r="C1909" s="8" t="str">
        <f ca="1">IFERROR(__xludf.DUMMYFUNCTION("""COMPUTED_VALUE"""),"Wounded")</f>
        <v>Wounded</v>
      </c>
      <c r="D1909" s="8" t="str">
        <f ca="1">IFERROR(__xludf.DUMMYFUNCTION("""COMPUTED_VALUE"""),"Male")</f>
        <v>Male</v>
      </c>
      <c r="E1909" s="8" t="str">
        <f ca="1">IFERROR(__xludf.DUMMYFUNCTION("""COMPUTED_VALUE"""),"Student")</f>
        <v>Student</v>
      </c>
      <c r="F1909" s="8">
        <f ca="1">IFERROR(__xludf.DUMMYFUNCTION("""COMPUTED_VALUE"""),19)</f>
        <v>19</v>
      </c>
    </row>
    <row r="1910" spans="1:6" ht="12.75">
      <c r="A1910" s="4">
        <v>1909</v>
      </c>
      <c r="B1910" s="8" t="str">
        <f ca="1">IFERROR(__xludf.DUMMYFUNCTION("""COMPUTED_VALUE"""),"20010305CASAS")</f>
        <v>20010305CASAS</v>
      </c>
      <c r="C1910" s="8" t="str">
        <f ca="1">IFERROR(__xludf.DUMMYFUNCTION("""COMPUTED_VALUE"""),"Wounded")</f>
        <v>Wounded</v>
      </c>
      <c r="D1910" s="8" t="str">
        <f ca="1">IFERROR(__xludf.DUMMYFUNCTION("""COMPUTED_VALUE"""),"Female")</f>
        <v>Female</v>
      </c>
      <c r="E1910" s="8" t="str">
        <f ca="1">IFERROR(__xludf.DUMMYFUNCTION("""COMPUTED_VALUE"""),"Teacher")</f>
        <v>Teacher</v>
      </c>
      <c r="F1910" s="8">
        <f ca="1">IFERROR(__xludf.DUMMYFUNCTION("""COMPUTED_VALUE"""),33)</f>
        <v>33</v>
      </c>
    </row>
    <row r="1911" spans="1:6" ht="12.75">
      <c r="A1911" s="4">
        <v>1910</v>
      </c>
      <c r="B1911" s="8" t="str">
        <f ca="1">IFERROR(__xludf.DUMMYFUNCTION("""COMPUTED_VALUE"""),"20010305CASAS")</f>
        <v>20010305CASAS</v>
      </c>
      <c r="C1911" s="8" t="str">
        <f ca="1">IFERROR(__xludf.DUMMYFUNCTION("""COMPUTED_VALUE"""),"Fatal")</f>
        <v>Fatal</v>
      </c>
      <c r="D1911" s="8" t="str">
        <f ca="1">IFERROR(__xludf.DUMMYFUNCTION("""COMPUTED_VALUE"""),"Male")</f>
        <v>Male</v>
      </c>
      <c r="E1911" s="8" t="str">
        <f ca="1">IFERROR(__xludf.DUMMYFUNCTION("""COMPUTED_VALUE"""),"Student")</f>
        <v>Student</v>
      </c>
      <c r="F1911" s="8">
        <f ca="1">IFERROR(__xludf.DUMMYFUNCTION("""COMPUTED_VALUE"""),14)</f>
        <v>14</v>
      </c>
    </row>
    <row r="1912" spans="1:6" ht="12.75">
      <c r="A1912" s="4">
        <v>1911</v>
      </c>
      <c r="B1912" s="8" t="str">
        <f ca="1">IFERROR(__xludf.DUMMYFUNCTION("""COMPUTED_VALUE"""),"20010305CASAS")</f>
        <v>20010305CASAS</v>
      </c>
      <c r="C1912" s="8" t="str">
        <f ca="1">IFERROR(__xludf.DUMMYFUNCTION("""COMPUTED_VALUE"""),"Wounded")</f>
        <v>Wounded</v>
      </c>
      <c r="D1912" s="8" t="str">
        <f ca="1">IFERROR(__xludf.DUMMYFUNCTION("""COMPUTED_VALUE"""),"Male")</f>
        <v>Male</v>
      </c>
      <c r="E1912" s="8" t="str">
        <f ca="1">IFERROR(__xludf.DUMMYFUNCTION("""COMPUTED_VALUE"""),"Student")</f>
        <v>Student</v>
      </c>
      <c r="F1912" s="8">
        <f ca="1">IFERROR(__xludf.DUMMYFUNCTION("""COMPUTED_VALUE"""),16)</f>
        <v>16</v>
      </c>
    </row>
    <row r="1913" spans="1:6" ht="12.75">
      <c r="A1913" s="4">
        <v>1912</v>
      </c>
      <c r="B1913" s="8" t="str">
        <f ca="1">IFERROR(__xludf.DUMMYFUNCTION("""COMPUTED_VALUE"""),"20010305CASAS")</f>
        <v>20010305CASAS</v>
      </c>
      <c r="C1913" s="8" t="str">
        <f ca="1">IFERROR(__xludf.DUMMYFUNCTION("""COMPUTED_VALUE"""),"Wounded")</f>
        <v>Wounded</v>
      </c>
      <c r="D1913" s="8" t="str">
        <f ca="1">IFERROR(__xludf.DUMMYFUNCTION("""COMPUTED_VALUE"""),"Male")</f>
        <v>Male</v>
      </c>
      <c r="E1913" s="8" t="str">
        <f ca="1">IFERROR(__xludf.DUMMYFUNCTION("""COMPUTED_VALUE"""),"Other Staff")</f>
        <v>Other Staff</v>
      </c>
      <c r="F1913" s="8">
        <f ca="1">IFERROR(__xludf.DUMMYFUNCTION("""COMPUTED_VALUE"""),22)</f>
        <v>22</v>
      </c>
    </row>
    <row r="1914" spans="1:6" ht="12.75">
      <c r="A1914" s="4">
        <v>1913</v>
      </c>
      <c r="B1914" s="8" t="str">
        <f ca="1">IFERROR(__xludf.DUMMYFUNCTION("""COMPUTED_VALUE"""),"20010305CASAS")</f>
        <v>20010305CASAS</v>
      </c>
      <c r="C1914" s="8" t="str">
        <f ca="1">IFERROR(__xludf.DUMMYFUNCTION("""COMPUTED_VALUE"""),"Wounded")</f>
        <v>Wounded</v>
      </c>
      <c r="D1914" s="8" t="str">
        <f ca="1">IFERROR(__xludf.DUMMYFUNCTION("""COMPUTED_VALUE"""),"Female")</f>
        <v>Female</v>
      </c>
      <c r="E1914" s="8" t="str">
        <f ca="1">IFERROR(__xludf.DUMMYFUNCTION("""COMPUTED_VALUE"""),"Student")</f>
        <v>Student</v>
      </c>
      <c r="F1914" s="8" t="str">
        <f ca="1">IFERROR(__xludf.DUMMYFUNCTION("""COMPUTED_VALUE"""),"Teen")</f>
        <v>Teen</v>
      </c>
    </row>
    <row r="1915" spans="1:6" ht="12.75">
      <c r="A1915" s="4">
        <v>1914</v>
      </c>
      <c r="B1915" s="8" t="str">
        <f ca="1">IFERROR(__xludf.DUMMYFUNCTION("""COMPUTED_VALUE"""),"20010305CASAS")</f>
        <v>20010305CASAS</v>
      </c>
      <c r="C1915" s="8" t="str">
        <f ca="1">IFERROR(__xludf.DUMMYFUNCTION("""COMPUTED_VALUE"""),"Wounded")</f>
        <v>Wounded</v>
      </c>
      <c r="D1915" s="8" t="str">
        <f ca="1">IFERROR(__xludf.DUMMYFUNCTION("""COMPUTED_VALUE"""),"Male")</f>
        <v>Male</v>
      </c>
      <c r="E1915" s="8" t="str">
        <f ca="1">IFERROR(__xludf.DUMMYFUNCTION("""COMPUTED_VALUE"""),"Student")</f>
        <v>Student</v>
      </c>
      <c r="F1915" s="8">
        <f ca="1">IFERROR(__xludf.DUMMYFUNCTION("""COMPUTED_VALUE"""),17)</f>
        <v>17</v>
      </c>
    </row>
    <row r="1916" spans="1:6" ht="12.75">
      <c r="A1916" s="4">
        <v>1915</v>
      </c>
      <c r="B1916" s="8" t="str">
        <f ca="1">IFERROR(__xludf.DUMMYFUNCTION("""COMPUTED_VALUE"""),"20010302CAHOS")</f>
        <v>20010302CAHOS</v>
      </c>
      <c r="C1916" s="8" t="str">
        <f ca="1">IFERROR(__xludf.DUMMYFUNCTION("""COMPUTED_VALUE"""),"None")</f>
        <v>None</v>
      </c>
      <c r="D1916" s="8" t="str">
        <f ca="1">IFERROR(__xludf.DUMMYFUNCTION("""COMPUTED_VALUE"""),"Male")</f>
        <v>Male</v>
      </c>
      <c r="E1916" s="8" t="str">
        <f ca="1">IFERROR(__xludf.DUMMYFUNCTION("""COMPUTED_VALUE"""),"Student")</f>
        <v>Student</v>
      </c>
      <c r="F1916" s="8">
        <f ca="1">IFERROR(__xludf.DUMMYFUNCTION("""COMPUTED_VALUE"""),18)</f>
        <v>18</v>
      </c>
    </row>
    <row r="1917" spans="1:6" ht="12.75">
      <c r="A1917" s="4">
        <v>1916</v>
      </c>
      <c r="B1917" s="8" t="str">
        <f ca="1">IFERROR(__xludf.DUMMYFUNCTION("""COMPUTED_VALUE"""),"20010202MIOSD")</f>
        <v>20010202MIOSD</v>
      </c>
      <c r="C1917" s="8" t="str">
        <f ca="1">IFERROR(__xludf.DUMMYFUNCTION("""COMPUTED_VALUE"""),"Wounded")</f>
        <v>Wounded</v>
      </c>
      <c r="D1917" s="8"/>
      <c r="E1917" s="8" t="str">
        <f ca="1">IFERROR(__xludf.DUMMYFUNCTION("""COMPUTED_VALUE"""),"Teacher")</f>
        <v>Teacher</v>
      </c>
      <c r="F1917" s="8" t="str">
        <f ca="1">IFERROR(__xludf.DUMMYFUNCTION("""COMPUTED_VALUE"""),"Adult")</f>
        <v>Adult</v>
      </c>
    </row>
    <row r="1918" spans="1:6" ht="12.75">
      <c r="A1918" s="4">
        <v>1917</v>
      </c>
      <c r="B1918" s="8" t="str">
        <f ca="1">IFERROR(__xludf.DUMMYFUNCTION("""COMPUTED_VALUE"""),"20010202MIOSD")</f>
        <v>20010202MIOSD</v>
      </c>
      <c r="C1918" s="8" t="str">
        <f ca="1">IFERROR(__xludf.DUMMYFUNCTION("""COMPUTED_VALUE"""),"Wounded")</f>
        <v>Wounded</v>
      </c>
      <c r="D1918" s="8"/>
      <c r="E1918" s="8" t="str">
        <f ca="1">IFERROR(__xludf.DUMMYFUNCTION("""COMPUTED_VALUE"""),"Student")</f>
        <v>Student</v>
      </c>
      <c r="F1918" s="8" t="str">
        <f ca="1">IFERROR(__xludf.DUMMYFUNCTION("""COMPUTED_VALUE"""),"Teen")</f>
        <v>Teen</v>
      </c>
    </row>
    <row r="1919" spans="1:6" ht="12.75">
      <c r="A1919" s="4">
        <v>1918</v>
      </c>
      <c r="B1919" s="8" t="str">
        <f ca="1">IFERROR(__xludf.DUMMYFUNCTION("""COMPUTED_VALUE"""),"20010202MIOSD")</f>
        <v>20010202MIOSD</v>
      </c>
      <c r="C1919" s="8" t="str">
        <f ca="1">IFERROR(__xludf.DUMMYFUNCTION("""COMPUTED_VALUE"""),"Wounded")</f>
        <v>Wounded</v>
      </c>
      <c r="D1919" s="8"/>
      <c r="E1919" s="8" t="str">
        <f ca="1">IFERROR(__xludf.DUMMYFUNCTION("""COMPUTED_VALUE"""),"Student")</f>
        <v>Student</v>
      </c>
      <c r="F1919" s="8" t="str">
        <f ca="1">IFERROR(__xludf.DUMMYFUNCTION("""COMPUTED_VALUE"""),"Teen")</f>
        <v>Teen</v>
      </c>
    </row>
    <row r="1920" spans="1:6" ht="12.75">
      <c r="A1920" s="4">
        <v>1919</v>
      </c>
      <c r="B1920" s="8" t="str">
        <f ca="1">IFERROR(__xludf.DUMMYFUNCTION("""COMPUTED_VALUE"""),"20010117MDLAB")</f>
        <v>20010117MDLAB</v>
      </c>
      <c r="C1920" s="8" t="str">
        <f ca="1">IFERROR(__xludf.DUMMYFUNCTION("""COMPUTED_VALUE"""),"Fatal")</f>
        <v>Fatal</v>
      </c>
      <c r="D1920" s="8" t="str">
        <f ca="1">IFERROR(__xludf.DUMMYFUNCTION("""COMPUTED_VALUE"""),"Male")</f>
        <v>Male</v>
      </c>
      <c r="E1920" s="8" t="str">
        <f ca="1">IFERROR(__xludf.DUMMYFUNCTION("""COMPUTED_VALUE"""),"Student")</f>
        <v>Student</v>
      </c>
      <c r="F1920" s="8">
        <f ca="1">IFERROR(__xludf.DUMMYFUNCTION("""COMPUTED_VALUE"""),17)</f>
        <v>17</v>
      </c>
    </row>
    <row r="1921" spans="1:6" ht="12.75">
      <c r="A1921" s="4">
        <v>1920</v>
      </c>
      <c r="B1921" s="8" t="str">
        <f ca="1">IFERROR(__xludf.DUMMYFUNCTION("""COMPUTED_VALUE"""),"20010110CAHUO")</f>
        <v>20010110CAHUO</v>
      </c>
      <c r="C1921" s="8" t="str">
        <f ca="1">IFERROR(__xludf.DUMMYFUNCTION("""COMPUTED_VALUE"""),"None")</f>
        <v>None</v>
      </c>
      <c r="D1921" s="8" t="str">
        <f ca="1">IFERROR(__xludf.DUMMYFUNCTION("""COMPUTED_VALUE"""),"Female")</f>
        <v>Female</v>
      </c>
      <c r="E1921" s="8" t="str">
        <f ca="1">IFERROR(__xludf.DUMMYFUNCTION("""COMPUTED_VALUE"""),"Student")</f>
        <v>Student</v>
      </c>
      <c r="F1921" s="8">
        <f ca="1">IFERROR(__xludf.DUMMYFUNCTION("""COMPUTED_VALUE"""),17)</f>
        <v>17</v>
      </c>
    </row>
    <row r="1922" spans="1:6" ht="12.75">
      <c r="A1922" s="4">
        <v>1921</v>
      </c>
      <c r="B1922" s="8" t="str">
        <f ca="1">IFERROR(__xludf.DUMMYFUNCTION("""COMPUTED_VALUE"""),"20010103CABAS")</f>
        <v>20010103CABAS</v>
      </c>
      <c r="C1922" s="8" t="str">
        <f ca="1">IFERROR(__xludf.DUMMYFUNCTION("""COMPUTED_VALUE"""),"None")</f>
        <v>None</v>
      </c>
      <c r="D1922" s="8" t="str">
        <f ca="1">IFERROR(__xludf.DUMMYFUNCTION("""COMPUTED_VALUE"""),"Male")</f>
        <v>Male</v>
      </c>
      <c r="E1922" s="8" t="str">
        <f ca="1">IFERROR(__xludf.DUMMYFUNCTION("""COMPUTED_VALUE"""),"Student")</f>
        <v>Student</v>
      </c>
      <c r="F1922" s="8">
        <f ca="1">IFERROR(__xludf.DUMMYFUNCTION("""COMPUTED_VALUE"""),15)</f>
        <v>15</v>
      </c>
    </row>
    <row r="1923" spans="1:6" ht="12.75">
      <c r="A1923" s="4">
        <v>1922</v>
      </c>
      <c r="B1923" s="8" t="str">
        <f ca="1">IFERROR(__xludf.DUMMYFUNCTION("""COMPUTED_VALUE"""),"20001221FLNOM")</f>
        <v>20001221FLNOM</v>
      </c>
      <c r="C1923" s="8" t="str">
        <f ca="1">IFERROR(__xludf.DUMMYFUNCTION("""COMPUTED_VALUE"""),"Fatal")</f>
        <v>Fatal</v>
      </c>
      <c r="D1923" s="8" t="str">
        <f ca="1">IFERROR(__xludf.DUMMYFUNCTION("""COMPUTED_VALUE"""),"Male")</f>
        <v>Male</v>
      </c>
      <c r="E1923" s="8" t="str">
        <f ca="1">IFERROR(__xludf.DUMMYFUNCTION("""COMPUTED_VALUE"""),"No Relation")</f>
        <v>No Relation</v>
      </c>
      <c r="F1923" s="8">
        <f ca="1">IFERROR(__xludf.DUMMYFUNCTION("""COMPUTED_VALUE"""),32)</f>
        <v>32</v>
      </c>
    </row>
    <row r="1924" spans="1:6" ht="12.75">
      <c r="A1924" s="4">
        <v>1923</v>
      </c>
      <c r="B1924" s="8" t="str">
        <f ca="1">IFERROR(__xludf.DUMMYFUNCTION("""COMPUTED_VALUE"""),"20001207CARIR")</f>
        <v>20001207CARIR</v>
      </c>
      <c r="C1924" s="8" t="str">
        <f ca="1">IFERROR(__xludf.DUMMYFUNCTION("""COMPUTED_VALUE"""),"Fatal")</f>
        <v>Fatal</v>
      </c>
      <c r="D1924" s="8" t="str">
        <f ca="1">IFERROR(__xludf.DUMMYFUNCTION("""COMPUTED_VALUE"""),"Male")</f>
        <v>Male</v>
      </c>
      <c r="E1924" s="8" t="str">
        <f ca="1">IFERROR(__xludf.DUMMYFUNCTION("""COMPUTED_VALUE"""),"Student")</f>
        <v>Student</v>
      </c>
      <c r="F1924" s="8">
        <f ca="1">IFERROR(__xludf.DUMMYFUNCTION("""COMPUTED_VALUE"""),16)</f>
        <v>16</v>
      </c>
    </row>
    <row r="1925" spans="1:6" ht="12.75">
      <c r="A1925" s="4">
        <v>1924</v>
      </c>
      <c r="B1925" s="8" t="str">
        <f ca="1">IFERROR(__xludf.DUMMYFUNCTION("""COMPUTED_VALUE"""),"20001201CAJUS")</f>
        <v>20001201CAJUS</v>
      </c>
      <c r="C1925" s="8" t="str">
        <f ca="1">IFERROR(__xludf.DUMMYFUNCTION("""COMPUTED_VALUE"""),"None")</f>
        <v>None</v>
      </c>
      <c r="D1925" s="8" t="str">
        <f ca="1">IFERROR(__xludf.DUMMYFUNCTION("""COMPUTED_VALUE"""),"Male")</f>
        <v>Male</v>
      </c>
      <c r="E1925" s="8" t="str">
        <f ca="1">IFERROR(__xludf.DUMMYFUNCTION("""COMPUTED_VALUE"""),"Student")</f>
        <v>Student</v>
      </c>
      <c r="F1925" s="8">
        <f ca="1">IFERROR(__xludf.DUMMYFUNCTION("""COMPUTED_VALUE"""),15)</f>
        <v>15</v>
      </c>
    </row>
    <row r="1926" spans="1:6" ht="12.75">
      <c r="A1926" s="4">
        <v>1925</v>
      </c>
      <c r="B1926" s="8" t="str">
        <f ca="1">IFERROR(__xludf.DUMMYFUNCTION("""COMPUTED_VALUE"""),"20001201CAGRL")</f>
        <v>20001201CAGRL</v>
      </c>
      <c r="C1926" s="8" t="str">
        <f ca="1">IFERROR(__xludf.DUMMYFUNCTION("""COMPUTED_VALUE"""),"None")</f>
        <v>None</v>
      </c>
      <c r="D1926" s="8" t="str">
        <f ca="1">IFERROR(__xludf.DUMMYFUNCTION("""COMPUTED_VALUE"""),"Male")</f>
        <v>Male</v>
      </c>
      <c r="E1926" s="8" t="str">
        <f ca="1">IFERROR(__xludf.DUMMYFUNCTION("""COMPUTED_VALUE"""),"Student")</f>
        <v>Student</v>
      </c>
      <c r="F1926" s="8">
        <f ca="1">IFERROR(__xludf.DUMMYFUNCTION("""COMPUTED_VALUE"""),17)</f>
        <v>17</v>
      </c>
    </row>
    <row r="1927" spans="1:6" ht="12.75">
      <c r="A1927" s="4">
        <v>1926</v>
      </c>
      <c r="B1927" s="8" t="str">
        <f ca="1">IFERROR(__xludf.DUMMYFUNCTION("""COMPUTED_VALUE"""),"20001101TXNEC")</f>
        <v>20001101TXNEC</v>
      </c>
      <c r="C1927" s="8" t="str">
        <f ca="1">IFERROR(__xludf.DUMMYFUNCTION("""COMPUTED_VALUE"""),"None")</f>
        <v>None</v>
      </c>
      <c r="D1927" s="8"/>
      <c r="E1927" s="8"/>
      <c r="F1927" s="8"/>
    </row>
    <row r="1928" spans="1:6" ht="12.75">
      <c r="A1928" s="4">
        <v>1927</v>
      </c>
      <c r="B1928" s="8" t="str">
        <f ca="1">IFERROR(__xludf.DUMMYFUNCTION("""COMPUTED_VALUE"""),"20001024AZPIG")</f>
        <v>20001024AZPIG</v>
      </c>
      <c r="C1928" s="8" t="str">
        <f ca="1">IFERROR(__xludf.DUMMYFUNCTION("""COMPUTED_VALUE"""),"None")</f>
        <v>None</v>
      </c>
      <c r="D1928" s="8"/>
      <c r="E1928" s="8"/>
      <c r="F1928" s="8"/>
    </row>
    <row r="1929" spans="1:6" ht="12.75">
      <c r="A1929" s="4">
        <v>1928</v>
      </c>
      <c r="B1929" s="8" t="str">
        <f ca="1">IFERROR(__xludf.DUMMYFUNCTION("""COMPUTED_VALUE"""),"20001005MNMIM")</f>
        <v>20001005MNMIM</v>
      </c>
      <c r="C1929" s="8" t="str">
        <f ca="1">IFERROR(__xludf.DUMMYFUNCTION("""COMPUTED_VALUE"""),"Wounded")</f>
        <v>Wounded</v>
      </c>
      <c r="D1929" s="8" t="str">
        <f ca="1">IFERROR(__xludf.DUMMYFUNCTION("""COMPUTED_VALUE"""),"Male")</f>
        <v>Male</v>
      </c>
      <c r="E1929" s="8" t="str">
        <f ca="1">IFERROR(__xludf.DUMMYFUNCTION("""COMPUTED_VALUE"""),"No Relation")</f>
        <v>No Relation</v>
      </c>
      <c r="F1929" s="8">
        <f ca="1">IFERROR(__xludf.DUMMYFUNCTION("""COMPUTED_VALUE"""),17)</f>
        <v>17</v>
      </c>
    </row>
    <row r="1930" spans="1:6" ht="12.75">
      <c r="A1930" s="4">
        <v>1929</v>
      </c>
      <c r="B1930" s="8" t="str">
        <f ca="1">IFERROR(__xludf.DUMMYFUNCTION("""COMPUTED_VALUE"""),"20001005MNMIM")</f>
        <v>20001005MNMIM</v>
      </c>
      <c r="C1930" s="8" t="str">
        <f ca="1">IFERROR(__xludf.DUMMYFUNCTION("""COMPUTED_VALUE"""),"Wounded")</f>
        <v>Wounded</v>
      </c>
      <c r="D1930" s="8" t="str">
        <f ca="1">IFERROR(__xludf.DUMMYFUNCTION("""COMPUTED_VALUE"""),"Male")</f>
        <v>Male</v>
      </c>
      <c r="E1930" s="8" t="str">
        <f ca="1">IFERROR(__xludf.DUMMYFUNCTION("""COMPUTED_VALUE"""),"No Relation")</f>
        <v>No Relation</v>
      </c>
      <c r="F1930" s="8">
        <f ca="1">IFERROR(__xludf.DUMMYFUNCTION("""COMPUTED_VALUE"""),22)</f>
        <v>22</v>
      </c>
    </row>
    <row r="1931" spans="1:6" ht="12.75">
      <c r="A1931" s="4">
        <v>1930</v>
      </c>
      <c r="B1931" s="8" t="str">
        <f ca="1">IFERROR(__xludf.DUMMYFUNCTION("""COMPUTED_VALUE"""),"20000926LACAN")</f>
        <v>20000926LACAN</v>
      </c>
      <c r="C1931" s="8" t="str">
        <f ca="1">IFERROR(__xludf.DUMMYFUNCTION("""COMPUTED_VALUE"""),"Wounded")</f>
        <v>Wounded</v>
      </c>
      <c r="D1931" s="8" t="str">
        <f ca="1">IFERROR(__xludf.DUMMYFUNCTION("""COMPUTED_VALUE"""),"Male")</f>
        <v>Male</v>
      </c>
      <c r="E1931" s="8" t="str">
        <f ca="1">IFERROR(__xludf.DUMMYFUNCTION("""COMPUTED_VALUE"""),"Student")</f>
        <v>Student</v>
      </c>
      <c r="F1931" s="8">
        <f ca="1">IFERROR(__xludf.DUMMYFUNCTION("""COMPUTED_VALUE"""),15)</f>
        <v>15</v>
      </c>
    </row>
    <row r="1932" spans="1:6" ht="12.75">
      <c r="A1932" s="4">
        <v>1931</v>
      </c>
      <c r="B1932" s="8" t="str">
        <f ca="1">IFERROR(__xludf.DUMMYFUNCTION("""COMPUTED_VALUE"""),"20000926LACAN")</f>
        <v>20000926LACAN</v>
      </c>
      <c r="C1932" s="8" t="str">
        <f ca="1">IFERROR(__xludf.DUMMYFUNCTION("""COMPUTED_VALUE"""),"Wounded")</f>
        <v>Wounded</v>
      </c>
      <c r="D1932" s="8" t="str">
        <f ca="1">IFERROR(__xludf.DUMMYFUNCTION("""COMPUTED_VALUE"""),"Male")</f>
        <v>Male</v>
      </c>
      <c r="E1932" s="8" t="str">
        <f ca="1">IFERROR(__xludf.DUMMYFUNCTION("""COMPUTED_VALUE"""),"Student")</f>
        <v>Student</v>
      </c>
      <c r="F1932" s="8">
        <f ca="1">IFERROR(__xludf.DUMMYFUNCTION("""COMPUTED_VALUE"""),13)</f>
        <v>13</v>
      </c>
    </row>
    <row r="1933" spans="1:6" ht="12.75">
      <c r="A1933" s="4">
        <v>1932</v>
      </c>
      <c r="B1933" s="8" t="str">
        <f ca="1">IFERROR(__xludf.DUMMYFUNCTION("""COMPUTED_VALUE"""),"20000918OHMOM")</f>
        <v>20000918OHMOM</v>
      </c>
      <c r="C1933" s="8" t="str">
        <f ca="1">IFERROR(__xludf.DUMMYFUNCTION("""COMPUTED_VALUE"""),"None")</f>
        <v>None</v>
      </c>
      <c r="D1933" s="8"/>
      <c r="E1933" s="8"/>
      <c r="F1933" s="8"/>
    </row>
    <row r="1934" spans="1:6" ht="12.75">
      <c r="A1934" s="4">
        <v>1933</v>
      </c>
      <c r="B1934" s="8" t="str">
        <f ca="1">IFERROR(__xludf.DUMMYFUNCTION("""COMPUTED_VALUE"""),"20000907ILLOR")</f>
        <v>20000907ILLOR</v>
      </c>
      <c r="C1934" s="8" t="str">
        <f ca="1">IFERROR(__xludf.DUMMYFUNCTION("""COMPUTED_VALUE"""),"Fatal")</f>
        <v>Fatal</v>
      </c>
      <c r="D1934" s="8" t="str">
        <f ca="1">IFERROR(__xludf.DUMMYFUNCTION("""COMPUTED_VALUE"""),"Male")</f>
        <v>Male</v>
      </c>
      <c r="E1934" s="8" t="str">
        <f ca="1">IFERROR(__xludf.DUMMYFUNCTION("""COMPUTED_VALUE"""),"No Relation")</f>
        <v>No Relation</v>
      </c>
      <c r="F1934" s="8">
        <f ca="1">IFERROR(__xludf.DUMMYFUNCTION("""COMPUTED_VALUE"""),19)</f>
        <v>19</v>
      </c>
    </row>
    <row r="1935" spans="1:6" ht="12.75">
      <c r="A1935" s="4">
        <v>1934</v>
      </c>
      <c r="B1935" s="8" t="str">
        <f ca="1">IFERROR(__xludf.DUMMYFUNCTION("""COMPUTED_VALUE"""),"20000905OHBIB")</f>
        <v>20000905OHBIB</v>
      </c>
      <c r="C1935" s="8" t="str">
        <f ca="1">IFERROR(__xludf.DUMMYFUNCTION("""COMPUTED_VALUE"""),"Fatal")</f>
        <v>Fatal</v>
      </c>
      <c r="D1935" s="8" t="str">
        <f ca="1">IFERROR(__xludf.DUMMYFUNCTION("""COMPUTED_VALUE"""),"Female")</f>
        <v>Female</v>
      </c>
      <c r="E1935" s="8" t="str">
        <f ca="1">IFERROR(__xludf.DUMMYFUNCTION("""COMPUTED_VALUE"""),"Other Staff")</f>
        <v>Other Staff</v>
      </c>
      <c r="F1935" s="8">
        <f ca="1">IFERROR(__xludf.DUMMYFUNCTION("""COMPUTED_VALUE"""),52)</f>
        <v>52</v>
      </c>
    </row>
    <row r="1936" spans="1:6" ht="12.75">
      <c r="A1936" s="4">
        <v>1935</v>
      </c>
      <c r="B1936" s="8" t="str">
        <f ca="1">IFERROR(__xludf.DUMMYFUNCTION("""COMPUTED_VALUE"""),"20000726OHTIC")</f>
        <v>20000726OHTIC</v>
      </c>
      <c r="C1936" s="8" t="str">
        <f ca="1">IFERROR(__xludf.DUMMYFUNCTION("""COMPUTED_VALUE"""),"Fatal")</f>
        <v>Fatal</v>
      </c>
      <c r="D1936" s="8" t="str">
        <f ca="1">IFERROR(__xludf.DUMMYFUNCTION("""COMPUTED_VALUE"""),"Male")</f>
        <v>Male</v>
      </c>
      <c r="E1936" s="8" t="str">
        <f ca="1">IFERROR(__xludf.DUMMYFUNCTION("""COMPUTED_VALUE"""),"Student")</f>
        <v>Student</v>
      </c>
      <c r="F1936" s="8">
        <f ca="1">IFERROR(__xludf.DUMMYFUNCTION("""COMPUTED_VALUE"""),17)</f>
        <v>17</v>
      </c>
    </row>
    <row r="1937" spans="1:6" ht="12.75">
      <c r="A1937" s="4">
        <v>1936</v>
      </c>
      <c r="B1937" s="8" t="str">
        <f ca="1">IFERROR(__xludf.DUMMYFUNCTION("""COMPUTED_VALUE"""),"20000717WADIR")</f>
        <v>20000717WADIR</v>
      </c>
      <c r="C1937" s="8" t="str">
        <f ca="1">IFERROR(__xludf.DUMMYFUNCTION("""COMPUTED_VALUE"""),"None")</f>
        <v>None</v>
      </c>
      <c r="D1937" s="8"/>
      <c r="E1937" s="8"/>
      <c r="F1937" s="8"/>
    </row>
    <row r="1938" spans="1:6" ht="12.75">
      <c r="A1938" s="4">
        <v>1937</v>
      </c>
      <c r="B1938" s="8" t="str">
        <f ca="1">IFERROR(__xludf.DUMMYFUNCTION("""COMPUTED_VALUE"""),"20000526FLLAL")</f>
        <v>20000526FLLAL</v>
      </c>
      <c r="C1938" s="8" t="str">
        <f ca="1">IFERROR(__xludf.DUMMYFUNCTION("""COMPUTED_VALUE"""),"Fatal")</f>
        <v>Fatal</v>
      </c>
      <c r="D1938" s="8" t="str">
        <f ca="1">IFERROR(__xludf.DUMMYFUNCTION("""COMPUTED_VALUE"""),"Male")</f>
        <v>Male</v>
      </c>
      <c r="E1938" s="8" t="str">
        <f ca="1">IFERROR(__xludf.DUMMYFUNCTION("""COMPUTED_VALUE"""),"Teacher")</f>
        <v>Teacher</v>
      </c>
      <c r="F1938" s="8">
        <f ca="1">IFERROR(__xludf.DUMMYFUNCTION("""COMPUTED_VALUE"""),35)</f>
        <v>35</v>
      </c>
    </row>
    <row r="1939" spans="1:6" ht="12.75">
      <c r="A1939" s="4">
        <v>1938</v>
      </c>
      <c r="B1939" s="8" t="str">
        <f ca="1">IFERROR(__xludf.DUMMYFUNCTION("""COMPUTED_VALUE"""),"20000510AZCAS")</f>
        <v>20000510AZCAS</v>
      </c>
      <c r="C1939" s="8" t="str">
        <f ca="1">IFERROR(__xludf.DUMMYFUNCTION("""COMPUTED_VALUE"""),"Fatal")</f>
        <v>Fatal</v>
      </c>
      <c r="D1939" s="8" t="str">
        <f ca="1">IFERROR(__xludf.DUMMYFUNCTION("""COMPUTED_VALUE"""),"Female")</f>
        <v>Female</v>
      </c>
      <c r="E1939" s="8" t="str">
        <f ca="1">IFERROR(__xludf.DUMMYFUNCTION("""COMPUTED_VALUE"""),"Teacher")</f>
        <v>Teacher</v>
      </c>
      <c r="F1939" s="8">
        <f ca="1">IFERROR(__xludf.DUMMYFUNCTION("""COMPUTED_VALUE"""),36)</f>
        <v>36</v>
      </c>
    </row>
    <row r="1940" spans="1:6" ht="12.75">
      <c r="A1940" s="4">
        <v>1939</v>
      </c>
      <c r="B1940" s="8" t="str">
        <f ca="1">IFERROR(__xludf.DUMMYFUNCTION("""COMPUTED_VALUE"""),"20000502COTHD")</f>
        <v>20000502COTHD</v>
      </c>
      <c r="C1940" s="8" t="str">
        <f ca="1">IFERROR(__xludf.DUMMYFUNCTION("""COMPUTED_VALUE"""),"None")</f>
        <v>None</v>
      </c>
      <c r="D1940" s="8" t="str">
        <f ca="1">IFERROR(__xludf.DUMMYFUNCTION("""COMPUTED_VALUE"""),"Male")</f>
        <v>Male</v>
      </c>
      <c r="E1940" s="8" t="str">
        <f ca="1">IFERROR(__xludf.DUMMYFUNCTION("""COMPUTED_VALUE"""),"Student")</f>
        <v>Student</v>
      </c>
      <c r="F1940" s="8">
        <f ca="1">IFERROR(__xludf.DUMMYFUNCTION("""COMPUTED_VALUE"""),16)</f>
        <v>16</v>
      </c>
    </row>
    <row r="1941" spans="1:6" ht="12.75">
      <c r="A1941" s="4">
        <v>1940</v>
      </c>
      <c r="B1941" s="8" t="str">
        <f ca="1">IFERROR(__xludf.DUMMYFUNCTION("""COMPUTED_VALUE"""),"20000410AZLAT")</f>
        <v>20000410AZLAT</v>
      </c>
      <c r="C1941" s="8" t="str">
        <f ca="1">IFERROR(__xludf.DUMMYFUNCTION("""COMPUTED_VALUE"""),"None")</f>
        <v>None</v>
      </c>
      <c r="D1941" s="8" t="str">
        <f ca="1">IFERROR(__xludf.DUMMYFUNCTION("""COMPUTED_VALUE"""),"Female")</f>
        <v>Female</v>
      </c>
      <c r="E1941" s="8" t="str">
        <f ca="1">IFERROR(__xludf.DUMMYFUNCTION("""COMPUTED_VALUE"""),"Teacher")</f>
        <v>Teacher</v>
      </c>
      <c r="F1941" s="8">
        <f ca="1">IFERROR(__xludf.DUMMYFUNCTION("""COMPUTED_VALUE"""),35)</f>
        <v>35</v>
      </c>
    </row>
    <row r="1942" spans="1:6" ht="12.75">
      <c r="A1942" s="4">
        <v>1941</v>
      </c>
      <c r="B1942" s="8" t="str">
        <f ca="1">IFERROR(__xludf.DUMMYFUNCTION("""COMPUTED_VALUE"""),"20000406OKHUH")</f>
        <v>20000406OKHUH</v>
      </c>
      <c r="C1942" s="8" t="str">
        <f ca="1">IFERROR(__xludf.DUMMYFUNCTION("""COMPUTED_VALUE"""),"Wounded")</f>
        <v>Wounded</v>
      </c>
      <c r="D1942" s="8" t="str">
        <f ca="1">IFERROR(__xludf.DUMMYFUNCTION("""COMPUTED_VALUE"""),"Female")</f>
        <v>Female</v>
      </c>
      <c r="E1942" s="8" t="str">
        <f ca="1">IFERROR(__xludf.DUMMYFUNCTION("""COMPUTED_VALUE"""),"Parent")</f>
        <v>Parent</v>
      </c>
      <c r="F1942" s="8">
        <f ca="1">IFERROR(__xludf.DUMMYFUNCTION("""COMPUTED_VALUE"""),33)</f>
        <v>33</v>
      </c>
    </row>
    <row r="1943" spans="1:6" ht="12.75">
      <c r="A1943" s="4">
        <v>1942</v>
      </c>
      <c r="B1943" s="8" t="str">
        <f ca="1">IFERROR(__xludf.DUMMYFUNCTION("""COMPUTED_VALUE"""),"20000323OHMCL")</f>
        <v>20000323OHMCL</v>
      </c>
      <c r="C1943" s="8" t="str">
        <f ca="1">IFERROR(__xludf.DUMMYFUNCTION("""COMPUTED_VALUE"""),"None")</f>
        <v>None</v>
      </c>
      <c r="D1943" s="8"/>
      <c r="E1943" s="8"/>
      <c r="F1943" s="8"/>
    </row>
    <row r="1944" spans="1:6" ht="12.75">
      <c r="A1944" s="4">
        <v>1943</v>
      </c>
      <c r="B1944" s="8" t="str">
        <f ca="1">IFERROR(__xludf.DUMMYFUNCTION("""COMPUTED_VALUE"""),"20000310GABES")</f>
        <v>20000310GABES</v>
      </c>
      <c r="C1944" s="8" t="str">
        <f ca="1">IFERROR(__xludf.DUMMYFUNCTION("""COMPUTED_VALUE"""),"Wounded")</f>
        <v>Wounded</v>
      </c>
      <c r="D1944" s="8" t="str">
        <f ca="1">IFERROR(__xludf.DUMMYFUNCTION("""COMPUTED_VALUE"""),"Male")</f>
        <v>Male</v>
      </c>
      <c r="E1944" s="8" t="str">
        <f ca="1">IFERROR(__xludf.DUMMYFUNCTION("""COMPUTED_VALUE"""),"Student")</f>
        <v>Student</v>
      </c>
      <c r="F1944" s="8">
        <f ca="1">IFERROR(__xludf.DUMMYFUNCTION("""COMPUTED_VALUE"""),16)</f>
        <v>16</v>
      </c>
    </row>
    <row r="1945" spans="1:6" ht="12.75">
      <c r="A1945" s="4">
        <v>1944</v>
      </c>
      <c r="B1945" s="8" t="str">
        <f ca="1">IFERROR(__xludf.DUMMYFUNCTION("""COMPUTED_VALUE"""),"20000310GABES")</f>
        <v>20000310GABES</v>
      </c>
      <c r="C1945" s="8" t="str">
        <f ca="1">IFERROR(__xludf.DUMMYFUNCTION("""COMPUTED_VALUE"""),"Fatal")</f>
        <v>Fatal</v>
      </c>
      <c r="D1945" s="8" t="str">
        <f ca="1">IFERROR(__xludf.DUMMYFUNCTION("""COMPUTED_VALUE"""),"Female")</f>
        <v>Female</v>
      </c>
      <c r="E1945" s="8" t="str">
        <f ca="1">IFERROR(__xludf.DUMMYFUNCTION("""COMPUTED_VALUE"""),"Student")</f>
        <v>Student</v>
      </c>
      <c r="F1945" s="8">
        <f ca="1">IFERROR(__xludf.DUMMYFUNCTION("""COMPUTED_VALUE"""),19)</f>
        <v>19</v>
      </c>
    </row>
    <row r="1946" spans="1:6" ht="12.75">
      <c r="A1946" s="4">
        <v>1945</v>
      </c>
      <c r="B1946" s="8" t="str">
        <f ca="1">IFERROR(__xludf.DUMMYFUNCTION("""COMPUTED_VALUE"""),"20000310GABES")</f>
        <v>20000310GABES</v>
      </c>
      <c r="C1946" s="8" t="str">
        <f ca="1">IFERROR(__xludf.DUMMYFUNCTION("""COMPUTED_VALUE"""),"Fatal")</f>
        <v>Fatal</v>
      </c>
      <c r="D1946" s="8" t="str">
        <f ca="1">IFERROR(__xludf.DUMMYFUNCTION("""COMPUTED_VALUE"""),"Male")</f>
        <v>Male</v>
      </c>
      <c r="E1946" s="8" t="str">
        <f ca="1">IFERROR(__xludf.DUMMYFUNCTION("""COMPUTED_VALUE"""),"Student")</f>
        <v>Student</v>
      </c>
      <c r="F1946" s="8">
        <f ca="1">IFERROR(__xludf.DUMMYFUNCTION("""COMPUTED_VALUE"""),16)</f>
        <v>16</v>
      </c>
    </row>
    <row r="1947" spans="1:6" ht="12.75">
      <c r="A1947" s="4">
        <v>1946</v>
      </c>
      <c r="B1947" s="8" t="str">
        <f ca="1">IFERROR(__xludf.DUMMYFUNCTION("""COMPUTED_VALUE"""),"20000229MIBUF")</f>
        <v>20000229MIBUF</v>
      </c>
      <c r="C1947" s="8" t="str">
        <f ca="1">IFERROR(__xludf.DUMMYFUNCTION("""COMPUTED_VALUE"""),"Fatal")</f>
        <v>Fatal</v>
      </c>
      <c r="D1947" s="8" t="str">
        <f ca="1">IFERROR(__xludf.DUMMYFUNCTION("""COMPUTED_VALUE"""),"Female")</f>
        <v>Female</v>
      </c>
      <c r="E1947" s="8" t="str">
        <f ca="1">IFERROR(__xludf.DUMMYFUNCTION("""COMPUTED_VALUE"""),"Student")</f>
        <v>Student</v>
      </c>
      <c r="F1947" s="8">
        <f ca="1">IFERROR(__xludf.DUMMYFUNCTION("""COMPUTED_VALUE"""),6)</f>
        <v>6</v>
      </c>
    </row>
    <row r="1948" spans="1:6" ht="12.75">
      <c r="A1948" s="4">
        <v>1947</v>
      </c>
      <c r="B1948" s="8" t="str">
        <f ca="1">IFERROR(__xludf.DUMMYFUNCTION("""COMPUTED_VALUE"""),"20000214ILDUC")</f>
        <v>20000214ILDUC</v>
      </c>
      <c r="C1948" s="8" t="str">
        <f ca="1">IFERROR(__xludf.DUMMYFUNCTION("""COMPUTED_VALUE"""),"Wounded")</f>
        <v>Wounded</v>
      </c>
      <c r="D1948" s="8" t="str">
        <f ca="1">IFERROR(__xludf.DUMMYFUNCTION("""COMPUTED_VALUE"""),"Male")</f>
        <v>Male</v>
      </c>
      <c r="E1948" s="8" t="str">
        <f ca="1">IFERROR(__xludf.DUMMYFUNCTION("""COMPUTED_VALUE"""),"Student")</f>
        <v>Student</v>
      </c>
      <c r="F1948" s="8">
        <f ca="1">IFERROR(__xludf.DUMMYFUNCTION("""COMPUTED_VALUE"""),11)</f>
        <v>11</v>
      </c>
    </row>
    <row r="1949" spans="1:6" ht="12.75">
      <c r="A1949" s="4">
        <v>1948</v>
      </c>
      <c r="B1949" s="8" t="str">
        <f ca="1">IFERROR(__xludf.DUMMYFUNCTION("""COMPUTED_VALUE"""),"20000210PAPEY")</f>
        <v>20000210PAPEY</v>
      </c>
      <c r="C1949" s="8" t="str">
        <f ca="1">IFERROR(__xludf.DUMMYFUNCTION("""COMPUTED_VALUE"""),"None")</f>
        <v>None</v>
      </c>
      <c r="D1949" s="8" t="str">
        <f ca="1">IFERROR(__xludf.DUMMYFUNCTION("""COMPUTED_VALUE"""),"Male")</f>
        <v>Male</v>
      </c>
      <c r="E1949" s="8" t="str">
        <f ca="1">IFERROR(__xludf.DUMMYFUNCTION("""COMPUTED_VALUE"""),"Student")</f>
        <v>Student</v>
      </c>
      <c r="F1949" s="8">
        <f ca="1">IFERROR(__xludf.DUMMYFUNCTION("""COMPUTED_VALUE"""),14)</f>
        <v>14</v>
      </c>
    </row>
    <row r="1950" spans="1:6" ht="12.75">
      <c r="A1950" s="4">
        <v>1949</v>
      </c>
      <c r="B1950" s="8" t="str">
        <f ca="1">IFERROR(__xludf.DUMMYFUNCTION("""COMPUTED_VALUE"""),"20000126NESOO")</f>
        <v>20000126NESOO</v>
      </c>
      <c r="C1950" s="8" t="str">
        <f ca="1">IFERROR(__xludf.DUMMYFUNCTION("""COMPUTED_VALUE"""),"Wounded")</f>
        <v>Wounded</v>
      </c>
      <c r="D1950" s="8" t="str">
        <f ca="1">IFERROR(__xludf.DUMMYFUNCTION("""COMPUTED_VALUE"""),"Female")</f>
        <v>Female</v>
      </c>
      <c r="E1950" s="8" t="str">
        <f ca="1">IFERROR(__xludf.DUMMYFUNCTION("""COMPUTED_VALUE"""),"Student")</f>
        <v>Student</v>
      </c>
      <c r="F1950" s="8">
        <f ca="1">IFERROR(__xludf.DUMMYFUNCTION("""COMPUTED_VALUE"""),16)</f>
        <v>16</v>
      </c>
    </row>
    <row r="1951" spans="1:6" ht="12.75">
      <c r="A1951" s="4">
        <v>1950</v>
      </c>
      <c r="B1951" s="8" t="str">
        <f ca="1">IFERROR(__xludf.DUMMYFUNCTION("""COMPUTED_VALUE"""),"20000126CAALM")</f>
        <v>20000126CAALM</v>
      </c>
      <c r="C1951" s="8" t="str">
        <f ca="1">IFERROR(__xludf.DUMMYFUNCTION("""COMPUTED_VALUE"""),"None")</f>
        <v>None</v>
      </c>
      <c r="D1951" s="8" t="str">
        <f ca="1">IFERROR(__xludf.DUMMYFUNCTION("""COMPUTED_VALUE"""),"Male")</f>
        <v>Male</v>
      </c>
      <c r="E1951" s="8" t="str">
        <f ca="1">IFERROR(__xludf.DUMMYFUNCTION("""COMPUTED_VALUE"""),"No Relation")</f>
        <v>No Relation</v>
      </c>
      <c r="F1951" s="8">
        <f ca="1">IFERROR(__xludf.DUMMYFUNCTION("""COMPUTED_VALUE"""),17)</f>
        <v>17</v>
      </c>
    </row>
    <row r="1952" spans="1:6" ht="12.75">
      <c r="A1952" s="4">
        <v>1951</v>
      </c>
      <c r="B1952" s="8" t="str">
        <f ca="1">IFERROR(__xludf.DUMMYFUNCTION("""COMPUTED_VALUE"""),"20000120NCERA")</f>
        <v>20000120NCERA</v>
      </c>
      <c r="C1952" s="8" t="str">
        <f ca="1">IFERROR(__xludf.DUMMYFUNCTION("""COMPUTED_VALUE"""),"None")</f>
        <v>None</v>
      </c>
      <c r="D1952" s="8"/>
      <c r="E1952" s="8"/>
      <c r="F1952" s="8"/>
    </row>
    <row r="1953" spans="1:6" ht="12.75">
      <c r="A1953" s="4">
        <v>1952</v>
      </c>
      <c r="B1953" s="8" t="str">
        <f ca="1">IFERROR(__xludf.DUMMYFUNCTION("""COMPUTED_VALUE"""),"20000119FLRIN")</f>
        <v>20000119FLRIN</v>
      </c>
      <c r="C1953" s="8" t="str">
        <f ca="1">IFERROR(__xludf.DUMMYFUNCTION("""COMPUTED_VALUE"""),"Fatal")</f>
        <v>Fatal</v>
      </c>
      <c r="D1953" s="8" t="str">
        <f ca="1">IFERROR(__xludf.DUMMYFUNCTION("""COMPUTED_VALUE"""),"Male")</f>
        <v>Male</v>
      </c>
      <c r="E1953" s="8" t="str">
        <f ca="1">IFERROR(__xludf.DUMMYFUNCTION("""COMPUTED_VALUE"""),"Student")</f>
        <v>Student</v>
      </c>
      <c r="F1953" s="8">
        <f ca="1">IFERROR(__xludf.DUMMYFUNCTION("""COMPUTED_VALUE"""),16)</f>
        <v>16</v>
      </c>
    </row>
    <row r="1954" spans="1:6" ht="12.75">
      <c r="A1954" s="4">
        <v>1953</v>
      </c>
      <c r="B1954" s="8" t="str">
        <f ca="1">IFERROR(__xludf.DUMMYFUNCTION("""COMPUTED_VALUE"""),"20000113NMALA")</f>
        <v>20000113NMALA</v>
      </c>
      <c r="C1954" s="8" t="str">
        <f ca="1">IFERROR(__xludf.DUMMYFUNCTION("""COMPUTED_VALUE"""),"None")</f>
        <v>None</v>
      </c>
      <c r="D1954" s="8"/>
      <c r="E1954" s="8"/>
      <c r="F1954" s="8"/>
    </row>
    <row r="1955" spans="1:6" ht="12.75">
      <c r="A1955" s="4">
        <v>1954</v>
      </c>
      <c r="B1955" s="8" t="str">
        <f ca="1">IFERROR(__xludf.DUMMYFUNCTION("""COMPUTED_VALUE"""),"20000110AKBAA")</f>
        <v>20000110AKBAA</v>
      </c>
      <c r="C1955" s="8" t="str">
        <f ca="1">IFERROR(__xludf.DUMMYFUNCTION("""COMPUTED_VALUE"""),"None")</f>
        <v>None</v>
      </c>
      <c r="D1955" s="8" t="str">
        <f ca="1">IFERROR(__xludf.DUMMYFUNCTION("""COMPUTED_VALUE"""),"Male")</f>
        <v>Male</v>
      </c>
      <c r="E1955" s="8" t="str">
        <f ca="1">IFERROR(__xludf.DUMMYFUNCTION("""COMPUTED_VALUE"""),"Student")</f>
        <v>Student</v>
      </c>
      <c r="F1955" s="8">
        <f ca="1">IFERROR(__xludf.DUMMYFUNCTION("""COMPUTED_VALUE"""),16)</f>
        <v>16</v>
      </c>
    </row>
    <row r="1956" spans="1:6" ht="12.75">
      <c r="A1956" s="4">
        <v>1955</v>
      </c>
      <c r="B1956" s="8" t="str">
        <f ca="1">IFERROR(__xludf.DUMMYFUNCTION("""COMPUTED_VALUE"""),"19991206OKFOF")</f>
        <v>19991206OKFOF</v>
      </c>
      <c r="C1956" s="8" t="str">
        <f ca="1">IFERROR(__xludf.DUMMYFUNCTION("""COMPUTED_VALUE"""),"Wounded")</f>
        <v>Wounded</v>
      </c>
      <c r="D1956" s="8"/>
      <c r="E1956" s="8" t="str">
        <f ca="1">IFERROR(__xludf.DUMMYFUNCTION("""COMPUTED_VALUE"""),"Student")</f>
        <v>Student</v>
      </c>
      <c r="F1956" s="8">
        <f ca="1">IFERROR(__xludf.DUMMYFUNCTION("""COMPUTED_VALUE"""),12)</f>
        <v>12</v>
      </c>
    </row>
    <row r="1957" spans="1:6" ht="12.75">
      <c r="A1957" s="4">
        <v>1956</v>
      </c>
      <c r="B1957" s="8" t="str">
        <f ca="1">IFERROR(__xludf.DUMMYFUNCTION("""COMPUTED_VALUE"""),"19991206OKFOF")</f>
        <v>19991206OKFOF</v>
      </c>
      <c r="C1957" s="8" t="str">
        <f ca="1">IFERROR(__xludf.DUMMYFUNCTION("""COMPUTED_VALUE"""),"Wounded")</f>
        <v>Wounded</v>
      </c>
      <c r="D1957" s="8"/>
      <c r="E1957" s="8" t="str">
        <f ca="1">IFERROR(__xludf.DUMMYFUNCTION("""COMPUTED_VALUE"""),"Student")</f>
        <v>Student</v>
      </c>
      <c r="F1957" s="8">
        <f ca="1">IFERROR(__xludf.DUMMYFUNCTION("""COMPUTED_VALUE"""),13)</f>
        <v>13</v>
      </c>
    </row>
    <row r="1958" spans="1:6" ht="12.75">
      <c r="A1958" s="4">
        <v>1957</v>
      </c>
      <c r="B1958" s="8" t="str">
        <f ca="1">IFERROR(__xludf.DUMMYFUNCTION("""COMPUTED_VALUE"""),"19991206OKFOF")</f>
        <v>19991206OKFOF</v>
      </c>
      <c r="C1958" s="8" t="str">
        <f ca="1">IFERROR(__xludf.DUMMYFUNCTION("""COMPUTED_VALUE"""),"Wounded")</f>
        <v>Wounded</v>
      </c>
      <c r="D1958" s="8"/>
      <c r="E1958" s="8" t="str">
        <f ca="1">IFERROR(__xludf.DUMMYFUNCTION("""COMPUTED_VALUE"""),"Student")</f>
        <v>Student</v>
      </c>
      <c r="F1958" s="8">
        <f ca="1">IFERROR(__xludf.DUMMYFUNCTION("""COMPUTED_VALUE"""),13)</f>
        <v>13</v>
      </c>
    </row>
    <row r="1959" spans="1:6" ht="12.75">
      <c r="A1959" s="4">
        <v>1958</v>
      </c>
      <c r="B1959" s="8" t="str">
        <f ca="1">IFERROR(__xludf.DUMMYFUNCTION("""COMPUTED_VALUE"""),"19991206OKFOF")</f>
        <v>19991206OKFOF</v>
      </c>
      <c r="C1959" s="8" t="str">
        <f ca="1">IFERROR(__xludf.DUMMYFUNCTION("""COMPUTED_VALUE"""),"Wounded")</f>
        <v>Wounded</v>
      </c>
      <c r="D1959" s="8"/>
      <c r="E1959" s="8" t="str">
        <f ca="1">IFERROR(__xludf.DUMMYFUNCTION("""COMPUTED_VALUE"""),"Student")</f>
        <v>Student</v>
      </c>
      <c r="F1959" s="8">
        <f ca="1">IFERROR(__xludf.DUMMYFUNCTION("""COMPUTED_VALUE"""),13)</f>
        <v>13</v>
      </c>
    </row>
    <row r="1960" spans="1:6" ht="12.75">
      <c r="A1960" s="4">
        <v>1959</v>
      </c>
      <c r="B1960" s="8" t="str">
        <f ca="1">IFERROR(__xludf.DUMMYFUNCTION("""COMPUTED_VALUE"""),"19991206OKFOF")</f>
        <v>19991206OKFOF</v>
      </c>
      <c r="C1960" s="8" t="str">
        <f ca="1">IFERROR(__xludf.DUMMYFUNCTION("""COMPUTED_VALUE"""),"Wounded")</f>
        <v>Wounded</v>
      </c>
      <c r="D1960" s="8"/>
      <c r="E1960" s="8" t="str">
        <f ca="1">IFERROR(__xludf.DUMMYFUNCTION("""COMPUTED_VALUE"""),"Student")</f>
        <v>Student</v>
      </c>
      <c r="F1960" s="8" t="str">
        <f ca="1">IFERROR(__xludf.DUMMYFUNCTION("""COMPUTED_VALUE"""),"Teen")</f>
        <v>Teen</v>
      </c>
    </row>
    <row r="1961" spans="1:6" ht="12.75">
      <c r="A1961" s="4">
        <v>1960</v>
      </c>
      <c r="B1961" s="8" t="str">
        <f ca="1">IFERROR(__xludf.DUMMYFUNCTION("""COMPUTED_VALUE"""),"19991119NMDED")</f>
        <v>19991119NMDED</v>
      </c>
      <c r="C1961" s="8" t="str">
        <f ca="1">IFERROR(__xludf.DUMMYFUNCTION("""COMPUTED_VALUE"""),"Fatal")</f>
        <v>Fatal</v>
      </c>
      <c r="D1961" s="8" t="str">
        <f ca="1">IFERROR(__xludf.DUMMYFUNCTION("""COMPUTED_VALUE"""),"Male")</f>
        <v>Male</v>
      </c>
      <c r="E1961" s="8" t="str">
        <f ca="1">IFERROR(__xludf.DUMMYFUNCTION("""COMPUTED_VALUE"""),"Student")</f>
        <v>Student</v>
      </c>
      <c r="F1961" s="8">
        <f ca="1">IFERROR(__xludf.DUMMYFUNCTION("""COMPUTED_VALUE"""),13)</f>
        <v>13</v>
      </c>
    </row>
    <row r="1962" spans="1:6" ht="12.75">
      <c r="A1962" s="4">
        <v>1961</v>
      </c>
      <c r="B1962" s="8" t="str">
        <f ca="1">IFERROR(__xludf.DUMMYFUNCTION("""COMPUTED_VALUE"""),"19991117TXDID")</f>
        <v>19991117TXDID</v>
      </c>
      <c r="C1962" s="8" t="str">
        <f ca="1">IFERROR(__xludf.DUMMYFUNCTION("""COMPUTED_VALUE"""),"Wounded")</f>
        <v>Wounded</v>
      </c>
      <c r="D1962" s="8" t="str">
        <f ca="1">IFERROR(__xludf.DUMMYFUNCTION("""COMPUTED_VALUE"""),"Male")</f>
        <v>Male</v>
      </c>
      <c r="E1962" s="8" t="str">
        <f ca="1">IFERROR(__xludf.DUMMYFUNCTION("""COMPUTED_VALUE"""),"Student")</f>
        <v>Student</v>
      </c>
      <c r="F1962" s="8">
        <f ca="1">IFERROR(__xludf.DUMMYFUNCTION("""COMPUTED_VALUE"""),15)</f>
        <v>15</v>
      </c>
    </row>
    <row r="1963" spans="1:6" ht="12.75">
      <c r="A1963" s="4">
        <v>1962</v>
      </c>
      <c r="B1963" s="8" t="str">
        <f ca="1">IFERROR(__xludf.DUMMYFUNCTION("""COMPUTED_VALUE"""),"19991026WVGUB")</f>
        <v>19991026WVGUB</v>
      </c>
      <c r="C1963" s="8" t="str">
        <f ca="1">IFERROR(__xludf.DUMMYFUNCTION("""COMPUTED_VALUE"""),"Fatal")</f>
        <v>Fatal</v>
      </c>
      <c r="D1963" s="8" t="str">
        <f ca="1">IFERROR(__xludf.DUMMYFUNCTION("""COMPUTED_VALUE"""),"Male")</f>
        <v>Male</v>
      </c>
      <c r="E1963" s="8" t="str">
        <f ca="1">IFERROR(__xludf.DUMMYFUNCTION("""COMPUTED_VALUE"""),"Other Staff")</f>
        <v>Other Staff</v>
      </c>
      <c r="F1963" s="8">
        <f ca="1">IFERROR(__xludf.DUMMYFUNCTION("""COMPUTED_VALUE"""),57)</f>
        <v>57</v>
      </c>
    </row>
    <row r="1964" spans="1:6" ht="12.75">
      <c r="A1964" s="4">
        <v>1963</v>
      </c>
      <c r="B1964" s="8" t="str">
        <f ca="1">IFERROR(__xludf.DUMMYFUNCTION("""COMPUTED_VALUE"""),"19991026PAMAP")</f>
        <v>19991026PAMAP</v>
      </c>
      <c r="C1964" s="8" t="str">
        <f ca="1">IFERROR(__xludf.DUMMYFUNCTION("""COMPUTED_VALUE"""),"Fatal")</f>
        <v>Fatal</v>
      </c>
      <c r="D1964" s="8" t="str">
        <f ca="1">IFERROR(__xludf.DUMMYFUNCTION("""COMPUTED_VALUE"""),"Male")</f>
        <v>Male</v>
      </c>
      <c r="E1964" s="8" t="str">
        <f ca="1">IFERROR(__xludf.DUMMYFUNCTION("""COMPUTED_VALUE"""),"Student")</f>
        <v>Student</v>
      </c>
      <c r="F1964" s="8">
        <f ca="1">IFERROR(__xludf.DUMMYFUNCTION("""COMPUTED_VALUE"""),16)</f>
        <v>16</v>
      </c>
    </row>
    <row r="1965" spans="1:6" ht="12.75">
      <c r="A1965" s="4">
        <v>1964</v>
      </c>
      <c r="B1965" s="8" t="str">
        <f ca="1">IFERROR(__xludf.DUMMYFUNCTION("""COMPUTED_VALUE"""),"19991021CASAP")</f>
        <v>19991021CASAP</v>
      </c>
      <c r="C1965" s="8" t="str">
        <f ca="1">IFERROR(__xludf.DUMMYFUNCTION("""COMPUTED_VALUE"""),"Wounded")</f>
        <v>Wounded</v>
      </c>
      <c r="D1965" s="8" t="str">
        <f ca="1">IFERROR(__xludf.DUMMYFUNCTION("""COMPUTED_VALUE"""),"Male")</f>
        <v>Male</v>
      </c>
      <c r="E1965" s="8" t="str">
        <f ca="1">IFERROR(__xludf.DUMMYFUNCTION("""COMPUTED_VALUE"""),"Student")</f>
        <v>Student</v>
      </c>
      <c r="F1965" s="8">
        <f ca="1">IFERROR(__xludf.DUMMYFUNCTION("""COMPUTED_VALUE"""),17)</f>
        <v>17</v>
      </c>
    </row>
    <row r="1966" spans="1:6" ht="12.75">
      <c r="A1966" s="4">
        <v>1965</v>
      </c>
      <c r="B1966" s="8" t="str">
        <f ca="1">IFERROR(__xludf.DUMMYFUNCTION("""COMPUTED_VALUE"""),"19991011NVCLL")</f>
        <v>19991011NVCLL</v>
      </c>
      <c r="C1966" s="8" t="str">
        <f ca="1">IFERROR(__xludf.DUMMYFUNCTION("""COMPUTED_VALUE"""),"Wounded")</f>
        <v>Wounded</v>
      </c>
      <c r="D1966" s="8" t="str">
        <f ca="1">IFERROR(__xludf.DUMMYFUNCTION("""COMPUTED_VALUE"""),"Male")</f>
        <v>Male</v>
      </c>
      <c r="E1966" s="8" t="str">
        <f ca="1">IFERROR(__xludf.DUMMYFUNCTION("""COMPUTED_VALUE"""),"Student")</f>
        <v>Student</v>
      </c>
      <c r="F1966" s="8">
        <f ca="1">IFERROR(__xludf.DUMMYFUNCTION("""COMPUTED_VALUE"""),15)</f>
        <v>15</v>
      </c>
    </row>
    <row r="1967" spans="1:6" ht="12.75">
      <c r="A1967" s="4">
        <v>1966</v>
      </c>
      <c r="B1967" s="8" t="str">
        <f ca="1">IFERROR(__xludf.DUMMYFUNCTION("""COMPUTED_VALUE"""),"19991011NVCLL")</f>
        <v>19991011NVCLL</v>
      </c>
      <c r="C1967" s="8" t="str">
        <f ca="1">IFERROR(__xludf.DUMMYFUNCTION("""COMPUTED_VALUE"""),"Wounded")</f>
        <v>Wounded</v>
      </c>
      <c r="D1967" s="8" t="str">
        <f ca="1">IFERROR(__xludf.DUMMYFUNCTION("""COMPUTED_VALUE"""),"Male")</f>
        <v>Male</v>
      </c>
      <c r="E1967" s="8" t="str">
        <f ca="1">IFERROR(__xludf.DUMMYFUNCTION("""COMPUTED_VALUE"""),"Student")</f>
        <v>Student</v>
      </c>
      <c r="F1967" s="8">
        <f ca="1">IFERROR(__xludf.DUMMYFUNCTION("""COMPUTED_VALUE"""),16)</f>
        <v>16</v>
      </c>
    </row>
    <row r="1968" spans="1:6" ht="12.75">
      <c r="A1968" s="4">
        <v>1967</v>
      </c>
      <c r="B1968" s="8" t="str">
        <f ca="1">IFERROR(__xludf.DUMMYFUNCTION("""COMPUTED_VALUE"""),"19991004SDJOP")</f>
        <v>19991004SDJOP</v>
      </c>
      <c r="C1968" s="8" t="str">
        <f ca="1">IFERROR(__xludf.DUMMYFUNCTION("""COMPUTED_VALUE"""),"Wounded")</f>
        <v>Wounded</v>
      </c>
      <c r="D1968" s="8" t="str">
        <f ca="1">IFERROR(__xludf.DUMMYFUNCTION("""COMPUTED_VALUE"""),"Male")</f>
        <v>Male</v>
      </c>
      <c r="E1968" s="8" t="str">
        <f ca="1">IFERROR(__xludf.DUMMYFUNCTION("""COMPUTED_VALUE"""),"Principal/Vice-Principal")</f>
        <v>Principal/Vice-Principal</v>
      </c>
      <c r="F1968" s="8">
        <f ca="1">IFERROR(__xludf.DUMMYFUNCTION("""COMPUTED_VALUE"""),61)</f>
        <v>61</v>
      </c>
    </row>
    <row r="1969" spans="1:6" ht="12.75">
      <c r="A1969" s="4">
        <v>1968</v>
      </c>
      <c r="B1969" s="8" t="str">
        <f ca="1">IFERROR(__xludf.DUMMYFUNCTION("""COMPUTED_VALUE"""),"19990927FLEGT")</f>
        <v>19990927FLEGT</v>
      </c>
      <c r="C1969" s="8" t="str">
        <f ca="1">IFERROR(__xludf.DUMMYFUNCTION("""COMPUTED_VALUE"""),"Wounded")</f>
        <v>Wounded</v>
      </c>
      <c r="D1969" s="8" t="str">
        <f ca="1">IFERROR(__xludf.DUMMYFUNCTION("""COMPUTED_VALUE"""),"Female")</f>
        <v>Female</v>
      </c>
      <c r="E1969" s="8" t="str">
        <f ca="1">IFERROR(__xludf.DUMMYFUNCTION("""COMPUTED_VALUE"""),"Student")</f>
        <v>Student</v>
      </c>
      <c r="F1969" s="8">
        <f ca="1">IFERROR(__xludf.DUMMYFUNCTION("""COMPUTED_VALUE"""),10)</f>
        <v>10</v>
      </c>
    </row>
    <row r="1970" spans="1:6" ht="12.75">
      <c r="A1970" s="4">
        <v>1969</v>
      </c>
      <c r="B1970" s="8" t="str">
        <f ca="1">IFERROR(__xludf.DUMMYFUNCTION("""COMPUTED_VALUE"""),"19990909CASAS")</f>
        <v>19990909CASAS</v>
      </c>
      <c r="C1970" s="8" t="str">
        <f ca="1">IFERROR(__xludf.DUMMYFUNCTION("""COMPUTED_VALUE"""),"None")</f>
        <v>None</v>
      </c>
      <c r="D1970" s="8" t="str">
        <f ca="1">IFERROR(__xludf.DUMMYFUNCTION("""COMPUTED_VALUE"""),"Male")</f>
        <v>Male</v>
      </c>
      <c r="E1970" s="8" t="str">
        <f ca="1">IFERROR(__xludf.DUMMYFUNCTION("""COMPUTED_VALUE"""),"Student")</f>
        <v>Student</v>
      </c>
      <c r="F1970" s="8">
        <f ca="1">IFERROR(__xludf.DUMMYFUNCTION("""COMPUTED_VALUE"""),16)</f>
        <v>16</v>
      </c>
    </row>
    <row r="1971" spans="1:6" ht="12.75">
      <c r="A1971" s="4">
        <v>1970</v>
      </c>
      <c r="B1971" s="8" t="str">
        <f ca="1">IFERROR(__xludf.DUMMYFUNCTION("""COMPUTED_VALUE"""),"19990825GAJAM")</f>
        <v>19990825GAJAM</v>
      </c>
      <c r="C1971" s="8" t="str">
        <f ca="1">IFERROR(__xludf.DUMMYFUNCTION("""COMPUTED_VALUE"""),"None")</f>
        <v>None</v>
      </c>
      <c r="D1971" s="8" t="str">
        <f ca="1">IFERROR(__xludf.DUMMYFUNCTION("""COMPUTED_VALUE"""),"Female")</f>
        <v>Female</v>
      </c>
      <c r="E1971" s="8" t="str">
        <f ca="1">IFERROR(__xludf.DUMMYFUNCTION("""COMPUTED_VALUE"""),"Student")</f>
        <v>Student</v>
      </c>
      <c r="F1971" s="8">
        <f ca="1">IFERROR(__xludf.DUMMYFUNCTION("""COMPUTED_VALUE"""),16)</f>
        <v>16</v>
      </c>
    </row>
    <row r="1972" spans="1:6" ht="12.75">
      <c r="A1972" s="4">
        <v>1971</v>
      </c>
      <c r="B1972" s="8" t="str">
        <f ca="1">IFERROR(__xludf.DUMMYFUNCTION("""COMPUTED_VALUE"""),"19990520GAHEC")</f>
        <v>19990520GAHEC</v>
      </c>
      <c r="C1972" s="8" t="str">
        <f ca="1">IFERROR(__xludf.DUMMYFUNCTION("""COMPUTED_VALUE"""),"Wounded")</f>
        <v>Wounded</v>
      </c>
      <c r="D1972" s="8"/>
      <c r="E1972" s="8" t="str">
        <f ca="1">IFERROR(__xludf.DUMMYFUNCTION("""COMPUTED_VALUE"""),"Student")</f>
        <v>Student</v>
      </c>
      <c r="F1972" s="8">
        <f ca="1">IFERROR(__xludf.DUMMYFUNCTION("""COMPUTED_VALUE"""),16)</f>
        <v>16</v>
      </c>
    </row>
    <row r="1973" spans="1:6" ht="12.75">
      <c r="A1973" s="4">
        <v>1972</v>
      </c>
      <c r="B1973" s="8" t="str">
        <f ca="1">IFERROR(__xludf.DUMMYFUNCTION("""COMPUTED_VALUE"""),"19990520GAHEC")</f>
        <v>19990520GAHEC</v>
      </c>
      <c r="C1973" s="8" t="str">
        <f ca="1">IFERROR(__xludf.DUMMYFUNCTION("""COMPUTED_VALUE"""),"Wounded")</f>
        <v>Wounded</v>
      </c>
      <c r="D1973" s="8"/>
      <c r="E1973" s="8" t="str">
        <f ca="1">IFERROR(__xludf.DUMMYFUNCTION("""COMPUTED_VALUE"""),"Student")</f>
        <v>Student</v>
      </c>
      <c r="F1973" s="8">
        <f ca="1">IFERROR(__xludf.DUMMYFUNCTION("""COMPUTED_VALUE"""),17)</f>
        <v>17</v>
      </c>
    </row>
    <row r="1974" spans="1:6" ht="12.75">
      <c r="A1974" s="4">
        <v>1973</v>
      </c>
      <c r="B1974" s="8" t="str">
        <f ca="1">IFERROR(__xludf.DUMMYFUNCTION("""COMPUTED_VALUE"""),"19990520GAHEC")</f>
        <v>19990520GAHEC</v>
      </c>
      <c r="C1974" s="8" t="str">
        <f ca="1">IFERROR(__xludf.DUMMYFUNCTION("""COMPUTED_VALUE"""),"Wounded")</f>
        <v>Wounded</v>
      </c>
      <c r="D1974" s="8" t="str">
        <f ca="1">IFERROR(__xludf.DUMMYFUNCTION("""COMPUTED_VALUE"""),"Female")</f>
        <v>Female</v>
      </c>
      <c r="E1974" s="8" t="str">
        <f ca="1">IFERROR(__xludf.DUMMYFUNCTION("""COMPUTED_VALUE"""),"Student")</f>
        <v>Student</v>
      </c>
      <c r="F1974" s="8">
        <f ca="1">IFERROR(__xludf.DUMMYFUNCTION("""COMPUTED_VALUE"""),15)</f>
        <v>15</v>
      </c>
    </row>
    <row r="1975" spans="1:6" ht="12.75">
      <c r="A1975" s="4">
        <v>1974</v>
      </c>
      <c r="B1975" s="8" t="str">
        <f ca="1">IFERROR(__xludf.DUMMYFUNCTION("""COMPUTED_VALUE"""),"19990520GAHEC")</f>
        <v>19990520GAHEC</v>
      </c>
      <c r="C1975" s="8" t="str">
        <f ca="1">IFERROR(__xludf.DUMMYFUNCTION("""COMPUTED_VALUE"""),"Wounded")</f>
        <v>Wounded</v>
      </c>
      <c r="D1975" s="8"/>
      <c r="E1975" s="8" t="str">
        <f ca="1">IFERROR(__xludf.DUMMYFUNCTION("""COMPUTED_VALUE"""),"Student")</f>
        <v>Student</v>
      </c>
      <c r="F1975" s="8">
        <f ca="1">IFERROR(__xludf.DUMMYFUNCTION("""COMPUTED_VALUE"""),18)</f>
        <v>18</v>
      </c>
    </row>
    <row r="1976" spans="1:6" ht="12.75">
      <c r="A1976" s="4">
        <v>1975</v>
      </c>
      <c r="B1976" s="8" t="str">
        <f ca="1">IFERROR(__xludf.DUMMYFUNCTION("""COMPUTED_VALUE"""),"19990520GAHEC")</f>
        <v>19990520GAHEC</v>
      </c>
      <c r="C1976" s="8" t="str">
        <f ca="1">IFERROR(__xludf.DUMMYFUNCTION("""COMPUTED_VALUE"""),"Wounded")</f>
        <v>Wounded</v>
      </c>
      <c r="D1976" s="8"/>
      <c r="E1976" s="8" t="str">
        <f ca="1">IFERROR(__xludf.DUMMYFUNCTION("""COMPUTED_VALUE"""),"Student")</f>
        <v>Student</v>
      </c>
      <c r="F1976" s="8">
        <f ca="1">IFERROR(__xludf.DUMMYFUNCTION("""COMPUTED_VALUE"""),15)</f>
        <v>15</v>
      </c>
    </row>
    <row r="1977" spans="1:6" ht="12.75">
      <c r="A1977" s="4">
        <v>1976</v>
      </c>
      <c r="B1977" s="8" t="str">
        <f ca="1">IFERROR(__xludf.DUMMYFUNCTION("""COMPUTED_VALUE"""),"19990520GAHEC")</f>
        <v>19990520GAHEC</v>
      </c>
      <c r="C1977" s="8" t="str">
        <f ca="1">IFERROR(__xludf.DUMMYFUNCTION("""COMPUTED_VALUE"""),"Wounded")</f>
        <v>Wounded</v>
      </c>
      <c r="D1977" s="8"/>
      <c r="E1977" s="8" t="str">
        <f ca="1">IFERROR(__xludf.DUMMYFUNCTION("""COMPUTED_VALUE"""),"Student")</f>
        <v>Student</v>
      </c>
      <c r="F1977" s="8">
        <f ca="1">IFERROR(__xludf.DUMMYFUNCTION("""COMPUTED_VALUE"""),18)</f>
        <v>18</v>
      </c>
    </row>
    <row r="1978" spans="1:6" ht="12.75">
      <c r="A1978" s="4">
        <v>1977</v>
      </c>
      <c r="B1978" s="8" t="str">
        <f ca="1">IFERROR(__xludf.DUMMYFUNCTION("""COMPUTED_VALUE"""),"19990422LASCB")</f>
        <v>19990422LASCB</v>
      </c>
      <c r="C1978" s="8" t="str">
        <f ca="1">IFERROR(__xludf.DUMMYFUNCTION("""COMPUTED_VALUE"""),"Wounded")</f>
        <v>Wounded</v>
      </c>
      <c r="D1978" s="8" t="str">
        <f ca="1">IFERROR(__xludf.DUMMYFUNCTION("""COMPUTED_VALUE"""),"Female")</f>
        <v>Female</v>
      </c>
      <c r="E1978" s="8" t="str">
        <f ca="1">IFERROR(__xludf.DUMMYFUNCTION("""COMPUTED_VALUE"""),"Student")</f>
        <v>Student</v>
      </c>
      <c r="F1978" s="8">
        <f ca="1">IFERROR(__xludf.DUMMYFUNCTION("""COMPUTED_VALUE"""),14)</f>
        <v>14</v>
      </c>
    </row>
    <row r="1979" spans="1:6" ht="12.75">
      <c r="A1979" s="4">
        <v>1978</v>
      </c>
      <c r="B1979" s="8" t="str">
        <f ca="1">IFERROR(__xludf.DUMMYFUNCTION("""COMPUTED_VALUE"""),"19990422GAMAA")</f>
        <v>19990422GAMAA</v>
      </c>
      <c r="C1979" s="8" t="str">
        <f ca="1">IFERROR(__xludf.DUMMYFUNCTION("""COMPUTED_VALUE"""),"Fatal")</f>
        <v>Fatal</v>
      </c>
      <c r="D1979" s="8" t="str">
        <f ca="1">IFERROR(__xludf.DUMMYFUNCTION("""COMPUTED_VALUE"""),"Male")</f>
        <v>Male</v>
      </c>
      <c r="E1979" s="8" t="str">
        <f ca="1">IFERROR(__xludf.DUMMYFUNCTION("""COMPUTED_VALUE"""),"Student")</f>
        <v>Student</v>
      </c>
      <c r="F1979" s="8">
        <f ca="1">IFERROR(__xludf.DUMMYFUNCTION("""COMPUTED_VALUE"""),13)</f>
        <v>13</v>
      </c>
    </row>
    <row r="1980" spans="1:6" ht="12.75">
      <c r="A1980" s="4">
        <v>1979</v>
      </c>
      <c r="B1980" s="8" t="str">
        <f ca="1">IFERROR(__xludf.DUMMYFUNCTION("""COMPUTED_VALUE"""),"19990420COCOL")</f>
        <v>19990420COCOL</v>
      </c>
      <c r="C1980" s="8" t="str">
        <f ca="1">IFERROR(__xludf.DUMMYFUNCTION("""COMPUTED_VALUE"""),"Wounded")</f>
        <v>Wounded</v>
      </c>
      <c r="D1980" s="8"/>
      <c r="E1980" s="8" t="str">
        <f ca="1">IFERROR(__xludf.DUMMYFUNCTION("""COMPUTED_VALUE"""),"Student")</f>
        <v>Student</v>
      </c>
      <c r="F1980" s="8">
        <f ca="1">IFERROR(__xludf.DUMMYFUNCTION("""COMPUTED_VALUE"""),17)</f>
        <v>17</v>
      </c>
    </row>
    <row r="1981" spans="1:6" ht="12.75">
      <c r="A1981" s="4">
        <v>1980</v>
      </c>
      <c r="B1981" s="8" t="str">
        <f ca="1">IFERROR(__xludf.DUMMYFUNCTION("""COMPUTED_VALUE"""),"19990420COCOL")</f>
        <v>19990420COCOL</v>
      </c>
      <c r="C1981" s="8" t="str">
        <f ca="1">IFERROR(__xludf.DUMMYFUNCTION("""COMPUTED_VALUE"""),"Wounded")</f>
        <v>Wounded</v>
      </c>
      <c r="D1981" s="8" t="str">
        <f ca="1">IFERROR(__xludf.DUMMYFUNCTION("""COMPUTED_VALUE"""),"Female")</f>
        <v>Female</v>
      </c>
      <c r="E1981" s="8" t="str">
        <f ca="1">IFERROR(__xludf.DUMMYFUNCTION("""COMPUTED_VALUE"""),"Student")</f>
        <v>Student</v>
      </c>
      <c r="F1981" s="8">
        <f ca="1">IFERROR(__xludf.DUMMYFUNCTION("""COMPUTED_VALUE"""),17)</f>
        <v>17</v>
      </c>
    </row>
    <row r="1982" spans="1:6" ht="12.75">
      <c r="A1982" s="4">
        <v>1981</v>
      </c>
      <c r="B1982" s="8" t="str">
        <f ca="1">IFERROR(__xludf.DUMMYFUNCTION("""COMPUTED_VALUE"""),"19990420COCOL")</f>
        <v>19990420COCOL</v>
      </c>
      <c r="C1982" s="8" t="str">
        <f ca="1">IFERROR(__xludf.DUMMYFUNCTION("""COMPUTED_VALUE"""),"Wounded")</f>
        <v>Wounded</v>
      </c>
      <c r="D1982" s="8"/>
      <c r="E1982" s="8" t="str">
        <f ca="1">IFERROR(__xludf.DUMMYFUNCTION("""COMPUTED_VALUE"""),"Student")</f>
        <v>Student</v>
      </c>
      <c r="F1982" s="8">
        <f ca="1">IFERROR(__xludf.DUMMYFUNCTION("""COMPUTED_VALUE"""),17)</f>
        <v>17</v>
      </c>
    </row>
    <row r="1983" spans="1:6" ht="12.75">
      <c r="A1983" s="4">
        <v>1982</v>
      </c>
      <c r="B1983" s="8" t="str">
        <f ca="1">IFERROR(__xludf.DUMMYFUNCTION("""COMPUTED_VALUE"""),"19990420COCOL")</f>
        <v>19990420COCOL</v>
      </c>
      <c r="C1983" s="8" t="str">
        <f ca="1">IFERROR(__xludf.DUMMYFUNCTION("""COMPUTED_VALUE"""),"Fatal")</f>
        <v>Fatal</v>
      </c>
      <c r="D1983" s="8" t="str">
        <f ca="1">IFERROR(__xludf.DUMMYFUNCTION("""COMPUTED_VALUE"""),"Female")</f>
        <v>Female</v>
      </c>
      <c r="E1983" s="8" t="str">
        <f ca="1">IFERROR(__xludf.DUMMYFUNCTION("""COMPUTED_VALUE"""),"Student")</f>
        <v>Student</v>
      </c>
      <c r="F1983" s="8">
        <f ca="1">IFERROR(__xludf.DUMMYFUNCTION("""COMPUTED_VALUE"""),18)</f>
        <v>18</v>
      </c>
    </row>
    <row r="1984" spans="1:6" ht="12.75">
      <c r="A1984" s="4">
        <v>1983</v>
      </c>
      <c r="B1984" s="8" t="str">
        <f ca="1">IFERROR(__xludf.DUMMYFUNCTION("""COMPUTED_VALUE"""),"19990420COCOL")</f>
        <v>19990420COCOL</v>
      </c>
      <c r="C1984" s="8" t="str">
        <f ca="1">IFERROR(__xludf.DUMMYFUNCTION("""COMPUTED_VALUE"""),"Fatal")</f>
        <v>Fatal</v>
      </c>
      <c r="D1984" s="8" t="str">
        <f ca="1">IFERROR(__xludf.DUMMYFUNCTION("""COMPUTED_VALUE"""),"Male")</f>
        <v>Male</v>
      </c>
      <c r="E1984" s="8" t="str">
        <f ca="1">IFERROR(__xludf.DUMMYFUNCTION("""COMPUTED_VALUE"""),"Student")</f>
        <v>Student</v>
      </c>
      <c r="F1984" s="8">
        <f ca="1">IFERROR(__xludf.DUMMYFUNCTION("""COMPUTED_VALUE"""),17)</f>
        <v>17</v>
      </c>
    </row>
    <row r="1985" spans="1:6" ht="12.75">
      <c r="A1985" s="4">
        <v>1984</v>
      </c>
      <c r="B1985" s="8" t="str">
        <f ca="1">IFERROR(__xludf.DUMMYFUNCTION("""COMPUTED_VALUE"""),"19990420COCOL")</f>
        <v>19990420COCOL</v>
      </c>
      <c r="C1985" s="8" t="str">
        <f ca="1">IFERROR(__xludf.DUMMYFUNCTION("""COMPUTED_VALUE"""),"Wounded")</f>
        <v>Wounded</v>
      </c>
      <c r="D1985" s="8"/>
      <c r="E1985" s="8" t="str">
        <f ca="1">IFERROR(__xludf.DUMMYFUNCTION("""COMPUTED_VALUE"""),"Student")</f>
        <v>Student</v>
      </c>
      <c r="F1985" s="8" t="str">
        <f ca="1">IFERROR(__xludf.DUMMYFUNCTION("""COMPUTED_VALUE"""),"Teen")</f>
        <v>Teen</v>
      </c>
    </row>
    <row r="1986" spans="1:6" ht="12.75">
      <c r="A1986" s="4">
        <v>1985</v>
      </c>
      <c r="B1986" s="8" t="str">
        <f ca="1">IFERROR(__xludf.DUMMYFUNCTION("""COMPUTED_VALUE"""),"19990420COCOL")</f>
        <v>19990420COCOL</v>
      </c>
      <c r="C1986" s="8" t="str">
        <f ca="1">IFERROR(__xludf.DUMMYFUNCTION("""COMPUTED_VALUE"""),"Wounded")</f>
        <v>Wounded</v>
      </c>
      <c r="D1986" s="8" t="str">
        <f ca="1">IFERROR(__xludf.DUMMYFUNCTION("""COMPUTED_VALUE"""),"Male")</f>
        <v>Male</v>
      </c>
      <c r="E1986" s="8" t="str">
        <f ca="1">IFERROR(__xludf.DUMMYFUNCTION("""COMPUTED_VALUE"""),"Student")</f>
        <v>Student</v>
      </c>
      <c r="F1986" s="8">
        <f ca="1">IFERROR(__xludf.DUMMYFUNCTION("""COMPUTED_VALUE"""),16)</f>
        <v>16</v>
      </c>
    </row>
    <row r="1987" spans="1:6" ht="12.75">
      <c r="A1987" s="4">
        <v>1986</v>
      </c>
      <c r="B1987" s="8" t="str">
        <f ca="1">IFERROR(__xludf.DUMMYFUNCTION("""COMPUTED_VALUE"""),"19990420COCOL")</f>
        <v>19990420COCOL</v>
      </c>
      <c r="C1987" s="8" t="str">
        <f ca="1">IFERROR(__xludf.DUMMYFUNCTION("""COMPUTED_VALUE"""),"Wounded")</f>
        <v>Wounded</v>
      </c>
      <c r="D1987" s="8" t="str">
        <f ca="1">IFERROR(__xludf.DUMMYFUNCTION("""COMPUTED_VALUE"""),"Female")</f>
        <v>Female</v>
      </c>
      <c r="E1987" s="8" t="str">
        <f ca="1">IFERROR(__xludf.DUMMYFUNCTION("""COMPUTED_VALUE"""),"Teacher")</f>
        <v>Teacher</v>
      </c>
      <c r="F1987" s="8">
        <f ca="1">IFERROR(__xludf.DUMMYFUNCTION("""COMPUTED_VALUE"""),35)</f>
        <v>35</v>
      </c>
    </row>
    <row r="1988" spans="1:6" ht="12.75">
      <c r="A1988" s="4">
        <v>1987</v>
      </c>
      <c r="B1988" s="8" t="str">
        <f ca="1">IFERROR(__xludf.DUMMYFUNCTION("""COMPUTED_VALUE"""),"19990420COCOL")</f>
        <v>19990420COCOL</v>
      </c>
      <c r="C1988" s="8" t="str">
        <f ca="1">IFERROR(__xludf.DUMMYFUNCTION("""COMPUTED_VALUE"""),"Wounded")</f>
        <v>Wounded</v>
      </c>
      <c r="D1988" s="8" t="str">
        <f ca="1">IFERROR(__xludf.DUMMYFUNCTION("""COMPUTED_VALUE"""),"Male")</f>
        <v>Male</v>
      </c>
      <c r="E1988" s="8" t="str">
        <f ca="1">IFERROR(__xludf.DUMMYFUNCTION("""COMPUTED_VALUE"""),"Student")</f>
        <v>Student</v>
      </c>
      <c r="F1988" s="8">
        <f ca="1">IFERROR(__xludf.DUMMYFUNCTION("""COMPUTED_VALUE"""),17)</f>
        <v>17</v>
      </c>
    </row>
    <row r="1989" spans="1:6" ht="12.75">
      <c r="A1989" s="4">
        <v>1988</v>
      </c>
      <c r="B1989" s="8" t="str">
        <f ca="1">IFERROR(__xludf.DUMMYFUNCTION("""COMPUTED_VALUE"""),"19990420COCOL")</f>
        <v>19990420COCOL</v>
      </c>
      <c r="C1989" s="8" t="str">
        <f ca="1">IFERROR(__xludf.DUMMYFUNCTION("""COMPUTED_VALUE"""),"Wounded")</f>
        <v>Wounded</v>
      </c>
      <c r="D1989" s="8"/>
      <c r="E1989" s="8" t="str">
        <f ca="1">IFERROR(__xludf.DUMMYFUNCTION("""COMPUTED_VALUE"""),"Student")</f>
        <v>Student</v>
      </c>
      <c r="F1989" s="8">
        <f ca="1">IFERROR(__xludf.DUMMYFUNCTION("""COMPUTED_VALUE"""),16)</f>
        <v>16</v>
      </c>
    </row>
    <row r="1990" spans="1:6" ht="12.75">
      <c r="A1990" s="4">
        <v>1989</v>
      </c>
      <c r="B1990" s="8" t="str">
        <f ca="1">IFERROR(__xludf.DUMMYFUNCTION("""COMPUTED_VALUE"""),"19990420COCOL")</f>
        <v>19990420COCOL</v>
      </c>
      <c r="C1990" s="8" t="str">
        <f ca="1">IFERROR(__xludf.DUMMYFUNCTION("""COMPUTED_VALUE"""),"Fatal")</f>
        <v>Fatal</v>
      </c>
      <c r="D1990" s="8" t="str">
        <f ca="1">IFERROR(__xludf.DUMMYFUNCTION("""COMPUTED_VALUE"""),"Male")</f>
        <v>Male</v>
      </c>
      <c r="E1990" s="8" t="str">
        <f ca="1">IFERROR(__xludf.DUMMYFUNCTION("""COMPUTED_VALUE"""),"Student")</f>
        <v>Student</v>
      </c>
      <c r="F1990" s="8">
        <f ca="1">IFERROR(__xludf.DUMMYFUNCTION("""COMPUTED_VALUE"""),16)</f>
        <v>16</v>
      </c>
    </row>
    <row r="1991" spans="1:6" ht="12.75">
      <c r="A1991" s="4">
        <v>1990</v>
      </c>
      <c r="B1991" s="8" t="str">
        <f ca="1">IFERROR(__xludf.DUMMYFUNCTION("""COMPUTED_VALUE"""),"19990420COCOL")</f>
        <v>19990420COCOL</v>
      </c>
      <c r="C1991" s="8" t="str">
        <f ca="1">IFERROR(__xludf.DUMMYFUNCTION("""COMPUTED_VALUE"""),"Fatal")</f>
        <v>Fatal</v>
      </c>
      <c r="D1991" s="8" t="str">
        <f ca="1">IFERROR(__xludf.DUMMYFUNCTION("""COMPUTED_VALUE"""),"Male")</f>
        <v>Male</v>
      </c>
      <c r="E1991" s="8" t="str">
        <f ca="1">IFERROR(__xludf.DUMMYFUNCTION("""COMPUTED_VALUE"""),"Student")</f>
        <v>Student</v>
      </c>
      <c r="F1991" s="8">
        <f ca="1">IFERROR(__xludf.DUMMYFUNCTION("""COMPUTED_VALUE"""),15)</f>
        <v>15</v>
      </c>
    </row>
    <row r="1992" spans="1:6" ht="12.75">
      <c r="A1992" s="4">
        <v>1991</v>
      </c>
      <c r="B1992" s="8" t="str">
        <f ca="1">IFERROR(__xludf.DUMMYFUNCTION("""COMPUTED_VALUE"""),"19990420COCOL")</f>
        <v>19990420COCOL</v>
      </c>
      <c r="C1992" s="8" t="str">
        <f ca="1">IFERROR(__xludf.DUMMYFUNCTION("""COMPUTED_VALUE"""),"Fatal")</f>
        <v>Fatal</v>
      </c>
      <c r="D1992" s="8" t="str">
        <f ca="1">IFERROR(__xludf.DUMMYFUNCTION("""COMPUTED_VALUE"""),"Male")</f>
        <v>Male</v>
      </c>
      <c r="E1992" s="8" t="str">
        <f ca="1">IFERROR(__xludf.DUMMYFUNCTION("""COMPUTED_VALUE"""),"Student")</f>
        <v>Student</v>
      </c>
      <c r="F1992" s="8">
        <f ca="1">IFERROR(__xludf.DUMMYFUNCTION("""COMPUTED_VALUE"""),15)</f>
        <v>15</v>
      </c>
    </row>
    <row r="1993" spans="1:6" ht="12.75">
      <c r="A1993" s="4">
        <v>1992</v>
      </c>
      <c r="B1993" s="8" t="str">
        <f ca="1">IFERROR(__xludf.DUMMYFUNCTION("""COMPUTED_VALUE"""),"19990420COCOL")</f>
        <v>19990420COCOL</v>
      </c>
      <c r="C1993" s="8" t="str">
        <f ca="1">IFERROR(__xludf.DUMMYFUNCTION("""COMPUTED_VALUE"""),"Wounded")</f>
        <v>Wounded</v>
      </c>
      <c r="D1993" s="8"/>
      <c r="E1993" s="8" t="str">
        <f ca="1">IFERROR(__xludf.DUMMYFUNCTION("""COMPUTED_VALUE"""),"Student")</f>
        <v>Student</v>
      </c>
      <c r="F1993" s="8">
        <f ca="1">IFERROR(__xludf.DUMMYFUNCTION("""COMPUTED_VALUE"""),17)</f>
        <v>17</v>
      </c>
    </row>
    <row r="1994" spans="1:6" ht="12.75">
      <c r="A1994" s="4">
        <v>1993</v>
      </c>
      <c r="B1994" s="8" t="str">
        <f ca="1">IFERROR(__xludf.DUMMYFUNCTION("""COMPUTED_VALUE"""),"19990420COCOL")</f>
        <v>19990420COCOL</v>
      </c>
      <c r="C1994" s="8" t="str">
        <f ca="1">IFERROR(__xludf.DUMMYFUNCTION("""COMPUTED_VALUE"""),"Wounded")</f>
        <v>Wounded</v>
      </c>
      <c r="D1994" s="8" t="str">
        <f ca="1">IFERROR(__xludf.DUMMYFUNCTION("""COMPUTED_VALUE"""),"Female")</f>
        <v>Female</v>
      </c>
      <c r="E1994" s="8" t="str">
        <f ca="1">IFERROR(__xludf.DUMMYFUNCTION("""COMPUTED_VALUE"""),"Student")</f>
        <v>Student</v>
      </c>
      <c r="F1994" s="8">
        <f ca="1">IFERROR(__xludf.DUMMYFUNCTION("""COMPUTED_VALUE"""),17)</f>
        <v>17</v>
      </c>
    </row>
    <row r="1995" spans="1:6" ht="12.75">
      <c r="A1995" s="4">
        <v>1994</v>
      </c>
      <c r="B1995" s="8" t="str">
        <f ca="1">IFERROR(__xludf.DUMMYFUNCTION("""COMPUTED_VALUE"""),"19990420COCOL")</f>
        <v>19990420COCOL</v>
      </c>
      <c r="C1995" s="8" t="str">
        <f ca="1">IFERROR(__xludf.DUMMYFUNCTION("""COMPUTED_VALUE"""),"Wounded")</f>
        <v>Wounded</v>
      </c>
      <c r="D1995" s="8"/>
      <c r="E1995" s="8" t="str">
        <f ca="1">IFERROR(__xludf.DUMMYFUNCTION("""COMPUTED_VALUE"""),"Student")</f>
        <v>Student</v>
      </c>
      <c r="F1995" s="8">
        <f ca="1">IFERROR(__xludf.DUMMYFUNCTION("""COMPUTED_VALUE"""),16)</f>
        <v>16</v>
      </c>
    </row>
    <row r="1996" spans="1:6" ht="12.75">
      <c r="A1996" s="4">
        <v>1995</v>
      </c>
      <c r="B1996" s="8" t="str">
        <f ca="1">IFERROR(__xludf.DUMMYFUNCTION("""COMPUTED_VALUE"""),"19990420COCOL")</f>
        <v>19990420COCOL</v>
      </c>
      <c r="C1996" s="8" t="str">
        <f ca="1">IFERROR(__xludf.DUMMYFUNCTION("""COMPUTED_VALUE"""),"Wounded")</f>
        <v>Wounded</v>
      </c>
      <c r="D1996" s="8"/>
      <c r="E1996" s="8" t="str">
        <f ca="1">IFERROR(__xludf.DUMMYFUNCTION("""COMPUTED_VALUE"""),"Student")</f>
        <v>Student</v>
      </c>
      <c r="F1996" s="8">
        <f ca="1">IFERROR(__xludf.DUMMYFUNCTION("""COMPUTED_VALUE"""),18)</f>
        <v>18</v>
      </c>
    </row>
    <row r="1997" spans="1:6" ht="12.75">
      <c r="A1997" s="4">
        <v>1996</v>
      </c>
      <c r="B1997" s="8" t="str">
        <f ca="1">IFERROR(__xludf.DUMMYFUNCTION("""COMPUTED_VALUE"""),"19990420COCOL")</f>
        <v>19990420COCOL</v>
      </c>
      <c r="C1997" s="8" t="str">
        <f ca="1">IFERROR(__xludf.DUMMYFUNCTION("""COMPUTED_VALUE"""),"Wounded")</f>
        <v>Wounded</v>
      </c>
      <c r="D1997" s="8"/>
      <c r="E1997" s="8" t="str">
        <f ca="1">IFERROR(__xludf.DUMMYFUNCTION("""COMPUTED_VALUE"""),"Student")</f>
        <v>Student</v>
      </c>
      <c r="F1997" s="8">
        <f ca="1">IFERROR(__xludf.DUMMYFUNCTION("""COMPUTED_VALUE"""),18)</f>
        <v>18</v>
      </c>
    </row>
    <row r="1998" spans="1:6" ht="12.75">
      <c r="A1998" s="4">
        <v>1997</v>
      </c>
      <c r="B1998" s="8" t="str">
        <f ca="1">IFERROR(__xludf.DUMMYFUNCTION("""COMPUTED_VALUE"""),"19990420COCOL")</f>
        <v>19990420COCOL</v>
      </c>
      <c r="C1998" s="8" t="str">
        <f ca="1">IFERROR(__xludf.DUMMYFUNCTION("""COMPUTED_VALUE"""),"Fatal")</f>
        <v>Fatal</v>
      </c>
      <c r="D1998" s="8" t="str">
        <f ca="1">IFERROR(__xludf.DUMMYFUNCTION("""COMPUTED_VALUE"""),"Female")</f>
        <v>Female</v>
      </c>
      <c r="E1998" s="8" t="str">
        <f ca="1">IFERROR(__xludf.DUMMYFUNCTION("""COMPUTED_VALUE"""),"Student")</f>
        <v>Student</v>
      </c>
      <c r="F1998" s="8">
        <f ca="1">IFERROR(__xludf.DUMMYFUNCTION("""COMPUTED_VALUE"""),17)</f>
        <v>17</v>
      </c>
    </row>
    <row r="1999" spans="1:6" ht="12.75">
      <c r="A1999" s="4">
        <v>1998</v>
      </c>
      <c r="B1999" s="8" t="str">
        <f ca="1">IFERROR(__xludf.DUMMYFUNCTION("""COMPUTED_VALUE"""),"19990420COCOL")</f>
        <v>19990420COCOL</v>
      </c>
      <c r="C1999" s="8" t="str">
        <f ca="1">IFERROR(__xludf.DUMMYFUNCTION("""COMPUTED_VALUE"""),"Fatal")</f>
        <v>Fatal</v>
      </c>
      <c r="D1999" s="8" t="str">
        <f ca="1">IFERROR(__xludf.DUMMYFUNCTION("""COMPUTED_VALUE"""),"Male")</f>
        <v>Male</v>
      </c>
      <c r="E1999" s="8" t="str">
        <f ca="1">IFERROR(__xludf.DUMMYFUNCTION("""COMPUTED_VALUE"""),"Student")</f>
        <v>Student</v>
      </c>
      <c r="F1999" s="8">
        <f ca="1">IFERROR(__xludf.DUMMYFUNCTION("""COMPUTED_VALUE"""),18)</f>
        <v>18</v>
      </c>
    </row>
    <row r="2000" spans="1:6" ht="12.75">
      <c r="A2000" s="4">
        <v>1999</v>
      </c>
      <c r="B2000" s="8" t="str">
        <f ca="1">IFERROR(__xludf.DUMMYFUNCTION("""COMPUTED_VALUE"""),"19990420COCOL")</f>
        <v>19990420COCOL</v>
      </c>
      <c r="C2000" s="8" t="str">
        <f ca="1">IFERROR(__xludf.DUMMYFUNCTION("""COMPUTED_VALUE"""),"Wounded")</f>
        <v>Wounded</v>
      </c>
      <c r="D2000" s="8"/>
      <c r="E2000" s="8" t="str">
        <f ca="1">IFERROR(__xludf.DUMMYFUNCTION("""COMPUTED_VALUE"""),"Student")</f>
        <v>Student</v>
      </c>
      <c r="F2000" s="8" t="str">
        <f ca="1">IFERROR(__xludf.DUMMYFUNCTION("""COMPUTED_VALUE"""),"Teen")</f>
        <v>Teen</v>
      </c>
    </row>
    <row r="2001" spans="1:6" ht="12.75">
      <c r="A2001" s="4">
        <v>2000</v>
      </c>
      <c r="B2001" s="8" t="str">
        <f ca="1">IFERROR(__xludf.DUMMYFUNCTION("""COMPUTED_VALUE"""),"19990420COCOL")</f>
        <v>19990420COCOL</v>
      </c>
      <c r="C2001" s="8" t="str">
        <f ca="1">IFERROR(__xludf.DUMMYFUNCTION("""COMPUTED_VALUE"""),"Fatal")</f>
        <v>Fatal</v>
      </c>
      <c r="D2001" s="8" t="str">
        <f ca="1">IFERROR(__xludf.DUMMYFUNCTION("""COMPUTED_VALUE"""),"Male")</f>
        <v>Male</v>
      </c>
      <c r="E2001" s="8" t="str">
        <f ca="1">IFERROR(__xludf.DUMMYFUNCTION("""COMPUTED_VALUE"""),"Student")</f>
        <v>Student</v>
      </c>
      <c r="F2001" s="8">
        <f ca="1">IFERROR(__xludf.DUMMYFUNCTION("""COMPUTED_VALUE"""),14)</f>
        <v>14</v>
      </c>
    </row>
    <row r="2002" spans="1:6" ht="12.75">
      <c r="A2002" s="4">
        <v>2001</v>
      </c>
      <c r="B2002" s="8" t="str">
        <f ca="1">IFERROR(__xludf.DUMMYFUNCTION("""COMPUTED_VALUE"""),"19990420COCOL")</f>
        <v>19990420COCOL</v>
      </c>
      <c r="C2002" s="8" t="str">
        <f ca="1">IFERROR(__xludf.DUMMYFUNCTION("""COMPUTED_VALUE"""),"Wounded")</f>
        <v>Wounded</v>
      </c>
      <c r="D2002" s="8"/>
      <c r="E2002" s="8" t="str">
        <f ca="1">IFERROR(__xludf.DUMMYFUNCTION("""COMPUTED_VALUE"""),"Student")</f>
        <v>Student</v>
      </c>
      <c r="F2002" s="8">
        <f ca="1">IFERROR(__xludf.DUMMYFUNCTION("""COMPUTED_VALUE"""),18)</f>
        <v>18</v>
      </c>
    </row>
    <row r="2003" spans="1:6" ht="12.75">
      <c r="A2003" s="4">
        <v>2002</v>
      </c>
      <c r="B2003" s="8" t="str">
        <f ca="1">IFERROR(__xludf.DUMMYFUNCTION("""COMPUTED_VALUE"""),"19990420COCOL")</f>
        <v>19990420COCOL</v>
      </c>
      <c r="C2003" s="8" t="str">
        <f ca="1">IFERROR(__xludf.DUMMYFUNCTION("""COMPUTED_VALUE"""),"Fatal")</f>
        <v>Fatal</v>
      </c>
      <c r="D2003" s="8" t="str">
        <f ca="1">IFERROR(__xludf.DUMMYFUNCTION("""COMPUTED_VALUE"""),"Female")</f>
        <v>Female</v>
      </c>
      <c r="E2003" s="8" t="str">
        <f ca="1">IFERROR(__xludf.DUMMYFUNCTION("""COMPUTED_VALUE"""),"Student")</f>
        <v>Student</v>
      </c>
      <c r="F2003" s="8">
        <f ca="1">IFERROR(__xludf.DUMMYFUNCTION("""COMPUTED_VALUE"""),17)</f>
        <v>17</v>
      </c>
    </row>
    <row r="2004" spans="1:6" ht="12.75">
      <c r="A2004" s="4">
        <v>2003</v>
      </c>
      <c r="B2004" s="8" t="str">
        <f ca="1">IFERROR(__xludf.DUMMYFUNCTION("""COMPUTED_VALUE"""),"19990420COCOL")</f>
        <v>19990420COCOL</v>
      </c>
      <c r="C2004" s="8" t="str">
        <f ca="1">IFERROR(__xludf.DUMMYFUNCTION("""COMPUTED_VALUE"""),"Wounded")</f>
        <v>Wounded</v>
      </c>
      <c r="D2004" s="8" t="str">
        <f ca="1">IFERROR(__xludf.DUMMYFUNCTION("""COMPUTED_VALUE"""),"Male")</f>
        <v>Male</v>
      </c>
      <c r="E2004" s="8" t="str">
        <f ca="1">IFERROR(__xludf.DUMMYFUNCTION("""COMPUTED_VALUE"""),"Student")</f>
        <v>Student</v>
      </c>
      <c r="F2004" s="8">
        <f ca="1">IFERROR(__xludf.DUMMYFUNCTION("""COMPUTED_VALUE"""),16)</f>
        <v>16</v>
      </c>
    </row>
    <row r="2005" spans="1:6" ht="12.75">
      <c r="A2005" s="4">
        <v>2004</v>
      </c>
      <c r="B2005" s="8" t="str">
        <f ca="1">IFERROR(__xludf.DUMMYFUNCTION("""COMPUTED_VALUE"""),"19990420COCOL")</f>
        <v>19990420COCOL</v>
      </c>
      <c r="C2005" s="8" t="str">
        <f ca="1">IFERROR(__xludf.DUMMYFUNCTION("""COMPUTED_VALUE"""),"Wounded")</f>
        <v>Wounded</v>
      </c>
      <c r="D2005" s="8"/>
      <c r="E2005" s="8" t="str">
        <f ca="1">IFERROR(__xludf.DUMMYFUNCTION("""COMPUTED_VALUE"""),"Teacher")</f>
        <v>Teacher</v>
      </c>
      <c r="F2005" s="8">
        <f ca="1">IFERROR(__xludf.DUMMYFUNCTION("""COMPUTED_VALUE"""),45)</f>
        <v>45</v>
      </c>
    </row>
    <row r="2006" spans="1:6" ht="12.75">
      <c r="A2006" s="4">
        <v>2005</v>
      </c>
      <c r="B2006" s="8" t="str">
        <f ca="1">IFERROR(__xludf.DUMMYFUNCTION("""COMPUTED_VALUE"""),"19990420COCOL")</f>
        <v>19990420COCOL</v>
      </c>
      <c r="C2006" s="8" t="str">
        <f ca="1">IFERROR(__xludf.DUMMYFUNCTION("""COMPUTED_VALUE"""),"Fatal")</f>
        <v>Fatal</v>
      </c>
      <c r="D2006" s="8" t="str">
        <f ca="1">IFERROR(__xludf.DUMMYFUNCTION("""COMPUTED_VALUE"""),"Male")</f>
        <v>Male</v>
      </c>
      <c r="E2006" s="8" t="str">
        <f ca="1">IFERROR(__xludf.DUMMYFUNCTION("""COMPUTED_VALUE"""),"Teacher")</f>
        <v>Teacher</v>
      </c>
      <c r="F2006" s="8">
        <f ca="1">IFERROR(__xludf.DUMMYFUNCTION("""COMPUTED_VALUE"""),47)</f>
        <v>47</v>
      </c>
    </row>
    <row r="2007" spans="1:6" ht="12.75">
      <c r="A2007" s="4">
        <v>2006</v>
      </c>
      <c r="B2007" s="8" t="str">
        <f ca="1">IFERROR(__xludf.DUMMYFUNCTION("""COMPUTED_VALUE"""),"19990420COCOL")</f>
        <v>19990420COCOL</v>
      </c>
      <c r="C2007" s="8" t="str">
        <f ca="1">IFERROR(__xludf.DUMMYFUNCTION("""COMPUTED_VALUE"""),"Fatal")</f>
        <v>Fatal</v>
      </c>
      <c r="D2007" s="8" t="str">
        <f ca="1">IFERROR(__xludf.DUMMYFUNCTION("""COMPUTED_VALUE"""),"Male")</f>
        <v>Male</v>
      </c>
      <c r="E2007" s="8" t="str">
        <f ca="1">IFERROR(__xludf.DUMMYFUNCTION("""COMPUTED_VALUE"""),"Student")</f>
        <v>Student</v>
      </c>
      <c r="F2007" s="8">
        <f ca="1">IFERROR(__xludf.DUMMYFUNCTION("""COMPUTED_VALUE"""),16)</f>
        <v>16</v>
      </c>
    </row>
    <row r="2008" spans="1:6" ht="12.75">
      <c r="A2008" s="4">
        <v>2007</v>
      </c>
      <c r="B2008" s="8" t="str">
        <f ca="1">IFERROR(__xludf.DUMMYFUNCTION("""COMPUTED_VALUE"""),"19990420COCOL")</f>
        <v>19990420COCOL</v>
      </c>
      <c r="C2008" s="8" t="str">
        <f ca="1">IFERROR(__xludf.DUMMYFUNCTION("""COMPUTED_VALUE"""),"Wounded")</f>
        <v>Wounded</v>
      </c>
      <c r="D2008" s="8"/>
      <c r="E2008" s="8" t="str">
        <f ca="1">IFERROR(__xludf.DUMMYFUNCTION("""COMPUTED_VALUE"""),"Student")</f>
        <v>Student</v>
      </c>
      <c r="F2008" s="8">
        <f ca="1">IFERROR(__xludf.DUMMYFUNCTION("""COMPUTED_VALUE"""),18)</f>
        <v>18</v>
      </c>
    </row>
    <row r="2009" spans="1:6" ht="12.75">
      <c r="A2009" s="4">
        <v>2008</v>
      </c>
      <c r="B2009" s="8" t="str">
        <f ca="1">IFERROR(__xludf.DUMMYFUNCTION("""COMPUTED_VALUE"""),"19990420COCOL")</f>
        <v>19990420COCOL</v>
      </c>
      <c r="C2009" s="8" t="str">
        <f ca="1">IFERROR(__xludf.DUMMYFUNCTION("""COMPUTED_VALUE"""),"Wounded")</f>
        <v>Wounded</v>
      </c>
      <c r="D2009" s="8"/>
      <c r="E2009" s="8" t="str">
        <f ca="1">IFERROR(__xludf.DUMMYFUNCTION("""COMPUTED_VALUE"""),"Student")</f>
        <v>Student</v>
      </c>
      <c r="F2009" s="8">
        <f ca="1">IFERROR(__xludf.DUMMYFUNCTION("""COMPUTED_VALUE"""),17)</f>
        <v>17</v>
      </c>
    </row>
    <row r="2010" spans="1:6" ht="12.75">
      <c r="A2010" s="4">
        <v>2009</v>
      </c>
      <c r="B2010" s="8" t="str">
        <f ca="1">IFERROR(__xludf.DUMMYFUNCTION("""COMPUTED_VALUE"""),"19990420COCOL")</f>
        <v>19990420COCOL</v>
      </c>
      <c r="C2010" s="8" t="str">
        <f ca="1">IFERROR(__xludf.DUMMYFUNCTION("""COMPUTED_VALUE"""),"Wounded")</f>
        <v>Wounded</v>
      </c>
      <c r="D2010" s="8"/>
      <c r="E2010" s="8" t="str">
        <f ca="1">IFERROR(__xludf.DUMMYFUNCTION("""COMPUTED_VALUE"""),"Student")</f>
        <v>Student</v>
      </c>
      <c r="F2010" s="8">
        <f ca="1">IFERROR(__xludf.DUMMYFUNCTION("""COMPUTED_VALUE"""),16)</f>
        <v>16</v>
      </c>
    </row>
    <row r="2011" spans="1:6" ht="12.75">
      <c r="A2011" s="4">
        <v>2010</v>
      </c>
      <c r="B2011" s="8" t="str">
        <f ca="1">IFERROR(__xludf.DUMMYFUNCTION("""COMPUTED_VALUE"""),"19990420COCOL")</f>
        <v>19990420COCOL</v>
      </c>
      <c r="C2011" s="8" t="str">
        <f ca="1">IFERROR(__xludf.DUMMYFUNCTION("""COMPUTED_VALUE"""),"Wounded")</f>
        <v>Wounded</v>
      </c>
      <c r="D2011" s="8" t="str">
        <f ca="1">IFERROR(__xludf.DUMMYFUNCTION("""COMPUTED_VALUE"""),"Male")</f>
        <v>Male</v>
      </c>
      <c r="E2011" s="8" t="str">
        <f ca="1">IFERROR(__xludf.DUMMYFUNCTION("""COMPUTED_VALUE"""),"Student")</f>
        <v>Student</v>
      </c>
      <c r="F2011" s="8">
        <f ca="1">IFERROR(__xludf.DUMMYFUNCTION("""COMPUTED_VALUE"""),17)</f>
        <v>17</v>
      </c>
    </row>
    <row r="2012" spans="1:6" ht="12.75">
      <c r="A2012" s="4">
        <v>2011</v>
      </c>
      <c r="B2012" s="8" t="str">
        <f ca="1">IFERROR(__xludf.DUMMYFUNCTION("""COMPUTED_VALUE"""),"19990420COCOL")</f>
        <v>19990420COCOL</v>
      </c>
      <c r="C2012" s="8" t="str">
        <f ca="1">IFERROR(__xludf.DUMMYFUNCTION("""COMPUTED_VALUE"""),"Wounded")</f>
        <v>Wounded</v>
      </c>
      <c r="D2012" s="8" t="str">
        <f ca="1">IFERROR(__xludf.DUMMYFUNCTION("""COMPUTED_VALUE"""),"Male")</f>
        <v>Male</v>
      </c>
      <c r="E2012" s="8" t="str">
        <f ca="1">IFERROR(__xludf.DUMMYFUNCTION("""COMPUTED_VALUE"""),"Student")</f>
        <v>Student</v>
      </c>
      <c r="F2012" s="8">
        <f ca="1">IFERROR(__xludf.DUMMYFUNCTION("""COMPUTED_VALUE"""),15)</f>
        <v>15</v>
      </c>
    </row>
    <row r="2013" spans="1:6" ht="12.75">
      <c r="A2013" s="4">
        <v>2012</v>
      </c>
      <c r="B2013" s="8" t="str">
        <f ca="1">IFERROR(__xludf.DUMMYFUNCTION("""COMPUTED_VALUE"""),"19990420COCOL")</f>
        <v>19990420COCOL</v>
      </c>
      <c r="C2013" s="8" t="str">
        <f ca="1">IFERROR(__xludf.DUMMYFUNCTION("""COMPUTED_VALUE"""),"Fatal")</f>
        <v>Fatal</v>
      </c>
      <c r="D2013" s="8" t="str">
        <f ca="1">IFERROR(__xludf.DUMMYFUNCTION("""COMPUTED_VALUE"""),"Male")</f>
        <v>Male</v>
      </c>
      <c r="E2013" s="8" t="str">
        <f ca="1">IFERROR(__xludf.DUMMYFUNCTION("""COMPUTED_VALUE"""),"Student")</f>
        <v>Student</v>
      </c>
      <c r="F2013" s="8">
        <f ca="1">IFERROR(__xludf.DUMMYFUNCTION("""COMPUTED_VALUE"""),17)</f>
        <v>17</v>
      </c>
    </row>
    <row r="2014" spans="1:6" ht="12.75">
      <c r="A2014" s="4">
        <v>2013</v>
      </c>
      <c r="B2014" s="8" t="str">
        <f ca="1">IFERROR(__xludf.DUMMYFUNCTION("""COMPUTED_VALUE"""),"19990420COCOL")</f>
        <v>19990420COCOL</v>
      </c>
      <c r="C2014" s="8" t="str">
        <f ca="1">IFERROR(__xludf.DUMMYFUNCTION("""COMPUTED_VALUE"""),"Fatal")</f>
        <v>Fatal</v>
      </c>
      <c r="D2014" s="8" t="str">
        <f ca="1">IFERROR(__xludf.DUMMYFUNCTION("""COMPUTED_VALUE"""),"Female")</f>
        <v>Female</v>
      </c>
      <c r="E2014" s="8" t="str">
        <f ca="1">IFERROR(__xludf.DUMMYFUNCTION("""COMPUTED_VALUE"""),"Student")</f>
        <v>Student</v>
      </c>
      <c r="F2014" s="8">
        <f ca="1">IFERROR(__xludf.DUMMYFUNCTION("""COMPUTED_VALUE"""),16)</f>
        <v>16</v>
      </c>
    </row>
    <row r="2015" spans="1:6" ht="12.75">
      <c r="A2015" s="4">
        <v>2014</v>
      </c>
      <c r="B2015" s="8" t="str">
        <f ca="1">IFERROR(__xludf.DUMMYFUNCTION("""COMPUTED_VALUE"""),"19990420COCOL")</f>
        <v>19990420COCOL</v>
      </c>
      <c r="C2015" s="8" t="str">
        <f ca="1">IFERROR(__xludf.DUMMYFUNCTION("""COMPUTED_VALUE"""),"Wounded")</f>
        <v>Wounded</v>
      </c>
      <c r="D2015" s="8"/>
      <c r="E2015" s="8" t="str">
        <f ca="1">IFERROR(__xludf.DUMMYFUNCTION("""COMPUTED_VALUE"""),"Student")</f>
        <v>Student</v>
      </c>
      <c r="F2015" s="8" t="str">
        <f ca="1">IFERROR(__xludf.DUMMYFUNCTION("""COMPUTED_VALUE"""),"Teen")</f>
        <v>Teen</v>
      </c>
    </row>
    <row r="2016" spans="1:6" ht="12.75">
      <c r="A2016" s="4">
        <v>2015</v>
      </c>
      <c r="B2016" s="8" t="str">
        <f ca="1">IFERROR(__xludf.DUMMYFUNCTION("""COMPUTED_VALUE"""),"19990420COCOL")</f>
        <v>19990420COCOL</v>
      </c>
      <c r="C2016" s="8" t="str">
        <f ca="1">IFERROR(__xludf.DUMMYFUNCTION("""COMPUTED_VALUE"""),"Wounded")</f>
        <v>Wounded</v>
      </c>
      <c r="D2016" s="8" t="str">
        <f ca="1">IFERROR(__xludf.DUMMYFUNCTION("""COMPUTED_VALUE"""),"Male")</f>
        <v>Male</v>
      </c>
      <c r="E2016" s="8" t="str">
        <f ca="1">IFERROR(__xludf.DUMMYFUNCTION("""COMPUTED_VALUE"""),"Student")</f>
        <v>Student</v>
      </c>
      <c r="F2016" s="8">
        <f ca="1">IFERROR(__xludf.DUMMYFUNCTION("""COMPUTED_VALUE"""),15)</f>
        <v>15</v>
      </c>
    </row>
    <row r="2017" spans="1:6" ht="12.75">
      <c r="A2017" s="4">
        <v>2016</v>
      </c>
      <c r="B2017" s="8" t="str">
        <f ca="1">IFERROR(__xludf.DUMMYFUNCTION("""COMPUTED_VALUE"""),"19990416IDNON")</f>
        <v>19990416IDNON</v>
      </c>
      <c r="C2017" s="8" t="str">
        <f ca="1">IFERROR(__xludf.DUMMYFUNCTION("""COMPUTED_VALUE"""),"None")</f>
        <v>None</v>
      </c>
      <c r="D2017" s="8"/>
      <c r="E2017" s="8"/>
      <c r="F2017" s="8"/>
    </row>
    <row r="2018" spans="1:6" ht="12.75">
      <c r="A2018" s="4">
        <v>2017</v>
      </c>
      <c r="B2018" s="8" t="str">
        <f ca="1">IFERROR(__xludf.DUMMYFUNCTION("""COMPUTED_VALUE"""),"19990304ILNIS")</f>
        <v>19990304ILNIS</v>
      </c>
      <c r="C2018" s="8" t="str">
        <f ca="1">IFERROR(__xludf.DUMMYFUNCTION("""COMPUTED_VALUE"""),"Wounded")</f>
        <v>Wounded</v>
      </c>
      <c r="D2018" s="8" t="str">
        <f ca="1">IFERROR(__xludf.DUMMYFUNCTION("""COMPUTED_VALUE"""),"Male")</f>
        <v>Male</v>
      </c>
      <c r="E2018" s="8" t="str">
        <f ca="1">IFERROR(__xludf.DUMMYFUNCTION("""COMPUTED_VALUE"""),"Police Officer/SRO")</f>
        <v>Police Officer/SRO</v>
      </c>
      <c r="F2018" s="8">
        <f ca="1">IFERROR(__xludf.DUMMYFUNCTION("""COMPUTED_VALUE"""),57)</f>
        <v>57</v>
      </c>
    </row>
    <row r="2019" spans="1:6" ht="12.75">
      <c r="A2019" s="4">
        <v>2018</v>
      </c>
      <c r="B2019" s="8" t="str">
        <f ca="1">IFERROR(__xludf.DUMMYFUNCTION("""COMPUTED_VALUE"""),"19990211MSJEP")</f>
        <v>19990211MSJEP</v>
      </c>
      <c r="C2019" s="8" t="str">
        <f ca="1">IFERROR(__xludf.DUMMYFUNCTION("""COMPUTED_VALUE"""),"None")</f>
        <v>None</v>
      </c>
      <c r="D2019" s="8" t="str">
        <f ca="1">IFERROR(__xludf.DUMMYFUNCTION("""COMPUTED_VALUE"""),"Female")</f>
        <v>Female</v>
      </c>
      <c r="E2019" s="8" t="str">
        <f ca="1">IFERROR(__xludf.DUMMYFUNCTION("""COMPUTED_VALUE"""),"Teacher")</f>
        <v>Teacher</v>
      </c>
      <c r="F2019" s="8" t="str">
        <f ca="1">IFERROR(__xludf.DUMMYFUNCTION("""COMPUTED_VALUE"""),"Adult")</f>
        <v>Adult</v>
      </c>
    </row>
    <row r="2020" spans="1:6" ht="12.75">
      <c r="A2020" s="4">
        <v>2019</v>
      </c>
      <c r="B2020" s="8" t="str">
        <f ca="1">IFERROR(__xludf.DUMMYFUNCTION("""COMPUTED_VALUE"""),"19990211ILOME")</f>
        <v>19990211ILOME</v>
      </c>
      <c r="C2020" s="8" t="str">
        <f ca="1">IFERROR(__xludf.DUMMYFUNCTION("""COMPUTED_VALUE"""),"Fatal")</f>
        <v>Fatal</v>
      </c>
      <c r="D2020" s="8" t="str">
        <f ca="1">IFERROR(__xludf.DUMMYFUNCTION("""COMPUTED_VALUE"""),"Male")</f>
        <v>Male</v>
      </c>
      <c r="E2020" s="8" t="str">
        <f ca="1">IFERROR(__xludf.DUMMYFUNCTION("""COMPUTED_VALUE"""),"Student")</f>
        <v>Student</v>
      </c>
      <c r="F2020" s="8">
        <f ca="1">IFERROR(__xludf.DUMMYFUNCTION("""COMPUTED_VALUE"""),14)</f>
        <v>14</v>
      </c>
    </row>
    <row r="2021" spans="1:6" ht="12.75">
      <c r="A2021" s="4">
        <v>2020</v>
      </c>
      <c r="B2021" s="8" t="str">
        <f ca="1">IFERROR(__xludf.DUMMYFUNCTION("""COMPUTED_VALUE"""),"19990121TXRIN")</f>
        <v>19990121TXRIN</v>
      </c>
      <c r="C2021" s="8" t="str">
        <f ca="1">IFERROR(__xludf.DUMMYFUNCTION("""COMPUTED_VALUE"""),"None")</f>
        <v>None</v>
      </c>
      <c r="D2021" s="8" t="str">
        <f ca="1">IFERROR(__xludf.DUMMYFUNCTION("""COMPUTED_VALUE"""),"Male")</f>
        <v>Male</v>
      </c>
      <c r="E2021" s="8" t="str">
        <f ca="1">IFERROR(__xludf.DUMMYFUNCTION("""COMPUTED_VALUE"""),"Student")</f>
        <v>Student</v>
      </c>
      <c r="F2021" s="8">
        <f ca="1">IFERROR(__xludf.DUMMYFUNCTION("""COMPUTED_VALUE"""),15)</f>
        <v>15</v>
      </c>
    </row>
    <row r="2022" spans="1:6" ht="12.75">
      <c r="A2022" s="4">
        <v>2021</v>
      </c>
      <c r="B2022" s="8" t="str">
        <f ca="1">IFERROR(__xludf.DUMMYFUNCTION("""COMPUTED_VALUE"""),"19990114NYHAN")</f>
        <v>19990114NYHAN</v>
      </c>
      <c r="C2022" s="8" t="str">
        <f ca="1">IFERROR(__xludf.DUMMYFUNCTION("""COMPUTED_VALUE"""),"Wounded")</f>
        <v>Wounded</v>
      </c>
      <c r="D2022" s="8" t="str">
        <f ca="1">IFERROR(__xludf.DUMMYFUNCTION("""COMPUTED_VALUE"""),"Male")</f>
        <v>Male</v>
      </c>
      <c r="E2022" s="8" t="str">
        <f ca="1">IFERROR(__xludf.DUMMYFUNCTION("""COMPUTED_VALUE"""),"Student")</f>
        <v>Student</v>
      </c>
      <c r="F2022" s="8">
        <f ca="1">IFERROR(__xludf.DUMMYFUNCTION("""COMPUTED_VALUE"""),18)</f>
        <v>18</v>
      </c>
    </row>
    <row r="2023" spans="1:6" ht="12.75">
      <c r="A2023" s="4">
        <v>2022</v>
      </c>
      <c r="B2023" s="8" t="str">
        <f ca="1">IFERROR(__xludf.DUMMYFUNCTION("""COMPUTED_VALUE"""),"19990114NYHAN")</f>
        <v>19990114NYHAN</v>
      </c>
      <c r="C2023" s="8" t="str">
        <f ca="1">IFERROR(__xludf.DUMMYFUNCTION("""COMPUTED_VALUE"""),"Wounded")</f>
        <v>Wounded</v>
      </c>
      <c r="D2023" s="8" t="str">
        <f ca="1">IFERROR(__xludf.DUMMYFUNCTION("""COMPUTED_VALUE"""),"Male")</f>
        <v>Male</v>
      </c>
      <c r="E2023" s="8" t="str">
        <f ca="1">IFERROR(__xludf.DUMMYFUNCTION("""COMPUTED_VALUE"""),"Student")</f>
        <v>Student</v>
      </c>
      <c r="F2023" s="8">
        <f ca="1">IFERROR(__xludf.DUMMYFUNCTION("""COMPUTED_VALUE"""),16)</f>
        <v>16</v>
      </c>
    </row>
    <row r="2024" spans="1:6" ht="12.75">
      <c r="A2024" s="4">
        <v>2023</v>
      </c>
      <c r="B2024" s="8" t="str">
        <f ca="1">IFERROR(__xludf.DUMMYFUNCTION("""COMPUTED_VALUE"""),"19990108GACEC")</f>
        <v>19990108GACEC</v>
      </c>
      <c r="C2024" s="8" t="str">
        <f ca="1">IFERROR(__xludf.DUMMYFUNCTION("""COMPUTED_VALUE"""),"None")</f>
        <v>None</v>
      </c>
      <c r="D2024" s="8"/>
      <c r="E2024" s="8"/>
      <c r="F2024" s="8"/>
    </row>
    <row r="2025" spans="1:6" ht="12.75">
      <c r="A2025" s="4">
        <v>2024</v>
      </c>
      <c r="B2025" s="8" t="str">
        <f ca="1">IFERROR(__xludf.DUMMYFUNCTION("""COMPUTED_VALUE"""),"19981211INBEI")</f>
        <v>19981211INBEI</v>
      </c>
      <c r="C2025" s="8" t="str">
        <f ca="1">IFERROR(__xludf.DUMMYFUNCTION("""COMPUTED_VALUE"""),"Wounded")</f>
        <v>Wounded</v>
      </c>
      <c r="D2025" s="8" t="str">
        <f ca="1">IFERROR(__xludf.DUMMYFUNCTION("""COMPUTED_VALUE"""),"Male")</f>
        <v>Male</v>
      </c>
      <c r="E2025" s="8" t="str">
        <f ca="1">IFERROR(__xludf.DUMMYFUNCTION("""COMPUTED_VALUE"""),"Student")</f>
        <v>Student</v>
      </c>
      <c r="F2025" s="8" t="str">
        <f ca="1">IFERROR(__xludf.DUMMYFUNCTION("""COMPUTED_VALUE"""),"Child")</f>
        <v>Child</v>
      </c>
    </row>
    <row r="2026" spans="1:6" ht="12.75">
      <c r="A2026" s="4">
        <v>2025</v>
      </c>
      <c r="B2026" s="8" t="str">
        <f ca="1">IFERROR(__xludf.DUMMYFUNCTION("""COMPUTED_VALUE"""),"19981203INERG")</f>
        <v>19981203INERG</v>
      </c>
      <c r="C2026" s="8" t="str">
        <f ca="1">IFERROR(__xludf.DUMMYFUNCTION("""COMPUTED_VALUE"""),"Wounded")</f>
        <v>Wounded</v>
      </c>
      <c r="D2026" s="8" t="str">
        <f ca="1">IFERROR(__xludf.DUMMYFUNCTION("""COMPUTED_VALUE"""),"Female")</f>
        <v>Female</v>
      </c>
      <c r="E2026" s="8" t="str">
        <f ca="1">IFERROR(__xludf.DUMMYFUNCTION("""COMPUTED_VALUE"""),"Teacher")</f>
        <v>Teacher</v>
      </c>
      <c r="F2026" s="8">
        <f ca="1">IFERROR(__xludf.DUMMYFUNCTION("""COMPUTED_VALUE"""),29)</f>
        <v>29</v>
      </c>
    </row>
    <row r="2027" spans="1:6" ht="12.75">
      <c r="A2027" s="4">
        <v>2026</v>
      </c>
      <c r="B2027" s="8" t="str">
        <f ca="1">IFERROR(__xludf.DUMMYFUNCTION("""COMPUTED_VALUE"""),"19981130NYHAH")</f>
        <v>19981130NYHAH</v>
      </c>
      <c r="C2027" s="8" t="str">
        <f ca="1">IFERROR(__xludf.DUMMYFUNCTION("""COMPUTED_VALUE"""),"None")</f>
        <v>None</v>
      </c>
      <c r="D2027" s="8" t="str">
        <f ca="1">IFERROR(__xludf.DUMMYFUNCTION("""COMPUTED_VALUE"""),"Female")</f>
        <v>Female</v>
      </c>
      <c r="E2027" s="8" t="str">
        <f ca="1">IFERROR(__xludf.DUMMYFUNCTION("""COMPUTED_VALUE"""),"Student")</f>
        <v>Student</v>
      </c>
      <c r="F2027" s="8">
        <f ca="1">IFERROR(__xludf.DUMMYFUNCTION("""COMPUTED_VALUE"""),14)</f>
        <v>14</v>
      </c>
    </row>
    <row r="2028" spans="1:6" ht="12.75">
      <c r="A2028" s="4">
        <v>2027</v>
      </c>
      <c r="B2028" s="8" t="str">
        <f ca="1">IFERROR(__xludf.DUMMYFUNCTION("""COMPUTED_VALUE"""),"19981103PAMAP")</f>
        <v>19981103PAMAP</v>
      </c>
      <c r="C2028" s="8" t="str">
        <f ca="1">IFERROR(__xludf.DUMMYFUNCTION("""COMPUTED_VALUE"""),"Fatal")</f>
        <v>Fatal</v>
      </c>
      <c r="D2028" s="8" t="str">
        <f ca="1">IFERROR(__xludf.DUMMYFUNCTION("""COMPUTED_VALUE"""),"Male")</f>
        <v>Male</v>
      </c>
      <c r="E2028" s="8" t="str">
        <f ca="1">IFERROR(__xludf.DUMMYFUNCTION("""COMPUTED_VALUE"""),"Student")</f>
        <v>Student</v>
      </c>
      <c r="F2028" s="8">
        <f ca="1">IFERROR(__xludf.DUMMYFUNCTION("""COMPUTED_VALUE"""),16)</f>
        <v>16</v>
      </c>
    </row>
    <row r="2029" spans="1:6" ht="12.75">
      <c r="A2029" s="4">
        <v>2028</v>
      </c>
      <c r="B2029" s="8" t="str">
        <f ca="1">IFERROR(__xludf.DUMMYFUNCTION("""COMPUTED_VALUE"""),"19980930FLNOM")</f>
        <v>19980930FLNOM</v>
      </c>
      <c r="C2029" s="8" t="str">
        <f ca="1">IFERROR(__xludf.DUMMYFUNCTION("""COMPUTED_VALUE"""),"Wounded")</f>
        <v>Wounded</v>
      </c>
      <c r="D2029" s="8" t="str">
        <f ca="1">IFERROR(__xludf.DUMMYFUNCTION("""COMPUTED_VALUE"""),"Male")</f>
        <v>Male</v>
      </c>
      <c r="E2029" s="8" t="str">
        <f ca="1">IFERROR(__xludf.DUMMYFUNCTION("""COMPUTED_VALUE"""),"Teacher")</f>
        <v>Teacher</v>
      </c>
      <c r="F2029" s="8" t="str">
        <f ca="1">IFERROR(__xludf.DUMMYFUNCTION("""COMPUTED_VALUE"""),"Adult")</f>
        <v>Adult</v>
      </c>
    </row>
    <row r="2030" spans="1:6" ht="12.75">
      <c r="A2030" s="4">
        <v>2029</v>
      </c>
      <c r="B2030" s="8" t="str">
        <f ca="1">IFERROR(__xludf.DUMMYFUNCTION("""COMPUTED_VALUE"""),"19980930FLNOM")</f>
        <v>19980930FLNOM</v>
      </c>
      <c r="C2030" s="8" t="str">
        <f ca="1">IFERROR(__xludf.DUMMYFUNCTION("""COMPUTED_VALUE"""),"Wounded")</f>
        <v>Wounded</v>
      </c>
      <c r="D2030" s="8" t="str">
        <f ca="1">IFERROR(__xludf.DUMMYFUNCTION("""COMPUTED_VALUE"""),"Male")</f>
        <v>Male</v>
      </c>
      <c r="E2030" s="8" t="str">
        <f ca="1">IFERROR(__xludf.DUMMYFUNCTION("""COMPUTED_VALUE"""),"Student")</f>
        <v>Student</v>
      </c>
      <c r="F2030" s="8">
        <f ca="1">IFERROR(__xludf.DUMMYFUNCTION("""COMPUTED_VALUE"""),15)</f>
        <v>15</v>
      </c>
    </row>
    <row r="2031" spans="1:6" ht="12.75">
      <c r="A2031" s="4">
        <v>2030</v>
      </c>
      <c r="B2031" s="8" t="str">
        <f ca="1">IFERROR(__xludf.DUMMYFUNCTION("""COMPUTED_VALUE"""),"19980930FLNOM")</f>
        <v>19980930FLNOM</v>
      </c>
      <c r="C2031" s="8" t="str">
        <f ca="1">IFERROR(__xludf.DUMMYFUNCTION("""COMPUTED_VALUE"""),"Wounded")</f>
        <v>Wounded</v>
      </c>
      <c r="D2031" s="8" t="str">
        <f ca="1">IFERROR(__xludf.DUMMYFUNCTION("""COMPUTED_VALUE"""),"Male")</f>
        <v>Male</v>
      </c>
      <c r="E2031" s="8" t="str">
        <f ca="1">IFERROR(__xludf.DUMMYFUNCTION("""COMPUTED_VALUE"""),"Student")</f>
        <v>Student</v>
      </c>
      <c r="F2031" s="8">
        <f ca="1">IFERROR(__xludf.DUMMYFUNCTION("""COMPUTED_VALUE"""),17)</f>
        <v>17</v>
      </c>
    </row>
    <row r="2032" spans="1:6" ht="12.75">
      <c r="A2032" s="4">
        <v>2031</v>
      </c>
      <c r="B2032" s="8" t="str">
        <f ca="1">IFERROR(__xludf.DUMMYFUNCTION("""COMPUTED_VALUE"""),"19980930FLLEL")</f>
        <v>19980930FLLEL</v>
      </c>
      <c r="C2032" s="8" t="str">
        <f ca="1">IFERROR(__xludf.DUMMYFUNCTION("""COMPUTED_VALUE"""),"None")</f>
        <v>None</v>
      </c>
      <c r="D2032" s="8" t="str">
        <f ca="1">IFERROR(__xludf.DUMMYFUNCTION("""COMPUTED_VALUE"""),"Male")</f>
        <v>Male</v>
      </c>
      <c r="E2032" s="8" t="str">
        <f ca="1">IFERROR(__xludf.DUMMYFUNCTION("""COMPUTED_VALUE"""),"Student")</f>
        <v>Student</v>
      </c>
      <c r="F2032" s="8">
        <f ca="1">IFERROR(__xludf.DUMMYFUNCTION("""COMPUTED_VALUE"""),17)</f>
        <v>17</v>
      </c>
    </row>
    <row r="2033" spans="1:6" ht="12.75">
      <c r="A2033" s="4">
        <v>2032</v>
      </c>
      <c r="B2033" s="8" t="str">
        <f ca="1">IFERROR(__xludf.DUMMYFUNCTION("""COMPUTED_VALUE"""),"19980911CAHEG")</f>
        <v>19980911CAHEG</v>
      </c>
      <c r="C2033" s="8" t="str">
        <f ca="1">IFERROR(__xludf.DUMMYFUNCTION("""COMPUTED_VALUE"""),"Wounded")</f>
        <v>Wounded</v>
      </c>
      <c r="D2033" s="8" t="str">
        <f ca="1">IFERROR(__xludf.DUMMYFUNCTION("""COMPUTED_VALUE"""),"Male")</f>
        <v>Male</v>
      </c>
      <c r="E2033" s="8" t="str">
        <f ca="1">IFERROR(__xludf.DUMMYFUNCTION("""COMPUTED_VALUE"""),"Student")</f>
        <v>Student</v>
      </c>
      <c r="F2033" s="8">
        <f ca="1">IFERROR(__xludf.DUMMYFUNCTION("""COMPUTED_VALUE"""),15)</f>
        <v>15</v>
      </c>
    </row>
    <row r="2034" spans="1:6" ht="12.75">
      <c r="A2034" s="4">
        <v>2033</v>
      </c>
      <c r="B2034" s="8" t="str">
        <f ca="1">IFERROR(__xludf.DUMMYFUNCTION("""COMPUTED_VALUE"""),"19980615VAARR")</f>
        <v>19980615VAARR</v>
      </c>
      <c r="C2034" s="8" t="str">
        <f ca="1">IFERROR(__xludf.DUMMYFUNCTION("""COMPUTED_VALUE"""),"Wounded")</f>
        <v>Wounded</v>
      </c>
      <c r="D2034" s="8" t="str">
        <f ca="1">IFERROR(__xludf.DUMMYFUNCTION("""COMPUTED_VALUE"""),"Male")</f>
        <v>Male</v>
      </c>
      <c r="E2034" s="8" t="str">
        <f ca="1">IFERROR(__xludf.DUMMYFUNCTION("""COMPUTED_VALUE"""),"Teacher")</f>
        <v>Teacher</v>
      </c>
      <c r="F2034" s="8">
        <f ca="1">IFERROR(__xludf.DUMMYFUNCTION("""COMPUTED_VALUE"""),45)</f>
        <v>45</v>
      </c>
    </row>
    <row r="2035" spans="1:6" ht="12.75">
      <c r="A2035" s="4">
        <v>2034</v>
      </c>
      <c r="B2035" s="8" t="str">
        <f ca="1">IFERROR(__xludf.DUMMYFUNCTION("""COMPUTED_VALUE"""),"19980615VAARR")</f>
        <v>19980615VAARR</v>
      </c>
      <c r="C2035" s="8" t="str">
        <f ca="1">IFERROR(__xludf.DUMMYFUNCTION("""COMPUTED_VALUE"""),"Wounded")</f>
        <v>Wounded</v>
      </c>
      <c r="D2035" s="8" t="str">
        <f ca="1">IFERROR(__xludf.DUMMYFUNCTION("""COMPUTED_VALUE"""),"Female")</f>
        <v>Female</v>
      </c>
      <c r="E2035" s="8" t="str">
        <f ca="1">IFERROR(__xludf.DUMMYFUNCTION("""COMPUTED_VALUE"""),"Teacher")</f>
        <v>Teacher</v>
      </c>
      <c r="F2035" s="8">
        <f ca="1">IFERROR(__xludf.DUMMYFUNCTION("""COMPUTED_VALUE"""),74)</f>
        <v>74</v>
      </c>
    </row>
    <row r="2036" spans="1:6" ht="12.75">
      <c r="A2036" s="4">
        <v>2035</v>
      </c>
      <c r="B2036" s="8" t="str">
        <f ca="1">IFERROR(__xludf.DUMMYFUNCTION("""COMPUTED_VALUE"""),"19980529FLSTF")</f>
        <v>19980529FLSTF</v>
      </c>
      <c r="C2036" s="8" t="str">
        <f ca="1">IFERROR(__xludf.DUMMYFUNCTION("""COMPUTED_VALUE"""),"Fatal")</f>
        <v>Fatal</v>
      </c>
      <c r="D2036" s="8" t="str">
        <f ca="1">IFERROR(__xludf.DUMMYFUNCTION("""COMPUTED_VALUE"""),"Female")</f>
        <v>Female</v>
      </c>
      <c r="E2036" s="8" t="str">
        <f ca="1">IFERROR(__xludf.DUMMYFUNCTION("""COMPUTED_VALUE"""),"Teacher")</f>
        <v>Teacher</v>
      </c>
      <c r="F2036" s="8">
        <f ca="1">IFERROR(__xludf.DUMMYFUNCTION("""COMPUTED_VALUE"""),26)</f>
        <v>26</v>
      </c>
    </row>
    <row r="2037" spans="1:6" ht="12.75">
      <c r="A2037" s="4">
        <v>2036</v>
      </c>
      <c r="B2037" s="8" t="str">
        <f ca="1">IFERROR(__xludf.DUMMYFUNCTION("""COMPUTED_VALUE"""),"19980527CAWAP")</f>
        <v>19980527CAWAP</v>
      </c>
      <c r="C2037" s="8" t="str">
        <f ca="1">IFERROR(__xludf.DUMMYFUNCTION("""COMPUTED_VALUE"""),"Fatal")</f>
        <v>Fatal</v>
      </c>
      <c r="D2037" s="8" t="str">
        <f ca="1">IFERROR(__xludf.DUMMYFUNCTION("""COMPUTED_VALUE"""),"Male")</f>
        <v>Male</v>
      </c>
      <c r="E2037" s="8"/>
      <c r="F2037" s="8">
        <f ca="1">IFERROR(__xludf.DUMMYFUNCTION("""COMPUTED_VALUE"""),14)</f>
        <v>14</v>
      </c>
    </row>
    <row r="2038" spans="1:6" ht="12.75">
      <c r="A2038" s="4">
        <v>2037</v>
      </c>
      <c r="B2038" s="8" t="str">
        <f ca="1">IFERROR(__xludf.DUMMYFUNCTION("""COMPUTED_VALUE"""),"19980527CAWAP")</f>
        <v>19980527CAWAP</v>
      </c>
      <c r="C2038" s="8" t="str">
        <f ca="1">IFERROR(__xludf.DUMMYFUNCTION("""COMPUTED_VALUE"""),"Fatal")</f>
        <v>Fatal</v>
      </c>
      <c r="D2038" s="8" t="str">
        <f ca="1">IFERROR(__xludf.DUMMYFUNCTION("""COMPUTED_VALUE"""),"Male")</f>
        <v>Male</v>
      </c>
      <c r="E2038" s="8"/>
      <c r="F2038" s="8">
        <f ca="1">IFERROR(__xludf.DUMMYFUNCTION("""COMPUTED_VALUE"""),20)</f>
        <v>20</v>
      </c>
    </row>
    <row r="2039" spans="1:6" ht="12.75">
      <c r="A2039" s="4">
        <v>2038</v>
      </c>
      <c r="B2039" s="8" t="str">
        <f ca="1">IFERROR(__xludf.DUMMYFUNCTION("""COMPUTED_VALUE"""),"19980521WAONO")</f>
        <v>19980521WAONO</v>
      </c>
      <c r="C2039" s="8" t="str">
        <f ca="1">IFERROR(__xludf.DUMMYFUNCTION("""COMPUTED_VALUE"""),"None")</f>
        <v>None</v>
      </c>
      <c r="D2039" s="8" t="str">
        <f ca="1">IFERROR(__xludf.DUMMYFUNCTION("""COMPUTED_VALUE"""),"Male")</f>
        <v>Male</v>
      </c>
      <c r="E2039" s="8" t="str">
        <f ca="1">IFERROR(__xludf.DUMMYFUNCTION("""COMPUTED_VALUE"""),"Student")</f>
        <v>Student</v>
      </c>
      <c r="F2039" s="8">
        <f ca="1">IFERROR(__xludf.DUMMYFUNCTION("""COMPUTED_VALUE"""),15)</f>
        <v>15</v>
      </c>
    </row>
    <row r="2040" spans="1:6" ht="12.75">
      <c r="A2040" s="4">
        <v>2039</v>
      </c>
      <c r="B2040" s="8" t="str">
        <f ca="1">IFERROR(__xludf.DUMMYFUNCTION("""COMPUTED_VALUE"""),"19980521ORTHS")</f>
        <v>19980521ORTHS</v>
      </c>
      <c r="C2040" s="8" t="str">
        <f ca="1">IFERROR(__xludf.DUMMYFUNCTION("""COMPUTED_VALUE"""),"Wounded")</f>
        <v>Wounded</v>
      </c>
      <c r="D2040" s="8"/>
      <c r="E2040" s="8" t="str">
        <f ca="1">IFERROR(__xludf.DUMMYFUNCTION("""COMPUTED_VALUE"""),"Student")</f>
        <v>Student</v>
      </c>
      <c r="F2040" s="8">
        <f ca="1">IFERROR(__xludf.DUMMYFUNCTION("""COMPUTED_VALUE"""),16)</f>
        <v>16</v>
      </c>
    </row>
    <row r="2041" spans="1:6" ht="12.75">
      <c r="A2041" s="4">
        <v>2040</v>
      </c>
      <c r="B2041" s="8" t="str">
        <f ca="1">IFERROR(__xludf.DUMMYFUNCTION("""COMPUTED_VALUE"""),"19980521ORTHS")</f>
        <v>19980521ORTHS</v>
      </c>
      <c r="C2041" s="8" t="str">
        <f ca="1">IFERROR(__xludf.DUMMYFUNCTION("""COMPUTED_VALUE"""),"Wounded")</f>
        <v>Wounded</v>
      </c>
      <c r="D2041" s="8"/>
      <c r="E2041" s="8" t="str">
        <f ca="1">IFERROR(__xludf.DUMMYFUNCTION("""COMPUTED_VALUE"""),"Student")</f>
        <v>Student</v>
      </c>
      <c r="F2041" s="8">
        <f ca="1">IFERROR(__xludf.DUMMYFUNCTION("""COMPUTED_VALUE"""),18)</f>
        <v>18</v>
      </c>
    </row>
    <row r="2042" spans="1:6" ht="12.75">
      <c r="A2042" s="4">
        <v>2041</v>
      </c>
      <c r="B2042" s="8" t="str">
        <f ca="1">IFERROR(__xludf.DUMMYFUNCTION("""COMPUTED_VALUE"""),"19980521ORTHS")</f>
        <v>19980521ORTHS</v>
      </c>
      <c r="C2042" s="8" t="str">
        <f ca="1">IFERROR(__xludf.DUMMYFUNCTION("""COMPUTED_VALUE"""),"Wounded")</f>
        <v>Wounded</v>
      </c>
      <c r="D2042" s="8"/>
      <c r="E2042" s="8" t="str">
        <f ca="1">IFERROR(__xludf.DUMMYFUNCTION("""COMPUTED_VALUE"""),"Student")</f>
        <v>Student</v>
      </c>
      <c r="F2042" s="8">
        <f ca="1">IFERROR(__xludf.DUMMYFUNCTION("""COMPUTED_VALUE"""),17)</f>
        <v>17</v>
      </c>
    </row>
    <row r="2043" spans="1:6" ht="12.75">
      <c r="A2043" s="4">
        <v>2042</v>
      </c>
      <c r="B2043" s="8" t="str">
        <f ca="1">IFERROR(__xludf.DUMMYFUNCTION("""COMPUTED_VALUE"""),"19980521ORTHS")</f>
        <v>19980521ORTHS</v>
      </c>
      <c r="C2043" s="8" t="str">
        <f ca="1">IFERROR(__xludf.DUMMYFUNCTION("""COMPUTED_VALUE"""),"Wounded")</f>
        <v>Wounded</v>
      </c>
      <c r="D2043" s="8"/>
      <c r="E2043" s="8" t="str">
        <f ca="1">IFERROR(__xludf.DUMMYFUNCTION("""COMPUTED_VALUE"""),"Student")</f>
        <v>Student</v>
      </c>
      <c r="F2043" s="8" t="str">
        <f ca="1">IFERROR(__xludf.DUMMYFUNCTION("""COMPUTED_VALUE"""),"Teen")</f>
        <v>Teen</v>
      </c>
    </row>
    <row r="2044" spans="1:6" ht="12.75">
      <c r="A2044" s="4">
        <v>2043</v>
      </c>
      <c r="B2044" s="8" t="str">
        <f ca="1">IFERROR(__xludf.DUMMYFUNCTION("""COMPUTED_VALUE"""),"19980521ORTHS")</f>
        <v>19980521ORTHS</v>
      </c>
      <c r="C2044" s="8" t="str">
        <f ca="1">IFERROR(__xludf.DUMMYFUNCTION("""COMPUTED_VALUE"""),"Wounded")</f>
        <v>Wounded</v>
      </c>
      <c r="D2044" s="8"/>
      <c r="E2044" s="8" t="str">
        <f ca="1">IFERROR(__xludf.DUMMYFUNCTION("""COMPUTED_VALUE"""),"Student")</f>
        <v>Student</v>
      </c>
      <c r="F2044" s="8">
        <f ca="1">IFERROR(__xludf.DUMMYFUNCTION("""COMPUTED_VALUE"""),18)</f>
        <v>18</v>
      </c>
    </row>
    <row r="2045" spans="1:6" ht="12.75">
      <c r="A2045" s="4">
        <v>2044</v>
      </c>
      <c r="B2045" s="8" t="str">
        <f ca="1">IFERROR(__xludf.DUMMYFUNCTION("""COMPUTED_VALUE"""),"19980521ORTHS")</f>
        <v>19980521ORTHS</v>
      </c>
      <c r="C2045" s="8" t="str">
        <f ca="1">IFERROR(__xludf.DUMMYFUNCTION("""COMPUTED_VALUE"""),"Wounded")</f>
        <v>Wounded</v>
      </c>
      <c r="D2045" s="8"/>
      <c r="E2045" s="8" t="str">
        <f ca="1">IFERROR(__xludf.DUMMYFUNCTION("""COMPUTED_VALUE"""),"Student")</f>
        <v>Student</v>
      </c>
      <c r="F2045" s="8">
        <f ca="1">IFERROR(__xludf.DUMMYFUNCTION("""COMPUTED_VALUE"""),17)</f>
        <v>17</v>
      </c>
    </row>
    <row r="2046" spans="1:6" ht="12.75">
      <c r="A2046" s="4">
        <v>2045</v>
      </c>
      <c r="B2046" s="8" t="str">
        <f ca="1">IFERROR(__xludf.DUMMYFUNCTION("""COMPUTED_VALUE"""),"19980521ORTHS")</f>
        <v>19980521ORTHS</v>
      </c>
      <c r="C2046" s="8" t="str">
        <f ca="1">IFERROR(__xludf.DUMMYFUNCTION("""COMPUTED_VALUE"""),"Wounded")</f>
        <v>Wounded</v>
      </c>
      <c r="D2046" s="8"/>
      <c r="E2046" s="8" t="str">
        <f ca="1">IFERROR(__xludf.DUMMYFUNCTION("""COMPUTED_VALUE"""),"Student")</f>
        <v>Student</v>
      </c>
      <c r="F2046" s="8">
        <f ca="1">IFERROR(__xludf.DUMMYFUNCTION("""COMPUTED_VALUE"""),15)</f>
        <v>15</v>
      </c>
    </row>
    <row r="2047" spans="1:6" ht="12.75">
      <c r="A2047" s="4">
        <v>2046</v>
      </c>
      <c r="B2047" s="8" t="str">
        <f ca="1">IFERROR(__xludf.DUMMYFUNCTION("""COMPUTED_VALUE"""),"19980521ORTHS")</f>
        <v>19980521ORTHS</v>
      </c>
      <c r="C2047" s="8" t="str">
        <f ca="1">IFERROR(__xludf.DUMMYFUNCTION("""COMPUTED_VALUE"""),"Wounded")</f>
        <v>Wounded</v>
      </c>
      <c r="D2047" s="8"/>
      <c r="E2047" s="8" t="str">
        <f ca="1">IFERROR(__xludf.DUMMYFUNCTION("""COMPUTED_VALUE"""),"Student")</f>
        <v>Student</v>
      </c>
      <c r="F2047" s="8">
        <f ca="1">IFERROR(__xludf.DUMMYFUNCTION("""COMPUTED_VALUE"""),17)</f>
        <v>17</v>
      </c>
    </row>
    <row r="2048" spans="1:6" ht="12.75">
      <c r="A2048" s="4">
        <v>2047</v>
      </c>
      <c r="B2048" s="8" t="str">
        <f ca="1">IFERROR(__xludf.DUMMYFUNCTION("""COMPUTED_VALUE"""),"19980521ORTHS")</f>
        <v>19980521ORTHS</v>
      </c>
      <c r="C2048" s="8" t="str">
        <f ca="1">IFERROR(__xludf.DUMMYFUNCTION("""COMPUTED_VALUE"""),"Wounded")</f>
        <v>Wounded</v>
      </c>
      <c r="D2048" s="8"/>
      <c r="E2048" s="8" t="str">
        <f ca="1">IFERROR(__xludf.DUMMYFUNCTION("""COMPUTED_VALUE"""),"Student")</f>
        <v>Student</v>
      </c>
      <c r="F2048" s="8" t="str">
        <f ca="1">IFERROR(__xludf.DUMMYFUNCTION("""COMPUTED_VALUE"""),"Teen")</f>
        <v>Teen</v>
      </c>
    </row>
    <row r="2049" spans="1:6" ht="12.75">
      <c r="A2049" s="4">
        <v>2048</v>
      </c>
      <c r="B2049" s="8" t="str">
        <f ca="1">IFERROR(__xludf.DUMMYFUNCTION("""COMPUTED_VALUE"""),"19980521ORTHS")</f>
        <v>19980521ORTHS</v>
      </c>
      <c r="C2049" s="8" t="str">
        <f ca="1">IFERROR(__xludf.DUMMYFUNCTION("""COMPUTED_VALUE"""),"Wounded")</f>
        <v>Wounded</v>
      </c>
      <c r="D2049" s="8"/>
      <c r="E2049" s="8" t="str">
        <f ca="1">IFERROR(__xludf.DUMMYFUNCTION("""COMPUTED_VALUE"""),"Student")</f>
        <v>Student</v>
      </c>
      <c r="F2049" s="8">
        <f ca="1">IFERROR(__xludf.DUMMYFUNCTION("""COMPUTED_VALUE"""),14)</f>
        <v>14</v>
      </c>
    </row>
    <row r="2050" spans="1:6" ht="12.75">
      <c r="A2050" s="4">
        <v>2049</v>
      </c>
      <c r="B2050" s="8" t="str">
        <f ca="1">IFERROR(__xludf.DUMMYFUNCTION("""COMPUTED_VALUE"""),"19980521ORTHS")</f>
        <v>19980521ORTHS</v>
      </c>
      <c r="C2050" s="8" t="str">
        <f ca="1">IFERROR(__xludf.DUMMYFUNCTION("""COMPUTED_VALUE"""),"Wounded")</f>
        <v>Wounded</v>
      </c>
      <c r="D2050" s="8"/>
      <c r="E2050" s="8" t="str">
        <f ca="1">IFERROR(__xludf.DUMMYFUNCTION("""COMPUTED_VALUE"""),"Student")</f>
        <v>Student</v>
      </c>
      <c r="F2050" s="8">
        <f ca="1">IFERROR(__xludf.DUMMYFUNCTION("""COMPUTED_VALUE"""),17)</f>
        <v>17</v>
      </c>
    </row>
    <row r="2051" spans="1:6" ht="12.75">
      <c r="A2051" s="4">
        <v>2050</v>
      </c>
      <c r="B2051" s="8" t="str">
        <f ca="1">IFERROR(__xludf.DUMMYFUNCTION("""COMPUTED_VALUE"""),"19980521ORTHS")</f>
        <v>19980521ORTHS</v>
      </c>
      <c r="C2051" s="8" t="str">
        <f ca="1">IFERROR(__xludf.DUMMYFUNCTION("""COMPUTED_VALUE"""),"Wounded")</f>
        <v>Wounded</v>
      </c>
      <c r="D2051" s="8"/>
      <c r="E2051" s="8" t="str">
        <f ca="1">IFERROR(__xludf.DUMMYFUNCTION("""COMPUTED_VALUE"""),"Student")</f>
        <v>Student</v>
      </c>
      <c r="F2051" s="8">
        <f ca="1">IFERROR(__xludf.DUMMYFUNCTION("""COMPUTED_VALUE"""),15)</f>
        <v>15</v>
      </c>
    </row>
    <row r="2052" spans="1:6" ht="12.75">
      <c r="A2052" s="4">
        <v>2051</v>
      </c>
      <c r="B2052" s="8" t="str">
        <f ca="1">IFERROR(__xludf.DUMMYFUNCTION("""COMPUTED_VALUE"""),"19980521ORTHS")</f>
        <v>19980521ORTHS</v>
      </c>
      <c r="C2052" s="8" t="str">
        <f ca="1">IFERROR(__xludf.DUMMYFUNCTION("""COMPUTED_VALUE"""),"Wounded")</f>
        <v>Wounded</v>
      </c>
      <c r="D2052" s="8"/>
      <c r="E2052" s="8" t="str">
        <f ca="1">IFERROR(__xludf.DUMMYFUNCTION("""COMPUTED_VALUE"""),"Student")</f>
        <v>Student</v>
      </c>
      <c r="F2052" s="8">
        <f ca="1">IFERROR(__xludf.DUMMYFUNCTION("""COMPUTED_VALUE"""),16)</f>
        <v>16</v>
      </c>
    </row>
    <row r="2053" spans="1:6" ht="12.75">
      <c r="A2053" s="4">
        <v>2052</v>
      </c>
      <c r="B2053" s="8" t="str">
        <f ca="1">IFERROR(__xludf.DUMMYFUNCTION("""COMPUTED_VALUE"""),"19980521ORTHS")</f>
        <v>19980521ORTHS</v>
      </c>
      <c r="C2053" s="8" t="str">
        <f ca="1">IFERROR(__xludf.DUMMYFUNCTION("""COMPUTED_VALUE"""),"Wounded")</f>
        <v>Wounded</v>
      </c>
      <c r="D2053" s="8"/>
      <c r="E2053" s="8" t="str">
        <f ca="1">IFERROR(__xludf.DUMMYFUNCTION("""COMPUTED_VALUE"""),"Student")</f>
        <v>Student</v>
      </c>
      <c r="F2053" s="8" t="str">
        <f ca="1">IFERROR(__xludf.DUMMYFUNCTION("""COMPUTED_VALUE"""),"Teen")</f>
        <v>Teen</v>
      </c>
    </row>
    <row r="2054" spans="1:6" ht="12.75">
      <c r="A2054" s="4">
        <v>2053</v>
      </c>
      <c r="B2054" s="8" t="str">
        <f ca="1">IFERROR(__xludf.DUMMYFUNCTION("""COMPUTED_VALUE"""),"19980521ORTHS")</f>
        <v>19980521ORTHS</v>
      </c>
      <c r="C2054" s="8" t="str">
        <f ca="1">IFERROR(__xludf.DUMMYFUNCTION("""COMPUTED_VALUE"""),"Wounded")</f>
        <v>Wounded</v>
      </c>
      <c r="D2054" s="8"/>
      <c r="E2054" s="8" t="str">
        <f ca="1">IFERROR(__xludf.DUMMYFUNCTION("""COMPUTED_VALUE"""),"Student")</f>
        <v>Student</v>
      </c>
      <c r="F2054" s="8">
        <f ca="1">IFERROR(__xludf.DUMMYFUNCTION("""COMPUTED_VALUE"""),16)</f>
        <v>16</v>
      </c>
    </row>
    <row r="2055" spans="1:6" ht="12.75">
      <c r="A2055" s="4">
        <v>2054</v>
      </c>
      <c r="B2055" s="8" t="str">
        <f ca="1">IFERROR(__xludf.DUMMYFUNCTION("""COMPUTED_VALUE"""),"19980521ORTHS")</f>
        <v>19980521ORTHS</v>
      </c>
      <c r="C2055" s="8" t="str">
        <f ca="1">IFERROR(__xludf.DUMMYFUNCTION("""COMPUTED_VALUE"""),"Wounded")</f>
        <v>Wounded</v>
      </c>
      <c r="D2055" s="8"/>
      <c r="E2055" s="8" t="str">
        <f ca="1">IFERROR(__xludf.DUMMYFUNCTION("""COMPUTED_VALUE"""),"Student")</f>
        <v>Student</v>
      </c>
      <c r="F2055" s="8">
        <f ca="1">IFERROR(__xludf.DUMMYFUNCTION("""COMPUTED_VALUE"""),17)</f>
        <v>17</v>
      </c>
    </row>
    <row r="2056" spans="1:6" ht="12.75">
      <c r="A2056" s="4">
        <v>2055</v>
      </c>
      <c r="B2056" s="8" t="str">
        <f ca="1">IFERROR(__xludf.DUMMYFUNCTION("""COMPUTED_VALUE"""),"19980521ORTHS")</f>
        <v>19980521ORTHS</v>
      </c>
      <c r="C2056" s="8" t="str">
        <f ca="1">IFERROR(__xludf.DUMMYFUNCTION("""COMPUTED_VALUE"""),"Wounded")</f>
        <v>Wounded</v>
      </c>
      <c r="D2056" s="8"/>
      <c r="E2056" s="8" t="str">
        <f ca="1">IFERROR(__xludf.DUMMYFUNCTION("""COMPUTED_VALUE"""),"Student")</f>
        <v>Student</v>
      </c>
      <c r="F2056" s="8">
        <f ca="1">IFERROR(__xludf.DUMMYFUNCTION("""COMPUTED_VALUE"""),17)</f>
        <v>17</v>
      </c>
    </row>
    <row r="2057" spans="1:6" ht="12.75">
      <c r="A2057" s="4">
        <v>2056</v>
      </c>
      <c r="B2057" s="8" t="str">
        <f ca="1">IFERROR(__xludf.DUMMYFUNCTION("""COMPUTED_VALUE"""),"19980521ORTHS")</f>
        <v>19980521ORTHS</v>
      </c>
      <c r="C2057" s="8" t="str">
        <f ca="1">IFERROR(__xludf.DUMMYFUNCTION("""COMPUTED_VALUE"""),"Wounded")</f>
        <v>Wounded</v>
      </c>
      <c r="D2057" s="8"/>
      <c r="E2057" s="8" t="str">
        <f ca="1">IFERROR(__xludf.DUMMYFUNCTION("""COMPUTED_VALUE"""),"Student")</f>
        <v>Student</v>
      </c>
      <c r="F2057" s="8">
        <f ca="1">IFERROR(__xludf.DUMMYFUNCTION("""COMPUTED_VALUE"""),17)</f>
        <v>17</v>
      </c>
    </row>
    <row r="2058" spans="1:6" ht="12.75">
      <c r="A2058" s="4">
        <v>2057</v>
      </c>
      <c r="B2058" s="8" t="str">
        <f ca="1">IFERROR(__xludf.DUMMYFUNCTION("""COMPUTED_VALUE"""),"19980521ORTHS")</f>
        <v>19980521ORTHS</v>
      </c>
      <c r="C2058" s="8" t="str">
        <f ca="1">IFERROR(__xludf.DUMMYFUNCTION("""COMPUTED_VALUE"""),"Wounded")</f>
        <v>Wounded</v>
      </c>
      <c r="D2058" s="8"/>
      <c r="E2058" s="8" t="str">
        <f ca="1">IFERROR(__xludf.DUMMYFUNCTION("""COMPUTED_VALUE"""),"Student")</f>
        <v>Student</v>
      </c>
      <c r="F2058" s="8">
        <f ca="1">IFERROR(__xludf.DUMMYFUNCTION("""COMPUTED_VALUE"""),17)</f>
        <v>17</v>
      </c>
    </row>
    <row r="2059" spans="1:6" ht="12.75">
      <c r="A2059" s="4">
        <v>2058</v>
      </c>
      <c r="B2059" s="8" t="str">
        <f ca="1">IFERROR(__xludf.DUMMYFUNCTION("""COMPUTED_VALUE"""),"19980521ORTHS")</f>
        <v>19980521ORTHS</v>
      </c>
      <c r="C2059" s="8" t="str">
        <f ca="1">IFERROR(__xludf.DUMMYFUNCTION("""COMPUTED_VALUE"""),"Wounded")</f>
        <v>Wounded</v>
      </c>
      <c r="D2059" s="8"/>
      <c r="E2059" s="8" t="str">
        <f ca="1">IFERROR(__xludf.DUMMYFUNCTION("""COMPUTED_VALUE"""),"Student")</f>
        <v>Student</v>
      </c>
      <c r="F2059" s="8">
        <f ca="1">IFERROR(__xludf.DUMMYFUNCTION("""COMPUTED_VALUE"""),16)</f>
        <v>16</v>
      </c>
    </row>
    <row r="2060" spans="1:6" ht="12.75">
      <c r="A2060" s="4">
        <v>2059</v>
      </c>
      <c r="B2060" s="8" t="str">
        <f ca="1">IFERROR(__xludf.DUMMYFUNCTION("""COMPUTED_VALUE"""),"19980521ORTHS")</f>
        <v>19980521ORTHS</v>
      </c>
      <c r="C2060" s="8" t="str">
        <f ca="1">IFERROR(__xludf.DUMMYFUNCTION("""COMPUTED_VALUE"""),"Fatal")</f>
        <v>Fatal</v>
      </c>
      <c r="D2060" s="8" t="str">
        <f ca="1">IFERROR(__xludf.DUMMYFUNCTION("""COMPUTED_VALUE"""),"Male")</f>
        <v>Male</v>
      </c>
      <c r="E2060" s="8" t="str">
        <f ca="1">IFERROR(__xludf.DUMMYFUNCTION("""COMPUTED_VALUE"""),"Student")</f>
        <v>Student</v>
      </c>
      <c r="F2060" s="8">
        <f ca="1">IFERROR(__xludf.DUMMYFUNCTION("""COMPUTED_VALUE"""),17)</f>
        <v>17</v>
      </c>
    </row>
    <row r="2061" spans="1:6" ht="12.75">
      <c r="A2061" s="4">
        <v>2060</v>
      </c>
      <c r="B2061" s="8" t="str">
        <f ca="1">IFERROR(__xludf.DUMMYFUNCTION("""COMPUTED_VALUE"""),"19980521ORTHS")</f>
        <v>19980521ORTHS</v>
      </c>
      <c r="C2061" s="8" t="str">
        <f ca="1">IFERROR(__xludf.DUMMYFUNCTION("""COMPUTED_VALUE"""),"Wounded")</f>
        <v>Wounded</v>
      </c>
      <c r="D2061" s="8"/>
      <c r="E2061" s="8" t="str">
        <f ca="1">IFERROR(__xludf.DUMMYFUNCTION("""COMPUTED_VALUE"""),"Student")</f>
        <v>Student</v>
      </c>
      <c r="F2061" s="8">
        <f ca="1">IFERROR(__xludf.DUMMYFUNCTION("""COMPUTED_VALUE"""),15)</f>
        <v>15</v>
      </c>
    </row>
    <row r="2062" spans="1:6" ht="12.75">
      <c r="A2062" s="4">
        <v>2061</v>
      </c>
      <c r="B2062" s="8" t="str">
        <f ca="1">IFERROR(__xludf.DUMMYFUNCTION("""COMPUTED_VALUE"""),"19980521ORTHS")</f>
        <v>19980521ORTHS</v>
      </c>
      <c r="C2062" s="8" t="str">
        <f ca="1">IFERROR(__xludf.DUMMYFUNCTION("""COMPUTED_VALUE"""),"Fatal")</f>
        <v>Fatal</v>
      </c>
      <c r="D2062" s="8" t="str">
        <f ca="1">IFERROR(__xludf.DUMMYFUNCTION("""COMPUTED_VALUE"""),"Male")</f>
        <v>Male</v>
      </c>
      <c r="E2062" s="8" t="str">
        <f ca="1">IFERROR(__xludf.DUMMYFUNCTION("""COMPUTED_VALUE"""),"Student")</f>
        <v>Student</v>
      </c>
      <c r="F2062" s="8" t="str">
        <f ca="1">IFERROR(__xludf.DUMMYFUNCTION("""COMPUTED_VALUE"""),"Teen")</f>
        <v>Teen</v>
      </c>
    </row>
    <row r="2063" spans="1:6" ht="12.75">
      <c r="A2063" s="4">
        <v>2062</v>
      </c>
      <c r="B2063" s="8" t="str">
        <f ca="1">IFERROR(__xludf.DUMMYFUNCTION("""COMPUTED_VALUE"""),"19980521ORTHS")</f>
        <v>19980521ORTHS</v>
      </c>
      <c r="C2063" s="8" t="str">
        <f ca="1">IFERROR(__xludf.DUMMYFUNCTION("""COMPUTED_VALUE"""),"Wounded")</f>
        <v>Wounded</v>
      </c>
      <c r="D2063" s="8"/>
      <c r="E2063" s="8" t="str">
        <f ca="1">IFERROR(__xludf.DUMMYFUNCTION("""COMPUTED_VALUE"""),"Student")</f>
        <v>Student</v>
      </c>
      <c r="F2063" s="8">
        <f ca="1">IFERROR(__xludf.DUMMYFUNCTION("""COMPUTED_VALUE"""),16)</f>
        <v>16</v>
      </c>
    </row>
    <row r="2064" spans="1:6" ht="12.75">
      <c r="A2064" s="4">
        <v>2063</v>
      </c>
      <c r="B2064" s="8" t="str">
        <f ca="1">IFERROR(__xludf.DUMMYFUNCTION("""COMPUTED_VALUE"""),"19980521ORTHS")</f>
        <v>19980521ORTHS</v>
      </c>
      <c r="C2064" s="8" t="str">
        <f ca="1">IFERROR(__xludf.DUMMYFUNCTION("""COMPUTED_VALUE"""),"Wounded")</f>
        <v>Wounded</v>
      </c>
      <c r="D2064" s="8"/>
      <c r="E2064" s="8" t="str">
        <f ca="1">IFERROR(__xludf.DUMMYFUNCTION("""COMPUTED_VALUE"""),"Student")</f>
        <v>Student</v>
      </c>
      <c r="F2064" s="8">
        <f ca="1">IFERROR(__xludf.DUMMYFUNCTION("""COMPUTED_VALUE"""),17)</f>
        <v>17</v>
      </c>
    </row>
    <row r="2065" spans="1:6" ht="12.75">
      <c r="A2065" s="4">
        <v>2064</v>
      </c>
      <c r="B2065" s="8" t="str">
        <f ca="1">IFERROR(__xludf.DUMMYFUNCTION("""COMPUTED_VALUE"""),"19980521ORTHS")</f>
        <v>19980521ORTHS</v>
      </c>
      <c r="C2065" s="8" t="str">
        <f ca="1">IFERROR(__xludf.DUMMYFUNCTION("""COMPUTED_VALUE"""),"Wounded")</f>
        <v>Wounded</v>
      </c>
      <c r="D2065" s="8"/>
      <c r="E2065" s="8" t="str">
        <f ca="1">IFERROR(__xludf.DUMMYFUNCTION("""COMPUTED_VALUE"""),"Student")</f>
        <v>Student</v>
      </c>
      <c r="F2065" s="8">
        <f ca="1">IFERROR(__xludf.DUMMYFUNCTION("""COMPUTED_VALUE"""),17)</f>
        <v>17</v>
      </c>
    </row>
    <row r="2066" spans="1:6" ht="12.75">
      <c r="A2066" s="4">
        <v>2065</v>
      </c>
      <c r="B2066" s="8" t="str">
        <f ca="1">IFERROR(__xludf.DUMMYFUNCTION("""COMPUTED_VALUE"""),"19980521ORTHS")</f>
        <v>19980521ORTHS</v>
      </c>
      <c r="C2066" s="8" t="str">
        <f ca="1">IFERROR(__xludf.DUMMYFUNCTION("""COMPUTED_VALUE"""),"Wounded")</f>
        <v>Wounded</v>
      </c>
      <c r="D2066" s="8"/>
      <c r="E2066" s="8" t="str">
        <f ca="1">IFERROR(__xludf.DUMMYFUNCTION("""COMPUTED_VALUE"""),"Student")</f>
        <v>Student</v>
      </c>
      <c r="F2066" s="8">
        <f ca="1">IFERROR(__xludf.DUMMYFUNCTION("""COMPUTED_VALUE"""),17)</f>
        <v>17</v>
      </c>
    </row>
    <row r="2067" spans="1:6" ht="12.75">
      <c r="A2067" s="4">
        <v>2066</v>
      </c>
      <c r="B2067" s="8" t="str">
        <f ca="1">IFERROR(__xludf.DUMMYFUNCTION("""COMPUTED_VALUE"""),"19980521CARIR")</f>
        <v>19980521CARIR</v>
      </c>
      <c r="C2067" s="8" t="str">
        <f ca="1">IFERROR(__xludf.DUMMYFUNCTION("""COMPUTED_VALUE"""),"None")</f>
        <v>None</v>
      </c>
      <c r="D2067" s="8" t="str">
        <f ca="1">IFERROR(__xludf.DUMMYFUNCTION("""COMPUTED_VALUE"""),"Male")</f>
        <v>Male</v>
      </c>
      <c r="E2067" s="8" t="str">
        <f ca="1">IFERROR(__xludf.DUMMYFUNCTION("""COMPUTED_VALUE"""),"Student")</f>
        <v>Student</v>
      </c>
      <c r="F2067" s="8">
        <f ca="1">IFERROR(__xludf.DUMMYFUNCTION("""COMPUTED_VALUE"""),15)</f>
        <v>15</v>
      </c>
    </row>
    <row r="2068" spans="1:6" ht="12.75">
      <c r="A2068" s="4">
        <v>2067</v>
      </c>
      <c r="B2068" s="8" t="str">
        <f ca="1">IFERROR(__xludf.DUMMYFUNCTION("""COMPUTED_VALUE"""),"19980519TNLIF")</f>
        <v>19980519TNLIF</v>
      </c>
      <c r="C2068" s="8" t="str">
        <f ca="1">IFERROR(__xludf.DUMMYFUNCTION("""COMPUTED_VALUE"""),"Fatal")</f>
        <v>Fatal</v>
      </c>
      <c r="D2068" s="8" t="str">
        <f ca="1">IFERROR(__xludf.DUMMYFUNCTION("""COMPUTED_VALUE"""),"Male")</f>
        <v>Male</v>
      </c>
      <c r="E2068" s="8" t="str">
        <f ca="1">IFERROR(__xludf.DUMMYFUNCTION("""COMPUTED_VALUE"""),"Student")</f>
        <v>Student</v>
      </c>
      <c r="F2068" s="8">
        <f ca="1">IFERROR(__xludf.DUMMYFUNCTION("""COMPUTED_VALUE"""),18)</f>
        <v>18</v>
      </c>
    </row>
    <row r="2069" spans="1:6" ht="12.75">
      <c r="A2069" s="4">
        <v>2068</v>
      </c>
      <c r="B2069" s="8" t="str">
        <f ca="1">IFERROR(__xludf.DUMMYFUNCTION("""COMPUTED_VALUE"""),"19980501NYPUB")</f>
        <v>19980501NYPUB</v>
      </c>
      <c r="C2069" s="8" t="str">
        <f ca="1">IFERROR(__xludf.DUMMYFUNCTION("""COMPUTED_VALUE"""),"Fatal")</f>
        <v>Fatal</v>
      </c>
      <c r="D2069" s="8" t="str">
        <f ca="1">IFERROR(__xludf.DUMMYFUNCTION("""COMPUTED_VALUE"""),"Female")</f>
        <v>Female</v>
      </c>
      <c r="E2069" s="8" t="str">
        <f ca="1">IFERROR(__xludf.DUMMYFUNCTION("""COMPUTED_VALUE"""),"Other Staff")</f>
        <v>Other Staff</v>
      </c>
      <c r="F2069" s="8">
        <f ca="1">IFERROR(__xludf.DUMMYFUNCTION("""COMPUTED_VALUE"""),30)</f>
        <v>30</v>
      </c>
    </row>
    <row r="2070" spans="1:6" ht="12.75">
      <c r="A2070" s="4">
        <v>2069</v>
      </c>
      <c r="B2070" s="8" t="str">
        <f ca="1">IFERROR(__xludf.DUMMYFUNCTION("""COMPUTED_VALUE"""),"19980501NYPUB")</f>
        <v>19980501NYPUB</v>
      </c>
      <c r="C2070" s="8" t="str">
        <f ca="1">IFERROR(__xludf.DUMMYFUNCTION("""COMPUTED_VALUE"""),"Wounded")</f>
        <v>Wounded</v>
      </c>
      <c r="D2070" s="8" t="str">
        <f ca="1">IFERROR(__xludf.DUMMYFUNCTION("""COMPUTED_VALUE"""),"Female")</f>
        <v>Female</v>
      </c>
      <c r="E2070" s="8" t="str">
        <f ca="1">IFERROR(__xludf.DUMMYFUNCTION("""COMPUTED_VALUE"""),"Teacher")</f>
        <v>Teacher</v>
      </c>
      <c r="F2070" s="8">
        <f ca="1">IFERROR(__xludf.DUMMYFUNCTION("""COMPUTED_VALUE"""),30)</f>
        <v>30</v>
      </c>
    </row>
    <row r="2071" spans="1:6" ht="12.75">
      <c r="A2071" s="4">
        <v>2070</v>
      </c>
      <c r="B2071" s="8" t="str">
        <f ca="1">IFERROR(__xludf.DUMMYFUNCTION("""COMPUTED_VALUE"""),"19980501FLNOM")</f>
        <v>19980501FLNOM</v>
      </c>
      <c r="C2071" s="8" t="str">
        <f ca="1">IFERROR(__xludf.DUMMYFUNCTION("""COMPUTED_VALUE"""),"Wounded")</f>
        <v>Wounded</v>
      </c>
      <c r="D2071" s="8" t="str">
        <f ca="1">IFERROR(__xludf.DUMMYFUNCTION("""COMPUTED_VALUE"""),"Male")</f>
        <v>Male</v>
      </c>
      <c r="E2071" s="8" t="str">
        <f ca="1">IFERROR(__xludf.DUMMYFUNCTION("""COMPUTED_VALUE"""),"Student")</f>
        <v>Student</v>
      </c>
      <c r="F2071" s="8">
        <f ca="1">IFERROR(__xludf.DUMMYFUNCTION("""COMPUTED_VALUE"""),17)</f>
        <v>17</v>
      </c>
    </row>
    <row r="2072" spans="1:6" ht="12.75">
      <c r="A2072" s="4">
        <v>2071</v>
      </c>
      <c r="B2072" s="8" t="str">
        <f ca="1">IFERROR(__xludf.DUMMYFUNCTION("""COMPUTED_VALUE"""),"19980428WIPAP")</f>
        <v>19980428WIPAP</v>
      </c>
      <c r="C2072" s="8" t="str">
        <f ca="1">IFERROR(__xludf.DUMMYFUNCTION("""COMPUTED_VALUE"""),"Wounded")</f>
        <v>Wounded</v>
      </c>
      <c r="D2072" s="8" t="str">
        <f ca="1">IFERROR(__xludf.DUMMYFUNCTION("""COMPUTED_VALUE"""),"Male")</f>
        <v>Male</v>
      </c>
      <c r="E2072" s="8" t="str">
        <f ca="1">IFERROR(__xludf.DUMMYFUNCTION("""COMPUTED_VALUE"""),"Other Staff")</f>
        <v>Other Staff</v>
      </c>
      <c r="F2072" s="8">
        <f ca="1">IFERROR(__xludf.DUMMYFUNCTION("""COMPUTED_VALUE"""),40)</f>
        <v>40</v>
      </c>
    </row>
    <row r="2073" spans="1:6" ht="12.75">
      <c r="A2073" s="4">
        <v>2072</v>
      </c>
      <c r="B2073" s="8" t="str">
        <f ca="1">IFERROR(__xludf.DUMMYFUNCTION("""COMPUTED_VALUE"""),"19980428CAPHP")</f>
        <v>19980428CAPHP</v>
      </c>
      <c r="C2073" s="8" t="str">
        <f ca="1">IFERROR(__xludf.DUMMYFUNCTION("""COMPUTED_VALUE"""),"Wounded")</f>
        <v>Wounded</v>
      </c>
      <c r="D2073" s="8" t="str">
        <f ca="1">IFERROR(__xludf.DUMMYFUNCTION("""COMPUTED_VALUE"""),"Male")</f>
        <v>Male</v>
      </c>
      <c r="E2073" s="8" t="str">
        <f ca="1">IFERROR(__xludf.DUMMYFUNCTION("""COMPUTED_VALUE"""),"No Relation")</f>
        <v>No Relation</v>
      </c>
      <c r="F2073" s="8">
        <f ca="1">IFERROR(__xludf.DUMMYFUNCTION("""COMPUTED_VALUE"""),14)</f>
        <v>14</v>
      </c>
    </row>
    <row r="2074" spans="1:6" ht="12.75">
      <c r="A2074" s="4">
        <v>2073</v>
      </c>
      <c r="B2074" s="8" t="str">
        <f ca="1">IFERROR(__xludf.DUMMYFUNCTION("""COMPUTED_VALUE"""),"19980428CAPHP")</f>
        <v>19980428CAPHP</v>
      </c>
      <c r="C2074" s="8" t="str">
        <f ca="1">IFERROR(__xludf.DUMMYFUNCTION("""COMPUTED_VALUE"""),"Wounded")</f>
        <v>Wounded</v>
      </c>
      <c r="D2074" s="8" t="str">
        <f ca="1">IFERROR(__xludf.DUMMYFUNCTION("""COMPUTED_VALUE"""),"Male")</f>
        <v>Male</v>
      </c>
      <c r="E2074" s="8" t="str">
        <f ca="1">IFERROR(__xludf.DUMMYFUNCTION("""COMPUTED_VALUE"""),"No Relation")</f>
        <v>No Relation</v>
      </c>
      <c r="F2074" s="8">
        <f ca="1">IFERROR(__xludf.DUMMYFUNCTION("""COMPUTED_VALUE"""),15)</f>
        <v>15</v>
      </c>
    </row>
    <row r="2075" spans="1:6" ht="12.75">
      <c r="A2075" s="4">
        <v>2074</v>
      </c>
      <c r="B2075" s="8" t="str">
        <f ca="1">IFERROR(__xludf.DUMMYFUNCTION("""COMPUTED_VALUE"""),"19980428CAPHP")</f>
        <v>19980428CAPHP</v>
      </c>
      <c r="C2075" s="8" t="str">
        <f ca="1">IFERROR(__xludf.DUMMYFUNCTION("""COMPUTED_VALUE"""),"Fatal")</f>
        <v>Fatal</v>
      </c>
      <c r="D2075" s="8" t="str">
        <f ca="1">IFERROR(__xludf.DUMMYFUNCTION("""COMPUTED_VALUE"""),"Male")</f>
        <v>Male</v>
      </c>
      <c r="E2075" s="8" t="str">
        <f ca="1">IFERROR(__xludf.DUMMYFUNCTION("""COMPUTED_VALUE"""),"No Relation")</f>
        <v>No Relation</v>
      </c>
      <c r="F2075" s="8">
        <f ca="1">IFERROR(__xludf.DUMMYFUNCTION("""COMPUTED_VALUE"""),17)</f>
        <v>17</v>
      </c>
    </row>
    <row r="2076" spans="1:6" ht="12.75">
      <c r="A2076" s="4">
        <v>2075</v>
      </c>
      <c r="B2076" s="8" t="str">
        <f ca="1">IFERROR(__xludf.DUMMYFUNCTION("""COMPUTED_VALUE"""),"19980424PAPAE")</f>
        <v>19980424PAPAE</v>
      </c>
      <c r="C2076" s="8" t="str">
        <f ca="1">IFERROR(__xludf.DUMMYFUNCTION("""COMPUTED_VALUE"""),"Wounded")</f>
        <v>Wounded</v>
      </c>
      <c r="D2076" s="8" t="str">
        <f ca="1">IFERROR(__xludf.DUMMYFUNCTION("""COMPUTED_VALUE"""),"Male")</f>
        <v>Male</v>
      </c>
      <c r="E2076" s="8" t="str">
        <f ca="1">IFERROR(__xludf.DUMMYFUNCTION("""COMPUTED_VALUE"""),"Student")</f>
        <v>Student</v>
      </c>
      <c r="F2076" s="8" t="str">
        <f ca="1">IFERROR(__xludf.DUMMYFUNCTION("""COMPUTED_VALUE"""),"Teen")</f>
        <v>Teen</v>
      </c>
    </row>
    <row r="2077" spans="1:6" ht="12.75">
      <c r="A2077" s="4">
        <v>2076</v>
      </c>
      <c r="B2077" s="8" t="str">
        <f ca="1">IFERROR(__xludf.DUMMYFUNCTION("""COMPUTED_VALUE"""),"19980424PAPAE")</f>
        <v>19980424PAPAE</v>
      </c>
      <c r="C2077" s="8" t="str">
        <f ca="1">IFERROR(__xludf.DUMMYFUNCTION("""COMPUTED_VALUE"""),"Fatal")</f>
        <v>Fatal</v>
      </c>
      <c r="D2077" s="8" t="str">
        <f ca="1">IFERROR(__xludf.DUMMYFUNCTION("""COMPUTED_VALUE"""),"Male")</f>
        <v>Male</v>
      </c>
      <c r="E2077" s="8" t="str">
        <f ca="1">IFERROR(__xludf.DUMMYFUNCTION("""COMPUTED_VALUE"""),"Teacher")</f>
        <v>Teacher</v>
      </c>
      <c r="F2077" s="8">
        <f ca="1">IFERROR(__xludf.DUMMYFUNCTION("""COMPUTED_VALUE"""),48)</f>
        <v>48</v>
      </c>
    </row>
    <row r="2078" spans="1:6" ht="12.75">
      <c r="A2078" s="4">
        <v>2077</v>
      </c>
      <c r="B2078" s="8" t="str">
        <f ca="1">IFERROR(__xludf.DUMMYFUNCTION("""COMPUTED_VALUE"""),"19980424PAPAE")</f>
        <v>19980424PAPAE</v>
      </c>
      <c r="C2078" s="8" t="str">
        <f ca="1">IFERROR(__xludf.DUMMYFUNCTION("""COMPUTED_VALUE"""),"Wounded")</f>
        <v>Wounded</v>
      </c>
      <c r="D2078" s="8" t="str">
        <f ca="1">IFERROR(__xludf.DUMMYFUNCTION("""COMPUTED_VALUE"""),"Male")</f>
        <v>Male</v>
      </c>
      <c r="E2078" s="8" t="str">
        <f ca="1">IFERROR(__xludf.DUMMYFUNCTION("""COMPUTED_VALUE"""),"Student")</f>
        <v>Student</v>
      </c>
      <c r="F2078" s="8">
        <f ca="1">IFERROR(__xludf.DUMMYFUNCTION("""COMPUTED_VALUE"""),14)</f>
        <v>14</v>
      </c>
    </row>
    <row r="2079" spans="1:6" ht="12.75">
      <c r="A2079" s="4">
        <v>2078</v>
      </c>
      <c r="B2079" s="8" t="str">
        <f ca="1">IFERROR(__xludf.DUMMYFUNCTION("""COMPUTED_VALUE"""),"19980424PAPAE")</f>
        <v>19980424PAPAE</v>
      </c>
      <c r="C2079" s="8" t="str">
        <f ca="1">IFERROR(__xludf.DUMMYFUNCTION("""COMPUTED_VALUE"""),"Wounded")</f>
        <v>Wounded</v>
      </c>
      <c r="D2079" s="8" t="str">
        <f ca="1">IFERROR(__xludf.DUMMYFUNCTION("""COMPUTED_VALUE"""),"Male")</f>
        <v>Male</v>
      </c>
      <c r="E2079" s="8" t="str">
        <f ca="1">IFERROR(__xludf.DUMMYFUNCTION("""COMPUTED_VALUE"""),"Student")</f>
        <v>Student</v>
      </c>
      <c r="F2079" s="8">
        <f ca="1">IFERROR(__xludf.DUMMYFUNCTION("""COMPUTED_VALUE"""),14)</f>
        <v>14</v>
      </c>
    </row>
    <row r="2080" spans="1:6" ht="12.75">
      <c r="A2080" s="4">
        <v>2079</v>
      </c>
      <c r="B2080" s="8" t="str">
        <f ca="1">IFERROR(__xludf.DUMMYFUNCTION("""COMPUTED_VALUE"""),"19980423CACUL")</f>
        <v>19980423CACUL</v>
      </c>
      <c r="C2080" s="8" t="str">
        <f ca="1">IFERROR(__xludf.DUMMYFUNCTION("""COMPUTED_VALUE"""),"Wounded")</f>
        <v>Wounded</v>
      </c>
      <c r="D2080" s="8" t="str">
        <f ca="1">IFERROR(__xludf.DUMMYFUNCTION("""COMPUTED_VALUE"""),"Male")</f>
        <v>Male</v>
      </c>
      <c r="E2080" s="8" t="str">
        <f ca="1">IFERROR(__xludf.DUMMYFUNCTION("""COMPUTED_VALUE"""),"Student")</f>
        <v>Student</v>
      </c>
      <c r="F2080" s="8" t="str">
        <f ca="1">IFERROR(__xludf.DUMMYFUNCTION("""COMPUTED_VALUE"""),"Teen")</f>
        <v>Teen</v>
      </c>
    </row>
    <row r="2081" spans="1:6" ht="12.75">
      <c r="A2081" s="4">
        <v>2080</v>
      </c>
      <c r="B2081" s="8" t="str">
        <f ca="1">IFERROR(__xludf.DUMMYFUNCTION("""COMPUTED_VALUE"""),"19980423CACUL")</f>
        <v>19980423CACUL</v>
      </c>
      <c r="C2081" s="8" t="str">
        <f ca="1">IFERROR(__xludf.DUMMYFUNCTION("""COMPUTED_VALUE"""),"Wounded")</f>
        <v>Wounded</v>
      </c>
      <c r="D2081" s="8" t="str">
        <f ca="1">IFERROR(__xludf.DUMMYFUNCTION("""COMPUTED_VALUE"""),"Male")</f>
        <v>Male</v>
      </c>
      <c r="E2081" s="8" t="str">
        <f ca="1">IFERROR(__xludf.DUMMYFUNCTION("""COMPUTED_VALUE"""),"Student")</f>
        <v>Student</v>
      </c>
      <c r="F2081" s="8" t="str">
        <f ca="1">IFERROR(__xludf.DUMMYFUNCTION("""COMPUTED_VALUE"""),"Teen")</f>
        <v>Teen</v>
      </c>
    </row>
    <row r="2082" spans="1:6" ht="12.75">
      <c r="A2082" s="4">
        <v>2081</v>
      </c>
      <c r="B2082" s="8" t="str">
        <f ca="1">IFERROR(__xludf.DUMMYFUNCTION("""COMPUTED_VALUE"""),"19980331WIOAO")</f>
        <v>19980331WIOAO</v>
      </c>
      <c r="C2082" s="8" t="str">
        <f ca="1">IFERROR(__xludf.DUMMYFUNCTION("""COMPUTED_VALUE"""),"None")</f>
        <v>None</v>
      </c>
      <c r="D2082" s="8"/>
      <c r="E2082" s="8"/>
      <c r="F2082" s="8"/>
    </row>
    <row r="2083" spans="1:6" ht="12.75">
      <c r="A2083" s="4">
        <v>2082</v>
      </c>
      <c r="B2083" s="8" t="str">
        <f ca="1">IFERROR(__xludf.DUMMYFUNCTION("""COMPUTED_VALUE"""),"19980330NCGRC")</f>
        <v>19980330NCGRC</v>
      </c>
      <c r="C2083" s="8" t="str">
        <f ca="1">IFERROR(__xludf.DUMMYFUNCTION("""COMPUTED_VALUE"""),"None")</f>
        <v>None</v>
      </c>
      <c r="D2083" s="8" t="str">
        <f ca="1">IFERROR(__xludf.DUMMYFUNCTION("""COMPUTED_VALUE"""),"Female")</f>
        <v>Female</v>
      </c>
      <c r="E2083" s="8" t="str">
        <f ca="1">IFERROR(__xludf.DUMMYFUNCTION("""COMPUTED_VALUE"""),"Student")</f>
        <v>Student</v>
      </c>
      <c r="F2083" s="8">
        <f ca="1">IFERROR(__xludf.DUMMYFUNCTION("""COMPUTED_VALUE"""),13)</f>
        <v>13</v>
      </c>
    </row>
    <row r="2084" spans="1:6" ht="12.75">
      <c r="A2084" s="4">
        <v>2083</v>
      </c>
      <c r="B2084" s="8" t="str">
        <f ca="1">IFERROR(__xludf.DUMMYFUNCTION("""COMPUTED_VALUE"""),"19980325MICOC")</f>
        <v>19980325MICOC</v>
      </c>
      <c r="C2084" s="8" t="str">
        <f ca="1">IFERROR(__xludf.DUMMYFUNCTION("""COMPUTED_VALUE"""),"None")</f>
        <v>None</v>
      </c>
      <c r="D2084" s="8" t="str">
        <f ca="1">IFERROR(__xludf.DUMMYFUNCTION("""COMPUTED_VALUE"""),"Male")</f>
        <v>Male</v>
      </c>
      <c r="E2084" s="8" t="str">
        <f ca="1">IFERROR(__xludf.DUMMYFUNCTION("""COMPUTED_VALUE"""),"Student")</f>
        <v>Student</v>
      </c>
      <c r="F2084" s="8">
        <f ca="1">IFERROR(__xludf.DUMMYFUNCTION("""COMPUTED_VALUE"""),18)</f>
        <v>18</v>
      </c>
    </row>
    <row r="2085" spans="1:6" ht="12.75">
      <c r="A2085" s="4">
        <v>2084</v>
      </c>
      <c r="B2085" s="8" t="str">
        <f ca="1">IFERROR(__xludf.DUMMYFUNCTION("""COMPUTED_VALUE"""),"19980325CAFED")</f>
        <v>19980325CAFED</v>
      </c>
      <c r="C2085" s="8" t="str">
        <f ca="1">IFERROR(__xludf.DUMMYFUNCTION("""COMPUTED_VALUE"""),"None")</f>
        <v>None</v>
      </c>
      <c r="D2085" s="8" t="str">
        <f ca="1">IFERROR(__xludf.DUMMYFUNCTION("""COMPUTED_VALUE"""),"Male")</f>
        <v>Male</v>
      </c>
      <c r="E2085" s="8" t="str">
        <f ca="1">IFERROR(__xludf.DUMMYFUNCTION("""COMPUTED_VALUE"""),"Principal/Vice-Principal")</f>
        <v>Principal/Vice-Principal</v>
      </c>
      <c r="F2085" s="8" t="str">
        <f ca="1">IFERROR(__xludf.DUMMYFUNCTION("""COMPUTED_VALUE"""),"Adult")</f>
        <v>Adult</v>
      </c>
    </row>
    <row r="2086" spans="1:6" ht="12.75">
      <c r="A2086" s="4">
        <v>2085</v>
      </c>
      <c r="B2086" s="8" t="str">
        <f ca="1">IFERROR(__xludf.DUMMYFUNCTION("""COMPUTED_VALUE"""),"19980324ARWEJ")</f>
        <v>19980324ARWEJ</v>
      </c>
      <c r="C2086" s="8" t="str">
        <f ca="1">IFERROR(__xludf.DUMMYFUNCTION("""COMPUTED_VALUE"""),"Wounded")</f>
        <v>Wounded</v>
      </c>
      <c r="D2086" s="8"/>
      <c r="E2086" s="8" t="str">
        <f ca="1">IFERROR(__xludf.DUMMYFUNCTION("""COMPUTED_VALUE"""),"Student")</f>
        <v>Student</v>
      </c>
      <c r="F2086" s="8">
        <f ca="1">IFERROR(__xludf.DUMMYFUNCTION("""COMPUTED_VALUE"""),12)</f>
        <v>12</v>
      </c>
    </row>
    <row r="2087" spans="1:6" ht="12.75">
      <c r="A2087" s="4">
        <v>2086</v>
      </c>
      <c r="B2087" s="8" t="str">
        <f ca="1">IFERROR(__xludf.DUMMYFUNCTION("""COMPUTED_VALUE"""),"19980324ARWEJ")</f>
        <v>19980324ARWEJ</v>
      </c>
      <c r="C2087" s="8" t="str">
        <f ca="1">IFERROR(__xludf.DUMMYFUNCTION("""COMPUTED_VALUE"""),"Fatal")</f>
        <v>Fatal</v>
      </c>
      <c r="D2087" s="8" t="str">
        <f ca="1">IFERROR(__xludf.DUMMYFUNCTION("""COMPUTED_VALUE"""),"Female")</f>
        <v>Female</v>
      </c>
      <c r="E2087" s="8" t="str">
        <f ca="1">IFERROR(__xludf.DUMMYFUNCTION("""COMPUTED_VALUE"""),"Student")</f>
        <v>Student</v>
      </c>
      <c r="F2087" s="8">
        <f ca="1">IFERROR(__xludf.DUMMYFUNCTION("""COMPUTED_VALUE"""),11)</f>
        <v>11</v>
      </c>
    </row>
    <row r="2088" spans="1:6" ht="12.75">
      <c r="A2088" s="4">
        <v>2087</v>
      </c>
      <c r="B2088" s="8" t="str">
        <f ca="1">IFERROR(__xludf.DUMMYFUNCTION("""COMPUTED_VALUE"""),"19980324ARWEJ")</f>
        <v>19980324ARWEJ</v>
      </c>
      <c r="C2088" s="8" t="str">
        <f ca="1">IFERROR(__xludf.DUMMYFUNCTION("""COMPUTED_VALUE"""),"Wounded")</f>
        <v>Wounded</v>
      </c>
      <c r="D2088" s="8"/>
      <c r="E2088" s="8" t="str">
        <f ca="1">IFERROR(__xludf.DUMMYFUNCTION("""COMPUTED_VALUE"""),"Student")</f>
        <v>Student</v>
      </c>
      <c r="F2088" s="8">
        <f ca="1">IFERROR(__xludf.DUMMYFUNCTION("""COMPUTED_VALUE"""),13)</f>
        <v>13</v>
      </c>
    </row>
    <row r="2089" spans="1:6" ht="12.75">
      <c r="A2089" s="4">
        <v>2088</v>
      </c>
      <c r="B2089" s="8" t="str">
        <f ca="1">IFERROR(__xludf.DUMMYFUNCTION("""COMPUTED_VALUE"""),"19980324ARWEJ")</f>
        <v>19980324ARWEJ</v>
      </c>
      <c r="C2089" s="8" t="str">
        <f ca="1">IFERROR(__xludf.DUMMYFUNCTION("""COMPUTED_VALUE"""),"Fatal")</f>
        <v>Fatal</v>
      </c>
      <c r="D2089" s="8" t="str">
        <f ca="1">IFERROR(__xludf.DUMMYFUNCTION("""COMPUTED_VALUE"""),"Female")</f>
        <v>Female</v>
      </c>
      <c r="E2089" s="8" t="str">
        <f ca="1">IFERROR(__xludf.DUMMYFUNCTION("""COMPUTED_VALUE"""),"Teacher")</f>
        <v>Teacher</v>
      </c>
      <c r="F2089" s="8">
        <f ca="1">IFERROR(__xludf.DUMMYFUNCTION("""COMPUTED_VALUE"""),32)</f>
        <v>32</v>
      </c>
    </row>
    <row r="2090" spans="1:6" ht="12.75">
      <c r="A2090" s="4">
        <v>2089</v>
      </c>
      <c r="B2090" s="8" t="str">
        <f ca="1">IFERROR(__xludf.DUMMYFUNCTION("""COMPUTED_VALUE"""),"19980324ARWEJ")</f>
        <v>19980324ARWEJ</v>
      </c>
      <c r="C2090" s="8" t="str">
        <f ca="1">IFERROR(__xludf.DUMMYFUNCTION("""COMPUTED_VALUE"""),"Wounded")</f>
        <v>Wounded</v>
      </c>
      <c r="D2090" s="8"/>
      <c r="E2090" s="8" t="str">
        <f ca="1">IFERROR(__xludf.DUMMYFUNCTION("""COMPUTED_VALUE"""),"Student")</f>
        <v>Student</v>
      </c>
      <c r="F2090" s="8">
        <f ca="1">IFERROR(__xludf.DUMMYFUNCTION("""COMPUTED_VALUE"""),11)</f>
        <v>11</v>
      </c>
    </row>
    <row r="2091" spans="1:6" ht="12.75">
      <c r="A2091" s="4">
        <v>2090</v>
      </c>
      <c r="B2091" s="8" t="str">
        <f ca="1">IFERROR(__xludf.DUMMYFUNCTION("""COMPUTED_VALUE"""),"19980324ARWEJ")</f>
        <v>19980324ARWEJ</v>
      </c>
      <c r="C2091" s="8" t="str">
        <f ca="1">IFERROR(__xludf.DUMMYFUNCTION("""COMPUTED_VALUE"""),"Fatal")</f>
        <v>Fatal</v>
      </c>
      <c r="D2091" s="8" t="str">
        <f ca="1">IFERROR(__xludf.DUMMYFUNCTION("""COMPUTED_VALUE"""),"Female")</f>
        <v>Female</v>
      </c>
      <c r="E2091" s="8" t="str">
        <f ca="1">IFERROR(__xludf.DUMMYFUNCTION("""COMPUTED_VALUE"""),"Student")</f>
        <v>Student</v>
      </c>
      <c r="F2091" s="8">
        <f ca="1">IFERROR(__xludf.DUMMYFUNCTION("""COMPUTED_VALUE"""),12)</f>
        <v>12</v>
      </c>
    </row>
    <row r="2092" spans="1:6" ht="12.75">
      <c r="A2092" s="4">
        <v>2091</v>
      </c>
      <c r="B2092" s="8" t="str">
        <f ca="1">IFERROR(__xludf.DUMMYFUNCTION("""COMPUTED_VALUE"""),"19980324ARWEJ")</f>
        <v>19980324ARWEJ</v>
      </c>
      <c r="C2092" s="8" t="str">
        <f ca="1">IFERROR(__xludf.DUMMYFUNCTION("""COMPUTED_VALUE"""),"Wounded")</f>
        <v>Wounded</v>
      </c>
      <c r="D2092" s="8"/>
      <c r="E2092" s="8" t="str">
        <f ca="1">IFERROR(__xludf.DUMMYFUNCTION("""COMPUTED_VALUE"""),"Student")</f>
        <v>Student</v>
      </c>
      <c r="F2092" s="8">
        <f ca="1">IFERROR(__xludf.DUMMYFUNCTION("""COMPUTED_VALUE"""),13)</f>
        <v>13</v>
      </c>
    </row>
    <row r="2093" spans="1:6" ht="12.75">
      <c r="A2093" s="4">
        <v>2092</v>
      </c>
      <c r="B2093" s="8" t="str">
        <f ca="1">IFERROR(__xludf.DUMMYFUNCTION("""COMPUTED_VALUE"""),"19980324ARWEJ")</f>
        <v>19980324ARWEJ</v>
      </c>
      <c r="C2093" s="8" t="str">
        <f ca="1">IFERROR(__xludf.DUMMYFUNCTION("""COMPUTED_VALUE"""),"Wounded")</f>
        <v>Wounded</v>
      </c>
      <c r="D2093" s="8"/>
      <c r="E2093" s="8" t="str">
        <f ca="1">IFERROR(__xludf.DUMMYFUNCTION("""COMPUTED_VALUE"""),"Teacher")</f>
        <v>Teacher</v>
      </c>
      <c r="F2093" s="8">
        <f ca="1">IFERROR(__xludf.DUMMYFUNCTION("""COMPUTED_VALUE"""),42)</f>
        <v>42</v>
      </c>
    </row>
    <row r="2094" spans="1:6" ht="12.75">
      <c r="A2094" s="4">
        <v>2093</v>
      </c>
      <c r="B2094" s="8" t="str">
        <f ca="1">IFERROR(__xludf.DUMMYFUNCTION("""COMPUTED_VALUE"""),"19980324ARWEJ")</f>
        <v>19980324ARWEJ</v>
      </c>
      <c r="C2094" s="8" t="str">
        <f ca="1">IFERROR(__xludf.DUMMYFUNCTION("""COMPUTED_VALUE"""),"Wounded")</f>
        <v>Wounded</v>
      </c>
      <c r="D2094" s="8"/>
      <c r="E2094" s="8" t="str">
        <f ca="1">IFERROR(__xludf.DUMMYFUNCTION("""COMPUTED_VALUE"""),"Student")</f>
        <v>Student</v>
      </c>
      <c r="F2094" s="8">
        <f ca="1">IFERROR(__xludf.DUMMYFUNCTION("""COMPUTED_VALUE"""),11)</f>
        <v>11</v>
      </c>
    </row>
    <row r="2095" spans="1:6" ht="12.75">
      <c r="A2095" s="4">
        <v>2094</v>
      </c>
      <c r="B2095" s="8" t="str">
        <f ca="1">IFERROR(__xludf.DUMMYFUNCTION("""COMPUTED_VALUE"""),"19980324ARWEJ")</f>
        <v>19980324ARWEJ</v>
      </c>
      <c r="C2095" s="8" t="str">
        <f ca="1">IFERROR(__xludf.DUMMYFUNCTION("""COMPUTED_VALUE"""),"Wounded")</f>
        <v>Wounded</v>
      </c>
      <c r="D2095" s="8"/>
      <c r="E2095" s="8" t="str">
        <f ca="1">IFERROR(__xludf.DUMMYFUNCTION("""COMPUTED_VALUE"""),"Student")</f>
        <v>Student</v>
      </c>
      <c r="F2095" s="8">
        <f ca="1">IFERROR(__xludf.DUMMYFUNCTION("""COMPUTED_VALUE"""),13)</f>
        <v>13</v>
      </c>
    </row>
    <row r="2096" spans="1:6" ht="12.75">
      <c r="A2096" s="4">
        <v>2095</v>
      </c>
      <c r="B2096" s="8" t="str">
        <f ca="1">IFERROR(__xludf.DUMMYFUNCTION("""COMPUTED_VALUE"""),"19980324ARWEJ")</f>
        <v>19980324ARWEJ</v>
      </c>
      <c r="C2096" s="8" t="str">
        <f ca="1">IFERROR(__xludf.DUMMYFUNCTION("""COMPUTED_VALUE"""),"Fatal")</f>
        <v>Fatal</v>
      </c>
      <c r="D2096" s="8" t="str">
        <f ca="1">IFERROR(__xludf.DUMMYFUNCTION("""COMPUTED_VALUE"""),"Female")</f>
        <v>Female</v>
      </c>
      <c r="E2096" s="8" t="str">
        <f ca="1">IFERROR(__xludf.DUMMYFUNCTION("""COMPUTED_VALUE"""),"Student")</f>
        <v>Student</v>
      </c>
      <c r="F2096" s="8">
        <f ca="1">IFERROR(__xludf.DUMMYFUNCTION("""COMPUTED_VALUE"""),12)</f>
        <v>12</v>
      </c>
    </row>
    <row r="2097" spans="1:6" ht="12.75">
      <c r="A2097" s="4">
        <v>2096</v>
      </c>
      <c r="B2097" s="8" t="str">
        <f ca="1">IFERROR(__xludf.DUMMYFUNCTION("""COMPUTED_VALUE"""),"19980324ARWEJ")</f>
        <v>19980324ARWEJ</v>
      </c>
      <c r="C2097" s="8" t="str">
        <f ca="1">IFERROR(__xludf.DUMMYFUNCTION("""COMPUTED_VALUE"""),"Wounded")</f>
        <v>Wounded</v>
      </c>
      <c r="D2097" s="8"/>
      <c r="E2097" s="8" t="str">
        <f ca="1">IFERROR(__xludf.DUMMYFUNCTION("""COMPUTED_VALUE"""),"Student")</f>
        <v>Student</v>
      </c>
      <c r="F2097" s="8">
        <f ca="1">IFERROR(__xludf.DUMMYFUNCTION("""COMPUTED_VALUE"""),12)</f>
        <v>12</v>
      </c>
    </row>
    <row r="2098" spans="1:6" ht="12.75">
      <c r="A2098" s="4">
        <v>2097</v>
      </c>
      <c r="B2098" s="8" t="str">
        <f ca="1">IFERROR(__xludf.DUMMYFUNCTION("""COMPUTED_VALUE"""),"19980324ARWEJ")</f>
        <v>19980324ARWEJ</v>
      </c>
      <c r="C2098" s="8" t="str">
        <f ca="1">IFERROR(__xludf.DUMMYFUNCTION("""COMPUTED_VALUE"""),"Wounded")</f>
        <v>Wounded</v>
      </c>
      <c r="D2098" s="8"/>
      <c r="E2098" s="8" t="str">
        <f ca="1">IFERROR(__xludf.DUMMYFUNCTION("""COMPUTED_VALUE"""),"Student")</f>
        <v>Student</v>
      </c>
      <c r="F2098" s="8">
        <f ca="1">IFERROR(__xludf.DUMMYFUNCTION("""COMPUTED_VALUE"""),12)</f>
        <v>12</v>
      </c>
    </row>
    <row r="2099" spans="1:6" ht="12.75">
      <c r="A2099" s="4">
        <v>2098</v>
      </c>
      <c r="B2099" s="8" t="str">
        <f ca="1">IFERROR(__xludf.DUMMYFUNCTION("""COMPUTED_VALUE"""),"19980324ARWEJ")</f>
        <v>19980324ARWEJ</v>
      </c>
      <c r="C2099" s="8" t="str">
        <f ca="1">IFERROR(__xludf.DUMMYFUNCTION("""COMPUTED_VALUE"""),"Fatal")</f>
        <v>Fatal</v>
      </c>
      <c r="D2099" s="8" t="str">
        <f ca="1">IFERROR(__xludf.DUMMYFUNCTION("""COMPUTED_VALUE"""),"Female")</f>
        <v>Female</v>
      </c>
      <c r="E2099" s="8" t="str">
        <f ca="1">IFERROR(__xludf.DUMMYFUNCTION("""COMPUTED_VALUE"""),"Student")</f>
        <v>Student</v>
      </c>
      <c r="F2099" s="8">
        <f ca="1">IFERROR(__xludf.DUMMYFUNCTION("""COMPUTED_VALUE"""),12)</f>
        <v>12</v>
      </c>
    </row>
    <row r="2100" spans="1:6" ht="12.75">
      <c r="A2100" s="4">
        <v>2099</v>
      </c>
      <c r="B2100" s="8" t="str">
        <f ca="1">IFERROR(__xludf.DUMMYFUNCTION("""COMPUTED_VALUE"""),"19980324ARWEJ")</f>
        <v>19980324ARWEJ</v>
      </c>
      <c r="C2100" s="8" t="str">
        <f ca="1">IFERROR(__xludf.DUMMYFUNCTION("""COMPUTED_VALUE"""),"Wounded")</f>
        <v>Wounded</v>
      </c>
      <c r="D2100" s="8"/>
      <c r="E2100" s="8" t="str">
        <f ca="1">IFERROR(__xludf.DUMMYFUNCTION("""COMPUTED_VALUE"""),"Student")</f>
        <v>Student</v>
      </c>
      <c r="F2100" s="8">
        <f ca="1">IFERROR(__xludf.DUMMYFUNCTION("""COMPUTED_VALUE"""),13)</f>
        <v>13</v>
      </c>
    </row>
    <row r="2101" spans="1:6" ht="12.75">
      <c r="A2101" s="4">
        <v>2100</v>
      </c>
      <c r="B2101" s="8" t="str">
        <f ca="1">IFERROR(__xludf.DUMMYFUNCTION("""COMPUTED_VALUE"""),"19980227VAMAF")</f>
        <v>19980227VAMAF</v>
      </c>
      <c r="C2101" s="8" t="str">
        <f ca="1">IFERROR(__xludf.DUMMYFUNCTION("""COMPUTED_VALUE"""),"Fatal")</f>
        <v>Fatal</v>
      </c>
      <c r="D2101" s="8" t="str">
        <f ca="1">IFERROR(__xludf.DUMMYFUNCTION("""COMPUTED_VALUE"""),"Male")</f>
        <v>Male</v>
      </c>
      <c r="E2101" s="8" t="str">
        <f ca="1">IFERROR(__xludf.DUMMYFUNCTION("""COMPUTED_VALUE"""),"Student")</f>
        <v>Student</v>
      </c>
      <c r="F2101" s="8">
        <f ca="1">IFERROR(__xludf.DUMMYFUNCTION("""COMPUTED_VALUE"""),17)</f>
        <v>17</v>
      </c>
    </row>
    <row r="2102" spans="1:6" ht="12.75">
      <c r="A2102" s="4">
        <v>2101</v>
      </c>
      <c r="B2102" s="8" t="str">
        <f ca="1">IFERROR(__xludf.DUMMYFUNCTION("""COMPUTED_VALUE"""),"19980225MIRER")</f>
        <v>19980225MIRER</v>
      </c>
      <c r="C2102" s="8" t="str">
        <f ca="1">IFERROR(__xludf.DUMMYFUNCTION("""COMPUTED_VALUE"""),"None")</f>
        <v>None</v>
      </c>
      <c r="D2102" s="8" t="str">
        <f ca="1">IFERROR(__xludf.DUMMYFUNCTION("""COMPUTED_VALUE"""),"Male")</f>
        <v>Male</v>
      </c>
      <c r="E2102" s="8" t="str">
        <f ca="1">IFERROR(__xludf.DUMMYFUNCTION("""COMPUTED_VALUE"""),"Student")</f>
        <v>Student</v>
      </c>
      <c r="F2102" s="8">
        <f ca="1">IFERROR(__xludf.DUMMYFUNCTION("""COMPUTED_VALUE"""),14)</f>
        <v>14</v>
      </c>
    </row>
    <row r="2103" spans="1:6" ht="12.75">
      <c r="A2103" s="4">
        <v>2102</v>
      </c>
      <c r="B2103" s="8" t="str">
        <f ca="1">IFERROR(__xludf.DUMMYFUNCTION("""COMPUTED_VALUE"""),"19980212NJHOH")</f>
        <v>19980212NJHOH</v>
      </c>
      <c r="C2103" s="8" t="str">
        <f ca="1">IFERROR(__xludf.DUMMYFUNCTION("""COMPUTED_VALUE"""),"Fatal")</f>
        <v>Fatal</v>
      </c>
      <c r="D2103" s="8" t="str">
        <f ca="1">IFERROR(__xludf.DUMMYFUNCTION("""COMPUTED_VALUE"""),"Male")</f>
        <v>Male</v>
      </c>
      <c r="E2103" s="8" t="str">
        <f ca="1">IFERROR(__xludf.DUMMYFUNCTION("""COMPUTED_VALUE"""),"Teacher")</f>
        <v>Teacher</v>
      </c>
      <c r="F2103" s="8">
        <f ca="1">IFERROR(__xludf.DUMMYFUNCTION("""COMPUTED_VALUE"""),48)</f>
        <v>48</v>
      </c>
    </row>
    <row r="2104" spans="1:6" ht="12.75">
      <c r="A2104" s="4">
        <v>2103</v>
      </c>
      <c r="B2104" s="8" t="str">
        <f ca="1">IFERROR(__xludf.DUMMYFUNCTION("""COMPUTED_VALUE"""),"19971215ARSTS")</f>
        <v>19971215ARSTS</v>
      </c>
      <c r="C2104" s="8" t="str">
        <f ca="1">IFERROR(__xludf.DUMMYFUNCTION("""COMPUTED_VALUE"""),"Wounded")</f>
        <v>Wounded</v>
      </c>
      <c r="D2104" s="8" t="str">
        <f ca="1">IFERROR(__xludf.DUMMYFUNCTION("""COMPUTED_VALUE"""),"Male")</f>
        <v>Male</v>
      </c>
      <c r="E2104" s="8" t="str">
        <f ca="1">IFERROR(__xludf.DUMMYFUNCTION("""COMPUTED_VALUE"""),"Student")</f>
        <v>Student</v>
      </c>
      <c r="F2104" s="8">
        <f ca="1">IFERROR(__xludf.DUMMYFUNCTION("""COMPUTED_VALUE"""),15)</f>
        <v>15</v>
      </c>
    </row>
    <row r="2105" spans="1:6" ht="12.75">
      <c r="A2105" s="4">
        <v>2104</v>
      </c>
      <c r="B2105" s="8" t="str">
        <f ca="1">IFERROR(__xludf.DUMMYFUNCTION("""COMPUTED_VALUE"""),"19971215ARSTS")</f>
        <v>19971215ARSTS</v>
      </c>
      <c r="C2105" s="8" t="str">
        <f ca="1">IFERROR(__xludf.DUMMYFUNCTION("""COMPUTED_VALUE"""),"Wounded")</f>
        <v>Wounded</v>
      </c>
      <c r="D2105" s="8" t="str">
        <f ca="1">IFERROR(__xludf.DUMMYFUNCTION("""COMPUTED_VALUE"""),"Female")</f>
        <v>Female</v>
      </c>
      <c r="E2105" s="8" t="str">
        <f ca="1">IFERROR(__xludf.DUMMYFUNCTION("""COMPUTED_VALUE"""),"Student")</f>
        <v>Student</v>
      </c>
      <c r="F2105" s="8">
        <f ca="1">IFERROR(__xludf.DUMMYFUNCTION("""COMPUTED_VALUE"""),17)</f>
        <v>17</v>
      </c>
    </row>
    <row r="2106" spans="1:6" ht="12.75">
      <c r="A2106" s="4">
        <v>2105</v>
      </c>
      <c r="B2106" s="8" t="str">
        <f ca="1">IFERROR(__xludf.DUMMYFUNCTION("""COMPUTED_VALUE"""),"19971201KYHEW")</f>
        <v>19971201KYHEW</v>
      </c>
      <c r="C2106" s="8" t="str">
        <f ca="1">IFERROR(__xludf.DUMMYFUNCTION("""COMPUTED_VALUE"""),"Wounded")</f>
        <v>Wounded</v>
      </c>
      <c r="D2106" s="8" t="str">
        <f ca="1">IFERROR(__xludf.DUMMYFUNCTION("""COMPUTED_VALUE"""),"Female")</f>
        <v>Female</v>
      </c>
      <c r="E2106" s="8" t="str">
        <f ca="1">IFERROR(__xludf.DUMMYFUNCTION("""COMPUTED_VALUE"""),"Student")</f>
        <v>Student</v>
      </c>
      <c r="F2106" s="8">
        <f ca="1">IFERROR(__xludf.DUMMYFUNCTION("""COMPUTED_VALUE"""),17)</f>
        <v>17</v>
      </c>
    </row>
    <row r="2107" spans="1:6" ht="12.75">
      <c r="A2107" s="4">
        <v>2106</v>
      </c>
      <c r="B2107" s="8" t="str">
        <f ca="1">IFERROR(__xludf.DUMMYFUNCTION("""COMPUTED_VALUE"""),"19971201KYHEW")</f>
        <v>19971201KYHEW</v>
      </c>
      <c r="C2107" s="8" t="str">
        <f ca="1">IFERROR(__xludf.DUMMYFUNCTION("""COMPUTED_VALUE"""),"Fatal")</f>
        <v>Fatal</v>
      </c>
      <c r="D2107" s="8" t="str">
        <f ca="1">IFERROR(__xludf.DUMMYFUNCTION("""COMPUTED_VALUE"""),"Female")</f>
        <v>Female</v>
      </c>
      <c r="E2107" s="8" t="str">
        <f ca="1">IFERROR(__xludf.DUMMYFUNCTION("""COMPUTED_VALUE"""),"Student")</f>
        <v>Student</v>
      </c>
      <c r="F2107" s="8">
        <f ca="1">IFERROR(__xludf.DUMMYFUNCTION("""COMPUTED_VALUE"""),14)</f>
        <v>14</v>
      </c>
    </row>
    <row r="2108" spans="1:6" ht="12.75">
      <c r="A2108" s="4">
        <v>2107</v>
      </c>
      <c r="B2108" s="8" t="str">
        <f ca="1">IFERROR(__xludf.DUMMYFUNCTION("""COMPUTED_VALUE"""),"19971201KYHEW")</f>
        <v>19971201KYHEW</v>
      </c>
      <c r="C2108" s="8" t="str">
        <f ca="1">IFERROR(__xludf.DUMMYFUNCTION("""COMPUTED_VALUE"""),"Wounded")</f>
        <v>Wounded</v>
      </c>
      <c r="D2108" s="8" t="str">
        <f ca="1">IFERROR(__xludf.DUMMYFUNCTION("""COMPUTED_VALUE"""),"Female")</f>
        <v>Female</v>
      </c>
      <c r="E2108" s="8" t="str">
        <f ca="1">IFERROR(__xludf.DUMMYFUNCTION("""COMPUTED_VALUE"""),"Student")</f>
        <v>Student</v>
      </c>
      <c r="F2108" s="8">
        <f ca="1">IFERROR(__xludf.DUMMYFUNCTION("""COMPUTED_VALUE"""),16)</f>
        <v>16</v>
      </c>
    </row>
    <row r="2109" spans="1:6" ht="12.75">
      <c r="A2109" s="4">
        <v>2108</v>
      </c>
      <c r="B2109" s="8" t="str">
        <f ca="1">IFERROR(__xludf.DUMMYFUNCTION("""COMPUTED_VALUE"""),"19971201KYHEW")</f>
        <v>19971201KYHEW</v>
      </c>
      <c r="C2109" s="8" t="str">
        <f ca="1">IFERROR(__xludf.DUMMYFUNCTION("""COMPUTED_VALUE"""),"Fatal")</f>
        <v>Fatal</v>
      </c>
      <c r="D2109" s="8" t="str">
        <f ca="1">IFERROR(__xludf.DUMMYFUNCTION("""COMPUTED_VALUE"""),"Female")</f>
        <v>Female</v>
      </c>
      <c r="E2109" s="8" t="str">
        <f ca="1">IFERROR(__xludf.DUMMYFUNCTION("""COMPUTED_VALUE"""),"Student")</f>
        <v>Student</v>
      </c>
      <c r="F2109" s="8">
        <f ca="1">IFERROR(__xludf.DUMMYFUNCTION("""COMPUTED_VALUE"""),17)</f>
        <v>17</v>
      </c>
    </row>
    <row r="2110" spans="1:6" ht="12.75">
      <c r="A2110" s="4">
        <v>2109</v>
      </c>
      <c r="B2110" s="8" t="str">
        <f ca="1">IFERROR(__xludf.DUMMYFUNCTION("""COMPUTED_VALUE"""),"19971201KYHEW")</f>
        <v>19971201KYHEW</v>
      </c>
      <c r="C2110" s="8" t="str">
        <f ca="1">IFERROR(__xludf.DUMMYFUNCTION("""COMPUTED_VALUE"""),"Wounded")</f>
        <v>Wounded</v>
      </c>
      <c r="D2110" s="8" t="str">
        <f ca="1">IFERROR(__xludf.DUMMYFUNCTION("""COMPUTED_VALUE"""),"Female")</f>
        <v>Female</v>
      </c>
      <c r="E2110" s="8" t="str">
        <f ca="1">IFERROR(__xludf.DUMMYFUNCTION("""COMPUTED_VALUE"""),"Student")</f>
        <v>Student</v>
      </c>
      <c r="F2110" s="8">
        <f ca="1">IFERROR(__xludf.DUMMYFUNCTION("""COMPUTED_VALUE"""),14)</f>
        <v>14</v>
      </c>
    </row>
    <row r="2111" spans="1:6" ht="12.75">
      <c r="A2111" s="4">
        <v>2110</v>
      </c>
      <c r="B2111" s="8" t="str">
        <f ca="1">IFERROR(__xludf.DUMMYFUNCTION("""COMPUTED_VALUE"""),"19971201KYHEW")</f>
        <v>19971201KYHEW</v>
      </c>
      <c r="C2111" s="8" t="str">
        <f ca="1">IFERROR(__xludf.DUMMYFUNCTION("""COMPUTED_VALUE"""),"Fatal")</f>
        <v>Fatal</v>
      </c>
      <c r="D2111" s="8" t="str">
        <f ca="1">IFERROR(__xludf.DUMMYFUNCTION("""COMPUTED_VALUE"""),"Female")</f>
        <v>Female</v>
      </c>
      <c r="E2111" s="8" t="str">
        <f ca="1">IFERROR(__xludf.DUMMYFUNCTION("""COMPUTED_VALUE"""),"Student")</f>
        <v>Student</v>
      </c>
      <c r="F2111" s="8">
        <f ca="1">IFERROR(__xludf.DUMMYFUNCTION("""COMPUTED_VALUE"""),15)</f>
        <v>15</v>
      </c>
    </row>
    <row r="2112" spans="1:6" ht="12.75">
      <c r="A2112" s="4">
        <v>2111</v>
      </c>
      <c r="B2112" s="8" t="str">
        <f ca="1">IFERROR(__xludf.DUMMYFUNCTION("""COMPUTED_VALUE"""),"19971201KYHEW")</f>
        <v>19971201KYHEW</v>
      </c>
      <c r="C2112" s="8" t="str">
        <f ca="1">IFERROR(__xludf.DUMMYFUNCTION("""COMPUTED_VALUE"""),"Wounded")</f>
        <v>Wounded</v>
      </c>
      <c r="D2112" s="8" t="str">
        <f ca="1">IFERROR(__xludf.DUMMYFUNCTION("""COMPUTED_VALUE"""),"Male")</f>
        <v>Male</v>
      </c>
      <c r="E2112" s="8" t="str">
        <f ca="1">IFERROR(__xludf.DUMMYFUNCTION("""COMPUTED_VALUE"""),"Student")</f>
        <v>Student</v>
      </c>
      <c r="F2112" s="8">
        <f ca="1">IFERROR(__xludf.DUMMYFUNCTION("""COMPUTED_VALUE"""),15)</f>
        <v>15</v>
      </c>
    </row>
    <row r="2113" spans="1:6" ht="12.75">
      <c r="A2113" s="4">
        <v>2112</v>
      </c>
      <c r="B2113" s="8" t="str">
        <f ca="1">IFERROR(__xludf.DUMMYFUNCTION("""COMPUTED_VALUE"""),"19971201KYHEW")</f>
        <v>19971201KYHEW</v>
      </c>
      <c r="C2113" s="8" t="str">
        <f ca="1">IFERROR(__xludf.DUMMYFUNCTION("""COMPUTED_VALUE"""),"Wounded")</f>
        <v>Wounded</v>
      </c>
      <c r="D2113" s="8" t="str">
        <f ca="1">IFERROR(__xludf.DUMMYFUNCTION("""COMPUTED_VALUE"""),"Female")</f>
        <v>Female</v>
      </c>
      <c r="E2113" s="8" t="str">
        <f ca="1">IFERROR(__xludf.DUMMYFUNCTION("""COMPUTED_VALUE"""),"Student")</f>
        <v>Student</v>
      </c>
      <c r="F2113" s="8">
        <f ca="1">IFERROR(__xludf.DUMMYFUNCTION("""COMPUTED_VALUE"""),16)</f>
        <v>16</v>
      </c>
    </row>
    <row r="2114" spans="1:6" ht="12.75">
      <c r="A2114" s="4">
        <v>2113</v>
      </c>
      <c r="B2114" s="8" t="str">
        <f ca="1">IFERROR(__xludf.DUMMYFUNCTION("""COMPUTED_VALUE"""),"19971113CACRS")</f>
        <v>19971113CACRS</v>
      </c>
      <c r="C2114" s="8" t="str">
        <f ca="1">IFERROR(__xludf.DUMMYFUNCTION("""COMPUTED_VALUE"""),"Fatal")</f>
        <v>Fatal</v>
      </c>
      <c r="D2114" s="8" t="str">
        <f ca="1">IFERROR(__xludf.DUMMYFUNCTION("""COMPUTED_VALUE"""),"Male")</f>
        <v>Male</v>
      </c>
      <c r="E2114" s="8" t="str">
        <f ca="1">IFERROR(__xludf.DUMMYFUNCTION("""COMPUTED_VALUE"""),"Parent")</f>
        <v>Parent</v>
      </c>
      <c r="F2114" s="8">
        <f ca="1">IFERROR(__xludf.DUMMYFUNCTION("""COMPUTED_VALUE"""),47)</f>
        <v>47</v>
      </c>
    </row>
    <row r="2115" spans="1:6" ht="12.75">
      <c r="A2115" s="4">
        <v>2114</v>
      </c>
      <c r="B2115" s="8" t="str">
        <f ca="1">IFERROR(__xludf.DUMMYFUNCTION("""COMPUTED_VALUE"""),"19971107FLRIJ")</f>
        <v>19971107FLRIJ</v>
      </c>
      <c r="C2115" s="8" t="str">
        <f ca="1">IFERROR(__xludf.DUMMYFUNCTION("""COMPUTED_VALUE"""),"Fatal")</f>
        <v>Fatal</v>
      </c>
      <c r="D2115" s="8" t="str">
        <f ca="1">IFERROR(__xludf.DUMMYFUNCTION("""COMPUTED_VALUE"""),"Male")</f>
        <v>Male</v>
      </c>
      <c r="E2115" s="8" t="str">
        <f ca="1">IFERROR(__xludf.DUMMYFUNCTION("""COMPUTED_VALUE"""),"Student")</f>
        <v>Student</v>
      </c>
      <c r="F2115" s="8">
        <f ca="1">IFERROR(__xludf.DUMMYFUNCTION("""COMPUTED_VALUE"""),14)</f>
        <v>14</v>
      </c>
    </row>
    <row r="2116" spans="1:6" ht="12.75">
      <c r="A2116" s="4">
        <v>2115</v>
      </c>
      <c r="B2116" s="8" t="str">
        <f ca="1">IFERROR(__xludf.DUMMYFUNCTION("""COMPUTED_VALUE"""),"19971107FLRIJ")</f>
        <v>19971107FLRIJ</v>
      </c>
      <c r="C2116" s="8" t="str">
        <f ca="1">IFERROR(__xludf.DUMMYFUNCTION("""COMPUTED_VALUE"""),"Wounded")</f>
        <v>Wounded</v>
      </c>
      <c r="D2116" s="8" t="str">
        <f ca="1">IFERROR(__xludf.DUMMYFUNCTION("""COMPUTED_VALUE"""),"Male")</f>
        <v>Male</v>
      </c>
      <c r="E2116" s="8" t="str">
        <f ca="1">IFERROR(__xludf.DUMMYFUNCTION("""COMPUTED_VALUE"""),"Student")</f>
        <v>Student</v>
      </c>
      <c r="F2116" s="8">
        <f ca="1">IFERROR(__xludf.DUMMYFUNCTION("""COMPUTED_VALUE"""),17)</f>
        <v>17</v>
      </c>
    </row>
    <row r="2117" spans="1:6" ht="12.75">
      <c r="A2117" s="4">
        <v>2116</v>
      </c>
      <c r="B2117" s="8" t="str">
        <f ca="1">IFERROR(__xludf.DUMMYFUNCTION("""COMPUTED_VALUE"""),"19971022CAJON")</f>
        <v>19971022CAJON</v>
      </c>
      <c r="C2117" s="8" t="str">
        <f ca="1">IFERROR(__xludf.DUMMYFUNCTION("""COMPUTED_VALUE"""),"Fatal")</f>
        <v>Fatal</v>
      </c>
      <c r="D2117" s="8" t="str">
        <f ca="1">IFERROR(__xludf.DUMMYFUNCTION("""COMPUTED_VALUE"""),"Female")</f>
        <v>Female</v>
      </c>
      <c r="E2117" s="8" t="str">
        <f ca="1">IFERROR(__xludf.DUMMYFUNCTION("""COMPUTED_VALUE"""),"Student")</f>
        <v>Student</v>
      </c>
      <c r="F2117" s="8">
        <f ca="1">IFERROR(__xludf.DUMMYFUNCTION("""COMPUTED_VALUE"""),16)</f>
        <v>16</v>
      </c>
    </row>
    <row r="2118" spans="1:6" ht="12.75">
      <c r="A2118" s="4">
        <v>2117</v>
      </c>
      <c r="B2118" s="8" t="str">
        <f ca="1">IFERROR(__xludf.DUMMYFUNCTION("""COMPUTED_VALUE"""),"19971020CAMCO")</f>
        <v>19971020CAMCO</v>
      </c>
      <c r="C2118" s="8" t="str">
        <f ca="1">IFERROR(__xludf.DUMMYFUNCTION("""COMPUTED_VALUE"""),"Fatal")</f>
        <v>Fatal</v>
      </c>
      <c r="D2118" s="8" t="str">
        <f ca="1">IFERROR(__xludf.DUMMYFUNCTION("""COMPUTED_VALUE"""),"Female")</f>
        <v>Female</v>
      </c>
      <c r="E2118" s="8" t="str">
        <f ca="1">IFERROR(__xludf.DUMMYFUNCTION("""COMPUTED_VALUE"""),"Student")</f>
        <v>Student</v>
      </c>
      <c r="F2118" s="8">
        <f ca="1">IFERROR(__xludf.DUMMYFUNCTION("""COMPUTED_VALUE"""),16)</f>
        <v>16</v>
      </c>
    </row>
    <row r="2119" spans="1:6" ht="12.75">
      <c r="A2119" s="4">
        <v>2118</v>
      </c>
      <c r="B2119" s="8" t="str">
        <f ca="1">IFERROR(__xludf.DUMMYFUNCTION("""COMPUTED_VALUE"""),"19971020CAMCO")</f>
        <v>19971020CAMCO</v>
      </c>
      <c r="C2119" s="8" t="str">
        <f ca="1">IFERROR(__xludf.DUMMYFUNCTION("""COMPUTED_VALUE"""),"Wounded")</f>
        <v>Wounded</v>
      </c>
      <c r="D2119" s="8" t="str">
        <f ca="1">IFERROR(__xludf.DUMMYFUNCTION("""COMPUTED_VALUE"""),"Female")</f>
        <v>Female</v>
      </c>
      <c r="E2119" s="8" t="str">
        <f ca="1">IFERROR(__xludf.DUMMYFUNCTION("""COMPUTED_VALUE"""),"Student")</f>
        <v>Student</v>
      </c>
      <c r="F2119" s="8">
        <f ca="1">IFERROR(__xludf.DUMMYFUNCTION("""COMPUTED_VALUE"""),16)</f>
        <v>16</v>
      </c>
    </row>
    <row r="2120" spans="1:6" ht="12.75">
      <c r="A2120" s="4">
        <v>2119</v>
      </c>
      <c r="B2120" s="8" t="str">
        <f ca="1">IFERROR(__xludf.DUMMYFUNCTION("""COMPUTED_VALUE"""),"19971020CAMCO")</f>
        <v>19971020CAMCO</v>
      </c>
      <c r="C2120" s="8" t="str">
        <f ca="1">IFERROR(__xludf.DUMMYFUNCTION("""COMPUTED_VALUE"""),"Wounded")</f>
        <v>Wounded</v>
      </c>
      <c r="D2120" s="8" t="str">
        <f ca="1">IFERROR(__xludf.DUMMYFUNCTION("""COMPUTED_VALUE"""),"Male")</f>
        <v>Male</v>
      </c>
      <c r="E2120" s="8"/>
      <c r="F2120" s="8">
        <f ca="1">IFERROR(__xludf.DUMMYFUNCTION("""COMPUTED_VALUE"""),22)</f>
        <v>22</v>
      </c>
    </row>
    <row r="2121" spans="1:6" ht="12.75">
      <c r="A2121" s="4">
        <v>2120</v>
      </c>
      <c r="B2121" s="8" t="str">
        <f ca="1">IFERROR(__xludf.DUMMYFUNCTION("""COMPUTED_VALUE"""),"19971015FLLIP")</f>
        <v>19971015FLLIP</v>
      </c>
      <c r="C2121" s="8" t="str">
        <f ca="1">IFERROR(__xludf.DUMMYFUNCTION("""COMPUTED_VALUE"""),"Wounded")</f>
        <v>Wounded</v>
      </c>
      <c r="D2121" s="8" t="str">
        <f ca="1">IFERROR(__xludf.DUMMYFUNCTION("""COMPUTED_VALUE"""),"Male")</f>
        <v>Male</v>
      </c>
      <c r="E2121" s="8" t="str">
        <f ca="1">IFERROR(__xludf.DUMMYFUNCTION("""COMPUTED_VALUE"""),"Student")</f>
        <v>Student</v>
      </c>
      <c r="F2121" s="8">
        <f ca="1">IFERROR(__xludf.DUMMYFUNCTION("""COMPUTED_VALUE"""),13)</f>
        <v>13</v>
      </c>
    </row>
    <row r="2122" spans="1:6" ht="12.75">
      <c r="A2122" s="4">
        <v>2121</v>
      </c>
      <c r="B2122" s="8" t="str">
        <f ca="1">IFERROR(__xludf.DUMMYFUNCTION("""COMPUTED_VALUE"""),"19971014TXLAG")</f>
        <v>19971014TXLAG</v>
      </c>
      <c r="C2122" s="8" t="str">
        <f ca="1">IFERROR(__xludf.DUMMYFUNCTION("""COMPUTED_VALUE"""),"None")</f>
        <v>None</v>
      </c>
      <c r="D2122" s="8" t="str">
        <f ca="1">IFERROR(__xludf.DUMMYFUNCTION("""COMPUTED_VALUE"""),"Male")</f>
        <v>Male</v>
      </c>
      <c r="E2122" s="8" t="str">
        <f ca="1">IFERROR(__xludf.DUMMYFUNCTION("""COMPUTED_VALUE"""),"Student")</f>
        <v>Student</v>
      </c>
      <c r="F2122" s="8">
        <f ca="1">IFERROR(__xludf.DUMMYFUNCTION("""COMPUTED_VALUE"""),19)</f>
        <v>19</v>
      </c>
    </row>
    <row r="2123" spans="1:6" ht="12.75">
      <c r="A2123" s="4">
        <v>2122</v>
      </c>
      <c r="B2123" s="8" t="str">
        <f ca="1">IFERROR(__xludf.DUMMYFUNCTION("""COMPUTED_VALUE"""),"19971010INWAG")</f>
        <v>19971010INWAG</v>
      </c>
      <c r="C2123" s="8" t="str">
        <f ca="1">IFERROR(__xludf.DUMMYFUNCTION("""COMPUTED_VALUE"""),"Fatal")</f>
        <v>Fatal</v>
      </c>
      <c r="D2123" s="8" t="str">
        <f ca="1">IFERROR(__xludf.DUMMYFUNCTION("""COMPUTED_VALUE"""),"Female")</f>
        <v>Female</v>
      </c>
      <c r="E2123" s="8" t="str">
        <f ca="1">IFERROR(__xludf.DUMMYFUNCTION("""COMPUTED_VALUE"""),"Student")</f>
        <v>Student</v>
      </c>
      <c r="F2123" s="8" t="str">
        <f ca="1">IFERROR(__xludf.DUMMYFUNCTION("""COMPUTED_VALUE"""),"Teen")</f>
        <v>Teen</v>
      </c>
    </row>
    <row r="2124" spans="1:6" ht="12.75">
      <c r="A2124" s="4">
        <v>2123</v>
      </c>
      <c r="B2124" s="8" t="str">
        <f ca="1">IFERROR(__xludf.DUMMYFUNCTION("""COMPUTED_VALUE"""),"19971010INWAG")</f>
        <v>19971010INWAG</v>
      </c>
      <c r="C2124" s="8" t="str">
        <f ca="1">IFERROR(__xludf.DUMMYFUNCTION("""COMPUTED_VALUE"""),"Wounded")</f>
        <v>Wounded</v>
      </c>
      <c r="D2124" s="8" t="str">
        <f ca="1">IFERROR(__xludf.DUMMYFUNCTION("""COMPUTED_VALUE"""),"Female")</f>
        <v>Female</v>
      </c>
      <c r="E2124" s="8" t="str">
        <f ca="1">IFERROR(__xludf.DUMMYFUNCTION("""COMPUTED_VALUE"""),"Student")</f>
        <v>Student</v>
      </c>
      <c r="F2124" s="8">
        <f ca="1">IFERROR(__xludf.DUMMYFUNCTION("""COMPUTED_VALUE"""),16)</f>
        <v>16</v>
      </c>
    </row>
    <row r="2125" spans="1:6" ht="12.75">
      <c r="A2125" s="4">
        <v>2124</v>
      </c>
      <c r="B2125" s="8" t="str">
        <f ca="1">IFERROR(__xludf.DUMMYFUNCTION("""COMPUTED_VALUE"""),"19971010INWAG")</f>
        <v>19971010INWAG</v>
      </c>
      <c r="C2125" s="8" t="str">
        <f ca="1">IFERROR(__xludf.DUMMYFUNCTION("""COMPUTED_VALUE"""),"Wounded")</f>
        <v>Wounded</v>
      </c>
      <c r="D2125" s="8" t="str">
        <f ca="1">IFERROR(__xludf.DUMMYFUNCTION("""COMPUTED_VALUE"""),"Male")</f>
        <v>Male</v>
      </c>
      <c r="E2125" s="8" t="str">
        <f ca="1">IFERROR(__xludf.DUMMYFUNCTION("""COMPUTED_VALUE"""),"Student")</f>
        <v>Student</v>
      </c>
      <c r="F2125" s="8">
        <f ca="1">IFERROR(__xludf.DUMMYFUNCTION("""COMPUTED_VALUE"""),19)</f>
        <v>19</v>
      </c>
    </row>
    <row r="2126" spans="1:6" ht="12.75">
      <c r="A2126" s="4">
        <v>2125</v>
      </c>
      <c r="B2126" s="8" t="str">
        <f ca="1">IFERROR(__xludf.DUMMYFUNCTION("""COMPUTED_VALUE"""),"19971005OKMOO")</f>
        <v>19971005OKMOO</v>
      </c>
      <c r="C2126" s="8" t="str">
        <f ca="1">IFERROR(__xludf.DUMMYFUNCTION("""COMPUTED_VALUE"""),"Wounded")</f>
        <v>Wounded</v>
      </c>
      <c r="D2126" s="8" t="str">
        <f ca="1">IFERROR(__xludf.DUMMYFUNCTION("""COMPUTED_VALUE"""),"Male")</f>
        <v>Male</v>
      </c>
      <c r="E2126" s="8" t="str">
        <f ca="1">IFERROR(__xludf.DUMMYFUNCTION("""COMPUTED_VALUE"""),"Unknown")</f>
        <v>Unknown</v>
      </c>
      <c r="F2126" s="8">
        <f ca="1">IFERROR(__xludf.DUMMYFUNCTION("""COMPUTED_VALUE"""),17)</f>
        <v>17</v>
      </c>
    </row>
    <row r="2127" spans="1:6" ht="12.75">
      <c r="A2127" s="4">
        <v>2126</v>
      </c>
      <c r="B2127" s="8" t="str">
        <f ca="1">IFERROR(__xludf.DUMMYFUNCTION("""COMPUTED_VALUE"""),"19971001MSPEP")</f>
        <v>19971001MSPEP</v>
      </c>
      <c r="C2127" s="8" t="str">
        <f ca="1">IFERROR(__xludf.DUMMYFUNCTION("""COMPUTED_VALUE"""),"Wounded")</f>
        <v>Wounded</v>
      </c>
      <c r="D2127" s="8"/>
      <c r="E2127" s="8" t="str">
        <f ca="1">IFERROR(__xludf.DUMMYFUNCTION("""COMPUTED_VALUE"""),"Student")</f>
        <v>Student</v>
      </c>
      <c r="F2127" s="8" t="str">
        <f ca="1">IFERROR(__xludf.DUMMYFUNCTION("""COMPUTED_VALUE"""),"Teen")</f>
        <v>Teen</v>
      </c>
    </row>
    <row r="2128" spans="1:6" ht="12.75">
      <c r="A2128" s="4">
        <v>2127</v>
      </c>
      <c r="B2128" s="8" t="str">
        <f ca="1">IFERROR(__xludf.DUMMYFUNCTION("""COMPUTED_VALUE"""),"19971001MSPEP")</f>
        <v>19971001MSPEP</v>
      </c>
      <c r="C2128" s="8" t="str">
        <f ca="1">IFERROR(__xludf.DUMMYFUNCTION("""COMPUTED_VALUE"""),"Fatal")</f>
        <v>Fatal</v>
      </c>
      <c r="D2128" s="8" t="str">
        <f ca="1">IFERROR(__xludf.DUMMYFUNCTION("""COMPUTED_VALUE"""),"Female")</f>
        <v>Female</v>
      </c>
      <c r="E2128" s="8" t="str">
        <f ca="1">IFERROR(__xludf.DUMMYFUNCTION("""COMPUTED_VALUE"""),"Student")</f>
        <v>Student</v>
      </c>
      <c r="F2128" s="8">
        <f ca="1">IFERROR(__xludf.DUMMYFUNCTION("""COMPUTED_VALUE"""),16)</f>
        <v>16</v>
      </c>
    </row>
    <row r="2129" spans="1:6" ht="12.75">
      <c r="A2129" s="4">
        <v>2128</v>
      </c>
      <c r="B2129" s="8" t="str">
        <f ca="1">IFERROR(__xludf.DUMMYFUNCTION("""COMPUTED_VALUE"""),"19971001MSPEP")</f>
        <v>19971001MSPEP</v>
      </c>
      <c r="C2129" s="8" t="str">
        <f ca="1">IFERROR(__xludf.DUMMYFUNCTION("""COMPUTED_VALUE"""),"Wounded")</f>
        <v>Wounded</v>
      </c>
      <c r="D2129" s="8"/>
      <c r="E2129" s="8" t="str">
        <f ca="1">IFERROR(__xludf.DUMMYFUNCTION("""COMPUTED_VALUE"""),"Student")</f>
        <v>Student</v>
      </c>
      <c r="F2129" s="8" t="str">
        <f ca="1">IFERROR(__xludf.DUMMYFUNCTION("""COMPUTED_VALUE"""),"Teen")</f>
        <v>Teen</v>
      </c>
    </row>
    <row r="2130" spans="1:6" ht="12.75">
      <c r="A2130" s="4">
        <v>2129</v>
      </c>
      <c r="B2130" s="8" t="str">
        <f ca="1">IFERROR(__xludf.DUMMYFUNCTION("""COMPUTED_VALUE"""),"19971001MSPEP")</f>
        <v>19971001MSPEP</v>
      </c>
      <c r="C2130" s="8" t="str">
        <f ca="1">IFERROR(__xludf.DUMMYFUNCTION("""COMPUTED_VALUE"""),"Fatal")</f>
        <v>Fatal</v>
      </c>
      <c r="D2130" s="8" t="str">
        <f ca="1">IFERROR(__xludf.DUMMYFUNCTION("""COMPUTED_VALUE"""),"Female")</f>
        <v>Female</v>
      </c>
      <c r="E2130" s="8" t="str">
        <f ca="1">IFERROR(__xludf.DUMMYFUNCTION("""COMPUTED_VALUE"""),"Student")</f>
        <v>Student</v>
      </c>
      <c r="F2130" s="8">
        <f ca="1">IFERROR(__xludf.DUMMYFUNCTION("""COMPUTED_VALUE"""),17)</f>
        <v>17</v>
      </c>
    </row>
    <row r="2131" spans="1:6" ht="12.75">
      <c r="A2131" s="4">
        <v>2130</v>
      </c>
      <c r="B2131" s="8" t="str">
        <f ca="1">IFERROR(__xludf.DUMMYFUNCTION("""COMPUTED_VALUE"""),"19971001MSPEP")</f>
        <v>19971001MSPEP</v>
      </c>
      <c r="C2131" s="8" t="str">
        <f ca="1">IFERROR(__xludf.DUMMYFUNCTION("""COMPUTED_VALUE"""),"Wounded")</f>
        <v>Wounded</v>
      </c>
      <c r="D2131" s="8"/>
      <c r="E2131" s="8" t="str">
        <f ca="1">IFERROR(__xludf.DUMMYFUNCTION("""COMPUTED_VALUE"""),"Student")</f>
        <v>Student</v>
      </c>
      <c r="F2131" s="8" t="str">
        <f ca="1">IFERROR(__xludf.DUMMYFUNCTION("""COMPUTED_VALUE"""),"Teen")</f>
        <v>Teen</v>
      </c>
    </row>
    <row r="2132" spans="1:6" ht="12.75">
      <c r="A2132" s="4">
        <v>2131</v>
      </c>
      <c r="B2132" s="8" t="str">
        <f ca="1">IFERROR(__xludf.DUMMYFUNCTION("""COMPUTED_VALUE"""),"19971001MSPEP")</f>
        <v>19971001MSPEP</v>
      </c>
      <c r="C2132" s="8" t="str">
        <f ca="1">IFERROR(__xludf.DUMMYFUNCTION("""COMPUTED_VALUE"""),"Wounded")</f>
        <v>Wounded</v>
      </c>
      <c r="D2132" s="8"/>
      <c r="E2132" s="8" t="str">
        <f ca="1">IFERROR(__xludf.DUMMYFUNCTION("""COMPUTED_VALUE"""),"Student")</f>
        <v>Student</v>
      </c>
      <c r="F2132" s="8" t="str">
        <f ca="1">IFERROR(__xludf.DUMMYFUNCTION("""COMPUTED_VALUE"""),"Teen")</f>
        <v>Teen</v>
      </c>
    </row>
    <row r="2133" spans="1:6" ht="12.75">
      <c r="A2133" s="4">
        <v>2132</v>
      </c>
      <c r="B2133" s="8" t="str">
        <f ca="1">IFERROR(__xludf.DUMMYFUNCTION("""COMPUTED_VALUE"""),"19971001MSPEP")</f>
        <v>19971001MSPEP</v>
      </c>
      <c r="C2133" s="8" t="str">
        <f ca="1">IFERROR(__xludf.DUMMYFUNCTION("""COMPUTED_VALUE"""),"Wounded")</f>
        <v>Wounded</v>
      </c>
      <c r="D2133" s="8"/>
      <c r="E2133" s="8" t="str">
        <f ca="1">IFERROR(__xludf.DUMMYFUNCTION("""COMPUTED_VALUE"""),"Student")</f>
        <v>Student</v>
      </c>
      <c r="F2133" s="8" t="str">
        <f ca="1">IFERROR(__xludf.DUMMYFUNCTION("""COMPUTED_VALUE"""),"Teen")</f>
        <v>Teen</v>
      </c>
    </row>
    <row r="2134" spans="1:6" ht="12.75">
      <c r="A2134" s="4">
        <v>2133</v>
      </c>
      <c r="B2134" s="8" t="str">
        <f ca="1">IFERROR(__xludf.DUMMYFUNCTION("""COMPUTED_VALUE"""),"19971001MSPEP")</f>
        <v>19971001MSPEP</v>
      </c>
      <c r="C2134" s="8" t="str">
        <f ca="1">IFERROR(__xludf.DUMMYFUNCTION("""COMPUTED_VALUE"""),"Wounded")</f>
        <v>Wounded</v>
      </c>
      <c r="D2134" s="8"/>
      <c r="E2134" s="8" t="str">
        <f ca="1">IFERROR(__xludf.DUMMYFUNCTION("""COMPUTED_VALUE"""),"Student")</f>
        <v>Student</v>
      </c>
      <c r="F2134" s="8" t="str">
        <f ca="1">IFERROR(__xludf.DUMMYFUNCTION("""COMPUTED_VALUE"""),"Teen")</f>
        <v>Teen</v>
      </c>
    </row>
    <row r="2135" spans="1:6" ht="12.75">
      <c r="A2135" s="4">
        <v>2134</v>
      </c>
      <c r="B2135" s="8" t="str">
        <f ca="1">IFERROR(__xludf.DUMMYFUNCTION("""COMPUTED_VALUE"""),"19971001MSPEP")</f>
        <v>19971001MSPEP</v>
      </c>
      <c r="C2135" s="8" t="str">
        <f ca="1">IFERROR(__xludf.DUMMYFUNCTION("""COMPUTED_VALUE"""),"Wounded")</f>
        <v>Wounded</v>
      </c>
      <c r="D2135" s="8"/>
      <c r="E2135" s="8" t="str">
        <f ca="1">IFERROR(__xludf.DUMMYFUNCTION("""COMPUTED_VALUE"""),"Student")</f>
        <v>Student</v>
      </c>
      <c r="F2135" s="8" t="str">
        <f ca="1">IFERROR(__xludf.DUMMYFUNCTION("""COMPUTED_VALUE"""),"Teen")</f>
        <v>Teen</v>
      </c>
    </row>
    <row r="2136" spans="1:6" ht="12.75">
      <c r="A2136" s="4">
        <v>2135</v>
      </c>
      <c r="B2136" s="8" t="str">
        <f ca="1">IFERROR(__xludf.DUMMYFUNCTION("""COMPUTED_VALUE"""),"19970624ALJEM")</f>
        <v>19970624ALJEM</v>
      </c>
      <c r="C2136" s="8" t="str">
        <f ca="1">IFERROR(__xludf.DUMMYFUNCTION("""COMPUTED_VALUE"""),"Fatal")</f>
        <v>Fatal</v>
      </c>
      <c r="D2136" s="8" t="str">
        <f ca="1">IFERROR(__xludf.DUMMYFUNCTION("""COMPUTED_VALUE"""),"Male")</f>
        <v>Male</v>
      </c>
      <c r="E2136" s="8" t="str">
        <f ca="1">IFERROR(__xludf.DUMMYFUNCTION("""COMPUTED_VALUE"""),"Student")</f>
        <v>Student</v>
      </c>
      <c r="F2136" s="8">
        <f ca="1">IFERROR(__xludf.DUMMYFUNCTION("""COMPUTED_VALUE"""),18)</f>
        <v>18</v>
      </c>
    </row>
    <row r="2137" spans="1:6" ht="12.75">
      <c r="A2137" s="4">
        <v>2136</v>
      </c>
      <c r="B2137" s="8" t="str">
        <f ca="1">IFERROR(__xludf.DUMMYFUNCTION("""COMPUTED_VALUE"""),"19970520OHDUD")</f>
        <v>19970520OHDUD</v>
      </c>
      <c r="C2137" s="8" t="str">
        <f ca="1">IFERROR(__xludf.DUMMYFUNCTION("""COMPUTED_VALUE"""),"Wounded")</f>
        <v>Wounded</v>
      </c>
      <c r="D2137" s="8" t="str">
        <f ca="1">IFERROR(__xludf.DUMMYFUNCTION("""COMPUTED_VALUE"""),"Male")</f>
        <v>Male</v>
      </c>
      <c r="E2137" s="8" t="str">
        <f ca="1">IFERROR(__xludf.DUMMYFUNCTION("""COMPUTED_VALUE"""),"Student")</f>
        <v>Student</v>
      </c>
      <c r="F2137" s="8">
        <f ca="1">IFERROR(__xludf.DUMMYFUNCTION("""COMPUTED_VALUE"""),16)</f>
        <v>16</v>
      </c>
    </row>
    <row r="2138" spans="1:6" ht="12.75">
      <c r="A2138" s="4">
        <v>2137</v>
      </c>
      <c r="B2138" s="8" t="str">
        <f ca="1">IFERROR(__xludf.DUMMYFUNCTION("""COMPUTED_VALUE"""),"19970513FLNOM")</f>
        <v>19970513FLNOM</v>
      </c>
      <c r="C2138" s="8" t="str">
        <f ca="1">IFERROR(__xludf.DUMMYFUNCTION("""COMPUTED_VALUE"""),"Wounded")</f>
        <v>Wounded</v>
      </c>
      <c r="D2138" s="8" t="str">
        <f ca="1">IFERROR(__xludf.DUMMYFUNCTION("""COMPUTED_VALUE"""),"Male")</f>
        <v>Male</v>
      </c>
      <c r="E2138" s="8" t="str">
        <f ca="1">IFERROR(__xludf.DUMMYFUNCTION("""COMPUTED_VALUE"""),"Student")</f>
        <v>Student</v>
      </c>
      <c r="F2138" s="8">
        <f ca="1">IFERROR(__xludf.DUMMYFUNCTION("""COMPUTED_VALUE"""),14)</f>
        <v>14</v>
      </c>
    </row>
    <row r="2139" spans="1:6" ht="12.75">
      <c r="A2139" s="4">
        <v>2138</v>
      </c>
      <c r="B2139" s="8" t="str">
        <f ca="1">IFERROR(__xludf.DUMMYFUNCTION("""COMPUTED_VALUE"""),"19970430NYCIN")</f>
        <v>19970430NYCIN</v>
      </c>
      <c r="C2139" s="8" t="str">
        <f ca="1">IFERROR(__xludf.DUMMYFUNCTION("""COMPUTED_VALUE"""),"Fatal")</f>
        <v>Fatal</v>
      </c>
      <c r="D2139" s="8" t="str">
        <f ca="1">IFERROR(__xludf.DUMMYFUNCTION("""COMPUTED_VALUE"""),"Male")</f>
        <v>Male</v>
      </c>
      <c r="E2139" s="8" t="str">
        <f ca="1">IFERROR(__xludf.DUMMYFUNCTION("""COMPUTED_VALUE"""),"Student")</f>
        <v>Student</v>
      </c>
      <c r="F2139" s="8">
        <f ca="1">IFERROR(__xludf.DUMMYFUNCTION("""COMPUTED_VALUE"""),19)</f>
        <v>19</v>
      </c>
    </row>
    <row r="2140" spans="1:6" ht="12.75">
      <c r="A2140" s="4">
        <v>2139</v>
      </c>
      <c r="B2140" s="8" t="str">
        <f ca="1">IFERROR(__xludf.DUMMYFUNCTION("""COMPUTED_VALUE"""),"19970428CAJOL")</f>
        <v>19970428CAJOL</v>
      </c>
      <c r="C2140" s="8" t="str">
        <f ca="1">IFERROR(__xludf.DUMMYFUNCTION("""COMPUTED_VALUE"""),"Fatal")</f>
        <v>Fatal</v>
      </c>
      <c r="D2140" s="8" t="str">
        <f ca="1">IFERROR(__xludf.DUMMYFUNCTION("""COMPUTED_VALUE"""),"Male")</f>
        <v>Male</v>
      </c>
      <c r="E2140" s="8" t="str">
        <f ca="1">IFERROR(__xludf.DUMMYFUNCTION("""COMPUTED_VALUE"""),"Student")</f>
        <v>Student</v>
      </c>
      <c r="F2140" s="8">
        <f ca="1">IFERROR(__xludf.DUMMYFUNCTION("""COMPUTED_VALUE"""),17)</f>
        <v>17</v>
      </c>
    </row>
    <row r="2141" spans="1:6" ht="12.75">
      <c r="A2141" s="4">
        <v>2140</v>
      </c>
      <c r="B2141" s="8" t="str">
        <f ca="1">IFERROR(__xludf.DUMMYFUNCTION("""COMPUTED_VALUE"""),"19970403CAMAM")</f>
        <v>19970403CAMAM</v>
      </c>
      <c r="C2141" s="8" t="str">
        <f ca="1">IFERROR(__xludf.DUMMYFUNCTION("""COMPUTED_VALUE"""),"Fatal")</f>
        <v>Fatal</v>
      </c>
      <c r="D2141" s="8" t="str">
        <f ca="1">IFERROR(__xludf.DUMMYFUNCTION("""COMPUTED_VALUE"""),"Male")</f>
        <v>Male</v>
      </c>
      <c r="E2141" s="8" t="str">
        <f ca="1">IFERROR(__xludf.DUMMYFUNCTION("""COMPUTED_VALUE"""),"Student")</f>
        <v>Student</v>
      </c>
      <c r="F2141" s="8">
        <f ca="1">IFERROR(__xludf.DUMMYFUNCTION("""COMPUTED_VALUE"""),14)</f>
        <v>14</v>
      </c>
    </row>
    <row r="2142" spans="1:6" ht="12.75">
      <c r="A2142" s="4">
        <v>2141</v>
      </c>
      <c r="B2142" s="8" t="str">
        <f ca="1">IFERROR(__xludf.DUMMYFUNCTION("""COMPUTED_VALUE"""),"19970317MIPED")</f>
        <v>19970317MIPED</v>
      </c>
      <c r="C2142" s="8" t="str">
        <f ca="1">IFERROR(__xludf.DUMMYFUNCTION("""COMPUTED_VALUE"""),"Fatal")</f>
        <v>Fatal</v>
      </c>
      <c r="D2142" s="8" t="str">
        <f ca="1">IFERROR(__xludf.DUMMYFUNCTION("""COMPUTED_VALUE"""),"Male")</f>
        <v>Male</v>
      </c>
      <c r="E2142" s="8" t="str">
        <f ca="1">IFERROR(__xludf.DUMMYFUNCTION("""COMPUTED_VALUE"""),"Student")</f>
        <v>Student</v>
      </c>
      <c r="F2142" s="8">
        <f ca="1">IFERROR(__xludf.DUMMYFUNCTION("""COMPUTED_VALUE"""),16)</f>
        <v>16</v>
      </c>
    </row>
    <row r="2143" spans="1:6" ht="12.75">
      <c r="A2143" s="4">
        <v>2142</v>
      </c>
      <c r="B2143" s="8" t="str">
        <f ca="1">IFERROR(__xludf.DUMMYFUNCTION("""COMPUTED_VALUE"""),"19970221NVRAL")</f>
        <v>19970221NVRAL</v>
      </c>
      <c r="C2143" s="8" t="str">
        <f ca="1">IFERROR(__xludf.DUMMYFUNCTION("""COMPUTED_VALUE"""),"Wounded")</f>
        <v>Wounded</v>
      </c>
      <c r="D2143" s="8" t="str">
        <f ca="1">IFERROR(__xludf.DUMMYFUNCTION("""COMPUTED_VALUE"""),"Male")</f>
        <v>Male</v>
      </c>
      <c r="E2143" s="8" t="str">
        <f ca="1">IFERROR(__xludf.DUMMYFUNCTION("""COMPUTED_VALUE"""),"Student")</f>
        <v>Student</v>
      </c>
      <c r="F2143" s="8">
        <f ca="1">IFERROR(__xludf.DUMMYFUNCTION("""COMPUTED_VALUE"""),16)</f>
        <v>16</v>
      </c>
    </row>
    <row r="2144" spans="1:6" ht="12.75">
      <c r="A2144" s="4">
        <v>2143</v>
      </c>
      <c r="B2144" s="8" t="str">
        <f ca="1">IFERROR(__xludf.DUMMYFUNCTION("""COMPUTED_VALUE"""),"19970220FLFIJ")</f>
        <v>19970220FLFIJ</v>
      </c>
      <c r="C2144" s="8" t="str">
        <f ca="1">IFERROR(__xludf.DUMMYFUNCTION("""COMPUTED_VALUE"""),"None")</f>
        <v>None</v>
      </c>
      <c r="D2144" s="8" t="str">
        <f ca="1">IFERROR(__xludf.DUMMYFUNCTION("""COMPUTED_VALUE"""),"Female")</f>
        <v>Female</v>
      </c>
      <c r="E2144" s="8" t="str">
        <f ca="1">IFERROR(__xludf.DUMMYFUNCTION("""COMPUTED_VALUE"""),"Student")</f>
        <v>Student</v>
      </c>
      <c r="F2144" s="8">
        <f ca="1">IFERROR(__xludf.DUMMYFUNCTION("""COMPUTED_VALUE"""),17)</f>
        <v>17</v>
      </c>
    </row>
    <row r="2145" spans="1:6" ht="12.75">
      <c r="A2145" s="4">
        <v>2144</v>
      </c>
      <c r="B2145" s="8" t="str">
        <f ca="1">IFERROR(__xludf.DUMMYFUNCTION("""COMPUTED_VALUE"""),"19970219AKBEB")</f>
        <v>19970219AKBEB</v>
      </c>
      <c r="C2145" s="8" t="str">
        <f ca="1">IFERROR(__xludf.DUMMYFUNCTION("""COMPUTED_VALUE"""),"Fatal")</f>
        <v>Fatal</v>
      </c>
      <c r="D2145" s="8" t="str">
        <f ca="1">IFERROR(__xludf.DUMMYFUNCTION("""COMPUTED_VALUE"""),"Male")</f>
        <v>Male</v>
      </c>
      <c r="E2145" s="8" t="str">
        <f ca="1">IFERROR(__xludf.DUMMYFUNCTION("""COMPUTED_VALUE"""),"Other Staff")</f>
        <v>Other Staff</v>
      </c>
      <c r="F2145" s="8">
        <f ca="1">IFERROR(__xludf.DUMMYFUNCTION("""COMPUTED_VALUE"""),50)</f>
        <v>50</v>
      </c>
    </row>
    <row r="2146" spans="1:6" ht="12.75">
      <c r="A2146" s="4">
        <v>2145</v>
      </c>
      <c r="B2146" s="8" t="str">
        <f ca="1">IFERROR(__xludf.DUMMYFUNCTION("""COMPUTED_VALUE"""),"19970219AKBEB")</f>
        <v>19970219AKBEB</v>
      </c>
      <c r="C2146" s="8" t="str">
        <f ca="1">IFERROR(__xludf.DUMMYFUNCTION("""COMPUTED_VALUE"""),"Wounded")</f>
        <v>Wounded</v>
      </c>
      <c r="D2146" s="8" t="str">
        <f ca="1">IFERROR(__xludf.DUMMYFUNCTION("""COMPUTED_VALUE"""),"Male")</f>
        <v>Male</v>
      </c>
      <c r="E2146" s="8" t="str">
        <f ca="1">IFERROR(__xludf.DUMMYFUNCTION("""COMPUTED_VALUE"""),"Student")</f>
        <v>Student</v>
      </c>
      <c r="F2146" s="8">
        <f ca="1">IFERROR(__xludf.DUMMYFUNCTION("""COMPUTED_VALUE"""),14)</f>
        <v>14</v>
      </c>
    </row>
    <row r="2147" spans="1:6" ht="12.75">
      <c r="A2147" s="4">
        <v>2146</v>
      </c>
      <c r="B2147" s="8" t="str">
        <f ca="1">IFERROR(__xludf.DUMMYFUNCTION("""COMPUTED_VALUE"""),"19970219AKBEB")</f>
        <v>19970219AKBEB</v>
      </c>
      <c r="C2147" s="8" t="str">
        <f ca="1">IFERROR(__xludf.DUMMYFUNCTION("""COMPUTED_VALUE"""),"Fatal")</f>
        <v>Fatal</v>
      </c>
      <c r="D2147" s="8" t="str">
        <f ca="1">IFERROR(__xludf.DUMMYFUNCTION("""COMPUTED_VALUE"""),"Male")</f>
        <v>Male</v>
      </c>
      <c r="E2147" s="8" t="str">
        <f ca="1">IFERROR(__xludf.DUMMYFUNCTION("""COMPUTED_VALUE"""),"Student")</f>
        <v>Student</v>
      </c>
      <c r="F2147" s="8">
        <f ca="1">IFERROR(__xludf.DUMMYFUNCTION("""COMPUTED_VALUE"""),15)</f>
        <v>15</v>
      </c>
    </row>
    <row r="2148" spans="1:6" ht="12.75">
      <c r="A2148" s="4">
        <v>2147</v>
      </c>
      <c r="B2148" s="8" t="str">
        <f ca="1">IFERROR(__xludf.DUMMYFUNCTION("""COMPUTED_VALUE"""),"19970219AKBEB")</f>
        <v>19970219AKBEB</v>
      </c>
      <c r="C2148" s="8" t="str">
        <f ca="1">IFERROR(__xludf.DUMMYFUNCTION("""COMPUTED_VALUE"""),"Wounded")</f>
        <v>Wounded</v>
      </c>
      <c r="D2148" s="8" t="str">
        <f ca="1">IFERROR(__xludf.DUMMYFUNCTION("""COMPUTED_VALUE"""),"Male")</f>
        <v>Male</v>
      </c>
      <c r="E2148" s="8" t="str">
        <f ca="1">IFERROR(__xludf.DUMMYFUNCTION("""COMPUTED_VALUE"""),"Student")</f>
        <v>Student</v>
      </c>
      <c r="F2148" s="8">
        <f ca="1">IFERROR(__xludf.DUMMYFUNCTION("""COMPUTED_VALUE"""),16)</f>
        <v>16</v>
      </c>
    </row>
    <row r="2149" spans="1:6" ht="12.75">
      <c r="A2149" s="4">
        <v>2148</v>
      </c>
      <c r="B2149" s="8" t="str">
        <f ca="1">IFERROR(__xludf.DUMMYFUNCTION("""COMPUTED_VALUE"""),"19970213NYSAB")</f>
        <v>19970213NYSAB</v>
      </c>
      <c r="C2149" s="8" t="str">
        <f ca="1">IFERROR(__xludf.DUMMYFUNCTION("""COMPUTED_VALUE"""),"Wounded")</f>
        <v>Wounded</v>
      </c>
      <c r="D2149" s="8" t="str">
        <f ca="1">IFERROR(__xludf.DUMMYFUNCTION("""COMPUTED_VALUE"""),"Male")</f>
        <v>Male</v>
      </c>
      <c r="E2149" s="8" t="str">
        <f ca="1">IFERROR(__xludf.DUMMYFUNCTION("""COMPUTED_VALUE"""),"Student")</f>
        <v>Student</v>
      </c>
      <c r="F2149" s="8">
        <f ca="1">IFERROR(__xludf.DUMMYFUNCTION("""COMPUTED_VALUE"""),16)</f>
        <v>16</v>
      </c>
    </row>
    <row r="2150" spans="1:6" ht="12.75">
      <c r="A2150" s="4">
        <v>2149</v>
      </c>
      <c r="B2150" s="8" t="str">
        <f ca="1">IFERROR(__xludf.DUMMYFUNCTION("""COMPUTED_VALUE"""),"19970213NYMOB")</f>
        <v>19970213NYMOB</v>
      </c>
      <c r="C2150" s="8" t="str">
        <f ca="1">IFERROR(__xludf.DUMMYFUNCTION("""COMPUTED_VALUE"""),"Wounded")</f>
        <v>Wounded</v>
      </c>
      <c r="D2150" s="8" t="str">
        <f ca="1">IFERROR(__xludf.DUMMYFUNCTION("""COMPUTED_VALUE"""),"Male")</f>
        <v>Male</v>
      </c>
      <c r="E2150" s="8" t="str">
        <f ca="1">IFERROR(__xludf.DUMMYFUNCTION("""COMPUTED_VALUE"""),"Student")</f>
        <v>Student</v>
      </c>
      <c r="F2150" s="8">
        <f ca="1">IFERROR(__xludf.DUMMYFUNCTION("""COMPUTED_VALUE"""),17)</f>
        <v>17</v>
      </c>
    </row>
    <row r="2151" spans="1:6" ht="12.75">
      <c r="A2151" s="4">
        <v>2150</v>
      </c>
      <c r="B2151" s="8" t="str">
        <f ca="1">IFERROR(__xludf.DUMMYFUNCTION("""COMPUTED_VALUE"""),"19970206MSWIJ")</f>
        <v>19970206MSWIJ</v>
      </c>
      <c r="C2151" s="8" t="str">
        <f ca="1">IFERROR(__xludf.DUMMYFUNCTION("""COMPUTED_VALUE"""),"Wounded")</f>
        <v>Wounded</v>
      </c>
      <c r="D2151" s="8" t="str">
        <f ca="1">IFERROR(__xludf.DUMMYFUNCTION("""COMPUTED_VALUE"""),"Male")</f>
        <v>Male</v>
      </c>
      <c r="E2151" s="8" t="str">
        <f ca="1">IFERROR(__xludf.DUMMYFUNCTION("""COMPUTED_VALUE"""),"Student")</f>
        <v>Student</v>
      </c>
      <c r="F2151" s="8">
        <f ca="1">IFERROR(__xludf.DUMMYFUNCTION("""COMPUTED_VALUE"""),17)</f>
        <v>17</v>
      </c>
    </row>
    <row r="2152" spans="1:6" ht="12.75">
      <c r="A2152" s="4">
        <v>2151</v>
      </c>
      <c r="B2152" s="8" t="str">
        <f ca="1">IFERROR(__xludf.DUMMYFUNCTION("""COMPUTED_VALUE"""),"19970127FLCOW")</f>
        <v>19970127FLCOW</v>
      </c>
      <c r="C2152" s="8" t="str">
        <f ca="1">IFERROR(__xludf.DUMMYFUNCTION("""COMPUTED_VALUE"""),"Fatal")</f>
        <v>Fatal</v>
      </c>
      <c r="D2152" s="8" t="str">
        <f ca="1">IFERROR(__xludf.DUMMYFUNCTION("""COMPUTED_VALUE"""),"Male")</f>
        <v>Male</v>
      </c>
      <c r="E2152" s="8" t="str">
        <f ca="1">IFERROR(__xludf.DUMMYFUNCTION("""COMPUTED_VALUE"""),"Student")</f>
        <v>Student</v>
      </c>
      <c r="F2152" s="8">
        <f ca="1">IFERROR(__xludf.DUMMYFUNCTION("""COMPUTED_VALUE"""),14)</f>
        <v>14</v>
      </c>
    </row>
    <row r="2153" spans="1:6" ht="12.75">
      <c r="A2153" s="4">
        <v>2152</v>
      </c>
      <c r="B2153" s="8" t="str">
        <f ca="1">IFERROR(__xludf.DUMMYFUNCTION("""COMPUTED_VALUE"""),"19970108NYCRN")</f>
        <v>19970108NYCRN</v>
      </c>
      <c r="C2153" s="8" t="str">
        <f ca="1">IFERROR(__xludf.DUMMYFUNCTION("""COMPUTED_VALUE"""),"Wounded")</f>
        <v>Wounded</v>
      </c>
      <c r="D2153" s="8" t="str">
        <f ca="1">IFERROR(__xludf.DUMMYFUNCTION("""COMPUTED_VALUE"""),"Male")</f>
        <v>Male</v>
      </c>
      <c r="E2153" s="8" t="str">
        <f ca="1">IFERROR(__xludf.DUMMYFUNCTION("""COMPUTED_VALUE"""),"Student")</f>
        <v>Student</v>
      </c>
      <c r="F2153" s="8">
        <f ca="1">IFERROR(__xludf.DUMMYFUNCTION("""COMPUTED_VALUE"""),15)</f>
        <v>15</v>
      </c>
    </row>
    <row r="2154" spans="1:6" ht="12.75">
      <c r="A2154" s="4">
        <v>2153</v>
      </c>
      <c r="B2154" s="8" t="str">
        <f ca="1">IFERROR(__xludf.DUMMYFUNCTION("""COMPUTED_VALUE"""),"19970108NYCRN")</f>
        <v>19970108NYCRN</v>
      </c>
      <c r="C2154" s="8" t="str">
        <f ca="1">IFERROR(__xludf.DUMMYFUNCTION("""COMPUTED_VALUE"""),"Wounded")</f>
        <v>Wounded</v>
      </c>
      <c r="D2154" s="8" t="str">
        <f ca="1">IFERROR(__xludf.DUMMYFUNCTION("""COMPUTED_VALUE"""),"Male")</f>
        <v>Male</v>
      </c>
      <c r="E2154" s="8" t="str">
        <f ca="1">IFERROR(__xludf.DUMMYFUNCTION("""COMPUTED_VALUE"""),"Student")</f>
        <v>Student</v>
      </c>
      <c r="F2154" s="8">
        <f ca="1">IFERROR(__xludf.DUMMYFUNCTION("""COMPUTED_VALUE"""),15)</f>
        <v>15</v>
      </c>
    </row>
    <row r="2155" spans="1:6" ht="12.75">
      <c r="A2155" s="4">
        <v>2154</v>
      </c>
      <c r="B2155" s="8" t="str">
        <f ca="1">IFERROR(__xludf.DUMMYFUNCTION("""COMPUTED_VALUE"""),"19970108NYCRN")</f>
        <v>19970108NYCRN</v>
      </c>
      <c r="C2155" s="8" t="str">
        <f ca="1">IFERROR(__xludf.DUMMYFUNCTION("""COMPUTED_VALUE"""),"Wounded")</f>
        <v>Wounded</v>
      </c>
      <c r="D2155" s="8" t="str">
        <f ca="1">IFERROR(__xludf.DUMMYFUNCTION("""COMPUTED_VALUE"""),"Male")</f>
        <v>Male</v>
      </c>
      <c r="E2155" s="8" t="str">
        <f ca="1">IFERROR(__xludf.DUMMYFUNCTION("""COMPUTED_VALUE"""),"Student")</f>
        <v>Student</v>
      </c>
      <c r="F2155" s="8">
        <f ca="1">IFERROR(__xludf.DUMMYFUNCTION("""COMPUTED_VALUE"""),16)</f>
        <v>16</v>
      </c>
    </row>
    <row r="2156" spans="1:6" ht="12.75">
      <c r="A2156" s="4">
        <v>2155</v>
      </c>
      <c r="B2156" s="8" t="str">
        <f ca="1">IFERROR(__xludf.DUMMYFUNCTION("""COMPUTED_VALUE"""),"19970108NYCRN")</f>
        <v>19970108NYCRN</v>
      </c>
      <c r="C2156" s="8" t="str">
        <f ca="1">IFERROR(__xludf.DUMMYFUNCTION("""COMPUTED_VALUE"""),"Fatal")</f>
        <v>Fatal</v>
      </c>
      <c r="D2156" s="8" t="str">
        <f ca="1">IFERROR(__xludf.DUMMYFUNCTION("""COMPUTED_VALUE"""),"Male")</f>
        <v>Male</v>
      </c>
      <c r="E2156" s="8" t="str">
        <f ca="1">IFERROR(__xludf.DUMMYFUNCTION("""COMPUTED_VALUE"""),"Student")</f>
        <v>Student</v>
      </c>
      <c r="F2156" s="8">
        <f ca="1">IFERROR(__xludf.DUMMYFUNCTION("""COMPUTED_VALUE"""),18)</f>
        <v>18</v>
      </c>
    </row>
    <row r="2157" spans="1:6" ht="12.75">
      <c r="A2157" s="4">
        <v>2156</v>
      </c>
      <c r="B2157" s="8" t="str">
        <f ca="1">IFERROR(__xludf.DUMMYFUNCTION("""COMPUTED_VALUE"""),"19961127CAHIS")</f>
        <v>19961127CAHIS</v>
      </c>
      <c r="C2157" s="8" t="str">
        <f ca="1">IFERROR(__xludf.DUMMYFUNCTION("""COMPUTED_VALUE"""),"Fatal")</f>
        <v>Fatal</v>
      </c>
      <c r="D2157" s="8" t="str">
        <f ca="1">IFERROR(__xludf.DUMMYFUNCTION("""COMPUTED_VALUE"""),"Male")</f>
        <v>Male</v>
      </c>
      <c r="E2157" s="8" t="str">
        <f ca="1">IFERROR(__xludf.DUMMYFUNCTION("""COMPUTED_VALUE"""),"Student")</f>
        <v>Student</v>
      </c>
      <c r="F2157" s="8">
        <f ca="1">IFERROR(__xludf.DUMMYFUNCTION("""COMPUTED_VALUE"""),19)</f>
        <v>19</v>
      </c>
    </row>
    <row r="2158" spans="1:6" ht="12.75">
      <c r="A2158" s="4">
        <v>2157</v>
      </c>
      <c r="B2158" s="8" t="str">
        <f ca="1">IFERROR(__xludf.DUMMYFUNCTION("""COMPUTED_VALUE"""),"19961014MOSUS")</f>
        <v>19961014MOSUS</v>
      </c>
      <c r="C2158" s="8" t="str">
        <f ca="1">IFERROR(__xludf.DUMMYFUNCTION("""COMPUTED_VALUE"""),"Fatal")</f>
        <v>Fatal</v>
      </c>
      <c r="D2158" s="8" t="str">
        <f ca="1">IFERROR(__xludf.DUMMYFUNCTION("""COMPUTED_VALUE"""),"Male")</f>
        <v>Male</v>
      </c>
      <c r="E2158" s="8" t="str">
        <f ca="1">IFERROR(__xludf.DUMMYFUNCTION("""COMPUTED_VALUE"""),"Student")</f>
        <v>Student</v>
      </c>
      <c r="F2158" s="8">
        <f ca="1">IFERROR(__xludf.DUMMYFUNCTION("""COMPUTED_VALUE"""),17)</f>
        <v>17</v>
      </c>
    </row>
    <row r="2159" spans="1:6" ht="12.75">
      <c r="A2159" s="4">
        <v>2158</v>
      </c>
      <c r="B2159" s="8" t="str">
        <f ca="1">IFERROR(__xludf.DUMMYFUNCTION("""COMPUTED_VALUE"""),"19961009ARJAS")</f>
        <v>19961009ARJAS</v>
      </c>
      <c r="C2159" s="8" t="str">
        <f ca="1">IFERROR(__xludf.DUMMYFUNCTION("""COMPUTED_VALUE"""),"Fatal")</f>
        <v>Fatal</v>
      </c>
      <c r="D2159" s="8" t="str">
        <f ca="1">IFERROR(__xludf.DUMMYFUNCTION("""COMPUTED_VALUE"""),"Male")</f>
        <v>Male</v>
      </c>
      <c r="E2159" s="8" t="str">
        <f ca="1">IFERROR(__xludf.DUMMYFUNCTION("""COMPUTED_VALUE"""),"Student")</f>
        <v>Student</v>
      </c>
      <c r="F2159" s="8">
        <f ca="1">IFERROR(__xludf.DUMMYFUNCTION("""COMPUTED_VALUE"""),20)</f>
        <v>20</v>
      </c>
    </row>
    <row r="2160" spans="1:6" ht="12.75">
      <c r="A2160" s="4">
        <v>2159</v>
      </c>
      <c r="B2160" s="8" t="str">
        <f ca="1">IFERROR(__xludf.DUMMYFUNCTION("""COMPUTED_VALUE"""),"19961004CASTP")</f>
        <v>19961004CASTP</v>
      </c>
      <c r="C2160" s="8" t="str">
        <f ca="1">IFERROR(__xludf.DUMMYFUNCTION("""COMPUTED_VALUE"""),"Fatal")</f>
        <v>Fatal</v>
      </c>
      <c r="D2160" s="8" t="str">
        <f ca="1">IFERROR(__xludf.DUMMYFUNCTION("""COMPUTED_VALUE"""),"Male")</f>
        <v>Male</v>
      </c>
      <c r="E2160" s="8" t="str">
        <f ca="1">IFERROR(__xludf.DUMMYFUNCTION("""COMPUTED_VALUE"""),"Student")</f>
        <v>Student</v>
      </c>
      <c r="F2160" s="8">
        <f ca="1">IFERROR(__xludf.DUMMYFUNCTION("""COMPUTED_VALUE"""),18)</f>
        <v>18</v>
      </c>
    </row>
    <row r="2161" spans="1:6" ht="12.75">
      <c r="A2161" s="4">
        <v>2160</v>
      </c>
      <c r="B2161" s="8" t="str">
        <f ca="1">IFERROR(__xludf.DUMMYFUNCTION("""COMPUTED_VALUE"""),"19961004CASTP")</f>
        <v>19961004CASTP</v>
      </c>
      <c r="C2161" s="8" t="str">
        <f ca="1">IFERROR(__xludf.DUMMYFUNCTION("""COMPUTED_VALUE"""),"Wounded")</f>
        <v>Wounded</v>
      </c>
      <c r="D2161" s="8" t="str">
        <f ca="1">IFERROR(__xludf.DUMMYFUNCTION("""COMPUTED_VALUE"""),"Male")</f>
        <v>Male</v>
      </c>
      <c r="E2161" s="8" t="str">
        <f ca="1">IFERROR(__xludf.DUMMYFUNCTION("""COMPUTED_VALUE"""),"Unknown")</f>
        <v>Unknown</v>
      </c>
      <c r="F2161" s="8" t="str">
        <f ca="1">IFERROR(__xludf.DUMMYFUNCTION("""COMPUTED_VALUE"""),"Teen")</f>
        <v>Teen</v>
      </c>
    </row>
    <row r="2162" spans="1:6" ht="12.75">
      <c r="A2162" s="4">
        <v>2161</v>
      </c>
      <c r="B2162" s="8" t="str">
        <f ca="1">IFERROR(__xludf.DUMMYFUNCTION("""COMPUTED_VALUE"""),"19961002PASMP")</f>
        <v>19961002PASMP</v>
      </c>
      <c r="C2162" s="8" t="str">
        <f ca="1">IFERROR(__xludf.DUMMYFUNCTION("""COMPUTED_VALUE"""),"Fatal")</f>
        <v>Fatal</v>
      </c>
      <c r="D2162" s="8" t="str">
        <f ca="1">IFERROR(__xludf.DUMMYFUNCTION("""COMPUTED_VALUE"""),"Female")</f>
        <v>Female</v>
      </c>
      <c r="E2162" s="8" t="str">
        <f ca="1">IFERROR(__xludf.DUMMYFUNCTION("""COMPUTED_VALUE"""),"Relative")</f>
        <v>Relative</v>
      </c>
      <c r="F2162" s="8">
        <f ca="1">IFERROR(__xludf.DUMMYFUNCTION("""COMPUTED_VALUE"""),19)</f>
        <v>19</v>
      </c>
    </row>
    <row r="2163" spans="1:6" ht="12.75">
      <c r="A2163" s="4">
        <v>2162</v>
      </c>
      <c r="B2163" s="8" t="str">
        <f ca="1">IFERROR(__xludf.DUMMYFUNCTION("""COMPUTED_VALUE"""),"19961002PASMP")</f>
        <v>19961002PASMP</v>
      </c>
      <c r="C2163" s="8" t="str">
        <f ca="1">IFERROR(__xludf.DUMMYFUNCTION("""COMPUTED_VALUE"""),"Fatal")</f>
        <v>Fatal</v>
      </c>
      <c r="D2163" s="8" t="str">
        <f ca="1">IFERROR(__xludf.DUMMYFUNCTION("""COMPUTED_VALUE"""),"Female")</f>
        <v>Female</v>
      </c>
      <c r="E2163" s="8" t="str">
        <f ca="1">IFERROR(__xludf.DUMMYFUNCTION("""COMPUTED_VALUE"""),"Parent")</f>
        <v>Parent</v>
      </c>
      <c r="F2163" s="8">
        <f ca="1">IFERROR(__xludf.DUMMYFUNCTION("""COMPUTED_VALUE"""),26)</f>
        <v>26</v>
      </c>
    </row>
    <row r="2164" spans="1:6" ht="12.75">
      <c r="A2164" s="4">
        <v>2163</v>
      </c>
      <c r="B2164" s="8" t="str">
        <f ca="1">IFERROR(__xludf.DUMMYFUNCTION("""COMPUTED_VALUE"""),"19960925GADED")</f>
        <v>19960925GADED</v>
      </c>
      <c r="C2164" s="8" t="str">
        <f ca="1">IFERROR(__xludf.DUMMYFUNCTION("""COMPUTED_VALUE"""),"Fatal")</f>
        <v>Fatal</v>
      </c>
      <c r="D2164" s="8" t="str">
        <f ca="1">IFERROR(__xludf.DUMMYFUNCTION("""COMPUTED_VALUE"""),"Male")</f>
        <v>Male</v>
      </c>
      <c r="E2164" s="8" t="str">
        <f ca="1">IFERROR(__xludf.DUMMYFUNCTION("""COMPUTED_VALUE"""),"Teacher")</f>
        <v>Teacher</v>
      </c>
      <c r="F2164" s="8">
        <f ca="1">IFERROR(__xludf.DUMMYFUNCTION("""COMPUTED_VALUE"""),49)</f>
        <v>49</v>
      </c>
    </row>
    <row r="2165" spans="1:6" ht="12.75">
      <c r="A2165" s="4">
        <v>2164</v>
      </c>
      <c r="B2165" s="8" t="str">
        <f ca="1">IFERROR(__xludf.DUMMYFUNCTION("""COMPUTED_VALUE"""),"19960726CAJOL")</f>
        <v>19960726CAJOL</v>
      </c>
      <c r="C2165" s="8" t="str">
        <f ca="1">IFERROR(__xludf.DUMMYFUNCTION("""COMPUTED_VALUE"""),"Wounded")</f>
        <v>Wounded</v>
      </c>
      <c r="D2165" s="8" t="str">
        <f ca="1">IFERROR(__xludf.DUMMYFUNCTION("""COMPUTED_VALUE"""),"Male")</f>
        <v>Male</v>
      </c>
      <c r="E2165" s="8" t="str">
        <f ca="1">IFERROR(__xludf.DUMMYFUNCTION("""COMPUTED_VALUE"""),"Student")</f>
        <v>Student</v>
      </c>
      <c r="F2165" s="8">
        <f ca="1">IFERROR(__xludf.DUMMYFUNCTION("""COMPUTED_VALUE"""),16)</f>
        <v>16</v>
      </c>
    </row>
    <row r="2166" spans="1:6" ht="12.75">
      <c r="A2166" s="4">
        <v>2165</v>
      </c>
      <c r="B2166" s="8" t="str">
        <f ca="1">IFERROR(__xludf.DUMMYFUNCTION("""COMPUTED_VALUE"""),"19960726CAJOL")</f>
        <v>19960726CAJOL</v>
      </c>
      <c r="C2166" s="8" t="str">
        <f ca="1">IFERROR(__xludf.DUMMYFUNCTION("""COMPUTED_VALUE"""),"Wounded")</f>
        <v>Wounded</v>
      </c>
      <c r="D2166" s="8" t="str">
        <f ca="1">IFERROR(__xludf.DUMMYFUNCTION("""COMPUTED_VALUE"""),"Female")</f>
        <v>Female</v>
      </c>
      <c r="E2166" s="8" t="str">
        <f ca="1">IFERROR(__xludf.DUMMYFUNCTION("""COMPUTED_VALUE"""),"Student")</f>
        <v>Student</v>
      </c>
      <c r="F2166" s="8">
        <f ca="1">IFERROR(__xludf.DUMMYFUNCTION("""COMPUTED_VALUE"""),17)</f>
        <v>17</v>
      </c>
    </row>
    <row r="2167" spans="1:6" ht="12.75">
      <c r="A2167" s="4">
        <v>2166</v>
      </c>
      <c r="B2167" s="8" t="str">
        <f ca="1">IFERROR(__xludf.DUMMYFUNCTION("""COMPUTED_VALUE"""),"19960604CAWEH")</f>
        <v>19960604CAWEH</v>
      </c>
      <c r="C2167" s="8" t="str">
        <f ca="1">IFERROR(__xludf.DUMMYFUNCTION("""COMPUTED_VALUE"""),"None")</f>
        <v>None</v>
      </c>
      <c r="D2167" s="8" t="str">
        <f ca="1">IFERROR(__xludf.DUMMYFUNCTION("""COMPUTED_VALUE"""),"Male")</f>
        <v>Male</v>
      </c>
      <c r="E2167" s="8" t="str">
        <f ca="1">IFERROR(__xludf.DUMMYFUNCTION("""COMPUTED_VALUE"""),"Student")</f>
        <v>Student</v>
      </c>
      <c r="F2167" s="8">
        <f ca="1">IFERROR(__xludf.DUMMYFUNCTION("""COMPUTED_VALUE"""),16)</f>
        <v>16</v>
      </c>
    </row>
    <row r="2168" spans="1:6" ht="12.75">
      <c r="A2168" s="4">
        <v>2167</v>
      </c>
      <c r="B2168" s="8" t="str">
        <f ca="1">IFERROR(__xludf.DUMMYFUNCTION("""COMPUTED_VALUE"""),"19960522CACOC")</f>
        <v>19960522CACOC</v>
      </c>
      <c r="C2168" s="8" t="str">
        <f ca="1">IFERROR(__xludf.DUMMYFUNCTION("""COMPUTED_VALUE"""),"Fatal")</f>
        <v>Fatal</v>
      </c>
      <c r="D2168" s="8" t="str">
        <f ca="1">IFERROR(__xludf.DUMMYFUNCTION("""COMPUTED_VALUE"""),"Male")</f>
        <v>Male</v>
      </c>
      <c r="E2168" s="8" t="str">
        <f ca="1">IFERROR(__xludf.DUMMYFUNCTION("""COMPUTED_VALUE"""),"Student")</f>
        <v>Student</v>
      </c>
      <c r="F2168" s="8">
        <f ca="1">IFERROR(__xludf.DUMMYFUNCTION("""COMPUTED_VALUE"""),14)</f>
        <v>14</v>
      </c>
    </row>
    <row r="2169" spans="1:6" ht="12.75">
      <c r="A2169" s="4">
        <v>2168</v>
      </c>
      <c r="B2169" s="8" t="str">
        <f ca="1">IFERROR(__xludf.DUMMYFUNCTION("""COMPUTED_VALUE"""),"19960514UTBIT")</f>
        <v>19960514UTBIT</v>
      </c>
      <c r="C2169" s="8" t="str">
        <f ca="1">IFERROR(__xludf.DUMMYFUNCTION("""COMPUTED_VALUE"""),"Wounded")</f>
        <v>Wounded</v>
      </c>
      <c r="D2169" s="8" t="str">
        <f ca="1">IFERROR(__xludf.DUMMYFUNCTION("""COMPUTED_VALUE"""),"Female")</f>
        <v>Female</v>
      </c>
      <c r="E2169" s="8" t="str">
        <f ca="1">IFERROR(__xludf.DUMMYFUNCTION("""COMPUTED_VALUE"""),"Bus Driver")</f>
        <v>Bus Driver</v>
      </c>
      <c r="F2169" s="8" t="str">
        <f ca="1">IFERROR(__xludf.DUMMYFUNCTION("""COMPUTED_VALUE"""),"Adult")</f>
        <v>Adult</v>
      </c>
    </row>
    <row r="2170" spans="1:6" ht="12.75">
      <c r="A2170" s="4">
        <v>2169</v>
      </c>
      <c r="B2170" s="8" t="str">
        <f ca="1">IFERROR(__xludf.DUMMYFUNCTION("""COMPUTED_VALUE"""),"19960415DCMCW")</f>
        <v>19960415DCMCW</v>
      </c>
      <c r="C2170" s="8" t="str">
        <f ca="1">IFERROR(__xludf.DUMMYFUNCTION("""COMPUTED_VALUE"""),"Fatal")</f>
        <v>Fatal</v>
      </c>
      <c r="D2170" s="8" t="str">
        <f ca="1">IFERROR(__xludf.DUMMYFUNCTION("""COMPUTED_VALUE"""),"Male")</f>
        <v>Male</v>
      </c>
      <c r="E2170" s="8" t="str">
        <f ca="1">IFERROR(__xludf.DUMMYFUNCTION("""COMPUTED_VALUE"""),"Former Student")</f>
        <v>Former Student</v>
      </c>
      <c r="F2170" s="8">
        <f ca="1">IFERROR(__xludf.DUMMYFUNCTION("""COMPUTED_VALUE"""),23)</f>
        <v>23</v>
      </c>
    </row>
    <row r="2171" spans="1:6" ht="12.75">
      <c r="A2171" s="4">
        <v>2170</v>
      </c>
      <c r="B2171" s="8" t="str">
        <f ca="1">IFERROR(__xludf.DUMMYFUNCTION("""COMPUTED_VALUE"""),"19960411ALTAT")</f>
        <v>19960411ALTAT</v>
      </c>
      <c r="C2171" s="8" t="str">
        <f ca="1">IFERROR(__xludf.DUMMYFUNCTION("""COMPUTED_VALUE"""),"Fatal")</f>
        <v>Fatal</v>
      </c>
      <c r="D2171" s="8" t="str">
        <f ca="1">IFERROR(__xludf.DUMMYFUNCTION("""COMPUTED_VALUE"""),"Male")</f>
        <v>Male</v>
      </c>
      <c r="E2171" s="8" t="str">
        <f ca="1">IFERROR(__xludf.DUMMYFUNCTION("""COMPUTED_VALUE"""),"Student")</f>
        <v>Student</v>
      </c>
      <c r="F2171" s="8">
        <f ca="1">IFERROR(__xludf.DUMMYFUNCTION("""COMPUTED_VALUE"""),18)</f>
        <v>18</v>
      </c>
    </row>
    <row r="2172" spans="1:6" ht="12.75">
      <c r="A2172" s="4">
        <v>2171</v>
      </c>
      <c r="B2172" s="8" t="str">
        <f ca="1">IFERROR(__xludf.DUMMYFUNCTION("""COMPUTED_VALUE"""),"19960319NVSWL")</f>
        <v>19960319NVSWL</v>
      </c>
      <c r="C2172" s="8" t="str">
        <f ca="1">IFERROR(__xludf.DUMMYFUNCTION("""COMPUTED_VALUE"""),"Minor Injuries")</f>
        <v>Minor Injuries</v>
      </c>
      <c r="D2172" s="8" t="str">
        <f ca="1">IFERROR(__xludf.DUMMYFUNCTION("""COMPUTED_VALUE"""),"Male")</f>
        <v>Male</v>
      </c>
      <c r="E2172" s="8" t="str">
        <f ca="1">IFERROR(__xludf.DUMMYFUNCTION("""COMPUTED_VALUE"""),"Student")</f>
        <v>Student</v>
      </c>
      <c r="F2172" s="8" t="str">
        <f ca="1">IFERROR(__xludf.DUMMYFUNCTION("""COMPUTED_VALUE"""),"Teen")</f>
        <v>Teen</v>
      </c>
    </row>
    <row r="2173" spans="1:6" ht="12.75">
      <c r="A2173" s="4">
        <v>2172</v>
      </c>
      <c r="B2173" s="8" t="str">
        <f ca="1">IFERROR(__xludf.DUMMYFUNCTION("""COMPUTED_VALUE"""),"19960319NVSWL")</f>
        <v>19960319NVSWL</v>
      </c>
      <c r="C2173" s="8" t="str">
        <f ca="1">IFERROR(__xludf.DUMMYFUNCTION("""COMPUTED_VALUE"""),"Minor Injuries")</f>
        <v>Minor Injuries</v>
      </c>
      <c r="D2173" s="8" t="str">
        <f ca="1">IFERROR(__xludf.DUMMYFUNCTION("""COMPUTED_VALUE"""),"Male")</f>
        <v>Male</v>
      </c>
      <c r="E2173" s="8" t="str">
        <f ca="1">IFERROR(__xludf.DUMMYFUNCTION("""COMPUTED_VALUE"""),"Student")</f>
        <v>Student</v>
      </c>
      <c r="F2173" s="8" t="str">
        <f ca="1">IFERROR(__xludf.DUMMYFUNCTION("""COMPUTED_VALUE"""),"Teen")</f>
        <v>Teen</v>
      </c>
    </row>
    <row r="2174" spans="1:6" ht="12.75">
      <c r="A2174" s="4">
        <v>2173</v>
      </c>
      <c r="B2174" s="8" t="str">
        <f ca="1">IFERROR(__xludf.DUMMYFUNCTION("""COMPUTED_VALUE"""),"19960311NCNON")</f>
        <v>19960311NCNON</v>
      </c>
      <c r="C2174" s="8" t="str">
        <f ca="1">IFERROR(__xludf.DUMMYFUNCTION("""COMPUTED_VALUE"""),"None")</f>
        <v>None</v>
      </c>
      <c r="D2174" s="8" t="str">
        <f ca="1">IFERROR(__xludf.DUMMYFUNCTION("""COMPUTED_VALUE"""),"Male")</f>
        <v>Male</v>
      </c>
      <c r="E2174" s="8" t="str">
        <f ca="1">IFERROR(__xludf.DUMMYFUNCTION("""COMPUTED_VALUE"""),"Student")</f>
        <v>Student</v>
      </c>
      <c r="F2174" s="8">
        <f ca="1">IFERROR(__xludf.DUMMYFUNCTION("""COMPUTED_VALUE"""),15)</f>
        <v>15</v>
      </c>
    </row>
    <row r="2175" spans="1:6" ht="12.75">
      <c r="A2175" s="4">
        <v>2174</v>
      </c>
      <c r="B2175" s="8" t="str">
        <f ca="1">IFERROR(__xludf.DUMMYFUNCTION("""COMPUTED_VALUE"""),"19960229MOBES")</f>
        <v>19960229MOBES</v>
      </c>
      <c r="C2175" s="8" t="str">
        <f ca="1">IFERROR(__xludf.DUMMYFUNCTION("""COMPUTED_VALUE"""),"Fatal")</f>
        <v>Fatal</v>
      </c>
      <c r="D2175" s="8" t="str">
        <f ca="1">IFERROR(__xludf.DUMMYFUNCTION("""COMPUTED_VALUE"""),"Female")</f>
        <v>Female</v>
      </c>
      <c r="E2175" s="8" t="str">
        <f ca="1">IFERROR(__xludf.DUMMYFUNCTION("""COMPUTED_VALUE"""),"Relative")</f>
        <v>Relative</v>
      </c>
      <c r="F2175" s="8">
        <f ca="1">IFERROR(__xludf.DUMMYFUNCTION("""COMPUTED_VALUE"""),1)</f>
        <v>1</v>
      </c>
    </row>
    <row r="2176" spans="1:6" ht="12.75">
      <c r="A2176" s="4">
        <v>2175</v>
      </c>
      <c r="B2176" s="8" t="str">
        <f ca="1">IFERROR(__xludf.DUMMYFUNCTION("""COMPUTED_VALUE"""),"19960229MOBES")</f>
        <v>19960229MOBES</v>
      </c>
      <c r="C2176" s="8" t="str">
        <f ca="1">IFERROR(__xludf.DUMMYFUNCTION("""COMPUTED_VALUE"""),"Fatal")</f>
        <v>Fatal</v>
      </c>
      <c r="D2176" s="8" t="str">
        <f ca="1">IFERROR(__xludf.DUMMYFUNCTION("""COMPUTED_VALUE"""),"Female")</f>
        <v>Female</v>
      </c>
      <c r="E2176" s="8" t="str">
        <f ca="1">IFERROR(__xludf.DUMMYFUNCTION("""COMPUTED_VALUE"""),"Student")</f>
        <v>Student</v>
      </c>
      <c r="F2176" s="8">
        <f ca="1">IFERROR(__xludf.DUMMYFUNCTION("""COMPUTED_VALUE"""),15)</f>
        <v>15</v>
      </c>
    </row>
    <row r="2177" spans="1:6" ht="12.75">
      <c r="A2177" s="4">
        <v>2176</v>
      </c>
      <c r="B2177" s="8" t="str">
        <f ca="1">IFERROR(__xludf.DUMMYFUNCTION("""COMPUTED_VALUE"""),"19960229MOBES")</f>
        <v>19960229MOBES</v>
      </c>
      <c r="C2177" s="8" t="str">
        <f ca="1">IFERROR(__xludf.DUMMYFUNCTION("""COMPUTED_VALUE"""),"Wounded")</f>
        <v>Wounded</v>
      </c>
      <c r="D2177" s="8" t="str">
        <f ca="1">IFERROR(__xludf.DUMMYFUNCTION("""COMPUTED_VALUE"""),"Male")</f>
        <v>Male</v>
      </c>
      <c r="E2177" s="8" t="str">
        <f ca="1">IFERROR(__xludf.DUMMYFUNCTION("""COMPUTED_VALUE"""),"Bus Driver")</f>
        <v>Bus Driver</v>
      </c>
      <c r="F2177" s="8">
        <f ca="1">IFERROR(__xludf.DUMMYFUNCTION("""COMPUTED_VALUE"""),60)</f>
        <v>60</v>
      </c>
    </row>
    <row r="2178" spans="1:6" ht="12.75">
      <c r="A2178" s="4">
        <v>2177</v>
      </c>
      <c r="B2178" s="8" t="str">
        <f ca="1">IFERROR(__xludf.DUMMYFUNCTION("""COMPUTED_VALUE"""),"19960222GAJES")</f>
        <v>19960222GAJES</v>
      </c>
      <c r="C2178" s="8" t="str">
        <f ca="1">IFERROR(__xludf.DUMMYFUNCTION("""COMPUTED_VALUE"""),"Fatal")</f>
        <v>Fatal</v>
      </c>
      <c r="D2178" s="8" t="str">
        <f ca="1">IFERROR(__xludf.DUMMYFUNCTION("""COMPUTED_VALUE"""),"Male")</f>
        <v>Male</v>
      </c>
      <c r="E2178" s="8" t="str">
        <f ca="1">IFERROR(__xludf.DUMMYFUNCTION("""COMPUTED_VALUE"""),"Student")</f>
        <v>Student</v>
      </c>
      <c r="F2178" s="8">
        <f ca="1">IFERROR(__xludf.DUMMYFUNCTION("""COMPUTED_VALUE"""),17)</f>
        <v>17</v>
      </c>
    </row>
    <row r="2179" spans="1:6" ht="12.75">
      <c r="A2179" s="4">
        <v>2178</v>
      </c>
      <c r="B2179" s="8" t="str">
        <f ca="1">IFERROR(__xludf.DUMMYFUNCTION("""COMPUTED_VALUE"""),"19960208CAMIM")</f>
        <v>19960208CAMIM</v>
      </c>
      <c r="C2179" s="8" t="str">
        <f ca="1">IFERROR(__xludf.DUMMYFUNCTION("""COMPUTED_VALUE"""),"Wounded")</f>
        <v>Wounded</v>
      </c>
      <c r="D2179" s="8" t="str">
        <f ca="1">IFERROR(__xludf.DUMMYFUNCTION("""COMPUTED_VALUE"""),"Male")</f>
        <v>Male</v>
      </c>
      <c r="E2179" s="8" t="str">
        <f ca="1">IFERROR(__xludf.DUMMYFUNCTION("""COMPUTED_VALUE"""),"Student")</f>
        <v>Student</v>
      </c>
      <c r="F2179" s="8">
        <f ca="1">IFERROR(__xludf.DUMMYFUNCTION("""COMPUTED_VALUE"""),14)</f>
        <v>14</v>
      </c>
    </row>
    <row r="2180" spans="1:6" ht="12.75">
      <c r="A2180" s="4">
        <v>2179</v>
      </c>
      <c r="B2180" s="8" t="str">
        <f ca="1">IFERROR(__xludf.DUMMYFUNCTION("""COMPUTED_VALUE"""),"19960202WAFRM")</f>
        <v>19960202WAFRM</v>
      </c>
      <c r="C2180" s="8" t="str">
        <f ca="1">IFERROR(__xludf.DUMMYFUNCTION("""COMPUTED_VALUE"""),"Fatal")</f>
        <v>Fatal</v>
      </c>
      <c r="D2180" s="8" t="str">
        <f ca="1">IFERROR(__xludf.DUMMYFUNCTION("""COMPUTED_VALUE"""),"Male")</f>
        <v>Male</v>
      </c>
      <c r="E2180" s="8" t="str">
        <f ca="1">IFERROR(__xludf.DUMMYFUNCTION("""COMPUTED_VALUE"""),"Student")</f>
        <v>Student</v>
      </c>
      <c r="F2180" s="8">
        <f ca="1">IFERROR(__xludf.DUMMYFUNCTION("""COMPUTED_VALUE"""),14)</f>
        <v>14</v>
      </c>
    </row>
    <row r="2181" spans="1:6" ht="12.75">
      <c r="A2181" s="4">
        <v>2180</v>
      </c>
      <c r="B2181" s="8" t="str">
        <f ca="1">IFERROR(__xludf.DUMMYFUNCTION("""COMPUTED_VALUE"""),"19960202WAFRM")</f>
        <v>19960202WAFRM</v>
      </c>
      <c r="C2181" s="8" t="str">
        <f ca="1">IFERROR(__xludf.DUMMYFUNCTION("""COMPUTED_VALUE"""),"Fatal")</f>
        <v>Fatal</v>
      </c>
      <c r="D2181" s="8" t="str">
        <f ca="1">IFERROR(__xludf.DUMMYFUNCTION("""COMPUTED_VALUE"""),"Female")</f>
        <v>Female</v>
      </c>
      <c r="E2181" s="8" t="str">
        <f ca="1">IFERROR(__xludf.DUMMYFUNCTION("""COMPUTED_VALUE"""),"Teacher")</f>
        <v>Teacher</v>
      </c>
      <c r="F2181" s="8">
        <f ca="1">IFERROR(__xludf.DUMMYFUNCTION("""COMPUTED_VALUE"""),49)</f>
        <v>49</v>
      </c>
    </row>
    <row r="2182" spans="1:6" ht="12.75">
      <c r="A2182" s="4">
        <v>2181</v>
      </c>
      <c r="B2182" s="8" t="str">
        <f ca="1">IFERROR(__xludf.DUMMYFUNCTION("""COMPUTED_VALUE"""),"19960202WAFRM")</f>
        <v>19960202WAFRM</v>
      </c>
      <c r="C2182" s="8" t="str">
        <f ca="1">IFERROR(__xludf.DUMMYFUNCTION("""COMPUTED_VALUE"""),"Fatal")</f>
        <v>Fatal</v>
      </c>
      <c r="D2182" s="8" t="str">
        <f ca="1">IFERROR(__xludf.DUMMYFUNCTION("""COMPUTED_VALUE"""),"Male")</f>
        <v>Male</v>
      </c>
      <c r="E2182" s="8" t="str">
        <f ca="1">IFERROR(__xludf.DUMMYFUNCTION("""COMPUTED_VALUE"""),"Student")</f>
        <v>Student</v>
      </c>
      <c r="F2182" s="8">
        <f ca="1">IFERROR(__xludf.DUMMYFUNCTION("""COMPUTED_VALUE"""),14)</f>
        <v>14</v>
      </c>
    </row>
    <row r="2183" spans="1:6" ht="12.75">
      <c r="A2183" s="4">
        <v>2182</v>
      </c>
      <c r="B2183" s="8" t="str">
        <f ca="1">IFERROR(__xludf.DUMMYFUNCTION("""COMPUTED_VALUE"""),"19960202WAFRM")</f>
        <v>19960202WAFRM</v>
      </c>
      <c r="C2183" s="8" t="str">
        <f ca="1">IFERROR(__xludf.DUMMYFUNCTION("""COMPUTED_VALUE"""),"Wounded")</f>
        <v>Wounded</v>
      </c>
      <c r="D2183" s="8" t="str">
        <f ca="1">IFERROR(__xludf.DUMMYFUNCTION("""COMPUTED_VALUE"""),"Female")</f>
        <v>Female</v>
      </c>
      <c r="E2183" s="8" t="str">
        <f ca="1">IFERROR(__xludf.DUMMYFUNCTION("""COMPUTED_VALUE"""),"Student")</f>
        <v>Student</v>
      </c>
      <c r="F2183" s="8">
        <f ca="1">IFERROR(__xludf.DUMMYFUNCTION("""COMPUTED_VALUE"""),13)</f>
        <v>13</v>
      </c>
    </row>
    <row r="2184" spans="1:6" ht="12.75">
      <c r="A2184" s="4">
        <v>2183</v>
      </c>
      <c r="B2184" s="8" t="str">
        <f ca="1">IFERROR(__xludf.DUMMYFUNCTION("""COMPUTED_VALUE"""),"19960126TNEAM")</f>
        <v>19960126TNEAM</v>
      </c>
      <c r="C2184" s="8" t="str">
        <f ca="1">IFERROR(__xludf.DUMMYFUNCTION("""COMPUTED_VALUE"""),"Fatal")</f>
        <v>Fatal</v>
      </c>
      <c r="D2184" s="8" t="str">
        <f ca="1">IFERROR(__xludf.DUMMYFUNCTION("""COMPUTED_VALUE"""),"Male")</f>
        <v>Male</v>
      </c>
      <c r="E2184" s="8" t="str">
        <f ca="1">IFERROR(__xludf.DUMMYFUNCTION("""COMPUTED_VALUE"""),"Student")</f>
        <v>Student</v>
      </c>
      <c r="F2184" s="8">
        <f ca="1">IFERROR(__xludf.DUMMYFUNCTION("""COMPUTED_VALUE"""),15)</f>
        <v>15</v>
      </c>
    </row>
    <row r="2185" spans="1:6" ht="12.75">
      <c r="A2185" s="4">
        <v>2184</v>
      </c>
      <c r="B2185" s="8" t="str">
        <f ca="1">IFERROR(__xludf.DUMMYFUNCTION("""COMPUTED_VALUE"""),"19960119DCWIW")</f>
        <v>19960119DCWIW</v>
      </c>
      <c r="C2185" s="8" t="str">
        <f ca="1">IFERROR(__xludf.DUMMYFUNCTION("""COMPUTED_VALUE"""),"Fatal")</f>
        <v>Fatal</v>
      </c>
      <c r="D2185" s="8" t="str">
        <f ca="1">IFERROR(__xludf.DUMMYFUNCTION("""COMPUTED_VALUE"""),"Male")</f>
        <v>Male</v>
      </c>
      <c r="E2185" s="8" t="str">
        <f ca="1">IFERROR(__xludf.DUMMYFUNCTION("""COMPUTED_VALUE"""),"Relative")</f>
        <v>Relative</v>
      </c>
      <c r="F2185" s="8">
        <f ca="1">IFERROR(__xludf.DUMMYFUNCTION("""COMPUTED_VALUE"""),14)</f>
        <v>14</v>
      </c>
    </row>
    <row r="2186" spans="1:6" ht="12.75">
      <c r="A2186" s="4">
        <v>2185</v>
      </c>
      <c r="B2186" s="8" t="str">
        <f ca="1">IFERROR(__xludf.DUMMYFUNCTION("""COMPUTED_VALUE"""),"19960102PAGIG")</f>
        <v>19960102PAGIG</v>
      </c>
      <c r="C2186" s="8" t="str">
        <f ca="1">IFERROR(__xludf.DUMMYFUNCTION("""COMPUTED_VALUE"""),"None")</f>
        <v>None</v>
      </c>
      <c r="D2186" s="8" t="str">
        <f ca="1">IFERROR(__xludf.DUMMYFUNCTION("""COMPUTED_VALUE"""),"Male")</f>
        <v>Male</v>
      </c>
      <c r="E2186" s="8" t="str">
        <f ca="1">IFERROR(__xludf.DUMMYFUNCTION("""COMPUTED_VALUE"""),"Student")</f>
        <v>Student</v>
      </c>
      <c r="F2186" s="8">
        <f ca="1">IFERROR(__xludf.DUMMYFUNCTION("""COMPUTED_VALUE"""),16)</f>
        <v>16</v>
      </c>
    </row>
    <row r="2187" spans="1:6" ht="12.75">
      <c r="A2187" s="4">
        <v>2186</v>
      </c>
      <c r="B2187" s="8" t="str">
        <f ca="1">IFERROR(__xludf.DUMMYFUNCTION("""COMPUTED_VALUE"""),"19951128NYTHN")</f>
        <v>19951128NYTHN</v>
      </c>
      <c r="C2187" s="8" t="str">
        <f ca="1">IFERROR(__xludf.DUMMYFUNCTION("""COMPUTED_VALUE"""),"Fatal")</f>
        <v>Fatal</v>
      </c>
      <c r="D2187" s="8" t="str">
        <f ca="1">IFERROR(__xludf.DUMMYFUNCTION("""COMPUTED_VALUE"""),"Male")</f>
        <v>Male</v>
      </c>
      <c r="E2187" s="8" t="str">
        <f ca="1">IFERROR(__xludf.DUMMYFUNCTION("""COMPUTED_VALUE"""),"Student")</f>
        <v>Student</v>
      </c>
      <c r="F2187" s="8">
        <f ca="1">IFERROR(__xludf.DUMMYFUNCTION("""COMPUTED_VALUE"""),17)</f>
        <v>17</v>
      </c>
    </row>
    <row r="2188" spans="1:6" ht="12.75">
      <c r="A2188" s="4">
        <v>2187</v>
      </c>
      <c r="B2188" s="8" t="str">
        <f ca="1">IFERROR(__xludf.DUMMYFUNCTION("""COMPUTED_VALUE"""),"19951115TNRIL")</f>
        <v>19951115TNRIL</v>
      </c>
      <c r="C2188" s="8" t="str">
        <f ca="1">IFERROR(__xludf.DUMMYFUNCTION("""COMPUTED_VALUE"""),"Wounded")</f>
        <v>Wounded</v>
      </c>
      <c r="D2188" s="8" t="str">
        <f ca="1">IFERROR(__xludf.DUMMYFUNCTION("""COMPUTED_VALUE"""),"Female")</f>
        <v>Female</v>
      </c>
      <c r="E2188" s="8" t="str">
        <f ca="1">IFERROR(__xludf.DUMMYFUNCTION("""COMPUTED_VALUE"""),"Teacher")</f>
        <v>Teacher</v>
      </c>
      <c r="F2188" s="8">
        <f ca="1">IFERROR(__xludf.DUMMYFUNCTION("""COMPUTED_VALUE"""),49)</f>
        <v>49</v>
      </c>
    </row>
    <row r="2189" spans="1:6" ht="12.75">
      <c r="A2189" s="4">
        <v>2188</v>
      </c>
      <c r="B2189" s="8" t="str">
        <f ca="1">IFERROR(__xludf.DUMMYFUNCTION("""COMPUTED_VALUE"""),"19951115TNRIL")</f>
        <v>19951115TNRIL</v>
      </c>
      <c r="C2189" s="8" t="str">
        <f ca="1">IFERROR(__xludf.DUMMYFUNCTION("""COMPUTED_VALUE"""),"Fatal")</f>
        <v>Fatal</v>
      </c>
      <c r="D2189" s="8" t="str">
        <f ca="1">IFERROR(__xludf.DUMMYFUNCTION("""COMPUTED_VALUE"""),"Female")</f>
        <v>Female</v>
      </c>
      <c r="E2189" s="8" t="str">
        <f ca="1">IFERROR(__xludf.DUMMYFUNCTION("""COMPUTED_VALUE"""),"Teacher")</f>
        <v>Teacher</v>
      </c>
      <c r="F2189" s="8">
        <f ca="1">IFERROR(__xludf.DUMMYFUNCTION("""COMPUTED_VALUE"""),58)</f>
        <v>58</v>
      </c>
    </row>
    <row r="2190" spans="1:6" ht="12.75">
      <c r="A2190" s="4">
        <v>2189</v>
      </c>
      <c r="B2190" s="8" t="str">
        <f ca="1">IFERROR(__xludf.DUMMYFUNCTION("""COMPUTED_VALUE"""),"19951115TNRIL")</f>
        <v>19951115TNRIL</v>
      </c>
      <c r="C2190" s="8" t="str">
        <f ca="1">IFERROR(__xludf.DUMMYFUNCTION("""COMPUTED_VALUE"""),"Fatal")</f>
        <v>Fatal</v>
      </c>
      <c r="D2190" s="8" t="str">
        <f ca="1">IFERROR(__xludf.DUMMYFUNCTION("""COMPUTED_VALUE"""),"Female")</f>
        <v>Female</v>
      </c>
      <c r="E2190" s="8" t="str">
        <f ca="1">IFERROR(__xludf.DUMMYFUNCTION("""COMPUTED_VALUE"""),"Student")</f>
        <v>Student</v>
      </c>
      <c r="F2190" s="8">
        <f ca="1">IFERROR(__xludf.DUMMYFUNCTION("""COMPUTED_VALUE"""),16)</f>
        <v>16</v>
      </c>
    </row>
    <row r="2191" spans="1:6" ht="12.75">
      <c r="A2191" s="4">
        <v>2190</v>
      </c>
      <c r="B2191" s="8" t="str">
        <f ca="1">IFERROR(__xludf.DUMMYFUNCTION("""COMPUTED_VALUE"""),"19951102FLBLM")</f>
        <v>19951102FLBLM</v>
      </c>
      <c r="C2191" s="8" t="str">
        <f ca="1">IFERROR(__xludf.DUMMYFUNCTION("""COMPUTED_VALUE"""),"Minor Injuries")</f>
        <v>Minor Injuries</v>
      </c>
      <c r="D2191" s="8"/>
      <c r="E2191" s="8" t="str">
        <f ca="1">IFERROR(__xludf.DUMMYFUNCTION("""COMPUTED_VALUE"""),"Student")</f>
        <v>Student</v>
      </c>
      <c r="F2191" s="8" t="str">
        <f ca="1">IFERROR(__xludf.DUMMYFUNCTION("""COMPUTED_VALUE"""),"Child")</f>
        <v>Child</v>
      </c>
    </row>
    <row r="2192" spans="1:6" ht="12.75">
      <c r="A2192" s="4">
        <v>2191</v>
      </c>
      <c r="B2192" s="8" t="str">
        <f ca="1">IFERROR(__xludf.DUMMYFUNCTION("""COMPUTED_VALUE"""),"19951030VAJOR")</f>
        <v>19951030VAJOR</v>
      </c>
      <c r="C2192" s="8" t="str">
        <f ca="1">IFERROR(__xludf.DUMMYFUNCTION("""COMPUTED_VALUE"""),"Wounded")</f>
        <v>Wounded</v>
      </c>
      <c r="D2192" s="8" t="str">
        <f ca="1">IFERROR(__xludf.DUMMYFUNCTION("""COMPUTED_VALUE"""),"Male")</f>
        <v>Male</v>
      </c>
      <c r="E2192" s="8" t="str">
        <f ca="1">IFERROR(__xludf.DUMMYFUNCTION("""COMPUTED_VALUE"""),"Student")</f>
        <v>Student</v>
      </c>
      <c r="F2192" s="8" t="str">
        <f ca="1">IFERROR(__xludf.DUMMYFUNCTION("""COMPUTED_VALUE"""),"Teen")</f>
        <v>Teen</v>
      </c>
    </row>
    <row r="2193" spans="1:6" ht="12.75">
      <c r="A2193" s="4">
        <v>2192</v>
      </c>
      <c r="B2193" s="8" t="str">
        <f ca="1">IFERROR(__xludf.DUMMYFUNCTION("""COMPUTED_VALUE"""),"19951030VAJOR")</f>
        <v>19951030VAJOR</v>
      </c>
      <c r="C2193" s="8" t="str">
        <f ca="1">IFERROR(__xludf.DUMMYFUNCTION("""COMPUTED_VALUE"""),"Wounded")</f>
        <v>Wounded</v>
      </c>
      <c r="D2193" s="8" t="str">
        <f ca="1">IFERROR(__xludf.DUMMYFUNCTION("""COMPUTED_VALUE"""),"Female")</f>
        <v>Female</v>
      </c>
      <c r="E2193" s="8" t="str">
        <f ca="1">IFERROR(__xludf.DUMMYFUNCTION("""COMPUTED_VALUE"""),"Student")</f>
        <v>Student</v>
      </c>
      <c r="F2193" s="8">
        <f ca="1">IFERROR(__xludf.DUMMYFUNCTION("""COMPUTED_VALUE"""),16)</f>
        <v>16</v>
      </c>
    </row>
    <row r="2194" spans="1:6" ht="12.75">
      <c r="A2194" s="4">
        <v>2193</v>
      </c>
      <c r="B2194" s="8" t="str">
        <f ca="1">IFERROR(__xludf.DUMMYFUNCTION("""COMPUTED_VALUE"""),"19951030VAJOR")</f>
        <v>19951030VAJOR</v>
      </c>
      <c r="C2194" s="8" t="str">
        <f ca="1">IFERROR(__xludf.DUMMYFUNCTION("""COMPUTED_VALUE"""),"Wounded")</f>
        <v>Wounded</v>
      </c>
      <c r="D2194" s="8" t="str">
        <f ca="1">IFERROR(__xludf.DUMMYFUNCTION("""COMPUTED_VALUE"""),"Female")</f>
        <v>Female</v>
      </c>
      <c r="E2194" s="8" t="str">
        <f ca="1">IFERROR(__xludf.DUMMYFUNCTION("""COMPUTED_VALUE"""),"Student")</f>
        <v>Student</v>
      </c>
      <c r="F2194" s="8">
        <f ca="1">IFERROR(__xludf.DUMMYFUNCTION("""COMPUTED_VALUE"""),16)</f>
        <v>16</v>
      </c>
    </row>
    <row r="2195" spans="1:6" ht="12.75">
      <c r="A2195" s="4">
        <v>2194</v>
      </c>
      <c r="B2195" s="8" t="str">
        <f ca="1">IFERROR(__xludf.DUMMYFUNCTION("""COMPUTED_VALUE"""),"19951030VAJOR")</f>
        <v>19951030VAJOR</v>
      </c>
      <c r="C2195" s="8" t="str">
        <f ca="1">IFERROR(__xludf.DUMMYFUNCTION("""COMPUTED_VALUE"""),"Wounded")</f>
        <v>Wounded</v>
      </c>
      <c r="D2195" s="8" t="str">
        <f ca="1">IFERROR(__xludf.DUMMYFUNCTION("""COMPUTED_VALUE"""),"Female")</f>
        <v>Female</v>
      </c>
      <c r="E2195" s="8" t="str">
        <f ca="1">IFERROR(__xludf.DUMMYFUNCTION("""COMPUTED_VALUE"""),"Student")</f>
        <v>Student</v>
      </c>
      <c r="F2195" s="8">
        <f ca="1">IFERROR(__xludf.DUMMYFUNCTION("""COMPUTED_VALUE"""),17)</f>
        <v>17</v>
      </c>
    </row>
    <row r="2196" spans="1:6" ht="12.75">
      <c r="A2196" s="4">
        <v>2195</v>
      </c>
      <c r="B2196" s="8" t="str">
        <f ca="1">IFERROR(__xludf.DUMMYFUNCTION("""COMPUTED_VALUE"""),"19951023FLLAC")</f>
        <v>19951023FLLAC</v>
      </c>
      <c r="C2196" s="8" t="str">
        <f ca="1">IFERROR(__xludf.DUMMYFUNCTION("""COMPUTED_VALUE"""),"None")</f>
        <v>None</v>
      </c>
      <c r="D2196" s="8" t="str">
        <f ca="1">IFERROR(__xludf.DUMMYFUNCTION("""COMPUTED_VALUE"""),"Female")</f>
        <v>Female</v>
      </c>
      <c r="E2196" s="8" t="str">
        <f ca="1">IFERROR(__xludf.DUMMYFUNCTION("""COMPUTED_VALUE"""),"Student")</f>
        <v>Student</v>
      </c>
      <c r="F2196" s="8">
        <f ca="1">IFERROR(__xludf.DUMMYFUNCTION("""COMPUTED_VALUE"""),16)</f>
        <v>16</v>
      </c>
    </row>
    <row r="2197" spans="1:6" ht="12.75">
      <c r="A2197" s="4">
        <v>2196</v>
      </c>
      <c r="B2197" s="8" t="str">
        <f ca="1">IFERROR(__xludf.DUMMYFUNCTION("""COMPUTED_VALUE"""),"19951012SCBLB")</f>
        <v>19951012SCBLB</v>
      </c>
      <c r="C2197" s="8" t="str">
        <f ca="1">IFERROR(__xludf.DUMMYFUNCTION("""COMPUTED_VALUE"""),"Wounded")</f>
        <v>Wounded</v>
      </c>
      <c r="D2197" s="8" t="str">
        <f ca="1">IFERROR(__xludf.DUMMYFUNCTION("""COMPUTED_VALUE"""),"Male")</f>
        <v>Male</v>
      </c>
      <c r="E2197" s="8" t="str">
        <f ca="1">IFERROR(__xludf.DUMMYFUNCTION("""COMPUTED_VALUE"""),"Teacher")</f>
        <v>Teacher</v>
      </c>
      <c r="F2197" s="8" t="str">
        <f ca="1">IFERROR(__xludf.DUMMYFUNCTION("""COMPUTED_VALUE"""),"Adult")</f>
        <v>Adult</v>
      </c>
    </row>
    <row r="2198" spans="1:6" ht="12.75">
      <c r="A2198" s="4">
        <v>2197</v>
      </c>
      <c r="B2198" s="8" t="str">
        <f ca="1">IFERROR(__xludf.DUMMYFUNCTION("""COMPUTED_VALUE"""),"19951012SCBLB")</f>
        <v>19951012SCBLB</v>
      </c>
      <c r="C2198" s="8" t="str">
        <f ca="1">IFERROR(__xludf.DUMMYFUNCTION("""COMPUTED_VALUE"""),"Fatal")</f>
        <v>Fatal</v>
      </c>
      <c r="D2198" s="8" t="str">
        <f ca="1">IFERROR(__xludf.DUMMYFUNCTION("""COMPUTED_VALUE"""),"Male")</f>
        <v>Male</v>
      </c>
      <c r="E2198" s="8" t="str">
        <f ca="1">IFERROR(__xludf.DUMMYFUNCTION("""COMPUTED_VALUE"""),"Teacher")</f>
        <v>Teacher</v>
      </c>
      <c r="F2198" s="8" t="str">
        <f ca="1">IFERROR(__xludf.DUMMYFUNCTION("""COMPUTED_VALUE"""),"Adult")</f>
        <v>Adult</v>
      </c>
    </row>
    <row r="2199" spans="1:6" ht="12.75">
      <c r="A2199" s="4">
        <v>2198</v>
      </c>
      <c r="B2199" s="8" t="str">
        <f ca="1">IFERROR(__xludf.DUMMYFUNCTION("""COMPUTED_VALUE"""),"19950929FLTAT")</f>
        <v>19950929FLTAT</v>
      </c>
      <c r="C2199" s="8" t="str">
        <f ca="1">IFERROR(__xludf.DUMMYFUNCTION("""COMPUTED_VALUE"""),"Fatal")</f>
        <v>Fatal</v>
      </c>
      <c r="D2199" s="8" t="str">
        <f ca="1">IFERROR(__xludf.DUMMYFUNCTION("""COMPUTED_VALUE"""),"Male")</f>
        <v>Male</v>
      </c>
      <c r="E2199" s="8" t="str">
        <f ca="1">IFERROR(__xludf.DUMMYFUNCTION("""COMPUTED_VALUE"""),"Student")</f>
        <v>Student</v>
      </c>
      <c r="F2199" s="8">
        <f ca="1">IFERROR(__xludf.DUMMYFUNCTION("""COMPUTED_VALUE"""),13)</f>
        <v>13</v>
      </c>
    </row>
    <row r="2200" spans="1:6" ht="12.75">
      <c r="A2200" s="4">
        <v>2199</v>
      </c>
      <c r="B2200" s="8" t="str">
        <f ca="1">IFERROR(__xludf.DUMMYFUNCTION("""COMPUTED_VALUE"""),"19950927ALBLP")</f>
        <v>19950927ALBLP</v>
      </c>
      <c r="C2200" s="8" t="str">
        <f ca="1">IFERROR(__xludf.DUMMYFUNCTION("""COMPUTED_VALUE"""),"Wounded")</f>
        <v>Wounded</v>
      </c>
      <c r="D2200" s="8" t="str">
        <f ca="1">IFERROR(__xludf.DUMMYFUNCTION("""COMPUTED_VALUE"""),"Male")</f>
        <v>Male</v>
      </c>
      <c r="E2200" s="8" t="str">
        <f ca="1">IFERROR(__xludf.DUMMYFUNCTION("""COMPUTED_VALUE"""),"Student")</f>
        <v>Student</v>
      </c>
      <c r="F2200" s="8">
        <f ca="1">IFERROR(__xludf.DUMMYFUNCTION("""COMPUTED_VALUE"""),18)</f>
        <v>18</v>
      </c>
    </row>
    <row r="2201" spans="1:6" ht="12.75">
      <c r="A2201" s="4">
        <v>2200</v>
      </c>
      <c r="B2201" s="8" t="str">
        <f ca="1">IFERROR(__xludf.DUMMYFUNCTION("""COMPUTED_VALUE"""),"19950915KYGEW")</f>
        <v>19950915KYGEW</v>
      </c>
      <c r="C2201" s="8" t="str">
        <f ca="1">IFERROR(__xludf.DUMMYFUNCTION("""COMPUTED_VALUE"""),"None")</f>
        <v>None</v>
      </c>
      <c r="D2201" s="8"/>
      <c r="E2201" s="8" t="str">
        <f ca="1">IFERROR(__xludf.DUMMYFUNCTION("""COMPUTED_VALUE"""),"Student")</f>
        <v>Student</v>
      </c>
      <c r="F2201" s="8" t="str">
        <f ca="1">IFERROR(__xludf.DUMMYFUNCTION("""COMPUTED_VALUE"""),"Teen")</f>
        <v>Teen</v>
      </c>
    </row>
    <row r="2202" spans="1:6" ht="12.75">
      <c r="A2202" s="4">
        <v>2201</v>
      </c>
      <c r="B2202" s="8" t="str">
        <f ca="1">IFERROR(__xludf.DUMMYFUNCTION("""COMPUTED_VALUE"""),"19950914KSOLO")</f>
        <v>19950914KSOLO</v>
      </c>
      <c r="C2202" s="8" t="str">
        <f ca="1">IFERROR(__xludf.DUMMYFUNCTION("""COMPUTED_VALUE"""),"Wounded")</f>
        <v>Wounded</v>
      </c>
      <c r="D2202" s="8" t="str">
        <f ca="1">IFERROR(__xludf.DUMMYFUNCTION("""COMPUTED_VALUE"""),"Male")</f>
        <v>Male</v>
      </c>
      <c r="E2202" s="8" t="str">
        <f ca="1">IFERROR(__xludf.DUMMYFUNCTION("""COMPUTED_VALUE"""),"Student")</f>
        <v>Student</v>
      </c>
      <c r="F2202" s="8" t="str">
        <f ca="1">IFERROR(__xludf.DUMMYFUNCTION("""COMPUTED_VALUE"""),"Teen")</f>
        <v>Teen</v>
      </c>
    </row>
    <row r="2203" spans="1:6" ht="12.75">
      <c r="A2203" s="4">
        <v>2202</v>
      </c>
      <c r="B2203" s="8" t="str">
        <f ca="1">IFERROR(__xludf.DUMMYFUNCTION("""COMPUTED_VALUE"""),"19950914KSOLO")</f>
        <v>19950914KSOLO</v>
      </c>
      <c r="C2203" s="8" t="str">
        <f ca="1">IFERROR(__xludf.DUMMYFUNCTION("""COMPUTED_VALUE"""),"Fatal")</f>
        <v>Fatal</v>
      </c>
      <c r="D2203" s="8" t="str">
        <f ca="1">IFERROR(__xludf.DUMMYFUNCTION("""COMPUTED_VALUE"""),"Male")</f>
        <v>Male</v>
      </c>
      <c r="E2203" s="8" t="str">
        <f ca="1">IFERROR(__xludf.DUMMYFUNCTION("""COMPUTED_VALUE"""),"Student")</f>
        <v>Student</v>
      </c>
      <c r="F2203" s="8" t="str">
        <f ca="1">IFERROR(__xludf.DUMMYFUNCTION("""COMPUTED_VALUE"""),"Teen")</f>
        <v>Teen</v>
      </c>
    </row>
    <row r="2204" spans="1:6" ht="12.75">
      <c r="A2204" s="4">
        <v>2203</v>
      </c>
      <c r="B2204" s="8" t="str">
        <f ca="1">IFERROR(__xludf.DUMMYFUNCTION("""COMPUTED_VALUE"""),"19950914KSOLO")</f>
        <v>19950914KSOLO</v>
      </c>
      <c r="C2204" s="8" t="str">
        <f ca="1">IFERROR(__xludf.DUMMYFUNCTION("""COMPUTED_VALUE"""),"Fatal")</f>
        <v>Fatal</v>
      </c>
      <c r="D2204" s="8" t="str">
        <f ca="1">IFERROR(__xludf.DUMMYFUNCTION("""COMPUTED_VALUE"""),"Male")</f>
        <v>Male</v>
      </c>
      <c r="E2204" s="8" t="str">
        <f ca="1">IFERROR(__xludf.DUMMYFUNCTION("""COMPUTED_VALUE"""),"Former Student")</f>
        <v>Former Student</v>
      </c>
      <c r="F2204" s="8" t="str">
        <f ca="1">IFERROR(__xludf.DUMMYFUNCTION("""COMPUTED_VALUE"""),"Teen")</f>
        <v>Teen</v>
      </c>
    </row>
    <row r="2205" spans="1:6" ht="12.75">
      <c r="A2205" s="4">
        <v>2204</v>
      </c>
      <c r="B2205" s="8" t="str">
        <f ca="1">IFERROR(__xludf.DUMMYFUNCTION("""COMPUTED_VALUE"""),"19950914KSOLO")</f>
        <v>19950914KSOLO</v>
      </c>
      <c r="C2205" s="8" t="str">
        <f ca="1">IFERROR(__xludf.DUMMYFUNCTION("""COMPUTED_VALUE"""),"Wounded")</f>
        <v>Wounded</v>
      </c>
      <c r="D2205" s="8" t="str">
        <f ca="1">IFERROR(__xludf.DUMMYFUNCTION("""COMPUTED_VALUE"""),"Male")</f>
        <v>Male</v>
      </c>
      <c r="E2205" s="8" t="str">
        <f ca="1">IFERROR(__xludf.DUMMYFUNCTION("""COMPUTED_VALUE"""),"Student")</f>
        <v>Student</v>
      </c>
      <c r="F2205" s="8" t="str">
        <f ca="1">IFERROR(__xludf.DUMMYFUNCTION("""COMPUTED_VALUE"""),"Teen")</f>
        <v>Teen</v>
      </c>
    </row>
    <row r="2206" spans="1:6" ht="12.75">
      <c r="A2206" s="4">
        <v>2205</v>
      </c>
      <c r="B2206" s="8" t="str">
        <f ca="1">IFERROR(__xludf.DUMMYFUNCTION("""COMPUTED_VALUE"""),"19950914KSOLO")</f>
        <v>19950914KSOLO</v>
      </c>
      <c r="C2206" s="8" t="str">
        <f ca="1">IFERROR(__xludf.DUMMYFUNCTION("""COMPUTED_VALUE"""),"Wounded")</f>
        <v>Wounded</v>
      </c>
      <c r="D2206" s="8" t="str">
        <f ca="1">IFERROR(__xludf.DUMMYFUNCTION("""COMPUTED_VALUE"""),"Male")</f>
        <v>Male</v>
      </c>
      <c r="E2206" s="8" t="str">
        <f ca="1">IFERROR(__xludf.DUMMYFUNCTION("""COMPUTED_VALUE"""),"Student")</f>
        <v>Student</v>
      </c>
      <c r="F2206" s="8" t="str">
        <f ca="1">IFERROR(__xludf.DUMMYFUNCTION("""COMPUTED_VALUE"""),"Teen")</f>
        <v>Teen</v>
      </c>
    </row>
    <row r="2207" spans="1:6" ht="12.75">
      <c r="A2207" s="4">
        <v>2206</v>
      </c>
      <c r="B2207" s="8" t="str">
        <f ca="1">IFERROR(__xludf.DUMMYFUNCTION("""COMPUTED_VALUE"""),"19950914KSOLO")</f>
        <v>19950914KSOLO</v>
      </c>
      <c r="C2207" s="8" t="str">
        <f ca="1">IFERROR(__xludf.DUMMYFUNCTION("""COMPUTED_VALUE"""),"Wounded")</f>
        <v>Wounded</v>
      </c>
      <c r="D2207" s="8" t="str">
        <f ca="1">IFERROR(__xludf.DUMMYFUNCTION("""COMPUTED_VALUE"""),"Male")</f>
        <v>Male</v>
      </c>
      <c r="E2207" s="8" t="str">
        <f ca="1">IFERROR(__xludf.DUMMYFUNCTION("""COMPUTED_VALUE"""),"Student")</f>
        <v>Student</v>
      </c>
      <c r="F2207" s="8" t="str">
        <f ca="1">IFERROR(__xludf.DUMMYFUNCTION("""COMPUTED_VALUE"""),"Teen")</f>
        <v>Teen</v>
      </c>
    </row>
    <row r="2208" spans="1:6" ht="12.75">
      <c r="A2208" s="4">
        <v>2207</v>
      </c>
      <c r="B2208" s="8" t="str">
        <f ca="1">IFERROR(__xludf.DUMMYFUNCTION("""COMPUTED_VALUE"""),"19950912TNCYM")</f>
        <v>19950912TNCYM</v>
      </c>
      <c r="C2208" s="8" t="str">
        <f ca="1">IFERROR(__xludf.DUMMYFUNCTION("""COMPUTED_VALUE"""),"Fatal")</f>
        <v>Fatal</v>
      </c>
      <c r="D2208" s="8" t="str">
        <f ca="1">IFERROR(__xludf.DUMMYFUNCTION("""COMPUTED_VALUE"""),"Male")</f>
        <v>Male</v>
      </c>
      <c r="E2208" s="8" t="str">
        <f ca="1">IFERROR(__xludf.DUMMYFUNCTION("""COMPUTED_VALUE"""),"Student")</f>
        <v>Student</v>
      </c>
      <c r="F2208" s="8">
        <f ca="1">IFERROR(__xludf.DUMMYFUNCTION("""COMPUTED_VALUE"""),15)</f>
        <v>15</v>
      </c>
    </row>
    <row r="2209" spans="1:6" ht="12.75">
      <c r="A2209" s="4">
        <v>2208</v>
      </c>
      <c r="B2209" s="8" t="str">
        <f ca="1">IFERROR(__xludf.DUMMYFUNCTION("""COMPUTED_VALUE"""),"19950829TXMEL")</f>
        <v>19950829TXMEL</v>
      </c>
      <c r="C2209" s="8" t="str">
        <f ca="1">IFERROR(__xludf.DUMMYFUNCTION("""COMPUTED_VALUE"""),"Fatal")</f>
        <v>Fatal</v>
      </c>
      <c r="D2209" s="8" t="str">
        <f ca="1">IFERROR(__xludf.DUMMYFUNCTION("""COMPUTED_VALUE"""),"Female")</f>
        <v>Female</v>
      </c>
      <c r="E2209" s="8" t="str">
        <f ca="1">IFERROR(__xludf.DUMMYFUNCTION("""COMPUTED_VALUE"""),"Student")</f>
        <v>Student</v>
      </c>
      <c r="F2209" s="8">
        <f ca="1">IFERROR(__xludf.DUMMYFUNCTION("""COMPUTED_VALUE"""),12)</f>
        <v>12</v>
      </c>
    </row>
    <row r="2210" spans="1:6" ht="12.75">
      <c r="A2210" s="4">
        <v>2209</v>
      </c>
      <c r="B2210" s="8" t="str">
        <f ca="1">IFERROR(__xludf.DUMMYFUNCTION("""COMPUTED_VALUE"""),"19950614FLLAL")</f>
        <v>19950614FLLAL</v>
      </c>
      <c r="C2210" s="8" t="str">
        <f ca="1">IFERROR(__xludf.DUMMYFUNCTION("""COMPUTED_VALUE"""),"Wounded")</f>
        <v>Wounded</v>
      </c>
      <c r="D2210" s="8" t="str">
        <f ca="1">IFERROR(__xludf.DUMMYFUNCTION("""COMPUTED_VALUE"""),"Male")</f>
        <v>Male</v>
      </c>
      <c r="E2210" s="8" t="str">
        <f ca="1">IFERROR(__xludf.DUMMYFUNCTION("""COMPUTED_VALUE"""),"Former Student")</f>
        <v>Former Student</v>
      </c>
      <c r="F2210" s="8" t="str">
        <f ca="1">IFERROR(__xludf.DUMMYFUNCTION("""COMPUTED_VALUE"""),"Teen")</f>
        <v>Teen</v>
      </c>
    </row>
    <row r="2211" spans="1:6" ht="12.75">
      <c r="A2211" s="4">
        <v>2210</v>
      </c>
      <c r="B2211" s="8" t="str">
        <f ca="1">IFERROR(__xludf.DUMMYFUNCTION("""COMPUTED_VALUE"""),"19950614FLLAL")</f>
        <v>19950614FLLAL</v>
      </c>
      <c r="C2211" s="8" t="str">
        <f ca="1">IFERROR(__xludf.DUMMYFUNCTION("""COMPUTED_VALUE"""),"Wounded")</f>
        <v>Wounded</v>
      </c>
      <c r="D2211" s="8" t="str">
        <f ca="1">IFERROR(__xludf.DUMMYFUNCTION("""COMPUTED_VALUE"""),"Female")</f>
        <v>Female</v>
      </c>
      <c r="E2211" s="8" t="str">
        <f ca="1">IFERROR(__xludf.DUMMYFUNCTION("""COMPUTED_VALUE"""),"Student")</f>
        <v>Student</v>
      </c>
      <c r="F2211" s="8" t="str">
        <f ca="1">IFERROR(__xludf.DUMMYFUNCTION("""COMPUTED_VALUE"""),"Teen")</f>
        <v>Teen</v>
      </c>
    </row>
    <row r="2212" spans="1:6" ht="12.75">
      <c r="A2212" s="4">
        <v>2211</v>
      </c>
      <c r="B2212" s="8" t="str">
        <f ca="1">IFERROR(__xludf.DUMMYFUNCTION("""COMPUTED_VALUE"""),"19950327MIRED")</f>
        <v>19950327MIRED</v>
      </c>
      <c r="C2212" s="8" t="str">
        <f ca="1">IFERROR(__xludf.DUMMYFUNCTION("""COMPUTED_VALUE"""),"Wounded")</f>
        <v>Wounded</v>
      </c>
      <c r="D2212" s="8" t="str">
        <f ca="1">IFERROR(__xludf.DUMMYFUNCTION("""COMPUTED_VALUE"""),"Female")</f>
        <v>Female</v>
      </c>
      <c r="E2212" s="8" t="str">
        <f ca="1">IFERROR(__xludf.DUMMYFUNCTION("""COMPUTED_VALUE"""),"Student")</f>
        <v>Student</v>
      </c>
      <c r="F2212" s="8">
        <f ca="1">IFERROR(__xludf.DUMMYFUNCTION("""COMPUTED_VALUE"""),15)</f>
        <v>15</v>
      </c>
    </row>
    <row r="2213" spans="1:6" ht="12.75">
      <c r="A2213" s="4">
        <v>2212</v>
      </c>
      <c r="B2213" s="8" t="str">
        <f ca="1">IFERROR(__xludf.DUMMYFUNCTION("""COMPUTED_VALUE"""),"19950303MIPED")</f>
        <v>19950303MIPED</v>
      </c>
      <c r="C2213" s="8" t="str">
        <f ca="1">IFERROR(__xludf.DUMMYFUNCTION("""COMPUTED_VALUE"""),"Wounded")</f>
        <v>Wounded</v>
      </c>
      <c r="D2213" s="8" t="str">
        <f ca="1">IFERROR(__xludf.DUMMYFUNCTION("""COMPUTED_VALUE"""),"Male")</f>
        <v>Male</v>
      </c>
      <c r="E2213" s="8" t="str">
        <f ca="1">IFERROR(__xludf.DUMMYFUNCTION("""COMPUTED_VALUE"""),"Student")</f>
        <v>Student</v>
      </c>
      <c r="F2213" s="8">
        <f ca="1">IFERROR(__xludf.DUMMYFUNCTION("""COMPUTED_VALUE"""),16)</f>
        <v>16</v>
      </c>
    </row>
    <row r="2214" spans="1:6" ht="12.75">
      <c r="A2214" s="4">
        <v>2213</v>
      </c>
      <c r="B2214" s="8" t="str">
        <f ca="1">IFERROR(__xludf.DUMMYFUNCTION("""COMPUTED_VALUE"""),"19950208NECHS")</f>
        <v>19950208NECHS</v>
      </c>
      <c r="C2214" s="8" t="str">
        <f ca="1">IFERROR(__xludf.DUMMYFUNCTION("""COMPUTED_VALUE"""),"Wounded")</f>
        <v>Wounded</v>
      </c>
      <c r="D2214" s="8" t="str">
        <f ca="1">IFERROR(__xludf.DUMMYFUNCTION("""COMPUTED_VALUE"""),"Male")</f>
        <v>Male</v>
      </c>
      <c r="E2214" s="8" t="str">
        <f ca="1">IFERROR(__xludf.DUMMYFUNCTION("""COMPUTED_VALUE"""),"Teacher")</f>
        <v>Teacher</v>
      </c>
      <c r="F2214" s="8">
        <f ca="1">IFERROR(__xludf.DUMMYFUNCTION("""COMPUTED_VALUE"""),35)</f>
        <v>35</v>
      </c>
    </row>
    <row r="2215" spans="1:6" ht="12.75">
      <c r="A2215" s="4">
        <v>2214</v>
      </c>
      <c r="B2215" s="8" t="str">
        <f ca="1">IFERROR(__xludf.DUMMYFUNCTION("""COMPUTED_VALUE"""),"19950202CAJOL")</f>
        <v>19950202CAJOL</v>
      </c>
      <c r="C2215" s="8" t="str">
        <f ca="1">IFERROR(__xludf.DUMMYFUNCTION("""COMPUTED_VALUE"""),"Fatal")</f>
        <v>Fatal</v>
      </c>
      <c r="D2215" s="8" t="str">
        <f ca="1">IFERROR(__xludf.DUMMYFUNCTION("""COMPUTED_VALUE"""),"Male")</f>
        <v>Male</v>
      </c>
      <c r="E2215" s="8" t="str">
        <f ca="1">IFERROR(__xludf.DUMMYFUNCTION("""COMPUTED_VALUE"""),"Student")</f>
        <v>Student</v>
      </c>
      <c r="F2215" s="8" t="str">
        <f ca="1">IFERROR(__xludf.DUMMYFUNCTION("""COMPUTED_VALUE"""),"Teen")</f>
        <v>Teen</v>
      </c>
    </row>
    <row r="2216" spans="1:6" ht="12.75">
      <c r="A2216" s="4">
        <v>2215</v>
      </c>
      <c r="B2216" s="8" t="str">
        <f ca="1">IFERROR(__xludf.DUMMYFUNCTION("""COMPUTED_VALUE"""),"19950202CAJOL")</f>
        <v>19950202CAJOL</v>
      </c>
      <c r="C2216" s="8" t="str">
        <f ca="1">IFERROR(__xludf.DUMMYFUNCTION("""COMPUTED_VALUE"""),"Wounded")</f>
        <v>Wounded</v>
      </c>
      <c r="D2216" s="8" t="str">
        <f ca="1">IFERROR(__xludf.DUMMYFUNCTION("""COMPUTED_VALUE"""),"Male")</f>
        <v>Male</v>
      </c>
      <c r="E2216" s="8" t="str">
        <f ca="1">IFERROR(__xludf.DUMMYFUNCTION("""COMPUTED_VALUE"""),"Student")</f>
        <v>Student</v>
      </c>
      <c r="F2216" s="8" t="str">
        <f ca="1">IFERROR(__xludf.DUMMYFUNCTION("""COMPUTED_VALUE"""),"Teen")</f>
        <v>Teen</v>
      </c>
    </row>
    <row r="2217" spans="1:6" ht="12.75">
      <c r="A2217" s="4">
        <v>2216</v>
      </c>
      <c r="B2217" s="8" t="str">
        <f ca="1">IFERROR(__xludf.DUMMYFUNCTION("""COMPUTED_VALUE"""),"19950124DCSPW")</f>
        <v>19950124DCSPW</v>
      </c>
      <c r="C2217" s="8" t="str">
        <f ca="1">IFERROR(__xludf.DUMMYFUNCTION("""COMPUTED_VALUE"""),"Wounded")</f>
        <v>Wounded</v>
      </c>
      <c r="D2217" s="8" t="str">
        <f ca="1">IFERROR(__xludf.DUMMYFUNCTION("""COMPUTED_VALUE"""),"Male")</f>
        <v>Male</v>
      </c>
      <c r="E2217" s="8" t="str">
        <f ca="1">IFERROR(__xludf.DUMMYFUNCTION("""COMPUTED_VALUE"""),"Student")</f>
        <v>Student</v>
      </c>
      <c r="F2217" s="8">
        <f ca="1">IFERROR(__xludf.DUMMYFUNCTION("""COMPUTED_VALUE"""),16)</f>
        <v>16</v>
      </c>
    </row>
    <row r="2218" spans="1:6" ht="12.75">
      <c r="A2218" s="4">
        <v>2217</v>
      </c>
      <c r="B2218" s="8" t="str">
        <f ca="1">IFERROR(__xludf.DUMMYFUNCTION("""COMPUTED_VALUE"""),"19950123CASAR")</f>
        <v>19950123CASAR</v>
      </c>
      <c r="C2218" s="8" t="str">
        <f ca="1">IFERROR(__xludf.DUMMYFUNCTION("""COMPUTED_VALUE"""),"Fatal")</f>
        <v>Fatal</v>
      </c>
      <c r="D2218" s="8" t="str">
        <f ca="1">IFERROR(__xludf.DUMMYFUNCTION("""COMPUTED_VALUE"""),"Male")</f>
        <v>Male</v>
      </c>
      <c r="E2218" s="8" t="str">
        <f ca="1">IFERROR(__xludf.DUMMYFUNCTION("""COMPUTED_VALUE"""),"Principal/Vice-Principal")</f>
        <v>Principal/Vice-Principal</v>
      </c>
      <c r="F2218" s="8" t="str">
        <f ca="1">IFERROR(__xludf.DUMMYFUNCTION("""COMPUTED_VALUE"""),"Adult")</f>
        <v>Adult</v>
      </c>
    </row>
    <row r="2219" spans="1:6" ht="12.75">
      <c r="A2219" s="4">
        <v>2218</v>
      </c>
      <c r="B2219" s="8" t="str">
        <f ca="1">IFERROR(__xludf.DUMMYFUNCTION("""COMPUTED_VALUE"""),"19950112WAGAS")</f>
        <v>19950112WAGAS</v>
      </c>
      <c r="C2219" s="8" t="str">
        <f ca="1">IFERROR(__xludf.DUMMYFUNCTION("""COMPUTED_VALUE"""),"Wounded")</f>
        <v>Wounded</v>
      </c>
      <c r="D2219" s="8" t="str">
        <f ca="1">IFERROR(__xludf.DUMMYFUNCTION("""COMPUTED_VALUE"""),"Male")</f>
        <v>Male</v>
      </c>
      <c r="E2219" s="8" t="str">
        <f ca="1">IFERROR(__xludf.DUMMYFUNCTION("""COMPUTED_VALUE"""),"Student")</f>
        <v>Student</v>
      </c>
      <c r="F2219" s="8" t="str">
        <f ca="1">IFERROR(__xludf.DUMMYFUNCTION("""COMPUTED_VALUE"""),"Teen")</f>
        <v>Teen</v>
      </c>
    </row>
    <row r="2220" spans="1:6" ht="12.75">
      <c r="A2220" s="4">
        <v>2219</v>
      </c>
      <c r="B2220" s="8" t="str">
        <f ca="1">IFERROR(__xludf.DUMMYFUNCTION("""COMPUTED_VALUE"""),"19950112WAGAS")</f>
        <v>19950112WAGAS</v>
      </c>
      <c r="C2220" s="8" t="str">
        <f ca="1">IFERROR(__xludf.DUMMYFUNCTION("""COMPUTED_VALUE"""),"Wounded")</f>
        <v>Wounded</v>
      </c>
      <c r="D2220" s="8" t="str">
        <f ca="1">IFERROR(__xludf.DUMMYFUNCTION("""COMPUTED_VALUE"""),"Female")</f>
        <v>Female</v>
      </c>
      <c r="E2220" s="8" t="str">
        <f ca="1">IFERROR(__xludf.DUMMYFUNCTION("""COMPUTED_VALUE"""),"Student")</f>
        <v>Student</v>
      </c>
      <c r="F2220" s="8" t="str">
        <f ca="1">IFERROR(__xludf.DUMMYFUNCTION("""COMPUTED_VALUE"""),"Teen")</f>
        <v>Teen</v>
      </c>
    </row>
    <row r="2221" spans="1:6" ht="12.75">
      <c r="A2221" s="4">
        <v>2220</v>
      </c>
      <c r="B2221" s="8" t="str">
        <f ca="1">IFERROR(__xludf.DUMMYFUNCTION("""COMPUTED_VALUE"""),"19950110FLPAP")</f>
        <v>19950110FLPAP</v>
      </c>
      <c r="C2221" s="8" t="str">
        <f ca="1">IFERROR(__xludf.DUMMYFUNCTION("""COMPUTED_VALUE"""),"None")</f>
        <v>None</v>
      </c>
      <c r="D2221" s="8" t="str">
        <f ca="1">IFERROR(__xludf.DUMMYFUNCTION("""COMPUTED_VALUE"""),"Male")</f>
        <v>Male</v>
      </c>
      <c r="E2221" s="8" t="str">
        <f ca="1">IFERROR(__xludf.DUMMYFUNCTION("""COMPUTED_VALUE"""),"Student")</f>
        <v>Student</v>
      </c>
      <c r="F2221" s="8" t="str">
        <f ca="1">IFERROR(__xludf.DUMMYFUNCTION("""COMPUTED_VALUE"""),"Teen")</f>
        <v>Teen</v>
      </c>
    </row>
    <row r="2222" spans="1:6" ht="12.75">
      <c r="A2222" s="4">
        <v>2221</v>
      </c>
      <c r="B2222" s="8" t="str">
        <f ca="1">IFERROR(__xludf.DUMMYFUNCTION("""COMPUTED_VALUE"""),"19950105DCCAW")</f>
        <v>19950105DCCAW</v>
      </c>
      <c r="C2222" s="8" t="str">
        <f ca="1">IFERROR(__xludf.DUMMYFUNCTION("""COMPUTED_VALUE"""),"Fatal")</f>
        <v>Fatal</v>
      </c>
      <c r="D2222" s="8" t="str">
        <f ca="1">IFERROR(__xludf.DUMMYFUNCTION("""COMPUTED_VALUE"""),"Male")</f>
        <v>Male</v>
      </c>
      <c r="E2222" s="8" t="str">
        <f ca="1">IFERROR(__xludf.DUMMYFUNCTION("""COMPUTED_VALUE"""),"Student")</f>
        <v>Student</v>
      </c>
      <c r="F2222" s="8" t="str">
        <f ca="1">IFERROR(__xludf.DUMMYFUNCTION("""COMPUTED_VALUE"""),"Teen")</f>
        <v>Teen</v>
      </c>
    </row>
    <row r="2223" spans="1:6" ht="12.75">
      <c r="A2223" s="4">
        <v>2222</v>
      </c>
      <c r="B2223" s="8" t="str">
        <f ca="1">IFERROR(__xludf.DUMMYFUNCTION("""COMPUTED_VALUE"""),"19941207FLPAM")</f>
        <v>19941207FLPAM</v>
      </c>
      <c r="C2223" s="8" t="str">
        <f ca="1">IFERROR(__xludf.DUMMYFUNCTION("""COMPUTED_VALUE"""),"None")</f>
        <v>None</v>
      </c>
      <c r="D2223" s="8" t="str">
        <f ca="1">IFERROR(__xludf.DUMMYFUNCTION("""COMPUTED_VALUE"""),"Female")</f>
        <v>Female</v>
      </c>
      <c r="E2223" s="8" t="str">
        <f ca="1">IFERROR(__xludf.DUMMYFUNCTION("""COMPUTED_VALUE"""),"Student")</f>
        <v>Student</v>
      </c>
      <c r="F2223" s="8" t="str">
        <f ca="1">IFERROR(__xludf.DUMMYFUNCTION("""COMPUTED_VALUE"""),"Teen")</f>
        <v>Teen</v>
      </c>
    </row>
    <row r="2224" spans="1:6" ht="12.75">
      <c r="A2224" s="4">
        <v>2223</v>
      </c>
      <c r="B2224" s="8" t="str">
        <f ca="1">IFERROR(__xludf.DUMMYFUNCTION("""COMPUTED_VALUE"""),"19941115WASTT")</f>
        <v>19941115WASTT</v>
      </c>
      <c r="C2224" s="8" t="str">
        <f ca="1">IFERROR(__xludf.DUMMYFUNCTION("""COMPUTED_VALUE"""),"None")</f>
        <v>None</v>
      </c>
      <c r="D2224" s="8" t="str">
        <f ca="1">IFERROR(__xludf.DUMMYFUNCTION("""COMPUTED_VALUE"""),"Male")</f>
        <v>Male</v>
      </c>
      <c r="E2224" s="8" t="str">
        <f ca="1">IFERROR(__xludf.DUMMYFUNCTION("""COMPUTED_VALUE"""),"Student")</f>
        <v>Student</v>
      </c>
      <c r="F2224" s="8" t="str">
        <f ca="1">IFERROR(__xludf.DUMMYFUNCTION("""COMPUTED_VALUE"""),"Teen")</f>
        <v>Teen</v>
      </c>
    </row>
    <row r="2225" spans="1:6" ht="12.75">
      <c r="A2225" s="4">
        <v>2224</v>
      </c>
      <c r="B2225" s="8" t="str">
        <f ca="1">IFERROR(__xludf.DUMMYFUNCTION("""COMPUTED_VALUE"""),"19941108IAWEM")</f>
        <v>19941108IAWEM</v>
      </c>
      <c r="C2225" s="8" t="str">
        <f ca="1">IFERROR(__xludf.DUMMYFUNCTION("""COMPUTED_VALUE"""),"Wounded")</f>
        <v>Wounded</v>
      </c>
      <c r="D2225" s="8" t="str">
        <f ca="1">IFERROR(__xludf.DUMMYFUNCTION("""COMPUTED_VALUE"""),"Female")</f>
        <v>Female</v>
      </c>
      <c r="E2225" s="8" t="str">
        <f ca="1">IFERROR(__xludf.DUMMYFUNCTION("""COMPUTED_VALUE"""),"Other Staff")</f>
        <v>Other Staff</v>
      </c>
      <c r="F2225" s="8" t="str">
        <f ca="1">IFERROR(__xludf.DUMMYFUNCTION("""COMPUTED_VALUE"""),"Adult")</f>
        <v>Adult</v>
      </c>
    </row>
    <row r="2226" spans="1:6" ht="12.75">
      <c r="A2226" s="4">
        <v>2225</v>
      </c>
      <c r="B2226" s="8" t="str">
        <f ca="1">IFERROR(__xludf.DUMMYFUNCTION("""COMPUTED_VALUE"""),"19941107OHWIW")</f>
        <v>19941107OHWIW</v>
      </c>
      <c r="C2226" s="8" t="str">
        <f ca="1">IFERROR(__xludf.DUMMYFUNCTION("""COMPUTED_VALUE"""),"Wounded")</f>
        <v>Wounded</v>
      </c>
      <c r="D2226" s="8" t="str">
        <f ca="1">IFERROR(__xludf.DUMMYFUNCTION("""COMPUTED_VALUE"""),"Male")</f>
        <v>Male</v>
      </c>
      <c r="E2226" s="8" t="str">
        <f ca="1">IFERROR(__xludf.DUMMYFUNCTION("""COMPUTED_VALUE"""),"Teacher")</f>
        <v>Teacher</v>
      </c>
      <c r="F2226" s="8" t="str">
        <f ca="1">IFERROR(__xludf.DUMMYFUNCTION("""COMPUTED_VALUE"""),"Adult")</f>
        <v>Adult</v>
      </c>
    </row>
    <row r="2227" spans="1:6" ht="12.75">
      <c r="A2227" s="4">
        <v>2226</v>
      </c>
      <c r="B2227" s="8" t="str">
        <f ca="1">IFERROR(__xludf.DUMMYFUNCTION("""COMPUTED_VALUE"""),"19941107OHWIW")</f>
        <v>19941107OHWIW</v>
      </c>
      <c r="C2227" s="8" t="str">
        <f ca="1">IFERROR(__xludf.DUMMYFUNCTION("""COMPUTED_VALUE"""),"Wounded")</f>
        <v>Wounded</v>
      </c>
      <c r="D2227" s="8" t="str">
        <f ca="1">IFERROR(__xludf.DUMMYFUNCTION("""COMPUTED_VALUE"""),"Male")</f>
        <v>Male</v>
      </c>
      <c r="E2227" s="8" t="str">
        <f ca="1">IFERROR(__xludf.DUMMYFUNCTION("""COMPUTED_VALUE"""),"Police Officer/SRO")</f>
        <v>Police Officer/SRO</v>
      </c>
      <c r="F2227" s="8" t="str">
        <f ca="1">IFERROR(__xludf.DUMMYFUNCTION("""COMPUTED_VALUE"""),"Adult")</f>
        <v>Adult</v>
      </c>
    </row>
    <row r="2228" spans="1:6" ht="12.75">
      <c r="A2228" s="4">
        <v>2227</v>
      </c>
      <c r="B2228" s="8" t="str">
        <f ca="1">IFERROR(__xludf.DUMMYFUNCTION("""COMPUTED_VALUE"""),"19941107OHWIW")</f>
        <v>19941107OHWIW</v>
      </c>
      <c r="C2228" s="8" t="str">
        <f ca="1">IFERROR(__xludf.DUMMYFUNCTION("""COMPUTED_VALUE"""),"Fatal")</f>
        <v>Fatal</v>
      </c>
      <c r="D2228" s="8" t="str">
        <f ca="1">IFERROR(__xludf.DUMMYFUNCTION("""COMPUTED_VALUE"""),"Male")</f>
        <v>Male</v>
      </c>
      <c r="E2228" s="8" t="str">
        <f ca="1">IFERROR(__xludf.DUMMYFUNCTION("""COMPUTED_VALUE"""),"Other Staff")</f>
        <v>Other Staff</v>
      </c>
      <c r="F2228" s="8" t="str">
        <f ca="1">IFERROR(__xludf.DUMMYFUNCTION("""COMPUTED_VALUE"""),"Adult")</f>
        <v>Adult</v>
      </c>
    </row>
    <row r="2229" spans="1:6" ht="12.75">
      <c r="A2229" s="4">
        <v>2228</v>
      </c>
      <c r="B2229" s="8" t="str">
        <f ca="1">IFERROR(__xludf.DUMMYFUNCTION("""COMPUTED_VALUE"""),"19941107OHWIW")</f>
        <v>19941107OHWIW</v>
      </c>
      <c r="C2229" s="8" t="str">
        <f ca="1">IFERROR(__xludf.DUMMYFUNCTION("""COMPUTED_VALUE"""),"Wounded")</f>
        <v>Wounded</v>
      </c>
      <c r="D2229" s="8" t="str">
        <f ca="1">IFERROR(__xludf.DUMMYFUNCTION("""COMPUTED_VALUE"""),"Male")</f>
        <v>Male</v>
      </c>
      <c r="E2229" s="8" t="str">
        <f ca="1">IFERROR(__xludf.DUMMYFUNCTION("""COMPUTED_VALUE"""),"Principal/Vice-Principal")</f>
        <v>Principal/Vice-Principal</v>
      </c>
      <c r="F2229" s="8" t="str">
        <f ca="1">IFERROR(__xludf.DUMMYFUNCTION("""COMPUTED_VALUE"""),"Adult")</f>
        <v>Adult</v>
      </c>
    </row>
    <row r="2230" spans="1:6" ht="12.75">
      <c r="A2230" s="4">
        <v>2229</v>
      </c>
      <c r="B2230" s="8" t="str">
        <f ca="1">IFERROR(__xludf.DUMMYFUNCTION("""COMPUTED_VALUE"""),"19941107OHWIW")</f>
        <v>19941107OHWIW</v>
      </c>
      <c r="C2230" s="8" t="str">
        <f ca="1">IFERROR(__xludf.DUMMYFUNCTION("""COMPUTED_VALUE"""),"Wounded")</f>
        <v>Wounded</v>
      </c>
      <c r="D2230" s="8" t="str">
        <f ca="1">IFERROR(__xludf.DUMMYFUNCTION("""COMPUTED_VALUE"""),"Male")</f>
        <v>Male</v>
      </c>
      <c r="E2230" s="8" t="str">
        <f ca="1">IFERROR(__xludf.DUMMYFUNCTION("""COMPUTED_VALUE"""),"Teacher")</f>
        <v>Teacher</v>
      </c>
      <c r="F2230" s="8" t="str">
        <f ca="1">IFERROR(__xludf.DUMMYFUNCTION("""COMPUTED_VALUE"""),"Adult")</f>
        <v>Adult</v>
      </c>
    </row>
    <row r="2231" spans="1:6" ht="12.75">
      <c r="A2231" s="4">
        <v>2230</v>
      </c>
      <c r="B2231" s="8" t="str">
        <f ca="1">IFERROR(__xludf.DUMMYFUNCTION("""COMPUTED_VALUE"""),"19941105CATHS")</f>
        <v>19941105CATHS</v>
      </c>
      <c r="C2231" s="8" t="str">
        <f ca="1">IFERROR(__xludf.DUMMYFUNCTION("""COMPUTED_VALUE"""),"Fatal")</f>
        <v>Fatal</v>
      </c>
      <c r="D2231" s="8" t="str">
        <f ca="1">IFERROR(__xludf.DUMMYFUNCTION("""COMPUTED_VALUE"""),"Female")</f>
        <v>Female</v>
      </c>
      <c r="E2231" s="8" t="str">
        <f ca="1">IFERROR(__xludf.DUMMYFUNCTION("""COMPUTED_VALUE"""),"No Relation")</f>
        <v>No Relation</v>
      </c>
      <c r="F2231" s="8" t="str">
        <f ca="1">IFERROR(__xludf.DUMMYFUNCTION("""COMPUTED_VALUE"""),"Teen")</f>
        <v>Teen</v>
      </c>
    </row>
    <row r="2232" spans="1:6" ht="12.75">
      <c r="A2232" s="4">
        <v>2231</v>
      </c>
      <c r="B2232" s="8" t="str">
        <f ca="1">IFERROR(__xludf.DUMMYFUNCTION("""COMPUTED_VALUE"""),"19941031CAALA")</f>
        <v>19941031CAALA</v>
      </c>
      <c r="C2232" s="8" t="str">
        <f ca="1">IFERROR(__xludf.DUMMYFUNCTION("""COMPUTED_VALUE"""),"None")</f>
        <v>None</v>
      </c>
      <c r="D2232" s="8" t="str">
        <f ca="1">IFERROR(__xludf.DUMMYFUNCTION("""COMPUTED_VALUE"""),"Male")</f>
        <v>Male</v>
      </c>
      <c r="E2232" s="8" t="str">
        <f ca="1">IFERROR(__xludf.DUMMYFUNCTION("""COMPUTED_VALUE"""),"Student")</f>
        <v>Student</v>
      </c>
      <c r="F2232" s="8" t="str">
        <f ca="1">IFERROR(__xludf.DUMMYFUNCTION("""COMPUTED_VALUE"""),"Teen")</f>
        <v>Teen</v>
      </c>
    </row>
    <row r="2233" spans="1:6" ht="12.75">
      <c r="A2233" s="4">
        <v>2232</v>
      </c>
      <c r="B2233" s="8" t="str">
        <f ca="1">IFERROR(__xludf.DUMMYFUNCTION("""COMPUTED_VALUE"""),"19941017ILHUC")</f>
        <v>19941017ILHUC</v>
      </c>
      <c r="C2233" s="8" t="str">
        <f ca="1">IFERROR(__xludf.DUMMYFUNCTION("""COMPUTED_VALUE"""),"Wounded")</f>
        <v>Wounded</v>
      </c>
      <c r="D2233" s="8" t="str">
        <f ca="1">IFERROR(__xludf.DUMMYFUNCTION("""COMPUTED_VALUE"""),"Female")</f>
        <v>Female</v>
      </c>
      <c r="E2233" s="8" t="str">
        <f ca="1">IFERROR(__xludf.DUMMYFUNCTION("""COMPUTED_VALUE"""),"Student")</f>
        <v>Student</v>
      </c>
      <c r="F2233" s="8">
        <f ca="1">IFERROR(__xludf.DUMMYFUNCTION("""COMPUTED_VALUE"""),16)</f>
        <v>16</v>
      </c>
    </row>
    <row r="2234" spans="1:6" ht="12.75">
      <c r="A2234" s="4">
        <v>2233</v>
      </c>
      <c r="B2234" s="8" t="str">
        <f ca="1">IFERROR(__xludf.DUMMYFUNCTION("""COMPUTED_VALUE"""),"19941012NCGRG")</f>
        <v>19941012NCGRG</v>
      </c>
      <c r="C2234" s="8" t="str">
        <f ca="1">IFERROR(__xludf.DUMMYFUNCTION("""COMPUTED_VALUE"""),"Wounded")</f>
        <v>Wounded</v>
      </c>
      <c r="D2234" s="8" t="str">
        <f ca="1">IFERROR(__xludf.DUMMYFUNCTION("""COMPUTED_VALUE"""),"Male")</f>
        <v>Male</v>
      </c>
      <c r="E2234" s="8" t="str">
        <f ca="1">IFERROR(__xludf.DUMMYFUNCTION("""COMPUTED_VALUE"""),"Principal/Vice-Principal")</f>
        <v>Principal/Vice-Principal</v>
      </c>
      <c r="F2234" s="8" t="str">
        <f ca="1">IFERROR(__xludf.DUMMYFUNCTION("""COMPUTED_VALUE"""),"Adult")</f>
        <v>Adult</v>
      </c>
    </row>
    <row r="2235" spans="1:6" ht="12.75">
      <c r="A2235" s="4">
        <v>2234</v>
      </c>
      <c r="B2235" s="8" t="str">
        <f ca="1">IFERROR(__xludf.DUMMYFUNCTION("""COMPUTED_VALUE"""),"19940922ORLEL")</f>
        <v>19940922ORLEL</v>
      </c>
      <c r="C2235" s="8" t="str">
        <f ca="1">IFERROR(__xludf.DUMMYFUNCTION("""COMPUTED_VALUE"""),"Wounded")</f>
        <v>Wounded</v>
      </c>
      <c r="D2235" s="8" t="str">
        <f ca="1">IFERROR(__xludf.DUMMYFUNCTION("""COMPUTED_VALUE"""),"Male")</f>
        <v>Male</v>
      </c>
      <c r="E2235" s="8" t="str">
        <f ca="1">IFERROR(__xludf.DUMMYFUNCTION("""COMPUTED_VALUE"""),"Student")</f>
        <v>Student</v>
      </c>
      <c r="F2235" s="8">
        <f ca="1">IFERROR(__xludf.DUMMYFUNCTION("""COMPUTED_VALUE"""),15)</f>
        <v>15</v>
      </c>
    </row>
    <row r="2236" spans="1:6" ht="12.75">
      <c r="A2236" s="4">
        <v>2235</v>
      </c>
      <c r="B2236" s="8" t="str">
        <f ca="1">IFERROR(__xludf.DUMMYFUNCTION("""COMPUTED_VALUE"""),"19940919CALOL")</f>
        <v>19940919CALOL</v>
      </c>
      <c r="C2236" s="8" t="str">
        <f ca="1">IFERROR(__xludf.DUMMYFUNCTION("""COMPUTED_VALUE"""),"Wounded")</f>
        <v>Wounded</v>
      </c>
      <c r="D2236" s="8" t="str">
        <f ca="1">IFERROR(__xludf.DUMMYFUNCTION("""COMPUTED_VALUE"""),"Female")</f>
        <v>Female</v>
      </c>
      <c r="E2236" s="8" t="str">
        <f ca="1">IFERROR(__xludf.DUMMYFUNCTION("""COMPUTED_VALUE"""),"Student")</f>
        <v>Student</v>
      </c>
      <c r="F2236" s="8">
        <f ca="1">IFERROR(__xludf.DUMMYFUNCTION("""COMPUTED_VALUE"""),16)</f>
        <v>16</v>
      </c>
    </row>
    <row r="2237" spans="1:6" ht="12.75">
      <c r="A2237" s="4">
        <v>2236</v>
      </c>
      <c r="B2237" s="8" t="str">
        <f ca="1">IFERROR(__xludf.DUMMYFUNCTION("""COMPUTED_VALUE"""),"19940919CALOL")</f>
        <v>19940919CALOL</v>
      </c>
      <c r="C2237" s="8" t="str">
        <f ca="1">IFERROR(__xludf.DUMMYFUNCTION("""COMPUTED_VALUE"""),"Wounded")</f>
        <v>Wounded</v>
      </c>
      <c r="D2237" s="8" t="str">
        <f ca="1">IFERROR(__xludf.DUMMYFUNCTION("""COMPUTED_VALUE"""),"Male")</f>
        <v>Male</v>
      </c>
      <c r="E2237" s="8" t="str">
        <f ca="1">IFERROR(__xludf.DUMMYFUNCTION("""COMPUTED_VALUE"""),"Student")</f>
        <v>Student</v>
      </c>
      <c r="F2237" s="8">
        <f ca="1">IFERROR(__xludf.DUMMYFUNCTION("""COMPUTED_VALUE"""),16)</f>
        <v>16</v>
      </c>
    </row>
    <row r="2238" spans="1:6" ht="12.75">
      <c r="A2238" s="4">
        <v>2237</v>
      </c>
      <c r="B2238" s="8" t="str">
        <f ca="1">IFERROR(__xludf.DUMMYFUNCTION("""COMPUTED_VALUE"""),"19940919CALOL")</f>
        <v>19940919CALOL</v>
      </c>
      <c r="C2238" s="8" t="str">
        <f ca="1">IFERROR(__xludf.DUMMYFUNCTION("""COMPUTED_VALUE"""),"Wounded")</f>
        <v>Wounded</v>
      </c>
      <c r="D2238" s="8" t="str">
        <f ca="1">IFERROR(__xludf.DUMMYFUNCTION("""COMPUTED_VALUE"""),"Male")</f>
        <v>Male</v>
      </c>
      <c r="E2238" s="8" t="str">
        <f ca="1">IFERROR(__xludf.DUMMYFUNCTION("""COMPUTED_VALUE"""),"Student")</f>
        <v>Student</v>
      </c>
      <c r="F2238" s="8">
        <f ca="1">IFERROR(__xludf.DUMMYFUNCTION("""COMPUTED_VALUE"""),16)</f>
        <v>16</v>
      </c>
    </row>
    <row r="2239" spans="1:6" ht="12.75">
      <c r="A2239" s="4">
        <v>2238</v>
      </c>
      <c r="B2239" s="8" t="str">
        <f ca="1">IFERROR(__xludf.DUMMYFUNCTION("""COMPUTED_VALUE"""),"19940908NYSWA")</f>
        <v>19940908NYSWA</v>
      </c>
      <c r="C2239" s="8" t="str">
        <f ca="1">IFERROR(__xludf.DUMMYFUNCTION("""COMPUTED_VALUE"""),"Wounded")</f>
        <v>Wounded</v>
      </c>
      <c r="D2239" s="8" t="str">
        <f ca="1">IFERROR(__xludf.DUMMYFUNCTION("""COMPUTED_VALUE"""),"Male")</f>
        <v>Male</v>
      </c>
      <c r="E2239" s="8" t="str">
        <f ca="1">IFERROR(__xludf.DUMMYFUNCTION("""COMPUTED_VALUE"""),"Student")</f>
        <v>Student</v>
      </c>
      <c r="F2239" s="8">
        <f ca="1">IFERROR(__xludf.DUMMYFUNCTION("""COMPUTED_VALUE"""),16)</f>
        <v>16</v>
      </c>
    </row>
    <row r="2240" spans="1:6" ht="12.75">
      <c r="A2240" s="4">
        <v>2239</v>
      </c>
      <c r="B2240" s="8" t="str">
        <f ca="1">IFERROR(__xludf.DUMMYFUNCTION("""COMPUTED_VALUE"""),"19940907CAHOL")</f>
        <v>19940907CAHOL</v>
      </c>
      <c r="C2240" s="8" t="str">
        <f ca="1">IFERROR(__xludf.DUMMYFUNCTION("""COMPUTED_VALUE"""),"Fatal")</f>
        <v>Fatal</v>
      </c>
      <c r="D2240" s="8" t="str">
        <f ca="1">IFERROR(__xludf.DUMMYFUNCTION("""COMPUTED_VALUE"""),"Male")</f>
        <v>Male</v>
      </c>
      <c r="E2240" s="8" t="str">
        <f ca="1">IFERROR(__xludf.DUMMYFUNCTION("""COMPUTED_VALUE"""),"Student")</f>
        <v>Student</v>
      </c>
      <c r="F2240" s="8">
        <f ca="1">IFERROR(__xludf.DUMMYFUNCTION("""COMPUTED_VALUE"""),17)</f>
        <v>17</v>
      </c>
    </row>
    <row r="2241" spans="1:6" ht="12.75">
      <c r="A2241" s="4">
        <v>2240</v>
      </c>
      <c r="B2241" s="8" t="str">
        <f ca="1">IFERROR(__xludf.DUMMYFUNCTION("""COMPUTED_VALUE"""),"19940725IAOTO")</f>
        <v>19940725IAOTO</v>
      </c>
      <c r="C2241" s="8" t="str">
        <f ca="1">IFERROR(__xludf.DUMMYFUNCTION("""COMPUTED_VALUE"""),"Fatal")</f>
        <v>Fatal</v>
      </c>
      <c r="D2241" s="8" t="str">
        <f ca="1">IFERROR(__xludf.DUMMYFUNCTION("""COMPUTED_VALUE"""),"Male")</f>
        <v>Male</v>
      </c>
      <c r="E2241" s="8" t="str">
        <f ca="1">IFERROR(__xludf.DUMMYFUNCTION("""COMPUTED_VALUE"""),"Student")</f>
        <v>Student</v>
      </c>
      <c r="F2241" s="8">
        <f ca="1">IFERROR(__xludf.DUMMYFUNCTION("""COMPUTED_VALUE"""),15)</f>
        <v>15</v>
      </c>
    </row>
    <row r="2242" spans="1:6" ht="12.75">
      <c r="A2242" s="4">
        <v>2241</v>
      </c>
      <c r="B2242" s="8" t="str">
        <f ca="1">IFERROR(__xludf.DUMMYFUNCTION("""COMPUTED_VALUE"""),"19940724PAMAM")</f>
        <v>19940724PAMAM</v>
      </c>
      <c r="C2242" s="8" t="str">
        <f ca="1">IFERROR(__xludf.DUMMYFUNCTION("""COMPUTED_VALUE"""),"Fatal")</f>
        <v>Fatal</v>
      </c>
      <c r="D2242" s="8" t="str">
        <f ca="1">IFERROR(__xludf.DUMMYFUNCTION("""COMPUTED_VALUE"""),"Male")</f>
        <v>Male</v>
      </c>
      <c r="E2242" s="8" t="str">
        <f ca="1">IFERROR(__xludf.DUMMYFUNCTION("""COMPUTED_VALUE"""),"No Relation")</f>
        <v>No Relation</v>
      </c>
      <c r="F2242" s="8">
        <f ca="1">IFERROR(__xludf.DUMMYFUNCTION("""COMPUTED_VALUE"""),23)</f>
        <v>23</v>
      </c>
    </row>
    <row r="2243" spans="1:6" ht="12.75">
      <c r="A2243" s="4">
        <v>2242</v>
      </c>
      <c r="B2243" s="8" t="str">
        <f ca="1">IFERROR(__xludf.DUMMYFUNCTION("""COMPUTED_VALUE"""),"19940526KYLAU")</f>
        <v>19940526KYLAU</v>
      </c>
      <c r="C2243" s="8" t="str">
        <f ca="1">IFERROR(__xludf.DUMMYFUNCTION("""COMPUTED_VALUE"""),"None")</f>
        <v>None</v>
      </c>
      <c r="D2243" s="8"/>
      <c r="E2243" s="8"/>
      <c r="F2243" s="8"/>
    </row>
    <row r="2244" spans="1:6" ht="12.75">
      <c r="A2244" s="4">
        <v>2243</v>
      </c>
      <c r="B2244" s="8" t="str">
        <f ca="1">IFERROR(__xludf.DUMMYFUNCTION("""COMPUTED_VALUE"""),"19940525NJLAW")</f>
        <v>19940525NJLAW</v>
      </c>
      <c r="C2244" s="8" t="str">
        <f ca="1">IFERROR(__xludf.DUMMYFUNCTION("""COMPUTED_VALUE"""),"None")</f>
        <v>None</v>
      </c>
      <c r="D2244" s="8" t="str">
        <f ca="1">IFERROR(__xludf.DUMMYFUNCTION("""COMPUTED_VALUE"""),"Female")</f>
        <v>Female</v>
      </c>
      <c r="E2244" s="8" t="str">
        <f ca="1">IFERROR(__xludf.DUMMYFUNCTION("""COMPUTED_VALUE"""),"Student")</f>
        <v>Student</v>
      </c>
      <c r="F2244" s="8">
        <f ca="1">IFERROR(__xludf.DUMMYFUNCTION("""COMPUTED_VALUE"""),17)</f>
        <v>17</v>
      </c>
    </row>
    <row r="2245" spans="1:6" ht="12.75">
      <c r="A2245" s="4">
        <v>2244</v>
      </c>
      <c r="B2245" s="8" t="str">
        <f ca="1">IFERROR(__xludf.DUMMYFUNCTION("""COMPUTED_VALUE"""),"19940525INLAS")</f>
        <v>19940525INLAS</v>
      </c>
      <c r="C2245" s="8" t="str">
        <f ca="1">IFERROR(__xludf.DUMMYFUNCTION("""COMPUTED_VALUE"""),"Wounded")</f>
        <v>Wounded</v>
      </c>
      <c r="D2245" s="8" t="str">
        <f ca="1">IFERROR(__xludf.DUMMYFUNCTION("""COMPUTED_VALUE"""),"Male")</f>
        <v>Male</v>
      </c>
      <c r="E2245" s="8" t="str">
        <f ca="1">IFERROR(__xludf.DUMMYFUNCTION("""COMPUTED_VALUE"""),"Student")</f>
        <v>Student</v>
      </c>
      <c r="F2245" s="8">
        <f ca="1">IFERROR(__xludf.DUMMYFUNCTION("""COMPUTED_VALUE"""),15)</f>
        <v>15</v>
      </c>
    </row>
    <row r="2246" spans="1:6" ht="12.75">
      <c r="A2246" s="4">
        <v>2245</v>
      </c>
      <c r="B2246" s="8" t="str">
        <f ca="1">IFERROR(__xludf.DUMMYFUNCTION("""COMPUTED_VALUE"""),"19940502FLNON")</f>
        <v>19940502FLNON</v>
      </c>
      <c r="C2246" s="8" t="str">
        <f ca="1">IFERROR(__xludf.DUMMYFUNCTION("""COMPUTED_VALUE"""),"Fatal")</f>
        <v>Fatal</v>
      </c>
      <c r="D2246" s="8" t="str">
        <f ca="1">IFERROR(__xludf.DUMMYFUNCTION("""COMPUTED_VALUE"""),"Female")</f>
        <v>Female</v>
      </c>
      <c r="E2246" s="8" t="str">
        <f ca="1">IFERROR(__xludf.DUMMYFUNCTION("""COMPUTED_VALUE"""),"Student")</f>
        <v>Student</v>
      </c>
      <c r="F2246" s="8">
        <f ca="1">IFERROR(__xludf.DUMMYFUNCTION("""COMPUTED_VALUE"""),18)</f>
        <v>18</v>
      </c>
    </row>
    <row r="2247" spans="1:6" ht="12.75">
      <c r="A2247" s="4">
        <v>2246</v>
      </c>
      <c r="B2247" s="8" t="str">
        <f ca="1">IFERROR(__xludf.DUMMYFUNCTION("""COMPUTED_VALUE"""),"19940421TNJTN")</f>
        <v>19940421TNJTN</v>
      </c>
      <c r="C2247" s="8" t="str">
        <f ca="1">IFERROR(__xludf.DUMMYFUNCTION("""COMPUTED_VALUE"""),"Fatal")</f>
        <v>Fatal</v>
      </c>
      <c r="D2247" s="8" t="str">
        <f ca="1">IFERROR(__xludf.DUMMYFUNCTION("""COMPUTED_VALUE"""),"Male")</f>
        <v>Male</v>
      </c>
      <c r="E2247" s="8" t="str">
        <f ca="1">IFERROR(__xludf.DUMMYFUNCTION("""COMPUTED_VALUE"""),"Student")</f>
        <v>Student</v>
      </c>
      <c r="F2247" s="8">
        <f ca="1">IFERROR(__xludf.DUMMYFUNCTION("""COMPUTED_VALUE"""),13)</f>
        <v>13</v>
      </c>
    </row>
    <row r="2248" spans="1:6" ht="12.75">
      <c r="A2248" s="4">
        <v>2247</v>
      </c>
      <c r="B2248" s="8" t="str">
        <f ca="1">IFERROR(__xludf.DUMMYFUNCTION("""COMPUTED_VALUE"""),"19940420INDIS")</f>
        <v>19940420INDIS</v>
      </c>
      <c r="C2248" s="8" t="str">
        <f ca="1">IFERROR(__xludf.DUMMYFUNCTION("""COMPUTED_VALUE"""),"Wounded")</f>
        <v>Wounded</v>
      </c>
      <c r="D2248" s="8" t="str">
        <f ca="1">IFERROR(__xludf.DUMMYFUNCTION("""COMPUTED_VALUE"""),"Male")</f>
        <v>Male</v>
      </c>
      <c r="E2248" s="8" t="str">
        <f ca="1">IFERROR(__xludf.DUMMYFUNCTION("""COMPUTED_VALUE"""),"Student")</f>
        <v>Student</v>
      </c>
      <c r="F2248" s="8">
        <f ca="1">IFERROR(__xludf.DUMMYFUNCTION("""COMPUTED_VALUE"""),14)</f>
        <v>14</v>
      </c>
    </row>
    <row r="2249" spans="1:6" ht="12.75">
      <c r="A2249" s="4">
        <v>2248</v>
      </c>
      <c r="B2249" s="8" t="str">
        <f ca="1">IFERROR(__xludf.DUMMYFUNCTION("""COMPUTED_VALUE"""),"19940419DCELW")</f>
        <v>19940419DCELW</v>
      </c>
      <c r="C2249" s="8" t="str">
        <f ca="1">IFERROR(__xludf.DUMMYFUNCTION("""COMPUTED_VALUE"""),"Fatal")</f>
        <v>Fatal</v>
      </c>
      <c r="D2249" s="8" t="str">
        <f ca="1">IFERROR(__xludf.DUMMYFUNCTION("""COMPUTED_VALUE"""),"Male")</f>
        <v>Male</v>
      </c>
      <c r="E2249" s="8" t="str">
        <f ca="1">IFERROR(__xludf.DUMMYFUNCTION("""COMPUTED_VALUE"""),"No Relation")</f>
        <v>No Relation</v>
      </c>
      <c r="F2249" s="8">
        <f ca="1">IFERROR(__xludf.DUMMYFUNCTION("""COMPUTED_VALUE"""),21)</f>
        <v>21</v>
      </c>
    </row>
    <row r="2250" spans="1:6" ht="12.75">
      <c r="A2250" s="4">
        <v>2249</v>
      </c>
      <c r="B2250" s="8" t="str">
        <f ca="1">IFERROR(__xludf.DUMMYFUNCTION("""COMPUTED_VALUE"""),"19940413CA49L")</f>
        <v>19940413CA49L</v>
      </c>
      <c r="C2250" s="8" t="str">
        <f ca="1">IFERROR(__xludf.DUMMYFUNCTION("""COMPUTED_VALUE"""),"None")</f>
        <v>None</v>
      </c>
      <c r="D2250" s="8" t="str">
        <f ca="1">IFERROR(__xludf.DUMMYFUNCTION("""COMPUTED_VALUE"""),"Male")</f>
        <v>Male</v>
      </c>
      <c r="E2250" s="8" t="str">
        <f ca="1">IFERROR(__xludf.DUMMYFUNCTION("""COMPUTED_VALUE"""),"Student")</f>
        <v>Student</v>
      </c>
      <c r="F2250" s="8">
        <f ca="1">IFERROR(__xludf.DUMMYFUNCTION("""COMPUTED_VALUE"""),10)</f>
        <v>10</v>
      </c>
    </row>
    <row r="2251" spans="1:6" ht="12.75">
      <c r="A2251" s="4">
        <v>2250</v>
      </c>
      <c r="B2251" s="8" t="str">
        <f ca="1">IFERROR(__xludf.DUMMYFUNCTION("""COMPUTED_VALUE"""),"19940412MTMAB")</f>
        <v>19940412MTMAB</v>
      </c>
      <c r="C2251" s="8" t="str">
        <f ca="1">IFERROR(__xludf.DUMMYFUNCTION("""COMPUTED_VALUE"""),"Fatal")</f>
        <v>Fatal</v>
      </c>
      <c r="D2251" s="8" t="str">
        <f ca="1">IFERROR(__xludf.DUMMYFUNCTION("""COMPUTED_VALUE"""),"Male")</f>
        <v>Male</v>
      </c>
      <c r="E2251" s="8" t="str">
        <f ca="1">IFERROR(__xludf.DUMMYFUNCTION("""COMPUTED_VALUE"""),"Student")</f>
        <v>Student</v>
      </c>
      <c r="F2251" s="8">
        <f ca="1">IFERROR(__xludf.DUMMYFUNCTION("""COMPUTED_VALUE"""),11)</f>
        <v>11</v>
      </c>
    </row>
    <row r="2252" spans="1:6" ht="12.75">
      <c r="A2252" s="4">
        <v>2251</v>
      </c>
      <c r="B2252" s="8" t="str">
        <f ca="1">IFERROR(__xludf.DUMMYFUNCTION("""COMPUTED_VALUE"""),"19940408MDLAU")</f>
        <v>19940408MDLAU</v>
      </c>
      <c r="C2252" s="8" t="str">
        <f ca="1">IFERROR(__xludf.DUMMYFUNCTION("""COMPUTED_VALUE"""),"Wounded")</f>
        <v>Wounded</v>
      </c>
      <c r="D2252" s="8" t="str">
        <f ca="1">IFERROR(__xludf.DUMMYFUNCTION("""COMPUTED_VALUE"""),"Male")</f>
        <v>Male</v>
      </c>
      <c r="E2252" s="8" t="str">
        <f ca="1">IFERROR(__xludf.DUMMYFUNCTION("""COMPUTED_VALUE"""),"Teacher")</f>
        <v>Teacher</v>
      </c>
      <c r="F2252" s="8">
        <f ca="1">IFERROR(__xludf.DUMMYFUNCTION("""COMPUTED_VALUE"""),45)</f>
        <v>45</v>
      </c>
    </row>
    <row r="2253" spans="1:6" ht="12.75">
      <c r="A2253" s="4">
        <v>2252</v>
      </c>
      <c r="B2253" s="8" t="str">
        <f ca="1">IFERROR(__xludf.DUMMYFUNCTION("""COMPUTED_VALUE"""),"19940405TXMCA")</f>
        <v>19940405TXMCA</v>
      </c>
      <c r="C2253" s="8" t="str">
        <f ca="1">IFERROR(__xludf.DUMMYFUNCTION("""COMPUTED_VALUE"""),"Wounded")</f>
        <v>Wounded</v>
      </c>
      <c r="D2253" s="8" t="str">
        <f ca="1">IFERROR(__xludf.DUMMYFUNCTION("""COMPUTED_VALUE"""),"Female")</f>
        <v>Female</v>
      </c>
      <c r="E2253" s="8" t="str">
        <f ca="1">IFERROR(__xludf.DUMMYFUNCTION("""COMPUTED_VALUE"""),"Student")</f>
        <v>Student</v>
      </c>
      <c r="F2253" s="8">
        <f ca="1">IFERROR(__xludf.DUMMYFUNCTION("""COMPUTED_VALUE"""),18)</f>
        <v>18</v>
      </c>
    </row>
    <row r="2254" spans="1:6" ht="12.75">
      <c r="A2254" s="4">
        <v>2253</v>
      </c>
      <c r="B2254" s="8" t="str">
        <f ca="1">IFERROR(__xludf.DUMMYFUNCTION("""COMPUTED_VALUE"""),"19940405TXMCA")</f>
        <v>19940405TXMCA</v>
      </c>
      <c r="C2254" s="8" t="str">
        <f ca="1">IFERROR(__xludf.DUMMYFUNCTION("""COMPUTED_VALUE"""),"Wounded")</f>
        <v>Wounded</v>
      </c>
      <c r="D2254" s="8" t="str">
        <f ca="1">IFERROR(__xludf.DUMMYFUNCTION("""COMPUTED_VALUE"""),"Female")</f>
        <v>Female</v>
      </c>
      <c r="E2254" s="8" t="str">
        <f ca="1">IFERROR(__xludf.DUMMYFUNCTION("""COMPUTED_VALUE"""),"Student")</f>
        <v>Student</v>
      </c>
      <c r="F2254" s="8">
        <f ca="1">IFERROR(__xludf.DUMMYFUNCTION("""COMPUTED_VALUE"""),17)</f>
        <v>17</v>
      </c>
    </row>
    <row r="2255" spans="1:6" ht="12.75">
      <c r="A2255" s="4">
        <v>2254</v>
      </c>
      <c r="B2255" s="8" t="str">
        <f ca="1">IFERROR(__xludf.DUMMYFUNCTION("""COMPUTED_VALUE"""),"19940325GAETC")</f>
        <v>19940325GAETC</v>
      </c>
      <c r="C2255" s="8" t="str">
        <f ca="1">IFERROR(__xludf.DUMMYFUNCTION("""COMPUTED_VALUE"""),"None")</f>
        <v>None</v>
      </c>
      <c r="D2255" s="8" t="str">
        <f ca="1">IFERROR(__xludf.DUMMYFUNCTION("""COMPUTED_VALUE"""),"Male")</f>
        <v>Male</v>
      </c>
      <c r="E2255" s="8" t="str">
        <f ca="1">IFERROR(__xludf.DUMMYFUNCTION("""COMPUTED_VALUE"""),"Student")</f>
        <v>Student</v>
      </c>
      <c r="F2255" s="8">
        <f ca="1">IFERROR(__xludf.DUMMYFUNCTION("""COMPUTED_VALUE"""),15)</f>
        <v>15</v>
      </c>
    </row>
    <row r="2256" spans="1:6" ht="12.75">
      <c r="A2256" s="4">
        <v>2255</v>
      </c>
      <c r="B2256" s="8" t="str">
        <f ca="1">IFERROR(__xludf.DUMMYFUNCTION("""COMPUTED_VALUE"""),"19940323WABAS")</f>
        <v>19940323WABAS</v>
      </c>
      <c r="C2256" s="8" t="str">
        <f ca="1">IFERROR(__xludf.DUMMYFUNCTION("""COMPUTED_VALUE"""),"Fatal")</f>
        <v>Fatal</v>
      </c>
      <c r="D2256" s="8" t="str">
        <f ca="1">IFERROR(__xludf.DUMMYFUNCTION("""COMPUTED_VALUE"""),"Male")</f>
        <v>Male</v>
      </c>
      <c r="E2256" s="8" t="str">
        <f ca="1">IFERROR(__xludf.DUMMYFUNCTION("""COMPUTED_VALUE"""),"Student")</f>
        <v>Student</v>
      </c>
      <c r="F2256" s="8">
        <f ca="1">IFERROR(__xludf.DUMMYFUNCTION("""COMPUTED_VALUE"""),16)</f>
        <v>16</v>
      </c>
    </row>
    <row r="2257" spans="1:6" ht="12.75">
      <c r="A2257" s="4">
        <v>2256</v>
      </c>
      <c r="B2257" s="8" t="str">
        <f ca="1">IFERROR(__xludf.DUMMYFUNCTION("""COMPUTED_VALUE"""),"19940323WABAS")</f>
        <v>19940323WABAS</v>
      </c>
      <c r="C2257" s="8" t="str">
        <f ca="1">IFERROR(__xludf.DUMMYFUNCTION("""COMPUTED_VALUE"""),"Wounded")</f>
        <v>Wounded</v>
      </c>
      <c r="D2257" s="8" t="str">
        <f ca="1">IFERROR(__xludf.DUMMYFUNCTION("""COMPUTED_VALUE"""),"Female")</f>
        <v>Female</v>
      </c>
      <c r="E2257" s="8" t="str">
        <f ca="1">IFERROR(__xludf.DUMMYFUNCTION("""COMPUTED_VALUE"""),"Student")</f>
        <v>Student</v>
      </c>
      <c r="F2257" s="8" t="str">
        <f ca="1">IFERROR(__xludf.DUMMYFUNCTION("""COMPUTED_VALUE"""),"Teen")</f>
        <v>Teen</v>
      </c>
    </row>
    <row r="2258" spans="1:6" ht="12.75">
      <c r="A2258" s="4">
        <v>2257</v>
      </c>
      <c r="B2258" s="8" t="str">
        <f ca="1">IFERROR(__xludf.DUMMYFUNCTION("""COMPUTED_VALUE"""),"19940315SCGOC")</f>
        <v>19940315SCGOC</v>
      </c>
      <c r="C2258" s="8" t="str">
        <f ca="1">IFERROR(__xludf.DUMMYFUNCTION("""COMPUTED_VALUE"""),"Fatal")</f>
        <v>Fatal</v>
      </c>
      <c r="D2258" s="8" t="str">
        <f ca="1">IFERROR(__xludf.DUMMYFUNCTION("""COMPUTED_VALUE"""),"Male")</f>
        <v>Male</v>
      </c>
      <c r="E2258" s="8" t="str">
        <f ca="1">IFERROR(__xludf.DUMMYFUNCTION("""COMPUTED_VALUE"""),"Student")</f>
        <v>Student</v>
      </c>
      <c r="F2258" s="8">
        <f ca="1">IFERROR(__xludf.DUMMYFUNCTION("""COMPUTED_VALUE"""),18)</f>
        <v>18</v>
      </c>
    </row>
    <row r="2259" spans="1:6" ht="12.75">
      <c r="A2259" s="4">
        <v>2258</v>
      </c>
      <c r="B2259" s="8" t="str">
        <f ca="1">IFERROR(__xludf.DUMMYFUNCTION("""COMPUTED_VALUE"""),"19940309DCEAW")</f>
        <v>19940309DCEAW</v>
      </c>
      <c r="C2259" s="8" t="str">
        <f ca="1">IFERROR(__xludf.DUMMYFUNCTION("""COMPUTED_VALUE"""),"Fatal")</f>
        <v>Fatal</v>
      </c>
      <c r="D2259" s="8" t="str">
        <f ca="1">IFERROR(__xludf.DUMMYFUNCTION("""COMPUTED_VALUE"""),"Male")</f>
        <v>Male</v>
      </c>
      <c r="E2259" s="8" t="str">
        <f ca="1">IFERROR(__xludf.DUMMYFUNCTION("""COMPUTED_VALUE"""),"Student")</f>
        <v>Student</v>
      </c>
      <c r="F2259" s="8">
        <f ca="1">IFERROR(__xludf.DUMMYFUNCTION("""COMPUTED_VALUE"""),17)</f>
        <v>17</v>
      </c>
    </row>
    <row r="2260" spans="1:6" ht="12.75">
      <c r="A2260" s="4">
        <v>2259</v>
      </c>
      <c r="B2260" s="8" t="str">
        <f ca="1">IFERROR(__xludf.DUMMYFUNCTION("""COMPUTED_VALUE"""),"19940303ALENB")</f>
        <v>19940303ALENB</v>
      </c>
      <c r="C2260" s="8" t="str">
        <f ca="1">IFERROR(__xludf.DUMMYFUNCTION("""COMPUTED_VALUE"""),"Wounded")</f>
        <v>Wounded</v>
      </c>
      <c r="D2260" s="8" t="str">
        <f ca="1">IFERROR(__xludf.DUMMYFUNCTION("""COMPUTED_VALUE"""),"Male")</f>
        <v>Male</v>
      </c>
      <c r="E2260" s="8" t="str">
        <f ca="1">IFERROR(__xludf.DUMMYFUNCTION("""COMPUTED_VALUE"""),"Student")</f>
        <v>Student</v>
      </c>
      <c r="F2260" s="8">
        <f ca="1">IFERROR(__xludf.DUMMYFUNCTION("""COMPUTED_VALUE"""),15)</f>
        <v>15</v>
      </c>
    </row>
    <row r="2261" spans="1:6" ht="12.75">
      <c r="A2261" s="4">
        <v>2260</v>
      </c>
      <c r="B2261" s="8" t="str">
        <f ca="1">IFERROR(__xludf.DUMMYFUNCTION("""COMPUTED_VALUE"""),"19940301MOKEB")</f>
        <v>19940301MOKEB</v>
      </c>
      <c r="C2261" s="8" t="str">
        <f ca="1">IFERROR(__xludf.DUMMYFUNCTION("""COMPUTED_VALUE"""),"Fatal")</f>
        <v>Fatal</v>
      </c>
      <c r="D2261" s="8" t="str">
        <f ca="1">IFERROR(__xludf.DUMMYFUNCTION("""COMPUTED_VALUE"""),"Male")</f>
        <v>Male</v>
      </c>
      <c r="E2261" s="8" t="str">
        <f ca="1">IFERROR(__xludf.DUMMYFUNCTION("""COMPUTED_VALUE"""),"Other Staff")</f>
        <v>Other Staff</v>
      </c>
      <c r="F2261" s="8">
        <f ca="1">IFERROR(__xludf.DUMMYFUNCTION("""COMPUTED_VALUE"""),58)</f>
        <v>58</v>
      </c>
    </row>
    <row r="2262" spans="1:6" ht="12.75">
      <c r="A2262" s="4">
        <v>2261</v>
      </c>
      <c r="B2262" s="8" t="str">
        <f ca="1">IFERROR(__xludf.DUMMYFUNCTION("""COMPUTED_VALUE"""),"19940301MOKEB")</f>
        <v>19940301MOKEB</v>
      </c>
      <c r="C2262" s="8" t="str">
        <f ca="1">IFERROR(__xludf.DUMMYFUNCTION("""COMPUTED_VALUE"""),"Fatal")</f>
        <v>Fatal</v>
      </c>
      <c r="D2262" s="8" t="str">
        <f ca="1">IFERROR(__xludf.DUMMYFUNCTION("""COMPUTED_VALUE"""),"Male")</f>
        <v>Male</v>
      </c>
      <c r="E2262" s="8" t="str">
        <f ca="1">IFERROR(__xludf.DUMMYFUNCTION("""COMPUTED_VALUE"""),"Other Staff")</f>
        <v>Other Staff</v>
      </c>
      <c r="F2262" s="8">
        <f ca="1">IFERROR(__xludf.DUMMYFUNCTION("""COMPUTED_VALUE"""),33)</f>
        <v>33</v>
      </c>
    </row>
    <row r="2263" spans="1:6" ht="12.75">
      <c r="A2263" s="4">
        <v>2262</v>
      </c>
      <c r="B2263" s="8" t="str">
        <f ca="1">IFERROR(__xludf.DUMMYFUNCTION("""COMPUTED_VALUE"""),"19940218SCSPS")</f>
        <v>19940218SCSPS</v>
      </c>
      <c r="C2263" s="8" t="str">
        <f ca="1">IFERROR(__xludf.DUMMYFUNCTION("""COMPUTED_VALUE"""),"Wounded")</f>
        <v>Wounded</v>
      </c>
      <c r="D2263" s="8" t="str">
        <f ca="1">IFERROR(__xludf.DUMMYFUNCTION("""COMPUTED_VALUE"""),"Male")</f>
        <v>Male</v>
      </c>
      <c r="E2263" s="8" t="str">
        <f ca="1">IFERROR(__xludf.DUMMYFUNCTION("""COMPUTED_VALUE"""),"No Relation")</f>
        <v>No Relation</v>
      </c>
      <c r="F2263" s="8">
        <f ca="1">IFERROR(__xludf.DUMMYFUNCTION("""COMPUTED_VALUE"""),24)</f>
        <v>24</v>
      </c>
    </row>
    <row r="2264" spans="1:6" ht="12.75">
      <c r="A2264" s="4">
        <v>2263</v>
      </c>
      <c r="B2264" s="8" t="str">
        <f ca="1">IFERROR(__xludf.DUMMYFUNCTION("""COMPUTED_VALUE"""),"19940208MIOSD")</f>
        <v>19940208MIOSD</v>
      </c>
      <c r="C2264" s="8" t="str">
        <f ca="1">IFERROR(__xludf.DUMMYFUNCTION("""COMPUTED_VALUE"""),"Fatal")</f>
        <v>Fatal</v>
      </c>
      <c r="D2264" s="8" t="str">
        <f ca="1">IFERROR(__xludf.DUMMYFUNCTION("""COMPUTED_VALUE"""),"Male")</f>
        <v>Male</v>
      </c>
      <c r="E2264" s="8" t="str">
        <f ca="1">IFERROR(__xludf.DUMMYFUNCTION("""COMPUTED_VALUE"""),"Student")</f>
        <v>Student</v>
      </c>
      <c r="F2264" s="8">
        <f ca="1">IFERROR(__xludf.DUMMYFUNCTION("""COMPUTED_VALUE"""),19)</f>
        <v>19</v>
      </c>
    </row>
    <row r="2265" spans="1:6" ht="12.75">
      <c r="A2265" s="4">
        <v>2264</v>
      </c>
      <c r="B2265" s="8" t="str">
        <f ca="1">IFERROR(__xludf.DUMMYFUNCTION("""COMPUTED_VALUE"""),"19940131WAWHS")</f>
        <v>19940131WAWHS</v>
      </c>
      <c r="C2265" s="8" t="str">
        <f ca="1">IFERROR(__xludf.DUMMYFUNCTION("""COMPUTED_VALUE"""),"Fatal")</f>
        <v>Fatal</v>
      </c>
      <c r="D2265" s="8" t="str">
        <f ca="1">IFERROR(__xludf.DUMMYFUNCTION("""COMPUTED_VALUE"""),"Male")</f>
        <v>Male</v>
      </c>
      <c r="E2265" s="8" t="str">
        <f ca="1">IFERROR(__xludf.DUMMYFUNCTION("""COMPUTED_VALUE"""),"Teacher")</f>
        <v>Teacher</v>
      </c>
      <c r="F2265" s="8">
        <f ca="1">IFERROR(__xludf.DUMMYFUNCTION("""COMPUTED_VALUE"""),45)</f>
        <v>45</v>
      </c>
    </row>
    <row r="2266" spans="1:6" ht="12.75">
      <c r="A2266" s="4">
        <v>2265</v>
      </c>
      <c r="B2266" s="8" t="str">
        <f ca="1">IFERROR(__xludf.DUMMYFUNCTION("""COMPUTED_VALUE"""),"19940127CAWAS")</f>
        <v>19940127CAWAS</v>
      </c>
      <c r="C2266" s="8" t="str">
        <f ca="1">IFERROR(__xludf.DUMMYFUNCTION("""COMPUTED_VALUE"""),"Fatal")</f>
        <v>Fatal</v>
      </c>
      <c r="D2266" s="8" t="str">
        <f ca="1">IFERROR(__xludf.DUMMYFUNCTION("""COMPUTED_VALUE"""),"Male")</f>
        <v>Male</v>
      </c>
      <c r="E2266" s="8" t="str">
        <f ca="1">IFERROR(__xludf.DUMMYFUNCTION("""COMPUTED_VALUE"""),"Parent")</f>
        <v>Parent</v>
      </c>
      <c r="F2266" s="8">
        <f ca="1">IFERROR(__xludf.DUMMYFUNCTION("""COMPUTED_VALUE"""),22)</f>
        <v>22</v>
      </c>
    </row>
    <row r="2267" spans="1:6" ht="12.75">
      <c r="A2267" s="4">
        <v>2266</v>
      </c>
      <c r="B2267" s="8" t="str">
        <f ca="1">IFERROR(__xludf.DUMMYFUNCTION("""COMPUTED_VALUE"""),"19940126DCPAW")</f>
        <v>19940126DCPAW</v>
      </c>
      <c r="C2267" s="8" t="str">
        <f ca="1">IFERROR(__xludf.DUMMYFUNCTION("""COMPUTED_VALUE"""),"None")</f>
        <v>None</v>
      </c>
      <c r="D2267" s="8"/>
      <c r="E2267" s="8"/>
      <c r="F2267" s="8"/>
    </row>
    <row r="2268" spans="1:6" ht="12.75">
      <c r="A2268" s="4">
        <v>2267</v>
      </c>
      <c r="B2268" s="8" t="str">
        <f ca="1">IFERROR(__xludf.DUMMYFUNCTION("""COMPUTED_VALUE"""),"19940126DCELW")</f>
        <v>19940126DCELW</v>
      </c>
      <c r="C2268" s="8" t="str">
        <f ca="1">IFERROR(__xludf.DUMMYFUNCTION("""COMPUTED_VALUE"""),"None")</f>
        <v>None</v>
      </c>
      <c r="D2268" s="8"/>
      <c r="E2268" s="8"/>
      <c r="F2268" s="8"/>
    </row>
    <row r="2269" spans="1:6" ht="12.75">
      <c r="A2269" s="4">
        <v>2268</v>
      </c>
      <c r="B2269" s="8" t="str">
        <f ca="1">IFERROR(__xludf.DUMMYFUNCTION("""COMPUTED_VALUE"""),"19940124SCEAC")</f>
        <v>19940124SCEAC</v>
      </c>
      <c r="C2269" s="8" t="str">
        <f ca="1">IFERROR(__xludf.DUMMYFUNCTION("""COMPUTED_VALUE"""),"Fatal")</f>
        <v>Fatal</v>
      </c>
      <c r="D2269" s="8" t="str">
        <f ca="1">IFERROR(__xludf.DUMMYFUNCTION("""COMPUTED_VALUE"""),"Male")</f>
        <v>Male</v>
      </c>
      <c r="E2269" s="8" t="str">
        <f ca="1">IFERROR(__xludf.DUMMYFUNCTION("""COMPUTED_VALUE"""),"Student")</f>
        <v>Student</v>
      </c>
      <c r="F2269" s="8">
        <f ca="1">IFERROR(__xludf.DUMMYFUNCTION("""COMPUTED_VALUE"""),17)</f>
        <v>17</v>
      </c>
    </row>
    <row r="2270" spans="1:6" ht="12.75">
      <c r="A2270" s="4">
        <v>2269</v>
      </c>
      <c r="B2270" s="8" t="str">
        <f ca="1">IFERROR(__xludf.DUMMYFUNCTION("""COMPUTED_VALUE"""),"19940121TXKEK")</f>
        <v>19940121TXKEK</v>
      </c>
      <c r="C2270" s="8" t="str">
        <f ca="1">IFERROR(__xludf.DUMMYFUNCTION("""COMPUTED_VALUE"""),"None")</f>
        <v>None</v>
      </c>
      <c r="D2270" s="8" t="str">
        <f ca="1">IFERROR(__xludf.DUMMYFUNCTION("""COMPUTED_VALUE"""),"Male")</f>
        <v>Male</v>
      </c>
      <c r="E2270" s="8" t="str">
        <f ca="1">IFERROR(__xludf.DUMMYFUNCTION("""COMPUTED_VALUE"""),"Student")</f>
        <v>Student</v>
      </c>
      <c r="F2270" s="8">
        <f ca="1">IFERROR(__xludf.DUMMYFUNCTION("""COMPUTED_VALUE"""),17)</f>
        <v>17</v>
      </c>
    </row>
    <row r="2271" spans="1:6" ht="12.75">
      <c r="A2271" s="4">
        <v>2270</v>
      </c>
      <c r="B2271" s="8" t="str">
        <f ca="1">IFERROR(__xludf.DUMMYFUNCTION("""COMPUTED_VALUE"""),"19940120CALOH")</f>
        <v>19940120CALOH</v>
      </c>
      <c r="C2271" s="8" t="str">
        <f ca="1">IFERROR(__xludf.DUMMYFUNCTION("""COMPUTED_VALUE"""),"Fatal")</f>
        <v>Fatal</v>
      </c>
      <c r="D2271" s="8" t="str">
        <f ca="1">IFERROR(__xludf.DUMMYFUNCTION("""COMPUTED_VALUE"""),"Male")</f>
        <v>Male</v>
      </c>
      <c r="E2271" s="8" t="str">
        <f ca="1">IFERROR(__xludf.DUMMYFUNCTION("""COMPUTED_VALUE"""),"Student")</f>
        <v>Student</v>
      </c>
      <c r="F2271" s="8">
        <f ca="1">IFERROR(__xludf.DUMMYFUNCTION("""COMPUTED_VALUE"""),17)</f>
        <v>17</v>
      </c>
    </row>
    <row r="2272" spans="1:6" ht="12.75">
      <c r="A2272" s="4">
        <v>2271</v>
      </c>
      <c r="B2272" s="8" t="str">
        <f ca="1">IFERROR(__xludf.DUMMYFUNCTION("""COMPUTED_VALUE"""),"19931217MICHC")</f>
        <v>19931217MICHC</v>
      </c>
      <c r="C2272" s="8" t="str">
        <f ca="1">IFERROR(__xludf.DUMMYFUNCTION("""COMPUTED_VALUE"""),"Fatal")</f>
        <v>Fatal</v>
      </c>
      <c r="D2272" s="8" t="str">
        <f ca="1">IFERROR(__xludf.DUMMYFUNCTION("""COMPUTED_VALUE"""),"Male")</f>
        <v>Male</v>
      </c>
      <c r="E2272" s="8" t="str">
        <f ca="1">IFERROR(__xludf.DUMMYFUNCTION("""COMPUTED_VALUE"""),"Other Staff")</f>
        <v>Other Staff</v>
      </c>
      <c r="F2272" s="8" t="str">
        <f ca="1">IFERROR(__xludf.DUMMYFUNCTION("""COMPUTED_VALUE"""),"Adult")</f>
        <v>Adult</v>
      </c>
    </row>
    <row r="2273" spans="1:6" ht="12.75">
      <c r="A2273" s="4">
        <v>2272</v>
      </c>
      <c r="B2273" s="8" t="str">
        <f ca="1">IFERROR(__xludf.DUMMYFUNCTION("""COMPUTED_VALUE"""),"19931217MICHC")</f>
        <v>19931217MICHC</v>
      </c>
      <c r="C2273" s="8" t="str">
        <f ca="1">IFERROR(__xludf.DUMMYFUNCTION("""COMPUTED_VALUE"""),"Wounded")</f>
        <v>Wounded</v>
      </c>
      <c r="D2273" s="8" t="str">
        <f ca="1">IFERROR(__xludf.DUMMYFUNCTION("""COMPUTED_VALUE"""),"Male")</f>
        <v>Male</v>
      </c>
      <c r="E2273" s="8" t="str">
        <f ca="1">IFERROR(__xludf.DUMMYFUNCTION("""COMPUTED_VALUE"""),"Teacher")</f>
        <v>Teacher</v>
      </c>
      <c r="F2273" s="8" t="str">
        <f ca="1">IFERROR(__xludf.DUMMYFUNCTION("""COMPUTED_VALUE"""),"Adult")</f>
        <v>Adult</v>
      </c>
    </row>
    <row r="2274" spans="1:6" ht="12.75">
      <c r="A2274" s="4">
        <v>2273</v>
      </c>
      <c r="B2274" s="8" t="str">
        <f ca="1">IFERROR(__xludf.DUMMYFUNCTION("""COMPUTED_VALUE"""),"19931217MICHC")</f>
        <v>19931217MICHC</v>
      </c>
      <c r="C2274" s="8" t="str">
        <f ca="1">IFERROR(__xludf.DUMMYFUNCTION("""COMPUTED_VALUE"""),"Wounded")</f>
        <v>Wounded</v>
      </c>
      <c r="D2274" s="8" t="str">
        <f ca="1">IFERROR(__xludf.DUMMYFUNCTION("""COMPUTED_VALUE"""),"Male")</f>
        <v>Male</v>
      </c>
      <c r="E2274" s="8" t="str">
        <f ca="1">IFERROR(__xludf.DUMMYFUNCTION("""COMPUTED_VALUE"""),"Teacher")</f>
        <v>Teacher</v>
      </c>
      <c r="F2274" s="8" t="str">
        <f ca="1">IFERROR(__xludf.DUMMYFUNCTION("""COMPUTED_VALUE"""),"Adult")</f>
        <v>Adult</v>
      </c>
    </row>
    <row r="2275" spans="1:6" ht="12.75">
      <c r="A2275" s="4">
        <v>2274</v>
      </c>
      <c r="B2275" s="8" t="str">
        <f ca="1">IFERROR(__xludf.DUMMYFUNCTION("""COMPUTED_VALUE"""),"19931215CACHS")</f>
        <v>19931215CACHS</v>
      </c>
      <c r="C2275" s="8" t="str">
        <f ca="1">IFERROR(__xludf.DUMMYFUNCTION("""COMPUTED_VALUE"""),"Fatal")</f>
        <v>Fatal</v>
      </c>
      <c r="D2275" s="8" t="str">
        <f ca="1">IFERROR(__xludf.DUMMYFUNCTION("""COMPUTED_VALUE"""),"Male")</f>
        <v>Male</v>
      </c>
      <c r="E2275" s="8" t="str">
        <f ca="1">IFERROR(__xludf.DUMMYFUNCTION("""COMPUTED_VALUE"""),"Student")</f>
        <v>Student</v>
      </c>
      <c r="F2275" s="8">
        <f ca="1">IFERROR(__xludf.DUMMYFUNCTION("""COMPUTED_VALUE"""),17)</f>
        <v>17</v>
      </c>
    </row>
    <row r="2276" spans="1:6" ht="12.75">
      <c r="A2276" s="4">
        <v>2275</v>
      </c>
      <c r="B2276" s="8" t="str">
        <f ca="1">IFERROR(__xludf.DUMMYFUNCTION("""COMPUTED_VALUE"""),"19931208GABES")</f>
        <v>19931208GABES</v>
      </c>
      <c r="C2276" s="8" t="str">
        <f ca="1">IFERROR(__xludf.DUMMYFUNCTION("""COMPUTED_VALUE"""),"Fatal")</f>
        <v>Fatal</v>
      </c>
      <c r="D2276" s="8" t="str">
        <f ca="1">IFERROR(__xludf.DUMMYFUNCTION("""COMPUTED_VALUE"""),"Male")</f>
        <v>Male</v>
      </c>
      <c r="E2276" s="8" t="str">
        <f ca="1">IFERROR(__xludf.DUMMYFUNCTION("""COMPUTED_VALUE"""),"Student")</f>
        <v>Student</v>
      </c>
      <c r="F2276" s="8">
        <f ca="1">IFERROR(__xludf.DUMMYFUNCTION("""COMPUTED_VALUE"""),15)</f>
        <v>15</v>
      </c>
    </row>
    <row r="2277" spans="1:6" ht="12.75">
      <c r="A2277" s="4">
        <v>2276</v>
      </c>
      <c r="B2277" s="8" t="str">
        <f ca="1">IFERROR(__xludf.DUMMYFUNCTION("""COMPUTED_VALUE"""),"19931202CTNEN")</f>
        <v>19931202CTNEN</v>
      </c>
      <c r="C2277" s="8" t="str">
        <f ca="1">IFERROR(__xludf.DUMMYFUNCTION("""COMPUTED_VALUE"""),"Fatal")</f>
        <v>Fatal</v>
      </c>
      <c r="D2277" s="8" t="str">
        <f ca="1">IFERROR(__xludf.DUMMYFUNCTION("""COMPUTED_VALUE"""),"Male")</f>
        <v>Male</v>
      </c>
      <c r="E2277" s="8" t="str">
        <f ca="1">IFERROR(__xludf.DUMMYFUNCTION("""COMPUTED_VALUE"""),"Student")</f>
        <v>Student</v>
      </c>
      <c r="F2277" s="8">
        <f ca="1">IFERROR(__xludf.DUMMYFUNCTION("""COMPUTED_VALUE"""),18)</f>
        <v>18</v>
      </c>
    </row>
    <row r="2278" spans="1:6" ht="12.75">
      <c r="A2278" s="4">
        <v>2277</v>
      </c>
      <c r="B2278" s="8" t="str">
        <f ca="1">IFERROR(__xludf.DUMMYFUNCTION("""COMPUTED_VALUE"""),"19931201WIWAW")</f>
        <v>19931201WIWAW</v>
      </c>
      <c r="C2278" s="8" t="str">
        <f ca="1">IFERROR(__xludf.DUMMYFUNCTION("""COMPUTED_VALUE"""),"Fatal")</f>
        <v>Fatal</v>
      </c>
      <c r="D2278" s="8" t="str">
        <f ca="1">IFERROR(__xludf.DUMMYFUNCTION("""COMPUTED_VALUE"""),"Male")</f>
        <v>Male</v>
      </c>
      <c r="E2278" s="8" t="str">
        <f ca="1">IFERROR(__xludf.DUMMYFUNCTION("""COMPUTED_VALUE"""),"Teacher")</f>
        <v>Teacher</v>
      </c>
      <c r="F2278" s="8">
        <f ca="1">IFERROR(__xludf.DUMMYFUNCTION("""COMPUTED_VALUE"""),46)</f>
        <v>46</v>
      </c>
    </row>
    <row r="2279" spans="1:6" ht="12.75">
      <c r="A2279" s="4">
        <v>2278</v>
      </c>
      <c r="B2279" s="8" t="str">
        <f ca="1">IFERROR(__xludf.DUMMYFUNCTION("""COMPUTED_VALUE"""),"19931111ILRIS")</f>
        <v>19931111ILRIS</v>
      </c>
      <c r="C2279" s="8" t="str">
        <f ca="1">IFERROR(__xludf.DUMMYFUNCTION("""COMPUTED_VALUE"""),"Fatal")</f>
        <v>Fatal</v>
      </c>
      <c r="D2279" s="8" t="str">
        <f ca="1">IFERROR(__xludf.DUMMYFUNCTION("""COMPUTED_VALUE"""),"Male")</f>
        <v>Male</v>
      </c>
      <c r="E2279" s="8" t="str">
        <f ca="1">IFERROR(__xludf.DUMMYFUNCTION("""COMPUTED_VALUE"""),"No Relation")</f>
        <v>No Relation</v>
      </c>
      <c r="F2279" s="8">
        <f ca="1">IFERROR(__xludf.DUMMYFUNCTION("""COMPUTED_VALUE"""),14)</f>
        <v>14</v>
      </c>
    </row>
    <row r="2280" spans="1:6" ht="12.75">
      <c r="A2280" s="4">
        <v>2279</v>
      </c>
      <c r="B2280" s="8" t="str">
        <f ca="1">IFERROR(__xludf.DUMMYFUNCTION("""COMPUTED_VALUE"""),"19931104MSBAB")</f>
        <v>19931104MSBAB</v>
      </c>
      <c r="C2280" s="8" t="str">
        <f ca="1">IFERROR(__xludf.DUMMYFUNCTION("""COMPUTED_VALUE"""),"Fatal")</f>
        <v>Fatal</v>
      </c>
      <c r="D2280" s="8" t="str">
        <f ca="1">IFERROR(__xludf.DUMMYFUNCTION("""COMPUTED_VALUE"""),"Male")</f>
        <v>Male</v>
      </c>
      <c r="E2280" s="8" t="str">
        <f ca="1">IFERROR(__xludf.DUMMYFUNCTION("""COMPUTED_VALUE"""),"Student")</f>
        <v>Student</v>
      </c>
      <c r="F2280" s="8">
        <f ca="1">IFERROR(__xludf.DUMMYFUNCTION("""COMPUTED_VALUE"""),16)</f>
        <v>16</v>
      </c>
    </row>
    <row r="2281" spans="1:6" ht="12.75">
      <c r="A2281" s="4">
        <v>2280</v>
      </c>
      <c r="B2281" s="8" t="str">
        <f ca="1">IFERROR(__xludf.DUMMYFUNCTION("""COMPUTED_VALUE"""),"19931104FLTEJ")</f>
        <v>19931104FLTEJ</v>
      </c>
      <c r="C2281" s="8" t="str">
        <f ca="1">IFERROR(__xludf.DUMMYFUNCTION("""COMPUTED_VALUE"""),"Fatal")</f>
        <v>Fatal</v>
      </c>
      <c r="D2281" s="8" t="str">
        <f ca="1">IFERROR(__xludf.DUMMYFUNCTION("""COMPUTED_VALUE"""),"Male")</f>
        <v>Male</v>
      </c>
      <c r="E2281" s="8" t="str">
        <f ca="1">IFERROR(__xludf.DUMMYFUNCTION("""COMPUTED_VALUE"""),"Student")</f>
        <v>Student</v>
      </c>
      <c r="F2281" s="8">
        <f ca="1">IFERROR(__xludf.DUMMYFUNCTION("""COMPUTED_VALUE"""),14)</f>
        <v>14</v>
      </c>
    </row>
    <row r="2282" spans="1:6" ht="12.75">
      <c r="A2282" s="4">
        <v>2281</v>
      </c>
      <c r="B2282" s="8" t="str">
        <f ca="1">IFERROR(__xludf.DUMMYFUNCTION("""COMPUTED_VALUE"""),"19931104CTNEN")</f>
        <v>19931104CTNEN</v>
      </c>
      <c r="C2282" s="8" t="str">
        <f ca="1">IFERROR(__xludf.DUMMYFUNCTION("""COMPUTED_VALUE"""),"Fatal")</f>
        <v>Fatal</v>
      </c>
      <c r="D2282" s="8" t="str">
        <f ca="1">IFERROR(__xludf.DUMMYFUNCTION("""COMPUTED_VALUE"""),"Male")</f>
        <v>Male</v>
      </c>
      <c r="E2282" s="8" t="str">
        <f ca="1">IFERROR(__xludf.DUMMYFUNCTION("""COMPUTED_VALUE"""),"Student")</f>
        <v>Student</v>
      </c>
      <c r="F2282" s="8">
        <f ca="1">IFERROR(__xludf.DUMMYFUNCTION("""COMPUTED_VALUE"""),18)</f>
        <v>18</v>
      </c>
    </row>
    <row r="2283" spans="1:6" ht="12.75">
      <c r="A2283" s="4">
        <v>2282</v>
      </c>
      <c r="B2283" s="8" t="str">
        <f ca="1">IFERROR(__xludf.DUMMYFUNCTION("""COMPUTED_VALUE"""),"19931101ILSUC")</f>
        <v>19931101ILSUC</v>
      </c>
      <c r="C2283" s="8" t="str">
        <f ca="1">IFERROR(__xludf.DUMMYFUNCTION("""COMPUTED_VALUE"""),"Fatal")</f>
        <v>Fatal</v>
      </c>
      <c r="D2283" s="8" t="str">
        <f ca="1">IFERROR(__xludf.DUMMYFUNCTION("""COMPUTED_VALUE"""),"Male")</f>
        <v>Male</v>
      </c>
      <c r="E2283" s="8" t="str">
        <f ca="1">IFERROR(__xludf.DUMMYFUNCTION("""COMPUTED_VALUE"""),"Student")</f>
        <v>Student</v>
      </c>
      <c r="F2283" s="8">
        <f ca="1">IFERROR(__xludf.DUMMYFUNCTION("""COMPUTED_VALUE"""),15)</f>
        <v>15</v>
      </c>
    </row>
    <row r="2284" spans="1:6" ht="12.75">
      <c r="A2284" s="4">
        <v>2283</v>
      </c>
      <c r="B2284" s="8" t="str">
        <f ca="1">IFERROR(__xludf.DUMMYFUNCTION("""COMPUTED_VALUE"""),"19931018DCJHW")</f>
        <v>19931018DCJHW</v>
      </c>
      <c r="C2284" s="8" t="str">
        <f ca="1">IFERROR(__xludf.DUMMYFUNCTION("""COMPUTED_VALUE"""),"Wounded")</f>
        <v>Wounded</v>
      </c>
      <c r="D2284" s="8" t="str">
        <f ca="1">IFERROR(__xludf.DUMMYFUNCTION("""COMPUTED_VALUE"""),"Male")</f>
        <v>Male</v>
      </c>
      <c r="E2284" s="8" t="str">
        <f ca="1">IFERROR(__xludf.DUMMYFUNCTION("""COMPUTED_VALUE"""),"Student")</f>
        <v>Student</v>
      </c>
      <c r="F2284" s="8">
        <f ca="1">IFERROR(__xludf.DUMMYFUNCTION("""COMPUTED_VALUE"""),13)</f>
        <v>13</v>
      </c>
    </row>
    <row r="2285" spans="1:6" ht="12.75">
      <c r="A2285" s="4">
        <v>2284</v>
      </c>
      <c r="B2285" s="8" t="str">
        <f ca="1">IFERROR(__xludf.DUMMYFUNCTION("""COMPUTED_VALUE"""),"19931012DEDON")</f>
        <v>19931012DEDON</v>
      </c>
      <c r="C2285" s="8" t="str">
        <f ca="1">IFERROR(__xludf.DUMMYFUNCTION("""COMPUTED_VALUE"""),"None")</f>
        <v>None</v>
      </c>
      <c r="D2285" s="8" t="str">
        <f ca="1">IFERROR(__xludf.DUMMYFUNCTION("""COMPUTED_VALUE"""),"Female")</f>
        <v>Female</v>
      </c>
      <c r="E2285" s="8" t="str">
        <f ca="1">IFERROR(__xludf.DUMMYFUNCTION("""COMPUTED_VALUE"""),"Student")</f>
        <v>Student</v>
      </c>
      <c r="F2285" s="8">
        <f ca="1">IFERROR(__xludf.DUMMYFUNCTION("""COMPUTED_VALUE"""),16)</f>
        <v>16</v>
      </c>
    </row>
    <row r="2286" spans="1:6" ht="12.75">
      <c r="A2286" s="4">
        <v>2285</v>
      </c>
      <c r="B2286" s="8" t="str">
        <f ca="1">IFERROR(__xludf.DUMMYFUNCTION("""COMPUTED_VALUE"""),"19930928MSCOG")</f>
        <v>19930928MSCOG</v>
      </c>
      <c r="C2286" s="8" t="str">
        <f ca="1">IFERROR(__xludf.DUMMYFUNCTION("""COMPUTED_VALUE"""),"Fatal")</f>
        <v>Fatal</v>
      </c>
      <c r="D2286" s="8" t="str">
        <f ca="1">IFERROR(__xludf.DUMMYFUNCTION("""COMPUTED_VALUE"""),"Male")</f>
        <v>Male</v>
      </c>
      <c r="E2286" s="8" t="str">
        <f ca="1">IFERROR(__xludf.DUMMYFUNCTION("""COMPUTED_VALUE"""),"Student")</f>
        <v>Student</v>
      </c>
      <c r="F2286" s="8" t="str">
        <f ca="1">IFERROR(__xludf.DUMMYFUNCTION("""COMPUTED_VALUE"""),"Teen")</f>
        <v>Teen</v>
      </c>
    </row>
    <row r="2287" spans="1:6" ht="12.75">
      <c r="A2287" s="4">
        <v>2286</v>
      </c>
      <c r="B2287" s="8" t="str">
        <f ca="1">IFERROR(__xludf.DUMMYFUNCTION("""COMPUTED_VALUE"""),"19930925DCWEW")</f>
        <v>19930925DCWEW</v>
      </c>
      <c r="C2287" s="8" t="str">
        <f ca="1">IFERROR(__xludf.DUMMYFUNCTION("""COMPUTED_VALUE"""),"Fatal")</f>
        <v>Fatal</v>
      </c>
      <c r="D2287" s="8" t="str">
        <f ca="1">IFERROR(__xludf.DUMMYFUNCTION("""COMPUTED_VALUE"""),"Female")</f>
        <v>Female</v>
      </c>
      <c r="E2287" s="8" t="str">
        <f ca="1">IFERROR(__xludf.DUMMYFUNCTION("""COMPUTED_VALUE"""),"No Relation")</f>
        <v>No Relation</v>
      </c>
      <c r="F2287" s="8">
        <f ca="1">IFERROR(__xludf.DUMMYFUNCTION("""COMPUTED_VALUE"""),4)</f>
        <v>4</v>
      </c>
    </row>
    <row r="2288" spans="1:6" ht="12.75">
      <c r="A2288" s="4">
        <v>2287</v>
      </c>
      <c r="B2288" s="8" t="str">
        <f ca="1">IFERROR(__xludf.DUMMYFUNCTION("""COMPUTED_VALUE"""),"19930925DCWEW")</f>
        <v>19930925DCWEW</v>
      </c>
      <c r="C2288" s="8" t="str">
        <f ca="1">IFERROR(__xludf.DUMMYFUNCTION("""COMPUTED_VALUE"""),"Fatal")</f>
        <v>Fatal</v>
      </c>
      <c r="D2288" s="8" t="str">
        <f ca="1">IFERROR(__xludf.DUMMYFUNCTION("""COMPUTED_VALUE"""),"Male")</f>
        <v>Male</v>
      </c>
      <c r="E2288" s="8" t="str">
        <f ca="1">IFERROR(__xludf.DUMMYFUNCTION("""COMPUTED_VALUE"""),"No Relation")</f>
        <v>No Relation</v>
      </c>
      <c r="F2288" s="8">
        <f ca="1">IFERROR(__xludf.DUMMYFUNCTION("""COMPUTED_VALUE"""),23)</f>
        <v>23</v>
      </c>
    </row>
    <row r="2289" spans="1:6" ht="12.75">
      <c r="A2289" s="4">
        <v>2288</v>
      </c>
      <c r="B2289" s="8" t="str">
        <f ca="1">IFERROR(__xludf.DUMMYFUNCTION("""COMPUTED_VALUE"""),"19930917WYCES")</f>
        <v>19930917WYCES</v>
      </c>
      <c r="C2289" s="8" t="str">
        <f ca="1">IFERROR(__xludf.DUMMYFUNCTION("""COMPUTED_VALUE"""),"Minor Injuries")</f>
        <v>Minor Injuries</v>
      </c>
      <c r="D2289" s="8" t="str">
        <f ca="1">IFERROR(__xludf.DUMMYFUNCTION("""COMPUTED_VALUE"""),"Male")</f>
        <v>Male</v>
      </c>
      <c r="E2289" s="8" t="str">
        <f ca="1">IFERROR(__xludf.DUMMYFUNCTION("""COMPUTED_VALUE"""),"Student")</f>
        <v>Student</v>
      </c>
      <c r="F2289" s="8" t="str">
        <f ca="1">IFERROR(__xludf.DUMMYFUNCTION("""COMPUTED_VALUE"""),"Teen")</f>
        <v>Teen</v>
      </c>
    </row>
    <row r="2290" spans="1:6" ht="12.75">
      <c r="A2290" s="4">
        <v>2289</v>
      </c>
      <c r="B2290" s="8" t="str">
        <f ca="1">IFERROR(__xludf.DUMMYFUNCTION("""COMPUTED_VALUE"""),"19930917WYCES")</f>
        <v>19930917WYCES</v>
      </c>
      <c r="C2290" s="8" t="str">
        <f ca="1">IFERROR(__xludf.DUMMYFUNCTION("""COMPUTED_VALUE"""),"Minor Injuries")</f>
        <v>Minor Injuries</v>
      </c>
      <c r="D2290" s="8" t="str">
        <f ca="1">IFERROR(__xludf.DUMMYFUNCTION("""COMPUTED_VALUE"""),"Male")</f>
        <v>Male</v>
      </c>
      <c r="E2290" s="8" t="str">
        <f ca="1">IFERROR(__xludf.DUMMYFUNCTION("""COMPUTED_VALUE"""),"Student")</f>
        <v>Student</v>
      </c>
      <c r="F2290" s="8" t="str">
        <f ca="1">IFERROR(__xludf.DUMMYFUNCTION("""COMPUTED_VALUE"""),"Teen")</f>
        <v>Teen</v>
      </c>
    </row>
    <row r="2291" spans="1:6" ht="12.75">
      <c r="A2291" s="4">
        <v>2290</v>
      </c>
      <c r="B2291" s="8" t="str">
        <f ca="1">IFERROR(__xludf.DUMMYFUNCTION("""COMPUTED_VALUE"""),"19930917WYCES")</f>
        <v>19930917WYCES</v>
      </c>
      <c r="C2291" s="8" t="str">
        <f ca="1">IFERROR(__xludf.DUMMYFUNCTION("""COMPUTED_VALUE"""),"Minor Injuries")</f>
        <v>Minor Injuries</v>
      </c>
      <c r="D2291" s="8" t="str">
        <f ca="1">IFERROR(__xludf.DUMMYFUNCTION("""COMPUTED_VALUE"""),"Male")</f>
        <v>Male</v>
      </c>
      <c r="E2291" s="8" t="str">
        <f ca="1">IFERROR(__xludf.DUMMYFUNCTION("""COMPUTED_VALUE"""),"Student")</f>
        <v>Student</v>
      </c>
      <c r="F2291" s="8" t="str">
        <f ca="1">IFERROR(__xludf.DUMMYFUNCTION("""COMPUTED_VALUE"""),"Teen")</f>
        <v>Teen</v>
      </c>
    </row>
    <row r="2292" spans="1:6" ht="12.75">
      <c r="A2292" s="4">
        <v>2291</v>
      </c>
      <c r="B2292" s="8" t="str">
        <f ca="1">IFERROR(__xludf.DUMMYFUNCTION("""COMPUTED_VALUE"""),"19930917WYCES")</f>
        <v>19930917WYCES</v>
      </c>
      <c r="C2292" s="8" t="str">
        <f ca="1">IFERROR(__xludf.DUMMYFUNCTION("""COMPUTED_VALUE"""),"Minor Injuries")</f>
        <v>Minor Injuries</v>
      </c>
      <c r="D2292" s="8" t="str">
        <f ca="1">IFERROR(__xludf.DUMMYFUNCTION("""COMPUTED_VALUE"""),"Female")</f>
        <v>Female</v>
      </c>
      <c r="E2292" s="8" t="str">
        <f ca="1">IFERROR(__xludf.DUMMYFUNCTION("""COMPUTED_VALUE"""),"Student")</f>
        <v>Student</v>
      </c>
      <c r="F2292" s="8" t="str">
        <f ca="1">IFERROR(__xludf.DUMMYFUNCTION("""COMPUTED_VALUE"""),"Teen")</f>
        <v>Teen</v>
      </c>
    </row>
    <row r="2293" spans="1:6" ht="12.75">
      <c r="A2293" s="4">
        <v>2292</v>
      </c>
      <c r="B2293" s="8" t="str">
        <f ca="1">IFERROR(__xludf.DUMMYFUNCTION("""COMPUTED_VALUE"""),"19930917ILDOD")</f>
        <v>19930917ILDOD</v>
      </c>
      <c r="C2293" s="8" t="str">
        <f ca="1">IFERROR(__xludf.DUMMYFUNCTION("""COMPUTED_VALUE"""),"Fatal")</f>
        <v>Fatal</v>
      </c>
      <c r="D2293" s="8" t="str">
        <f ca="1">IFERROR(__xludf.DUMMYFUNCTION("""COMPUTED_VALUE"""),"Male")</f>
        <v>Male</v>
      </c>
      <c r="E2293" s="8" t="str">
        <f ca="1">IFERROR(__xludf.DUMMYFUNCTION("""COMPUTED_VALUE"""),"Nonstudent Using Athletic Facilities/Attending Game")</f>
        <v>Nonstudent Using Athletic Facilities/Attending Game</v>
      </c>
      <c r="F2293" s="8" t="str">
        <f ca="1">IFERROR(__xludf.DUMMYFUNCTION("""COMPUTED_VALUE"""),"Teen")</f>
        <v>Teen</v>
      </c>
    </row>
    <row r="2294" spans="1:6" ht="12.75">
      <c r="A2294" s="4">
        <v>2293</v>
      </c>
      <c r="B2294" s="8" t="str">
        <f ca="1">IFERROR(__xludf.DUMMYFUNCTION("""COMPUTED_VALUE"""),"19930916ILROC")</f>
        <v>19930916ILROC</v>
      </c>
      <c r="C2294" s="8" t="str">
        <f ca="1">IFERROR(__xludf.DUMMYFUNCTION("""COMPUTED_VALUE"""),"Fatal")</f>
        <v>Fatal</v>
      </c>
      <c r="D2294" s="8"/>
      <c r="E2294" s="8"/>
      <c r="F2294" s="8" t="str">
        <f ca="1">IFERROR(__xludf.DUMMYFUNCTION("""COMPUTED_VALUE"""),"Teen")</f>
        <v>Teen</v>
      </c>
    </row>
    <row r="2295" spans="1:6" ht="12.75">
      <c r="A2295" s="4">
        <v>2294</v>
      </c>
      <c r="B2295" s="8" t="str">
        <f ca="1">IFERROR(__xludf.DUMMYFUNCTION("""COMPUTED_VALUE"""),"19930902TXROD")</f>
        <v>19930902TXROD</v>
      </c>
      <c r="C2295" s="8" t="str">
        <f ca="1">IFERROR(__xludf.DUMMYFUNCTION("""COMPUTED_VALUE"""),"Fatal")</f>
        <v>Fatal</v>
      </c>
      <c r="D2295" s="8" t="str">
        <f ca="1">IFERROR(__xludf.DUMMYFUNCTION("""COMPUTED_VALUE"""),"Male")</f>
        <v>Male</v>
      </c>
      <c r="E2295" s="8" t="str">
        <f ca="1">IFERROR(__xludf.DUMMYFUNCTION("""COMPUTED_VALUE"""),"Student")</f>
        <v>Student</v>
      </c>
      <c r="F2295" s="8">
        <f ca="1">IFERROR(__xludf.DUMMYFUNCTION("""COMPUTED_VALUE"""),15)</f>
        <v>15</v>
      </c>
    </row>
    <row r="2296" spans="1:6" ht="12.75">
      <c r="A2296" s="4">
        <v>2295</v>
      </c>
      <c r="B2296" s="8" t="str">
        <f ca="1">IFERROR(__xludf.DUMMYFUNCTION("""COMPUTED_VALUE"""),"19930901KSJUJ")</f>
        <v>19930901KSJUJ</v>
      </c>
      <c r="C2296" s="8" t="str">
        <f ca="1">IFERROR(__xludf.DUMMYFUNCTION("""COMPUTED_VALUE"""),"Wounded")</f>
        <v>Wounded</v>
      </c>
      <c r="D2296" s="8" t="str">
        <f ca="1">IFERROR(__xludf.DUMMYFUNCTION("""COMPUTED_VALUE"""),"Female")</f>
        <v>Female</v>
      </c>
      <c r="E2296" s="8" t="str">
        <f ca="1">IFERROR(__xludf.DUMMYFUNCTION("""COMPUTED_VALUE"""),"Student")</f>
        <v>Student</v>
      </c>
      <c r="F2296" s="8">
        <f ca="1">IFERROR(__xludf.DUMMYFUNCTION("""COMPUTED_VALUE"""),14)</f>
        <v>14</v>
      </c>
    </row>
    <row r="2297" spans="1:6" ht="12.75">
      <c r="A2297" s="4">
        <v>2296</v>
      </c>
      <c r="B2297" s="8" t="str">
        <f ca="1">IFERROR(__xludf.DUMMYFUNCTION("""COMPUTED_VALUE"""),"19930831GAHAA")</f>
        <v>19930831GAHAA</v>
      </c>
      <c r="C2297" s="8" t="str">
        <f ca="1">IFERROR(__xludf.DUMMYFUNCTION("""COMPUTED_VALUE"""),"Fatal")</f>
        <v>Fatal</v>
      </c>
      <c r="D2297" s="8" t="str">
        <f ca="1">IFERROR(__xludf.DUMMYFUNCTION("""COMPUTED_VALUE"""),"Male")</f>
        <v>Male</v>
      </c>
      <c r="E2297" s="8" t="str">
        <f ca="1">IFERROR(__xludf.DUMMYFUNCTION("""COMPUTED_VALUE"""),"Student")</f>
        <v>Student</v>
      </c>
      <c r="F2297" s="8">
        <f ca="1">IFERROR(__xludf.DUMMYFUNCTION("""COMPUTED_VALUE"""),15)</f>
        <v>15</v>
      </c>
    </row>
    <row r="2298" spans="1:6" ht="12.75">
      <c r="A2298" s="4">
        <v>2297</v>
      </c>
      <c r="B2298" s="8" t="str">
        <f ca="1">IFERROR(__xludf.DUMMYFUNCTION("""COMPUTED_VALUE"""),"19930803NYTHN")</f>
        <v>19930803NYTHN</v>
      </c>
      <c r="C2298" s="8" t="str">
        <f ca="1">IFERROR(__xludf.DUMMYFUNCTION("""COMPUTED_VALUE"""),"Wounded")</f>
        <v>Wounded</v>
      </c>
      <c r="D2298" s="8" t="str">
        <f ca="1">IFERROR(__xludf.DUMMYFUNCTION("""COMPUTED_VALUE"""),"Male")</f>
        <v>Male</v>
      </c>
      <c r="E2298" s="8" t="str">
        <f ca="1">IFERROR(__xludf.DUMMYFUNCTION("""COMPUTED_VALUE"""),"Student")</f>
        <v>Student</v>
      </c>
      <c r="F2298" s="8">
        <f ca="1">IFERROR(__xludf.DUMMYFUNCTION("""COMPUTED_VALUE"""),18)</f>
        <v>18</v>
      </c>
    </row>
    <row r="2299" spans="1:6" ht="12.75">
      <c r="A2299" s="4">
        <v>2298</v>
      </c>
      <c r="B2299" s="8" t="str">
        <f ca="1">IFERROR(__xludf.DUMMYFUNCTION("""COMPUTED_VALUE"""),"19930707CADOL")</f>
        <v>19930707CADOL</v>
      </c>
      <c r="C2299" s="8" t="str">
        <f ca="1">IFERROR(__xludf.DUMMYFUNCTION("""COMPUTED_VALUE"""),"Fatal")</f>
        <v>Fatal</v>
      </c>
      <c r="D2299" s="8" t="str">
        <f ca="1">IFERROR(__xludf.DUMMYFUNCTION("""COMPUTED_VALUE"""),"Male")</f>
        <v>Male</v>
      </c>
      <c r="E2299" s="8" t="str">
        <f ca="1">IFERROR(__xludf.DUMMYFUNCTION("""COMPUTED_VALUE"""),"Student")</f>
        <v>Student</v>
      </c>
      <c r="F2299" s="8">
        <f ca="1">IFERROR(__xludf.DUMMYFUNCTION("""COMPUTED_VALUE"""),15)</f>
        <v>15</v>
      </c>
    </row>
    <row r="2300" spans="1:6" ht="12.75">
      <c r="A2300" s="4">
        <v>2299</v>
      </c>
      <c r="B2300" s="8" t="str">
        <f ca="1">IFERROR(__xludf.DUMMYFUNCTION("""COMPUTED_VALUE"""),"19930527LAFRN")</f>
        <v>19930527LAFRN</v>
      </c>
      <c r="C2300" s="8" t="str">
        <f ca="1">IFERROR(__xludf.DUMMYFUNCTION("""COMPUTED_VALUE"""),"Fatal")</f>
        <v>Fatal</v>
      </c>
      <c r="D2300" s="8" t="str">
        <f ca="1">IFERROR(__xludf.DUMMYFUNCTION("""COMPUTED_VALUE"""),"Male")</f>
        <v>Male</v>
      </c>
      <c r="E2300" s="8" t="str">
        <f ca="1">IFERROR(__xludf.DUMMYFUNCTION("""COMPUTED_VALUE"""),"Former Student")</f>
        <v>Former Student</v>
      </c>
      <c r="F2300" s="8">
        <f ca="1">IFERROR(__xludf.DUMMYFUNCTION("""COMPUTED_VALUE"""),15)</f>
        <v>15</v>
      </c>
    </row>
    <row r="2301" spans="1:6" ht="12.75">
      <c r="A2301" s="4">
        <v>2300</v>
      </c>
      <c r="B2301" s="8" t="str">
        <f ca="1">IFERROR(__xludf.DUMMYFUNCTION("""COMPUTED_VALUE"""),"19930524PAUPP")</f>
        <v>19930524PAUPP</v>
      </c>
      <c r="C2301" s="8" t="str">
        <f ca="1">IFERROR(__xludf.DUMMYFUNCTION("""COMPUTED_VALUE"""),"Fatal")</f>
        <v>Fatal</v>
      </c>
      <c r="D2301" s="8" t="str">
        <f ca="1">IFERROR(__xludf.DUMMYFUNCTION("""COMPUTED_VALUE"""),"Male")</f>
        <v>Male</v>
      </c>
      <c r="E2301" s="8" t="str">
        <f ca="1">IFERROR(__xludf.DUMMYFUNCTION("""COMPUTED_VALUE"""),"Student")</f>
        <v>Student</v>
      </c>
      <c r="F2301" s="8">
        <f ca="1">IFERROR(__xludf.DUMMYFUNCTION("""COMPUTED_VALUE"""),16)</f>
        <v>16</v>
      </c>
    </row>
    <row r="2302" spans="1:6" ht="12.75">
      <c r="A2302" s="4">
        <v>2301</v>
      </c>
      <c r="B2302" s="8" t="str">
        <f ca="1">IFERROR(__xludf.DUMMYFUNCTION("""COMPUTED_VALUE"""),"19930514TXNII")</f>
        <v>19930514TXNII</v>
      </c>
      <c r="C2302" s="8" t="str">
        <f ca="1">IFERROR(__xludf.DUMMYFUNCTION("""COMPUTED_VALUE"""),"Fatal")</f>
        <v>Fatal</v>
      </c>
      <c r="D2302" s="8" t="str">
        <f ca="1">IFERROR(__xludf.DUMMYFUNCTION("""COMPUTED_VALUE"""),"Male")</f>
        <v>Male</v>
      </c>
      <c r="E2302" s="8" t="str">
        <f ca="1">IFERROR(__xludf.DUMMYFUNCTION("""COMPUTED_VALUE"""),"Student")</f>
        <v>Student</v>
      </c>
      <c r="F2302" s="8">
        <f ca="1">IFERROR(__xludf.DUMMYFUNCTION("""COMPUTED_VALUE"""),17)</f>
        <v>17</v>
      </c>
    </row>
    <row r="2303" spans="1:6" ht="12.75">
      <c r="A2303" s="4">
        <v>2302</v>
      </c>
      <c r="B2303" s="8" t="str">
        <f ca="1">IFERROR(__xludf.DUMMYFUNCTION("""COMPUTED_VALUE"""),"19930416WAMOT")</f>
        <v>19930416WAMOT</v>
      </c>
      <c r="C2303" s="8" t="str">
        <f ca="1">IFERROR(__xludf.DUMMYFUNCTION("""COMPUTED_VALUE"""),"None")</f>
        <v>None</v>
      </c>
      <c r="D2303" s="8" t="str">
        <f ca="1">IFERROR(__xludf.DUMMYFUNCTION("""COMPUTED_VALUE"""),"Female")</f>
        <v>Female</v>
      </c>
      <c r="E2303" s="8" t="str">
        <f ca="1">IFERROR(__xludf.DUMMYFUNCTION("""COMPUTED_VALUE"""),"No Relation")</f>
        <v>No Relation</v>
      </c>
      <c r="F2303" s="8">
        <f ca="1">IFERROR(__xludf.DUMMYFUNCTION("""COMPUTED_VALUE"""),33)</f>
        <v>33</v>
      </c>
    </row>
    <row r="2304" spans="1:6" ht="12.75">
      <c r="A2304" s="4">
        <v>2303</v>
      </c>
      <c r="B2304" s="8" t="str">
        <f ca="1">IFERROR(__xludf.DUMMYFUNCTION("""COMPUTED_VALUE"""),"19930416CAGRS")</f>
        <v>19930416CAGRS</v>
      </c>
      <c r="C2304" s="8" t="str">
        <f ca="1">IFERROR(__xludf.DUMMYFUNCTION("""COMPUTED_VALUE"""),"Fatal")</f>
        <v>Fatal</v>
      </c>
      <c r="D2304" s="8" t="str">
        <f ca="1">IFERROR(__xludf.DUMMYFUNCTION("""COMPUTED_VALUE"""),"Male")</f>
        <v>Male</v>
      </c>
      <c r="E2304" s="8" t="str">
        <f ca="1">IFERROR(__xludf.DUMMYFUNCTION("""COMPUTED_VALUE"""),"Other Staff")</f>
        <v>Other Staff</v>
      </c>
      <c r="F2304" s="8">
        <f ca="1">IFERROR(__xludf.DUMMYFUNCTION("""COMPUTED_VALUE"""),43)</f>
        <v>43</v>
      </c>
    </row>
    <row r="2305" spans="1:6" ht="12.75">
      <c r="A2305" s="4">
        <v>2304</v>
      </c>
      <c r="B2305" s="8" t="str">
        <f ca="1">IFERROR(__xludf.DUMMYFUNCTION("""COMPUTED_VALUE"""),"19930415MAFOA")</f>
        <v>19930415MAFOA</v>
      </c>
      <c r="C2305" s="8" t="str">
        <f ca="1">IFERROR(__xludf.DUMMYFUNCTION("""COMPUTED_VALUE"""),"Fatal")</f>
        <v>Fatal</v>
      </c>
      <c r="D2305" s="8" t="str">
        <f ca="1">IFERROR(__xludf.DUMMYFUNCTION("""COMPUTED_VALUE"""),"Female")</f>
        <v>Female</v>
      </c>
      <c r="E2305" s="8" t="str">
        <f ca="1">IFERROR(__xludf.DUMMYFUNCTION("""COMPUTED_VALUE"""),"Other Staff")</f>
        <v>Other Staff</v>
      </c>
      <c r="F2305" s="8">
        <f ca="1">IFERROR(__xludf.DUMMYFUNCTION("""COMPUTED_VALUE"""),52)</f>
        <v>52</v>
      </c>
    </row>
    <row r="2306" spans="1:6" ht="12.75">
      <c r="A2306" s="4">
        <v>2305</v>
      </c>
      <c r="B2306" s="8" t="str">
        <f ca="1">IFERROR(__xludf.DUMMYFUNCTION("""COMPUTED_VALUE"""),"19930403CAGRS")</f>
        <v>19930403CAGRS</v>
      </c>
      <c r="C2306" s="8" t="str">
        <f ca="1">IFERROR(__xludf.DUMMYFUNCTION("""COMPUTED_VALUE"""),"Fatal")</f>
        <v>Fatal</v>
      </c>
      <c r="D2306" s="8" t="str">
        <f ca="1">IFERROR(__xludf.DUMMYFUNCTION("""COMPUTED_VALUE"""),"Male")</f>
        <v>Male</v>
      </c>
      <c r="E2306" s="8" t="str">
        <f ca="1">IFERROR(__xludf.DUMMYFUNCTION("""COMPUTED_VALUE"""),"Student")</f>
        <v>Student</v>
      </c>
      <c r="F2306" s="8">
        <f ca="1">IFERROR(__xludf.DUMMYFUNCTION("""COMPUTED_VALUE"""),16)</f>
        <v>16</v>
      </c>
    </row>
    <row r="2307" spans="1:6" ht="12.75">
      <c r="A2307" s="4">
        <v>2306</v>
      </c>
      <c r="B2307" s="8" t="str">
        <f ca="1">IFERROR(__xludf.DUMMYFUNCTION("""COMPUTED_VALUE"""),"19930403CAGRS")</f>
        <v>19930403CAGRS</v>
      </c>
      <c r="C2307" s="8" t="str">
        <f ca="1">IFERROR(__xludf.DUMMYFUNCTION("""COMPUTED_VALUE"""),"Wounded")</f>
        <v>Wounded</v>
      </c>
      <c r="D2307" s="8" t="str">
        <f ca="1">IFERROR(__xludf.DUMMYFUNCTION("""COMPUTED_VALUE"""),"Male")</f>
        <v>Male</v>
      </c>
      <c r="E2307" s="8" t="str">
        <f ca="1">IFERROR(__xludf.DUMMYFUNCTION("""COMPUTED_VALUE"""),"Student")</f>
        <v>Student</v>
      </c>
      <c r="F2307" s="8">
        <f ca="1">IFERROR(__xludf.DUMMYFUNCTION("""COMPUTED_VALUE"""),18)</f>
        <v>18</v>
      </c>
    </row>
    <row r="2308" spans="1:6" ht="12.75">
      <c r="A2308" s="4">
        <v>2307</v>
      </c>
      <c r="B2308" s="8" t="str">
        <f ca="1">IFERROR(__xludf.DUMMYFUNCTION("""COMPUTED_VALUE"""),"19930325MOSUS")</f>
        <v>19930325MOSUS</v>
      </c>
      <c r="C2308" s="8" t="str">
        <f ca="1">IFERROR(__xludf.DUMMYFUNCTION("""COMPUTED_VALUE"""),"Fatal")</f>
        <v>Fatal</v>
      </c>
      <c r="D2308" s="8" t="str">
        <f ca="1">IFERROR(__xludf.DUMMYFUNCTION("""COMPUTED_VALUE"""),"Male")</f>
        <v>Male</v>
      </c>
      <c r="E2308" s="8" t="str">
        <f ca="1">IFERROR(__xludf.DUMMYFUNCTION("""COMPUTED_VALUE"""),"Student")</f>
        <v>Student</v>
      </c>
      <c r="F2308" s="8">
        <f ca="1">IFERROR(__xludf.DUMMYFUNCTION("""COMPUTED_VALUE"""),17)</f>
        <v>17</v>
      </c>
    </row>
    <row r="2309" spans="1:6" ht="12.75">
      <c r="A2309" s="4">
        <v>2308</v>
      </c>
      <c r="B2309" s="8" t="str">
        <f ca="1">IFERROR(__xludf.DUMMYFUNCTION("""COMPUTED_VALUE"""),"19930318GAHAH")</f>
        <v>19930318GAHAH</v>
      </c>
      <c r="C2309" s="8" t="str">
        <f ca="1">IFERROR(__xludf.DUMMYFUNCTION("""COMPUTED_VALUE"""),"Wounded")</f>
        <v>Wounded</v>
      </c>
      <c r="D2309" s="8" t="str">
        <f ca="1">IFERROR(__xludf.DUMMYFUNCTION("""COMPUTED_VALUE"""),"Male")</f>
        <v>Male</v>
      </c>
      <c r="E2309" s="8" t="str">
        <f ca="1">IFERROR(__xludf.DUMMYFUNCTION("""COMPUTED_VALUE"""),"Student")</f>
        <v>Student</v>
      </c>
      <c r="F2309" s="8">
        <f ca="1">IFERROR(__xludf.DUMMYFUNCTION("""COMPUTED_VALUE"""),15)</f>
        <v>15</v>
      </c>
    </row>
    <row r="2310" spans="1:6" ht="12.75">
      <c r="A2310" s="4">
        <v>2309</v>
      </c>
      <c r="B2310" s="8" t="str">
        <f ca="1">IFERROR(__xludf.DUMMYFUNCTION("""COMPUTED_VALUE"""),"19930318GAHAH")</f>
        <v>19930318GAHAH</v>
      </c>
      <c r="C2310" s="8" t="str">
        <f ca="1">IFERROR(__xludf.DUMMYFUNCTION("""COMPUTED_VALUE"""),"Fatal")</f>
        <v>Fatal</v>
      </c>
      <c r="D2310" s="8" t="str">
        <f ca="1">IFERROR(__xludf.DUMMYFUNCTION("""COMPUTED_VALUE"""),"Male")</f>
        <v>Male</v>
      </c>
      <c r="E2310" s="8" t="str">
        <f ca="1">IFERROR(__xludf.DUMMYFUNCTION("""COMPUTED_VALUE"""),"Student")</f>
        <v>Student</v>
      </c>
      <c r="F2310" s="8">
        <f ca="1">IFERROR(__xludf.DUMMYFUNCTION("""COMPUTED_VALUE"""),17)</f>
        <v>17</v>
      </c>
    </row>
    <row r="2311" spans="1:6" ht="12.75">
      <c r="A2311" s="4">
        <v>2310</v>
      </c>
      <c r="B2311" s="8" t="str">
        <f ca="1">IFERROR(__xludf.DUMMYFUNCTION("""COMPUTED_VALUE"""),"19930308VADOD")</f>
        <v>19930308VADOD</v>
      </c>
      <c r="C2311" s="8" t="str">
        <f ca="1">IFERROR(__xludf.DUMMYFUNCTION("""COMPUTED_VALUE"""),"Fatal")</f>
        <v>Fatal</v>
      </c>
      <c r="D2311" s="8" t="str">
        <f ca="1">IFERROR(__xludf.DUMMYFUNCTION("""COMPUTED_VALUE"""),"Female")</f>
        <v>Female</v>
      </c>
      <c r="E2311" s="8" t="str">
        <f ca="1">IFERROR(__xludf.DUMMYFUNCTION("""COMPUTED_VALUE"""),"Teacher")</f>
        <v>Teacher</v>
      </c>
      <c r="F2311" s="8">
        <f ca="1">IFERROR(__xludf.DUMMYFUNCTION("""COMPUTED_VALUE"""),45)</f>
        <v>45</v>
      </c>
    </row>
    <row r="2312" spans="1:6" ht="12.75">
      <c r="A2312" s="4">
        <v>2311</v>
      </c>
      <c r="B2312" s="8" t="str">
        <f ca="1">IFERROR(__xludf.DUMMYFUNCTION("""COMPUTED_VALUE"""),"19930226MAGLG")</f>
        <v>19930226MAGLG</v>
      </c>
      <c r="C2312" s="8" t="str">
        <f ca="1">IFERROR(__xludf.DUMMYFUNCTION("""COMPUTED_VALUE"""),"None")</f>
        <v>None</v>
      </c>
      <c r="D2312" s="8" t="str">
        <f ca="1">IFERROR(__xludf.DUMMYFUNCTION("""COMPUTED_VALUE"""),"Male")</f>
        <v>Male</v>
      </c>
      <c r="E2312" s="8" t="str">
        <f ca="1">IFERROR(__xludf.DUMMYFUNCTION("""COMPUTED_VALUE"""),"Student")</f>
        <v>Student</v>
      </c>
      <c r="F2312" s="8">
        <f ca="1">IFERROR(__xludf.DUMMYFUNCTION("""COMPUTED_VALUE"""),15)</f>
        <v>15</v>
      </c>
    </row>
    <row r="2313" spans="1:6" ht="12.75">
      <c r="A2313" s="4">
        <v>2312</v>
      </c>
      <c r="B2313" s="8" t="str">
        <f ca="1">IFERROR(__xludf.DUMMYFUNCTION("""COMPUTED_VALUE"""),"19930222CAREL")</f>
        <v>19930222CAREL</v>
      </c>
      <c r="C2313" s="8" t="str">
        <f ca="1">IFERROR(__xludf.DUMMYFUNCTION("""COMPUTED_VALUE"""),"Fatal")</f>
        <v>Fatal</v>
      </c>
      <c r="D2313" s="8" t="str">
        <f ca="1">IFERROR(__xludf.DUMMYFUNCTION("""COMPUTED_VALUE"""),"Male")</f>
        <v>Male</v>
      </c>
      <c r="E2313" s="8" t="str">
        <f ca="1">IFERROR(__xludf.DUMMYFUNCTION("""COMPUTED_VALUE"""),"Student")</f>
        <v>Student</v>
      </c>
      <c r="F2313" s="8">
        <f ca="1">IFERROR(__xludf.DUMMYFUNCTION("""COMPUTED_VALUE"""),17)</f>
        <v>17</v>
      </c>
    </row>
    <row r="2314" spans="1:6" ht="12.75">
      <c r="A2314" s="4">
        <v>2313</v>
      </c>
      <c r="B2314" s="8" t="str">
        <f ca="1">IFERROR(__xludf.DUMMYFUNCTION("""COMPUTED_VALUE"""),"19930208MNMIM")</f>
        <v>19930208MNMIM</v>
      </c>
      <c r="C2314" s="8" t="str">
        <f ca="1">IFERROR(__xludf.DUMMYFUNCTION("""COMPUTED_VALUE"""),"None")</f>
        <v>None</v>
      </c>
      <c r="D2314" s="8" t="str">
        <f ca="1">IFERROR(__xludf.DUMMYFUNCTION("""COMPUTED_VALUE"""),"Male")</f>
        <v>Male</v>
      </c>
      <c r="E2314" s="8" t="str">
        <f ca="1">IFERROR(__xludf.DUMMYFUNCTION("""COMPUTED_VALUE"""),"Student")</f>
        <v>Student</v>
      </c>
      <c r="F2314" s="8">
        <f ca="1">IFERROR(__xludf.DUMMYFUNCTION("""COMPUTED_VALUE"""),14)</f>
        <v>14</v>
      </c>
    </row>
    <row r="2315" spans="1:6" ht="12.75">
      <c r="A2315" s="4">
        <v>2314</v>
      </c>
      <c r="B2315" s="8" t="str">
        <f ca="1">IFERROR(__xludf.DUMMYFUNCTION("""COMPUTED_VALUE"""),"19930208DCWAW")</f>
        <v>19930208DCWAW</v>
      </c>
      <c r="C2315" s="8" t="str">
        <f ca="1">IFERROR(__xludf.DUMMYFUNCTION("""COMPUTED_VALUE"""),"Fatal")</f>
        <v>Fatal</v>
      </c>
      <c r="D2315" s="8" t="str">
        <f ca="1">IFERROR(__xludf.DUMMYFUNCTION("""COMPUTED_VALUE"""),"Male")</f>
        <v>Male</v>
      </c>
      <c r="E2315" s="8" t="str">
        <f ca="1">IFERROR(__xludf.DUMMYFUNCTION("""COMPUTED_VALUE"""),"Student")</f>
        <v>Student</v>
      </c>
      <c r="F2315" s="8">
        <f ca="1">IFERROR(__xludf.DUMMYFUNCTION("""COMPUTED_VALUE"""),21)</f>
        <v>21</v>
      </c>
    </row>
    <row r="2316" spans="1:6" ht="12.75">
      <c r="A2316" s="4">
        <v>2315</v>
      </c>
      <c r="B2316" s="8" t="str">
        <f ca="1">IFERROR(__xludf.DUMMYFUNCTION("""COMPUTED_VALUE"""),"19930204GACLA")</f>
        <v>19930204GACLA</v>
      </c>
      <c r="C2316" s="8" t="str">
        <f ca="1">IFERROR(__xludf.DUMMYFUNCTION("""COMPUTED_VALUE"""),"Fatal")</f>
        <v>Fatal</v>
      </c>
      <c r="D2316" s="8" t="str">
        <f ca="1">IFERROR(__xludf.DUMMYFUNCTION("""COMPUTED_VALUE"""),"Male")</f>
        <v>Male</v>
      </c>
      <c r="E2316" s="8" t="str">
        <f ca="1">IFERROR(__xludf.DUMMYFUNCTION("""COMPUTED_VALUE"""),"Student")</f>
        <v>Student</v>
      </c>
      <c r="F2316" s="8" t="str">
        <f ca="1">IFERROR(__xludf.DUMMYFUNCTION("""COMPUTED_VALUE"""),"Teen")</f>
        <v>Teen</v>
      </c>
    </row>
    <row r="2317" spans="1:6" ht="12.75">
      <c r="A2317" s="4">
        <v>2316</v>
      </c>
      <c r="B2317" s="8" t="str">
        <f ca="1">IFERROR(__xludf.DUMMYFUNCTION("""COMPUTED_VALUE"""),"19930203SCLEL")</f>
        <v>19930203SCLEL</v>
      </c>
      <c r="C2317" s="8" t="str">
        <f ca="1">IFERROR(__xludf.DUMMYFUNCTION("""COMPUTED_VALUE"""),"Wounded")</f>
        <v>Wounded</v>
      </c>
      <c r="D2317" s="8" t="str">
        <f ca="1">IFERROR(__xludf.DUMMYFUNCTION("""COMPUTED_VALUE"""),"Male")</f>
        <v>Male</v>
      </c>
      <c r="E2317" s="8" t="str">
        <f ca="1">IFERROR(__xludf.DUMMYFUNCTION("""COMPUTED_VALUE"""),"Student")</f>
        <v>Student</v>
      </c>
      <c r="F2317" s="8">
        <f ca="1">IFERROR(__xludf.DUMMYFUNCTION("""COMPUTED_VALUE"""),17)</f>
        <v>17</v>
      </c>
    </row>
    <row r="2318" spans="1:6" ht="12.75">
      <c r="A2318" s="4">
        <v>2317</v>
      </c>
      <c r="B2318" s="8" t="str">
        <f ca="1">IFERROR(__xludf.DUMMYFUNCTION("""COMPUTED_VALUE"""),"19930203SCGAC")</f>
        <v>19930203SCGAC</v>
      </c>
      <c r="C2318" s="8" t="str">
        <f ca="1">IFERROR(__xludf.DUMMYFUNCTION("""COMPUTED_VALUE"""),"Wounded")</f>
        <v>Wounded</v>
      </c>
      <c r="D2318" s="8" t="str">
        <f ca="1">IFERROR(__xludf.DUMMYFUNCTION("""COMPUTED_VALUE"""),"Male")</f>
        <v>Male</v>
      </c>
      <c r="E2318" s="8" t="str">
        <f ca="1">IFERROR(__xludf.DUMMYFUNCTION("""COMPUTED_VALUE"""),"Student")</f>
        <v>Student</v>
      </c>
      <c r="F2318" s="8">
        <f ca="1">IFERROR(__xludf.DUMMYFUNCTION("""COMPUTED_VALUE"""),20)</f>
        <v>20</v>
      </c>
    </row>
    <row r="2319" spans="1:6" ht="12.75">
      <c r="A2319" s="4">
        <v>2318</v>
      </c>
      <c r="B2319" s="8" t="str">
        <f ca="1">IFERROR(__xludf.DUMMYFUNCTION("""COMPUTED_VALUE"""),"19930201WARER")</f>
        <v>19930201WARER</v>
      </c>
      <c r="C2319" s="8" t="str">
        <f ca="1">IFERROR(__xludf.DUMMYFUNCTION("""COMPUTED_VALUE"""),"None")</f>
        <v>None</v>
      </c>
      <c r="D2319" s="8" t="str">
        <f ca="1">IFERROR(__xludf.DUMMYFUNCTION("""COMPUTED_VALUE"""),"Male")</f>
        <v>Male</v>
      </c>
      <c r="E2319" s="8" t="str">
        <f ca="1">IFERROR(__xludf.DUMMYFUNCTION("""COMPUTED_VALUE"""),"Student")</f>
        <v>Student</v>
      </c>
      <c r="F2319" s="8">
        <f ca="1">IFERROR(__xludf.DUMMYFUNCTION("""COMPUTED_VALUE"""),14)</f>
        <v>14</v>
      </c>
    </row>
    <row r="2320" spans="1:6" ht="12.75">
      <c r="A2320" s="4">
        <v>2319</v>
      </c>
      <c r="B2320" s="8" t="str">
        <f ca="1">IFERROR(__xludf.DUMMYFUNCTION("""COMPUTED_VALUE"""),"19930201NYAMA")</f>
        <v>19930201NYAMA</v>
      </c>
      <c r="C2320" s="8" t="str">
        <f ca="1">IFERROR(__xludf.DUMMYFUNCTION("""COMPUTED_VALUE"""),"Fatal")</f>
        <v>Fatal</v>
      </c>
      <c r="D2320" s="8" t="str">
        <f ca="1">IFERROR(__xludf.DUMMYFUNCTION("""COMPUTED_VALUE"""),"Male")</f>
        <v>Male</v>
      </c>
      <c r="E2320" s="8" t="str">
        <f ca="1">IFERROR(__xludf.DUMMYFUNCTION("""COMPUTED_VALUE"""),"Nonstudent")</f>
        <v>Nonstudent</v>
      </c>
      <c r="F2320" s="8">
        <f ca="1">IFERROR(__xludf.DUMMYFUNCTION("""COMPUTED_VALUE"""),17)</f>
        <v>17</v>
      </c>
    </row>
    <row r="2321" spans="1:6" ht="12.75">
      <c r="A2321" s="4">
        <v>2320</v>
      </c>
      <c r="B2321" s="8" t="str">
        <f ca="1">IFERROR(__xludf.DUMMYFUNCTION("""COMPUTED_VALUE"""),"19930201NYAMA")</f>
        <v>19930201NYAMA</v>
      </c>
      <c r="C2321" s="8" t="str">
        <f ca="1">IFERROR(__xludf.DUMMYFUNCTION("""COMPUTED_VALUE"""),"Wounded")</f>
        <v>Wounded</v>
      </c>
      <c r="D2321" s="8" t="str">
        <f ca="1">IFERROR(__xludf.DUMMYFUNCTION("""COMPUTED_VALUE"""),"Male")</f>
        <v>Male</v>
      </c>
      <c r="E2321" s="8" t="str">
        <f ca="1">IFERROR(__xludf.DUMMYFUNCTION("""COMPUTED_VALUE"""),"Nonstudent")</f>
        <v>Nonstudent</v>
      </c>
      <c r="F2321" s="8">
        <f ca="1">IFERROR(__xludf.DUMMYFUNCTION("""COMPUTED_VALUE"""),17)</f>
        <v>17</v>
      </c>
    </row>
    <row r="2322" spans="1:6" ht="12.75">
      <c r="A2322" s="4">
        <v>2321</v>
      </c>
      <c r="B2322" s="8" t="str">
        <f ca="1">IFERROR(__xludf.DUMMYFUNCTION("""COMPUTED_VALUE"""),"19930121CAFAL")</f>
        <v>19930121CAFAL</v>
      </c>
      <c r="C2322" s="8" t="str">
        <f ca="1">IFERROR(__xludf.DUMMYFUNCTION("""COMPUTED_VALUE"""),"Fatal")</f>
        <v>Fatal</v>
      </c>
      <c r="D2322" s="8" t="str">
        <f ca="1">IFERROR(__xludf.DUMMYFUNCTION("""COMPUTED_VALUE"""),"Male")</f>
        <v>Male</v>
      </c>
      <c r="E2322" s="8" t="str">
        <f ca="1">IFERROR(__xludf.DUMMYFUNCTION("""COMPUTED_VALUE"""),"Student")</f>
        <v>Student</v>
      </c>
      <c r="F2322" s="8">
        <f ca="1">IFERROR(__xludf.DUMMYFUNCTION("""COMPUTED_VALUE"""),17)</f>
        <v>17</v>
      </c>
    </row>
    <row r="2323" spans="1:6" ht="12.75">
      <c r="A2323" s="4">
        <v>2322</v>
      </c>
      <c r="B2323" s="8" t="str">
        <f ca="1">IFERROR(__xludf.DUMMYFUNCTION("""COMPUTED_VALUE"""),"19930121CAFAL")</f>
        <v>19930121CAFAL</v>
      </c>
      <c r="C2323" s="8" t="str">
        <f ca="1">IFERROR(__xludf.DUMMYFUNCTION("""COMPUTED_VALUE"""),"Wounded")</f>
        <v>Wounded</v>
      </c>
      <c r="D2323" s="8" t="str">
        <f ca="1">IFERROR(__xludf.DUMMYFUNCTION("""COMPUTED_VALUE"""),"Male")</f>
        <v>Male</v>
      </c>
      <c r="E2323" s="8" t="str">
        <f ca="1">IFERROR(__xludf.DUMMYFUNCTION("""COMPUTED_VALUE"""),"Student")</f>
        <v>Student</v>
      </c>
      <c r="F2323" s="8">
        <f ca="1">IFERROR(__xludf.DUMMYFUNCTION("""COMPUTED_VALUE"""),16)</f>
        <v>16</v>
      </c>
    </row>
    <row r="2324" spans="1:6" ht="12.75">
      <c r="A2324" s="4">
        <v>2323</v>
      </c>
      <c r="B2324" s="8" t="str">
        <f ca="1">IFERROR(__xludf.DUMMYFUNCTION("""COMPUTED_VALUE"""),"19930118KYEAG")</f>
        <v>19930118KYEAG</v>
      </c>
      <c r="C2324" s="8" t="str">
        <f ca="1">IFERROR(__xludf.DUMMYFUNCTION("""COMPUTED_VALUE"""),"Fatal")</f>
        <v>Fatal</v>
      </c>
      <c r="D2324" s="8" t="str">
        <f ca="1">IFERROR(__xludf.DUMMYFUNCTION("""COMPUTED_VALUE"""),"Male")</f>
        <v>Male</v>
      </c>
      <c r="E2324" s="8" t="str">
        <f ca="1">IFERROR(__xludf.DUMMYFUNCTION("""COMPUTED_VALUE"""),"Teacher")</f>
        <v>Teacher</v>
      </c>
      <c r="F2324" s="8">
        <f ca="1">IFERROR(__xludf.DUMMYFUNCTION("""COMPUTED_VALUE"""),48)</f>
        <v>48</v>
      </c>
    </row>
    <row r="2325" spans="1:6" ht="12.75">
      <c r="A2325" s="4">
        <v>2324</v>
      </c>
      <c r="B2325" s="8" t="str">
        <f ca="1">IFERROR(__xludf.DUMMYFUNCTION("""COMPUTED_VALUE"""),"19930118KYEAG")</f>
        <v>19930118KYEAG</v>
      </c>
      <c r="C2325" s="8" t="str">
        <f ca="1">IFERROR(__xludf.DUMMYFUNCTION("""COMPUTED_VALUE"""),"Fatal")</f>
        <v>Fatal</v>
      </c>
      <c r="D2325" s="8" t="str">
        <f ca="1">IFERROR(__xludf.DUMMYFUNCTION("""COMPUTED_VALUE"""),"Female")</f>
        <v>Female</v>
      </c>
      <c r="E2325" s="8" t="str">
        <f ca="1">IFERROR(__xludf.DUMMYFUNCTION("""COMPUTED_VALUE"""),"Teacher")</f>
        <v>Teacher</v>
      </c>
      <c r="F2325" s="8">
        <f ca="1">IFERROR(__xludf.DUMMYFUNCTION("""COMPUTED_VALUE"""),51)</f>
        <v>51</v>
      </c>
    </row>
    <row r="2326" spans="1:6" ht="12.75">
      <c r="A2326" s="4">
        <v>2325</v>
      </c>
      <c r="B2326" s="8" t="str">
        <f ca="1">IFERROR(__xludf.DUMMYFUNCTION("""COMPUTED_VALUE"""),"19930112FLNOM")</f>
        <v>19930112FLNOM</v>
      </c>
      <c r="C2326" s="8" t="str">
        <f ca="1">IFERROR(__xludf.DUMMYFUNCTION("""COMPUTED_VALUE"""),"Fatal")</f>
        <v>Fatal</v>
      </c>
      <c r="D2326" s="8" t="str">
        <f ca="1">IFERROR(__xludf.DUMMYFUNCTION("""COMPUTED_VALUE"""),"Male")</f>
        <v>Male</v>
      </c>
      <c r="E2326" s="8" t="str">
        <f ca="1">IFERROR(__xludf.DUMMYFUNCTION("""COMPUTED_VALUE"""),"Student")</f>
        <v>Student</v>
      </c>
      <c r="F2326" s="8">
        <f ca="1">IFERROR(__xludf.DUMMYFUNCTION("""COMPUTED_VALUE"""),18)</f>
        <v>18</v>
      </c>
    </row>
    <row r="2327" spans="1:6" ht="12.75">
      <c r="A2327" s="4">
        <v>2326</v>
      </c>
      <c r="B2327" s="8" t="str">
        <f ca="1">IFERROR(__xludf.DUMMYFUNCTION("""COMPUTED_VALUE"""),"19930108PACRM")</f>
        <v>19930108PACRM</v>
      </c>
      <c r="C2327" s="8" t="str">
        <f ca="1">IFERROR(__xludf.DUMMYFUNCTION("""COMPUTED_VALUE"""),"Wounded")</f>
        <v>Wounded</v>
      </c>
      <c r="D2327" s="8" t="str">
        <f ca="1">IFERROR(__xludf.DUMMYFUNCTION("""COMPUTED_VALUE"""),"Male")</f>
        <v>Male</v>
      </c>
      <c r="E2327" s="8" t="str">
        <f ca="1">IFERROR(__xludf.DUMMYFUNCTION("""COMPUTED_VALUE"""),"Student")</f>
        <v>Student</v>
      </c>
      <c r="F2327" s="8">
        <f ca="1">IFERROR(__xludf.DUMMYFUNCTION("""COMPUTED_VALUE"""),15)</f>
        <v>15</v>
      </c>
    </row>
    <row r="2328" spans="1:6" ht="12.75">
      <c r="A2328" s="4">
        <v>2327</v>
      </c>
      <c r="B2328" s="8" t="str">
        <f ca="1">IFERROR(__xludf.DUMMYFUNCTION("""COMPUTED_VALUE"""),"19930105NYBRB")</f>
        <v>19930105NYBRB</v>
      </c>
      <c r="C2328" s="8" t="str">
        <f ca="1">IFERROR(__xludf.DUMMYFUNCTION("""COMPUTED_VALUE"""),"Wounded")</f>
        <v>Wounded</v>
      </c>
      <c r="D2328" s="8" t="str">
        <f ca="1">IFERROR(__xludf.DUMMYFUNCTION("""COMPUTED_VALUE"""),"Male")</f>
        <v>Male</v>
      </c>
      <c r="E2328" s="8" t="str">
        <f ca="1">IFERROR(__xludf.DUMMYFUNCTION("""COMPUTED_VALUE"""),"Former Student")</f>
        <v>Former Student</v>
      </c>
      <c r="F2328" s="8">
        <f ca="1">IFERROR(__xludf.DUMMYFUNCTION("""COMPUTED_VALUE"""),19)</f>
        <v>19</v>
      </c>
    </row>
    <row r="2329" spans="1:6" ht="12.75">
      <c r="A2329" s="4">
        <v>2328</v>
      </c>
      <c r="B2329" s="8" t="str">
        <f ca="1">IFERROR(__xludf.DUMMYFUNCTION("""COMPUTED_VALUE"""),"19921214NYWAW")</f>
        <v>19921214NYWAW</v>
      </c>
      <c r="C2329" s="8" t="str">
        <f ca="1">IFERROR(__xludf.DUMMYFUNCTION("""COMPUTED_VALUE"""),"Wounded")</f>
        <v>Wounded</v>
      </c>
      <c r="D2329" s="8" t="str">
        <f ca="1">IFERROR(__xludf.DUMMYFUNCTION("""COMPUTED_VALUE"""),"Female")</f>
        <v>Female</v>
      </c>
      <c r="E2329" s="8" t="str">
        <f ca="1">IFERROR(__xludf.DUMMYFUNCTION("""COMPUTED_VALUE"""),"Teacher")</f>
        <v>Teacher</v>
      </c>
      <c r="F2329" s="8">
        <f ca="1">IFERROR(__xludf.DUMMYFUNCTION("""COMPUTED_VALUE"""),49)</f>
        <v>49</v>
      </c>
    </row>
    <row r="2330" spans="1:6" ht="12.75">
      <c r="A2330" s="4">
        <v>2329</v>
      </c>
      <c r="B2330" s="8" t="str">
        <f ca="1">IFERROR(__xludf.DUMMYFUNCTION("""COMPUTED_VALUE"""),"19921203ILWOC")</f>
        <v>19921203ILWOC</v>
      </c>
      <c r="C2330" s="8" t="str">
        <f ca="1">IFERROR(__xludf.DUMMYFUNCTION("""COMPUTED_VALUE"""),"Fatal")</f>
        <v>Fatal</v>
      </c>
      <c r="D2330" s="8" t="str">
        <f ca="1">IFERROR(__xludf.DUMMYFUNCTION("""COMPUTED_VALUE"""),"Male")</f>
        <v>Male</v>
      </c>
      <c r="E2330" s="8" t="str">
        <f ca="1">IFERROR(__xludf.DUMMYFUNCTION("""COMPUTED_VALUE"""),"No Relation")</f>
        <v>No Relation</v>
      </c>
      <c r="F2330" s="8">
        <f ca="1">IFERROR(__xludf.DUMMYFUNCTION("""COMPUTED_VALUE"""),19)</f>
        <v>19</v>
      </c>
    </row>
    <row r="2331" spans="1:6" ht="12.75">
      <c r="A2331" s="4">
        <v>2330</v>
      </c>
      <c r="B2331" s="8" t="str">
        <f ca="1">IFERROR(__xludf.DUMMYFUNCTION("""COMPUTED_VALUE"""),"19921203ILWOC")</f>
        <v>19921203ILWOC</v>
      </c>
      <c r="C2331" s="8" t="str">
        <f ca="1">IFERROR(__xludf.DUMMYFUNCTION("""COMPUTED_VALUE"""),"Wounded")</f>
        <v>Wounded</v>
      </c>
      <c r="D2331" s="8" t="str">
        <f ca="1">IFERROR(__xludf.DUMMYFUNCTION("""COMPUTED_VALUE"""),"Male")</f>
        <v>Male</v>
      </c>
      <c r="E2331" s="8" t="str">
        <f ca="1">IFERROR(__xludf.DUMMYFUNCTION("""COMPUTED_VALUE"""),"No Relation")</f>
        <v>No Relation</v>
      </c>
      <c r="F2331" s="8">
        <f ca="1">IFERROR(__xludf.DUMMYFUNCTION("""COMPUTED_VALUE"""),25)</f>
        <v>25</v>
      </c>
    </row>
    <row r="2332" spans="1:6" ht="12.75">
      <c r="A2332" s="4">
        <v>2331</v>
      </c>
      <c r="B2332" s="8" t="str">
        <f ca="1">IFERROR(__xludf.DUMMYFUNCTION("""COMPUTED_VALUE"""),"19921130ILORC")</f>
        <v>19921130ILORC</v>
      </c>
      <c r="C2332" s="8" t="str">
        <f ca="1">IFERROR(__xludf.DUMMYFUNCTION("""COMPUTED_VALUE"""),"Wounded")</f>
        <v>Wounded</v>
      </c>
      <c r="D2332" s="8" t="str">
        <f ca="1">IFERROR(__xludf.DUMMYFUNCTION("""COMPUTED_VALUE"""),"Male")</f>
        <v>Male</v>
      </c>
      <c r="E2332" s="8" t="str">
        <f ca="1">IFERROR(__xludf.DUMMYFUNCTION("""COMPUTED_VALUE"""),"Student")</f>
        <v>Student</v>
      </c>
      <c r="F2332" s="8">
        <f ca="1">IFERROR(__xludf.DUMMYFUNCTION("""COMPUTED_VALUE"""),16)</f>
        <v>16</v>
      </c>
    </row>
    <row r="2333" spans="1:6" ht="12.75">
      <c r="A2333" s="4">
        <v>2332</v>
      </c>
      <c r="B2333" s="8" t="str">
        <f ca="1">IFERROR(__xludf.DUMMYFUNCTION("""COMPUTED_VALUE"""),"19921124ALROM")</f>
        <v>19921124ALROM</v>
      </c>
      <c r="C2333" s="8" t="str">
        <f ca="1">IFERROR(__xludf.DUMMYFUNCTION("""COMPUTED_VALUE"""),"Wounded")</f>
        <v>Wounded</v>
      </c>
      <c r="D2333" s="8" t="str">
        <f ca="1">IFERROR(__xludf.DUMMYFUNCTION("""COMPUTED_VALUE"""),"Female")</f>
        <v>Female</v>
      </c>
      <c r="E2333" s="8" t="str">
        <f ca="1">IFERROR(__xludf.DUMMYFUNCTION("""COMPUTED_VALUE"""),"Student")</f>
        <v>Student</v>
      </c>
      <c r="F2333" s="8">
        <f ca="1">IFERROR(__xludf.DUMMYFUNCTION("""COMPUTED_VALUE"""),18)</f>
        <v>18</v>
      </c>
    </row>
    <row r="2334" spans="1:6" ht="12.75">
      <c r="A2334" s="4">
        <v>2333</v>
      </c>
      <c r="B2334" s="8" t="str">
        <f ca="1">IFERROR(__xludf.DUMMYFUNCTION("""COMPUTED_VALUE"""),"19921120ILTIC")</f>
        <v>19921120ILTIC</v>
      </c>
      <c r="C2334" s="8" t="str">
        <f ca="1">IFERROR(__xludf.DUMMYFUNCTION("""COMPUTED_VALUE"""),"Fatal")</f>
        <v>Fatal</v>
      </c>
      <c r="D2334" s="8" t="str">
        <f ca="1">IFERROR(__xludf.DUMMYFUNCTION("""COMPUTED_VALUE"""),"Male")</f>
        <v>Male</v>
      </c>
      <c r="E2334" s="8" t="str">
        <f ca="1">IFERROR(__xludf.DUMMYFUNCTION("""COMPUTED_VALUE"""),"Student")</f>
        <v>Student</v>
      </c>
      <c r="F2334" s="8">
        <f ca="1">IFERROR(__xludf.DUMMYFUNCTION("""COMPUTED_VALUE"""),15)</f>
        <v>15</v>
      </c>
    </row>
    <row r="2335" spans="1:6" ht="12.75">
      <c r="A2335" s="4">
        <v>2334</v>
      </c>
      <c r="B2335" s="8" t="str">
        <f ca="1">IFERROR(__xludf.DUMMYFUNCTION("""COMPUTED_VALUE"""),"19921120ILTIC")</f>
        <v>19921120ILTIC</v>
      </c>
      <c r="C2335" s="8" t="str">
        <f ca="1">IFERROR(__xludf.DUMMYFUNCTION("""COMPUTED_VALUE"""),"Wounded")</f>
        <v>Wounded</v>
      </c>
      <c r="D2335" s="8" t="str">
        <f ca="1">IFERROR(__xludf.DUMMYFUNCTION("""COMPUTED_VALUE"""),"Male")</f>
        <v>Male</v>
      </c>
      <c r="E2335" s="8" t="str">
        <f ca="1">IFERROR(__xludf.DUMMYFUNCTION("""COMPUTED_VALUE"""),"Student")</f>
        <v>Student</v>
      </c>
      <c r="F2335" s="8">
        <f ca="1">IFERROR(__xludf.DUMMYFUNCTION("""COMPUTED_VALUE"""),17)</f>
        <v>17</v>
      </c>
    </row>
    <row r="2336" spans="1:6" ht="12.75">
      <c r="A2336" s="4">
        <v>2335</v>
      </c>
      <c r="B2336" s="8" t="str">
        <f ca="1">IFERROR(__xludf.DUMMYFUNCTION("""COMPUTED_VALUE"""),"19921120ILTIC")</f>
        <v>19921120ILTIC</v>
      </c>
      <c r="C2336" s="8" t="str">
        <f ca="1">IFERROR(__xludf.DUMMYFUNCTION("""COMPUTED_VALUE"""),"Wounded")</f>
        <v>Wounded</v>
      </c>
      <c r="D2336" s="8" t="str">
        <f ca="1">IFERROR(__xludf.DUMMYFUNCTION("""COMPUTED_VALUE"""),"Male")</f>
        <v>Male</v>
      </c>
      <c r="E2336" s="8" t="str">
        <f ca="1">IFERROR(__xludf.DUMMYFUNCTION("""COMPUTED_VALUE"""),"Student")</f>
        <v>Student</v>
      </c>
      <c r="F2336" s="8">
        <f ca="1">IFERROR(__xludf.DUMMYFUNCTION("""COMPUTED_VALUE"""),15)</f>
        <v>15</v>
      </c>
    </row>
    <row r="2337" spans="1:6" ht="12.75">
      <c r="A2337" s="4">
        <v>2336</v>
      </c>
      <c r="B2337" s="8" t="str">
        <f ca="1">IFERROR(__xludf.DUMMYFUNCTION("""COMPUTED_VALUE"""),"19921116ALFAB")</f>
        <v>19921116ALFAB</v>
      </c>
      <c r="C2337" s="8" t="str">
        <f ca="1">IFERROR(__xludf.DUMMYFUNCTION("""COMPUTED_VALUE"""),"Fatal")</f>
        <v>Fatal</v>
      </c>
      <c r="D2337" s="8" t="str">
        <f ca="1">IFERROR(__xludf.DUMMYFUNCTION("""COMPUTED_VALUE"""),"Male")</f>
        <v>Male</v>
      </c>
      <c r="E2337" s="8" t="str">
        <f ca="1">IFERROR(__xludf.DUMMYFUNCTION("""COMPUTED_VALUE"""),"Student")</f>
        <v>Student</v>
      </c>
      <c r="F2337" s="8">
        <f ca="1">IFERROR(__xludf.DUMMYFUNCTION("""COMPUTED_VALUE"""),16)</f>
        <v>16</v>
      </c>
    </row>
    <row r="2338" spans="1:6" ht="12.75">
      <c r="A2338" s="4">
        <v>2337</v>
      </c>
      <c r="B2338" s="8" t="str">
        <f ca="1">IFERROR(__xludf.DUMMYFUNCTION("""COMPUTED_VALUE"""),"19921113TXLAC")</f>
        <v>19921113TXLAC</v>
      </c>
      <c r="C2338" s="8" t="str">
        <f ca="1">IFERROR(__xludf.DUMMYFUNCTION("""COMPUTED_VALUE"""),"Fatal")</f>
        <v>Fatal</v>
      </c>
      <c r="D2338" s="8" t="str">
        <f ca="1">IFERROR(__xludf.DUMMYFUNCTION("""COMPUTED_VALUE"""),"Female")</f>
        <v>Female</v>
      </c>
      <c r="E2338" s="8" t="str">
        <f ca="1">IFERROR(__xludf.DUMMYFUNCTION("""COMPUTED_VALUE"""),"Teacher")</f>
        <v>Teacher</v>
      </c>
      <c r="F2338" s="8">
        <f ca="1">IFERROR(__xludf.DUMMYFUNCTION("""COMPUTED_VALUE"""),39)</f>
        <v>39</v>
      </c>
    </row>
    <row r="2339" spans="1:6" ht="12.75">
      <c r="A2339" s="4">
        <v>2338</v>
      </c>
      <c r="B2339" s="8" t="str">
        <f ca="1">IFERROR(__xludf.DUMMYFUNCTION("""COMPUTED_VALUE"""),"19921110ILSHC")</f>
        <v>19921110ILSHC</v>
      </c>
      <c r="C2339" s="8" t="str">
        <f ca="1">IFERROR(__xludf.DUMMYFUNCTION("""COMPUTED_VALUE"""),"None")</f>
        <v>None</v>
      </c>
      <c r="D2339" s="8" t="str">
        <f ca="1">IFERROR(__xludf.DUMMYFUNCTION("""COMPUTED_VALUE"""),"Male")</f>
        <v>Male</v>
      </c>
      <c r="E2339" s="8" t="str">
        <f ca="1">IFERROR(__xludf.DUMMYFUNCTION("""COMPUTED_VALUE"""),"Student")</f>
        <v>Student</v>
      </c>
      <c r="F2339" s="8">
        <f ca="1">IFERROR(__xludf.DUMMYFUNCTION("""COMPUTED_VALUE"""),13)</f>
        <v>13</v>
      </c>
    </row>
    <row r="2340" spans="1:6" ht="12.75">
      <c r="A2340" s="4">
        <v>2339</v>
      </c>
      <c r="B2340" s="8" t="str">
        <f ca="1">IFERROR(__xludf.DUMMYFUNCTION("""COMPUTED_VALUE"""),"19921104MIMUD")</f>
        <v>19921104MIMUD</v>
      </c>
      <c r="C2340" s="8" t="str">
        <f ca="1">IFERROR(__xludf.DUMMYFUNCTION("""COMPUTED_VALUE"""),"Wounded")</f>
        <v>Wounded</v>
      </c>
      <c r="D2340" s="8" t="str">
        <f ca="1">IFERROR(__xludf.DUMMYFUNCTION("""COMPUTED_VALUE"""),"Male")</f>
        <v>Male</v>
      </c>
      <c r="E2340" s="8" t="str">
        <f ca="1">IFERROR(__xludf.DUMMYFUNCTION("""COMPUTED_VALUE"""),"No Relation")</f>
        <v>No Relation</v>
      </c>
      <c r="F2340" s="8" t="str">
        <f ca="1">IFERROR(__xludf.DUMMYFUNCTION("""COMPUTED_VALUE"""),"Teen")</f>
        <v>Teen</v>
      </c>
    </row>
    <row r="2341" spans="1:6" ht="12.75">
      <c r="A2341" s="4">
        <v>2340</v>
      </c>
      <c r="B2341" s="8" t="str">
        <f ca="1">IFERROR(__xludf.DUMMYFUNCTION("""COMPUTED_VALUE"""),"19921104MIMUD")</f>
        <v>19921104MIMUD</v>
      </c>
      <c r="C2341" s="8" t="str">
        <f ca="1">IFERROR(__xludf.DUMMYFUNCTION("""COMPUTED_VALUE"""),"Wounded")</f>
        <v>Wounded</v>
      </c>
      <c r="D2341" s="8" t="str">
        <f ca="1">IFERROR(__xludf.DUMMYFUNCTION("""COMPUTED_VALUE"""),"Male")</f>
        <v>Male</v>
      </c>
      <c r="E2341" s="8" t="str">
        <f ca="1">IFERROR(__xludf.DUMMYFUNCTION("""COMPUTED_VALUE"""),"No Relation")</f>
        <v>No Relation</v>
      </c>
      <c r="F2341" s="8" t="str">
        <f ca="1">IFERROR(__xludf.DUMMYFUNCTION("""COMPUTED_VALUE"""),"Teen")</f>
        <v>Teen</v>
      </c>
    </row>
    <row r="2342" spans="1:6" ht="12.75">
      <c r="A2342" s="4">
        <v>2341</v>
      </c>
      <c r="B2342" s="8" t="str">
        <f ca="1">IFERROR(__xludf.DUMMYFUNCTION("""COMPUTED_VALUE"""),"19921104MIMUD")</f>
        <v>19921104MIMUD</v>
      </c>
      <c r="C2342" s="8" t="str">
        <f ca="1">IFERROR(__xludf.DUMMYFUNCTION("""COMPUTED_VALUE"""),"Wounded")</f>
        <v>Wounded</v>
      </c>
      <c r="D2342" s="8" t="str">
        <f ca="1">IFERROR(__xludf.DUMMYFUNCTION("""COMPUTED_VALUE"""),"Male")</f>
        <v>Male</v>
      </c>
      <c r="E2342" s="8" t="str">
        <f ca="1">IFERROR(__xludf.DUMMYFUNCTION("""COMPUTED_VALUE"""),"No Relation")</f>
        <v>No Relation</v>
      </c>
      <c r="F2342" s="8" t="str">
        <f ca="1">IFERROR(__xludf.DUMMYFUNCTION("""COMPUTED_VALUE"""),"Teen")</f>
        <v>Teen</v>
      </c>
    </row>
    <row r="2343" spans="1:6" ht="12.75">
      <c r="A2343" s="4">
        <v>2342</v>
      </c>
      <c r="B2343" s="8" t="str">
        <f ca="1">IFERROR(__xludf.DUMMYFUNCTION("""COMPUTED_VALUE"""),"19921104MIMAD")</f>
        <v>19921104MIMAD</v>
      </c>
      <c r="C2343" s="8" t="str">
        <f ca="1">IFERROR(__xludf.DUMMYFUNCTION("""COMPUTED_VALUE"""),"Wounded")</f>
        <v>Wounded</v>
      </c>
      <c r="D2343" s="8" t="str">
        <f ca="1">IFERROR(__xludf.DUMMYFUNCTION("""COMPUTED_VALUE"""),"Male")</f>
        <v>Male</v>
      </c>
      <c r="E2343" s="8" t="str">
        <f ca="1">IFERROR(__xludf.DUMMYFUNCTION("""COMPUTED_VALUE"""),"Student")</f>
        <v>Student</v>
      </c>
      <c r="F2343" s="8">
        <f ca="1">IFERROR(__xludf.DUMMYFUNCTION("""COMPUTED_VALUE"""),16)</f>
        <v>16</v>
      </c>
    </row>
    <row r="2344" spans="1:6" ht="12.75">
      <c r="A2344" s="4">
        <v>2343</v>
      </c>
      <c r="B2344" s="8" t="str">
        <f ca="1">IFERROR(__xludf.DUMMYFUNCTION("""COMPUTED_VALUE"""),"19921104MIFID")</f>
        <v>19921104MIFID</v>
      </c>
      <c r="C2344" s="8" t="str">
        <f ca="1">IFERROR(__xludf.DUMMYFUNCTION("""COMPUTED_VALUE"""),"Minor Injuries")</f>
        <v>Minor Injuries</v>
      </c>
      <c r="D2344" s="8"/>
      <c r="E2344" s="8" t="str">
        <f ca="1">IFERROR(__xludf.DUMMYFUNCTION("""COMPUTED_VALUE"""),"Student")</f>
        <v>Student</v>
      </c>
      <c r="F2344" s="8" t="str">
        <f ca="1">IFERROR(__xludf.DUMMYFUNCTION("""COMPUTED_VALUE"""),"Teen")</f>
        <v>Teen</v>
      </c>
    </row>
    <row r="2345" spans="1:6" ht="12.75">
      <c r="A2345" s="4">
        <v>2344</v>
      </c>
      <c r="B2345" s="8" t="str">
        <f ca="1">IFERROR(__xludf.DUMMYFUNCTION("""COMPUTED_VALUE"""),"19921104MIFID")</f>
        <v>19921104MIFID</v>
      </c>
      <c r="C2345" s="8" t="str">
        <f ca="1">IFERROR(__xludf.DUMMYFUNCTION("""COMPUTED_VALUE"""),"Minor Injuries")</f>
        <v>Minor Injuries</v>
      </c>
      <c r="D2345" s="8"/>
      <c r="E2345" s="8" t="str">
        <f ca="1">IFERROR(__xludf.DUMMYFUNCTION("""COMPUTED_VALUE"""),"Student")</f>
        <v>Student</v>
      </c>
      <c r="F2345" s="8" t="str">
        <f ca="1">IFERROR(__xludf.DUMMYFUNCTION("""COMPUTED_VALUE"""),"Teen")</f>
        <v>Teen</v>
      </c>
    </row>
    <row r="2346" spans="1:6" ht="12.75">
      <c r="A2346" s="4">
        <v>2345</v>
      </c>
      <c r="B2346" s="8" t="str">
        <f ca="1">IFERROR(__xludf.DUMMYFUNCTION("""COMPUTED_VALUE"""),"19921104MIFID")</f>
        <v>19921104MIFID</v>
      </c>
      <c r="C2346" s="8" t="str">
        <f ca="1">IFERROR(__xludf.DUMMYFUNCTION("""COMPUTED_VALUE"""),"Minor Injuries")</f>
        <v>Minor Injuries</v>
      </c>
      <c r="D2346" s="8"/>
      <c r="E2346" s="8" t="str">
        <f ca="1">IFERROR(__xludf.DUMMYFUNCTION("""COMPUTED_VALUE"""),"Student")</f>
        <v>Student</v>
      </c>
      <c r="F2346" s="8" t="str">
        <f ca="1">IFERROR(__xludf.DUMMYFUNCTION("""COMPUTED_VALUE"""),"Teen")</f>
        <v>Teen</v>
      </c>
    </row>
    <row r="2347" spans="1:6" ht="12.75">
      <c r="A2347" s="4">
        <v>2346</v>
      </c>
      <c r="B2347" s="8" t="str">
        <f ca="1">IFERROR(__xludf.DUMMYFUNCTION("""COMPUTED_VALUE"""),"19921104MIFID")</f>
        <v>19921104MIFID</v>
      </c>
      <c r="C2347" s="8" t="str">
        <f ca="1">IFERROR(__xludf.DUMMYFUNCTION("""COMPUTED_VALUE"""),"Minor Injuries")</f>
        <v>Minor Injuries</v>
      </c>
      <c r="D2347" s="8"/>
      <c r="E2347" s="8" t="str">
        <f ca="1">IFERROR(__xludf.DUMMYFUNCTION("""COMPUTED_VALUE"""),"Student")</f>
        <v>Student</v>
      </c>
      <c r="F2347" s="8" t="str">
        <f ca="1">IFERROR(__xludf.DUMMYFUNCTION("""COMPUTED_VALUE"""),"Teen")</f>
        <v>Teen</v>
      </c>
    </row>
    <row r="2348" spans="1:6" ht="12.75">
      <c r="A2348" s="4">
        <v>2347</v>
      </c>
      <c r="B2348" s="8" t="str">
        <f ca="1">IFERROR(__xludf.DUMMYFUNCTION("""COMPUTED_VALUE"""),"19921104MIFID")</f>
        <v>19921104MIFID</v>
      </c>
      <c r="C2348" s="8" t="str">
        <f ca="1">IFERROR(__xludf.DUMMYFUNCTION("""COMPUTED_VALUE"""),"Minor Injuries")</f>
        <v>Minor Injuries</v>
      </c>
      <c r="D2348" s="8"/>
      <c r="E2348" s="8" t="str">
        <f ca="1">IFERROR(__xludf.DUMMYFUNCTION("""COMPUTED_VALUE"""),"Student")</f>
        <v>Student</v>
      </c>
      <c r="F2348" s="8" t="str">
        <f ca="1">IFERROR(__xludf.DUMMYFUNCTION("""COMPUTED_VALUE"""),"Teen")</f>
        <v>Teen</v>
      </c>
    </row>
    <row r="2349" spans="1:6" ht="12.75">
      <c r="A2349" s="4">
        <v>2348</v>
      </c>
      <c r="B2349" s="8" t="str">
        <f ca="1">IFERROR(__xludf.DUMMYFUNCTION("""COMPUTED_VALUE"""),"19921104MIFID")</f>
        <v>19921104MIFID</v>
      </c>
      <c r="C2349" s="8" t="str">
        <f ca="1">IFERROR(__xludf.DUMMYFUNCTION("""COMPUTED_VALUE"""),"Minor Injuries")</f>
        <v>Minor Injuries</v>
      </c>
      <c r="D2349" s="8"/>
      <c r="E2349" s="8" t="str">
        <f ca="1">IFERROR(__xludf.DUMMYFUNCTION("""COMPUTED_VALUE"""),"Student")</f>
        <v>Student</v>
      </c>
      <c r="F2349" s="8" t="str">
        <f ca="1">IFERROR(__xludf.DUMMYFUNCTION("""COMPUTED_VALUE"""),"Teen")</f>
        <v>Teen</v>
      </c>
    </row>
    <row r="2350" spans="1:6" ht="12.75">
      <c r="A2350" s="4">
        <v>2349</v>
      </c>
      <c r="B2350" s="8" t="str">
        <f ca="1">IFERROR(__xludf.DUMMYFUNCTION("""COMPUTED_VALUE"""),"19921104MIFID")</f>
        <v>19921104MIFID</v>
      </c>
      <c r="C2350" s="8" t="str">
        <f ca="1">IFERROR(__xludf.DUMMYFUNCTION("""COMPUTED_VALUE"""),"Minor Injuries")</f>
        <v>Minor Injuries</v>
      </c>
      <c r="D2350" s="8"/>
      <c r="E2350" s="8" t="str">
        <f ca="1">IFERROR(__xludf.DUMMYFUNCTION("""COMPUTED_VALUE"""),"Student")</f>
        <v>Student</v>
      </c>
      <c r="F2350" s="8" t="str">
        <f ca="1">IFERROR(__xludf.DUMMYFUNCTION("""COMPUTED_VALUE"""),"Teen")</f>
        <v>Teen</v>
      </c>
    </row>
    <row r="2351" spans="1:6" ht="12.75">
      <c r="A2351" s="4">
        <v>2350</v>
      </c>
      <c r="B2351" s="8" t="str">
        <f ca="1">IFERROR(__xludf.DUMMYFUNCTION("""COMPUTED_VALUE"""),"19921019NYEVB")</f>
        <v>19921019NYEVB</v>
      </c>
      <c r="C2351" s="8" t="str">
        <f ca="1">IFERROR(__xludf.DUMMYFUNCTION("""COMPUTED_VALUE"""),"Wounded")</f>
        <v>Wounded</v>
      </c>
      <c r="D2351" s="8" t="str">
        <f ca="1">IFERROR(__xludf.DUMMYFUNCTION("""COMPUTED_VALUE"""),"Female")</f>
        <v>Female</v>
      </c>
      <c r="E2351" s="8" t="str">
        <f ca="1">IFERROR(__xludf.DUMMYFUNCTION("""COMPUTED_VALUE"""),"Student")</f>
        <v>Student</v>
      </c>
      <c r="F2351" s="8">
        <f ca="1">IFERROR(__xludf.DUMMYFUNCTION("""COMPUTED_VALUE"""),14)</f>
        <v>14</v>
      </c>
    </row>
    <row r="2352" spans="1:6" ht="12.75">
      <c r="A2352" s="4">
        <v>2351</v>
      </c>
      <c r="B2352" s="8" t="str">
        <f ca="1">IFERROR(__xludf.DUMMYFUNCTION("""COMPUTED_VALUE"""),"19921019NYEVB")</f>
        <v>19921019NYEVB</v>
      </c>
      <c r="C2352" s="8" t="str">
        <f ca="1">IFERROR(__xludf.DUMMYFUNCTION("""COMPUTED_VALUE"""),"Wounded")</f>
        <v>Wounded</v>
      </c>
      <c r="D2352" s="8" t="str">
        <f ca="1">IFERROR(__xludf.DUMMYFUNCTION("""COMPUTED_VALUE"""),"Female")</f>
        <v>Female</v>
      </c>
      <c r="E2352" s="8" t="str">
        <f ca="1">IFERROR(__xludf.DUMMYFUNCTION("""COMPUTED_VALUE"""),"Student")</f>
        <v>Student</v>
      </c>
      <c r="F2352" s="8">
        <f ca="1">IFERROR(__xludf.DUMMYFUNCTION("""COMPUTED_VALUE"""),14)</f>
        <v>14</v>
      </c>
    </row>
    <row r="2353" spans="1:6" ht="12.75">
      <c r="A2353" s="4">
        <v>2352</v>
      </c>
      <c r="B2353" s="8" t="str">
        <f ca="1">IFERROR(__xludf.DUMMYFUNCTION("""COMPUTED_VALUE"""),"19921019NYEVB")</f>
        <v>19921019NYEVB</v>
      </c>
      <c r="C2353" s="8" t="str">
        <f ca="1">IFERROR(__xludf.DUMMYFUNCTION("""COMPUTED_VALUE"""),"Wounded")</f>
        <v>Wounded</v>
      </c>
      <c r="D2353" s="8" t="str">
        <f ca="1">IFERROR(__xludf.DUMMYFUNCTION("""COMPUTED_VALUE"""),"Male")</f>
        <v>Male</v>
      </c>
      <c r="E2353" s="8" t="str">
        <f ca="1">IFERROR(__xludf.DUMMYFUNCTION("""COMPUTED_VALUE"""),"Student")</f>
        <v>Student</v>
      </c>
      <c r="F2353" s="8">
        <f ca="1">IFERROR(__xludf.DUMMYFUNCTION("""COMPUTED_VALUE"""),16)</f>
        <v>16</v>
      </c>
    </row>
    <row r="2354" spans="1:6" ht="12.75">
      <c r="A2354" s="4">
        <v>2353</v>
      </c>
      <c r="B2354" s="8" t="str">
        <f ca="1">IFERROR(__xludf.DUMMYFUNCTION("""COMPUTED_VALUE"""),"19921013AZDET")</f>
        <v>19921013AZDET</v>
      </c>
      <c r="C2354" s="8" t="str">
        <f ca="1">IFERROR(__xludf.DUMMYFUNCTION("""COMPUTED_VALUE"""),"Fatal")</f>
        <v>Fatal</v>
      </c>
      <c r="D2354" s="8" t="str">
        <f ca="1">IFERROR(__xludf.DUMMYFUNCTION("""COMPUTED_VALUE"""),"Male")</f>
        <v>Male</v>
      </c>
      <c r="E2354" s="8" t="str">
        <f ca="1">IFERROR(__xludf.DUMMYFUNCTION("""COMPUTED_VALUE"""),"Student")</f>
        <v>Student</v>
      </c>
      <c r="F2354" s="8">
        <f ca="1">IFERROR(__xludf.DUMMYFUNCTION("""COMPUTED_VALUE"""),16)</f>
        <v>16</v>
      </c>
    </row>
    <row r="2355" spans="1:6" ht="12.75">
      <c r="A2355" s="4">
        <v>2354</v>
      </c>
      <c r="B2355" s="8" t="str">
        <f ca="1">IFERROR(__xludf.DUMMYFUNCTION("""COMPUTED_VALUE"""),"19920930TXHOH")</f>
        <v>19920930TXHOH</v>
      </c>
      <c r="C2355" s="8" t="str">
        <f ca="1">IFERROR(__xludf.DUMMYFUNCTION("""COMPUTED_VALUE"""),"Fatal")</f>
        <v>Fatal</v>
      </c>
      <c r="D2355" s="8" t="str">
        <f ca="1">IFERROR(__xludf.DUMMYFUNCTION("""COMPUTED_VALUE"""),"Male")</f>
        <v>Male</v>
      </c>
      <c r="E2355" s="8" t="str">
        <f ca="1">IFERROR(__xludf.DUMMYFUNCTION("""COMPUTED_VALUE"""),"Gang Member")</f>
        <v>Gang Member</v>
      </c>
      <c r="F2355" s="8"/>
    </row>
    <row r="2356" spans="1:6" ht="12.75">
      <c r="A2356" s="4">
        <v>2355</v>
      </c>
      <c r="B2356" s="8" t="str">
        <f ca="1">IFERROR(__xludf.DUMMYFUNCTION("""COMPUTED_VALUE"""),"19920930TXHOH")</f>
        <v>19920930TXHOH</v>
      </c>
      <c r="C2356" s="8" t="str">
        <f ca="1">IFERROR(__xludf.DUMMYFUNCTION("""COMPUTED_VALUE"""),"Wounded")</f>
        <v>Wounded</v>
      </c>
      <c r="D2356" s="8" t="str">
        <f ca="1">IFERROR(__xludf.DUMMYFUNCTION("""COMPUTED_VALUE"""),"Male")</f>
        <v>Male</v>
      </c>
      <c r="E2356" s="8" t="str">
        <f ca="1">IFERROR(__xludf.DUMMYFUNCTION("""COMPUTED_VALUE"""),"Gang Member")</f>
        <v>Gang Member</v>
      </c>
      <c r="F2356" s="8"/>
    </row>
    <row r="2357" spans="1:6" ht="12.75">
      <c r="A2357" s="4">
        <v>2356</v>
      </c>
      <c r="B2357" s="8" t="str">
        <f ca="1">IFERROR(__xludf.DUMMYFUNCTION("""COMPUTED_VALUE"""),"19920930CAPAL")</f>
        <v>19920930CAPAL</v>
      </c>
      <c r="C2357" s="8" t="str">
        <f ca="1">IFERROR(__xludf.DUMMYFUNCTION("""COMPUTED_VALUE"""),"Fatal")</f>
        <v>Fatal</v>
      </c>
      <c r="D2357" s="8" t="str">
        <f ca="1">IFERROR(__xludf.DUMMYFUNCTION("""COMPUTED_VALUE"""),"Female")</f>
        <v>Female</v>
      </c>
      <c r="E2357" s="8" t="str">
        <f ca="1">IFERROR(__xludf.DUMMYFUNCTION("""COMPUTED_VALUE"""),"Student")</f>
        <v>Student</v>
      </c>
      <c r="F2357" s="8">
        <f ca="1">IFERROR(__xludf.DUMMYFUNCTION("""COMPUTED_VALUE"""),16)</f>
        <v>16</v>
      </c>
    </row>
    <row r="2358" spans="1:6" ht="12.75">
      <c r="A2358" s="4">
        <v>2357</v>
      </c>
      <c r="B2358" s="8" t="str">
        <f ca="1">IFERROR(__xludf.DUMMYFUNCTION("""COMPUTED_VALUE"""),"19920928CAHIS")</f>
        <v>19920928CAHIS</v>
      </c>
      <c r="C2358" s="8" t="str">
        <f ca="1">IFERROR(__xludf.DUMMYFUNCTION("""COMPUTED_VALUE"""),"Wounded")</f>
        <v>Wounded</v>
      </c>
      <c r="D2358" s="8" t="str">
        <f ca="1">IFERROR(__xludf.DUMMYFUNCTION("""COMPUTED_VALUE"""),"Male")</f>
        <v>Male</v>
      </c>
      <c r="E2358" s="8" t="str">
        <f ca="1">IFERROR(__xludf.DUMMYFUNCTION("""COMPUTED_VALUE"""),"Student")</f>
        <v>Student</v>
      </c>
      <c r="F2358" s="8">
        <f ca="1">IFERROR(__xludf.DUMMYFUNCTION("""COMPUTED_VALUE"""),16)</f>
        <v>16</v>
      </c>
    </row>
    <row r="2359" spans="1:6" ht="12.75">
      <c r="A2359" s="4">
        <v>2358</v>
      </c>
      <c r="B2359" s="8" t="str">
        <f ca="1">IFERROR(__xludf.DUMMYFUNCTION("""COMPUTED_VALUE"""),"19920928CAHIS")</f>
        <v>19920928CAHIS</v>
      </c>
      <c r="C2359" s="8" t="str">
        <f ca="1">IFERROR(__xludf.DUMMYFUNCTION("""COMPUTED_VALUE"""),"Wounded")</f>
        <v>Wounded</v>
      </c>
      <c r="D2359" s="8" t="str">
        <f ca="1">IFERROR(__xludf.DUMMYFUNCTION("""COMPUTED_VALUE"""),"Male")</f>
        <v>Male</v>
      </c>
      <c r="E2359" s="8" t="str">
        <f ca="1">IFERROR(__xludf.DUMMYFUNCTION("""COMPUTED_VALUE"""),"Student")</f>
        <v>Student</v>
      </c>
      <c r="F2359" s="8">
        <f ca="1">IFERROR(__xludf.DUMMYFUNCTION("""COMPUTED_VALUE"""),18)</f>
        <v>18</v>
      </c>
    </row>
    <row r="2360" spans="1:6" ht="12.75">
      <c r="A2360" s="4">
        <v>2359</v>
      </c>
      <c r="B2360" s="8" t="str">
        <f ca="1">IFERROR(__xludf.DUMMYFUNCTION("""COMPUTED_VALUE"""),"19920911TXPAA")</f>
        <v>19920911TXPAA</v>
      </c>
      <c r="C2360" s="8" t="str">
        <f ca="1">IFERROR(__xludf.DUMMYFUNCTION("""COMPUTED_VALUE"""),"Wounded")</f>
        <v>Wounded</v>
      </c>
      <c r="D2360" s="8" t="str">
        <f ca="1">IFERROR(__xludf.DUMMYFUNCTION("""COMPUTED_VALUE"""),"Male")</f>
        <v>Male</v>
      </c>
      <c r="E2360" s="8" t="str">
        <f ca="1">IFERROR(__xludf.DUMMYFUNCTION("""COMPUTED_VALUE"""),"Student")</f>
        <v>Student</v>
      </c>
      <c r="F2360" s="8" t="str">
        <f ca="1">IFERROR(__xludf.DUMMYFUNCTION("""COMPUTED_VALUE"""),"Teen")</f>
        <v>Teen</v>
      </c>
    </row>
    <row r="2361" spans="1:6" ht="12.75">
      <c r="A2361" s="4">
        <v>2360</v>
      </c>
      <c r="B2361" s="8" t="str">
        <f ca="1">IFERROR(__xludf.DUMMYFUNCTION("""COMPUTED_VALUE"""),"19920911TXPAA")</f>
        <v>19920911TXPAA</v>
      </c>
      <c r="C2361" s="8" t="str">
        <f ca="1">IFERROR(__xludf.DUMMYFUNCTION("""COMPUTED_VALUE"""),"Wounded")</f>
        <v>Wounded</v>
      </c>
      <c r="D2361" s="8" t="str">
        <f ca="1">IFERROR(__xludf.DUMMYFUNCTION("""COMPUTED_VALUE"""),"Male")</f>
        <v>Male</v>
      </c>
      <c r="E2361" s="8" t="str">
        <f ca="1">IFERROR(__xludf.DUMMYFUNCTION("""COMPUTED_VALUE"""),"Student")</f>
        <v>Student</v>
      </c>
      <c r="F2361" s="8" t="str">
        <f ca="1">IFERROR(__xludf.DUMMYFUNCTION("""COMPUTED_VALUE"""),"Teen")</f>
        <v>Teen</v>
      </c>
    </row>
    <row r="2362" spans="1:6" ht="12.75">
      <c r="A2362" s="4">
        <v>2361</v>
      </c>
      <c r="B2362" s="8" t="str">
        <f ca="1">IFERROR(__xludf.DUMMYFUNCTION("""COMPUTED_VALUE"""),"19920911TXPAA")</f>
        <v>19920911TXPAA</v>
      </c>
      <c r="C2362" s="8" t="str">
        <f ca="1">IFERROR(__xludf.DUMMYFUNCTION("""COMPUTED_VALUE"""),"Wounded")</f>
        <v>Wounded</v>
      </c>
      <c r="D2362" s="8" t="str">
        <f ca="1">IFERROR(__xludf.DUMMYFUNCTION("""COMPUTED_VALUE"""),"Male")</f>
        <v>Male</v>
      </c>
      <c r="E2362" s="8" t="str">
        <f ca="1">IFERROR(__xludf.DUMMYFUNCTION("""COMPUTED_VALUE"""),"Student")</f>
        <v>Student</v>
      </c>
      <c r="F2362" s="8" t="str">
        <f ca="1">IFERROR(__xludf.DUMMYFUNCTION("""COMPUTED_VALUE"""),"Teen")</f>
        <v>Teen</v>
      </c>
    </row>
    <row r="2363" spans="1:6" ht="12.75">
      <c r="A2363" s="4">
        <v>2362</v>
      </c>
      <c r="B2363" s="8" t="str">
        <f ca="1">IFERROR(__xludf.DUMMYFUNCTION("""COMPUTED_VALUE"""),"19920911TXPAA")</f>
        <v>19920911TXPAA</v>
      </c>
      <c r="C2363" s="8" t="str">
        <f ca="1">IFERROR(__xludf.DUMMYFUNCTION("""COMPUTED_VALUE"""),"Wounded")</f>
        <v>Wounded</v>
      </c>
      <c r="D2363" s="8" t="str">
        <f ca="1">IFERROR(__xludf.DUMMYFUNCTION("""COMPUTED_VALUE"""),"Male")</f>
        <v>Male</v>
      </c>
      <c r="E2363" s="8" t="str">
        <f ca="1">IFERROR(__xludf.DUMMYFUNCTION("""COMPUTED_VALUE"""),"Student")</f>
        <v>Student</v>
      </c>
      <c r="F2363" s="8" t="str">
        <f ca="1">IFERROR(__xludf.DUMMYFUNCTION("""COMPUTED_VALUE"""),"Teen")</f>
        <v>Teen</v>
      </c>
    </row>
    <row r="2364" spans="1:6" ht="12.75">
      <c r="A2364" s="4">
        <v>2363</v>
      </c>
      <c r="B2364" s="8" t="str">
        <f ca="1">IFERROR(__xludf.DUMMYFUNCTION("""COMPUTED_VALUE"""),"19920911TXPAA")</f>
        <v>19920911TXPAA</v>
      </c>
      <c r="C2364" s="8" t="str">
        <f ca="1">IFERROR(__xludf.DUMMYFUNCTION("""COMPUTED_VALUE"""),"Wounded")</f>
        <v>Wounded</v>
      </c>
      <c r="D2364" s="8" t="str">
        <f ca="1">IFERROR(__xludf.DUMMYFUNCTION("""COMPUTED_VALUE"""),"Male")</f>
        <v>Male</v>
      </c>
      <c r="E2364" s="8" t="str">
        <f ca="1">IFERROR(__xludf.DUMMYFUNCTION("""COMPUTED_VALUE"""),"Student")</f>
        <v>Student</v>
      </c>
      <c r="F2364" s="8" t="str">
        <f ca="1">IFERROR(__xludf.DUMMYFUNCTION("""COMPUTED_VALUE"""),"Teen")</f>
        <v>Teen</v>
      </c>
    </row>
    <row r="2365" spans="1:6" ht="12.75">
      <c r="A2365" s="4">
        <v>2364</v>
      </c>
      <c r="B2365" s="8" t="str">
        <f ca="1">IFERROR(__xludf.DUMMYFUNCTION("""COMPUTED_VALUE"""),"19920911TXPAA")</f>
        <v>19920911TXPAA</v>
      </c>
      <c r="C2365" s="8" t="str">
        <f ca="1">IFERROR(__xludf.DUMMYFUNCTION("""COMPUTED_VALUE"""),"Wounded")</f>
        <v>Wounded</v>
      </c>
      <c r="D2365" s="8" t="str">
        <f ca="1">IFERROR(__xludf.DUMMYFUNCTION("""COMPUTED_VALUE"""),"Male")</f>
        <v>Male</v>
      </c>
      <c r="E2365" s="8" t="str">
        <f ca="1">IFERROR(__xludf.DUMMYFUNCTION("""COMPUTED_VALUE"""),"Student")</f>
        <v>Student</v>
      </c>
      <c r="F2365" s="8" t="str">
        <f ca="1">IFERROR(__xludf.DUMMYFUNCTION("""COMPUTED_VALUE"""),"Teen")</f>
        <v>Teen</v>
      </c>
    </row>
    <row r="2366" spans="1:6" ht="12.75">
      <c r="A2366" s="4">
        <v>2365</v>
      </c>
      <c r="B2366" s="8" t="str">
        <f ca="1">IFERROR(__xludf.DUMMYFUNCTION("""COMPUTED_VALUE"""),"19920911TXPAA")</f>
        <v>19920911TXPAA</v>
      </c>
      <c r="C2366" s="8" t="str">
        <f ca="1">IFERROR(__xludf.DUMMYFUNCTION("""COMPUTED_VALUE"""),"Wounded")</f>
        <v>Wounded</v>
      </c>
      <c r="D2366" s="8" t="str">
        <f ca="1">IFERROR(__xludf.DUMMYFUNCTION("""COMPUTED_VALUE"""),"Male")</f>
        <v>Male</v>
      </c>
      <c r="E2366" s="8" t="str">
        <f ca="1">IFERROR(__xludf.DUMMYFUNCTION("""COMPUTED_VALUE"""),"Student")</f>
        <v>Student</v>
      </c>
      <c r="F2366" s="8" t="str">
        <f ca="1">IFERROR(__xludf.DUMMYFUNCTION("""COMPUTED_VALUE"""),"Teen")</f>
        <v>Teen</v>
      </c>
    </row>
    <row r="2367" spans="1:6" ht="12.75">
      <c r="A2367" s="4">
        <v>2366</v>
      </c>
      <c r="B2367" s="8" t="str">
        <f ca="1">IFERROR(__xludf.DUMMYFUNCTION("""COMPUTED_VALUE"""),"19920606CAMEM")</f>
        <v>19920606CAMEM</v>
      </c>
      <c r="C2367" s="8" t="str">
        <f ca="1">IFERROR(__xludf.DUMMYFUNCTION("""COMPUTED_VALUE"""),"Wounded")</f>
        <v>Wounded</v>
      </c>
      <c r="D2367" s="8" t="str">
        <f ca="1">IFERROR(__xludf.DUMMYFUNCTION("""COMPUTED_VALUE"""),"Male")</f>
        <v>Male</v>
      </c>
      <c r="E2367" s="8" t="str">
        <f ca="1">IFERROR(__xludf.DUMMYFUNCTION("""COMPUTED_VALUE"""),"Former Student")</f>
        <v>Former Student</v>
      </c>
      <c r="F2367" s="8">
        <f ca="1">IFERROR(__xludf.DUMMYFUNCTION("""COMPUTED_VALUE"""),23)</f>
        <v>23</v>
      </c>
    </row>
    <row r="2368" spans="1:6" ht="12.75">
      <c r="A2368" s="4">
        <v>2367</v>
      </c>
      <c r="B2368" s="8" t="str">
        <f ca="1">IFERROR(__xludf.DUMMYFUNCTION("""COMPUTED_VALUE"""),"19920530DCARW")</f>
        <v>19920530DCARW</v>
      </c>
      <c r="C2368" s="8" t="str">
        <f ca="1">IFERROR(__xludf.DUMMYFUNCTION("""COMPUTED_VALUE"""),"Wounded")</f>
        <v>Wounded</v>
      </c>
      <c r="D2368" s="8" t="str">
        <f ca="1">IFERROR(__xludf.DUMMYFUNCTION("""COMPUTED_VALUE"""),"Male")</f>
        <v>Male</v>
      </c>
      <c r="E2368" s="8" t="str">
        <f ca="1">IFERROR(__xludf.DUMMYFUNCTION("""COMPUTED_VALUE"""),"Student")</f>
        <v>Student</v>
      </c>
      <c r="F2368" s="8">
        <f ca="1">IFERROR(__xludf.DUMMYFUNCTION("""COMPUTED_VALUE"""),18)</f>
        <v>18</v>
      </c>
    </row>
    <row r="2369" spans="1:6" ht="12.75">
      <c r="A2369" s="4">
        <v>2368</v>
      </c>
      <c r="B2369" s="8" t="str">
        <f ca="1">IFERROR(__xludf.DUMMYFUNCTION("""COMPUTED_VALUE"""),"19920530DCARW")</f>
        <v>19920530DCARW</v>
      </c>
      <c r="C2369" s="8" t="str">
        <f ca="1">IFERROR(__xludf.DUMMYFUNCTION("""COMPUTED_VALUE"""),"Wounded")</f>
        <v>Wounded</v>
      </c>
      <c r="D2369" s="8" t="str">
        <f ca="1">IFERROR(__xludf.DUMMYFUNCTION("""COMPUTED_VALUE"""),"Male")</f>
        <v>Male</v>
      </c>
      <c r="E2369" s="8" t="str">
        <f ca="1">IFERROR(__xludf.DUMMYFUNCTION("""COMPUTED_VALUE"""),"Student")</f>
        <v>Student</v>
      </c>
      <c r="F2369" s="8">
        <f ca="1">IFERROR(__xludf.DUMMYFUNCTION("""COMPUTED_VALUE"""),15)</f>
        <v>15</v>
      </c>
    </row>
    <row r="2370" spans="1:6" ht="12.75">
      <c r="A2370" s="4">
        <v>2369</v>
      </c>
      <c r="B2370" s="8" t="str">
        <f ca="1">IFERROR(__xludf.DUMMYFUNCTION("""COMPUTED_VALUE"""),"19920530DCARW")</f>
        <v>19920530DCARW</v>
      </c>
      <c r="C2370" s="8" t="str">
        <f ca="1">IFERROR(__xludf.DUMMYFUNCTION("""COMPUTED_VALUE"""),"Wounded")</f>
        <v>Wounded</v>
      </c>
      <c r="D2370" s="8"/>
      <c r="E2370" s="8" t="str">
        <f ca="1">IFERROR(__xludf.DUMMYFUNCTION("""COMPUTED_VALUE"""),"Student")</f>
        <v>Student</v>
      </c>
      <c r="F2370" s="8" t="str">
        <f ca="1">IFERROR(__xludf.DUMMYFUNCTION("""COMPUTED_VALUE"""),"Teen")</f>
        <v>Teen</v>
      </c>
    </row>
    <row r="2371" spans="1:6" ht="12.75">
      <c r="A2371" s="4">
        <v>2370</v>
      </c>
      <c r="B2371" s="8" t="str">
        <f ca="1">IFERROR(__xludf.DUMMYFUNCTION("""COMPUTED_VALUE"""),"19920530DCARW")</f>
        <v>19920530DCARW</v>
      </c>
      <c r="C2371" s="8" t="str">
        <f ca="1">IFERROR(__xludf.DUMMYFUNCTION("""COMPUTED_VALUE"""),"Wounded")</f>
        <v>Wounded</v>
      </c>
      <c r="D2371" s="8"/>
      <c r="E2371" s="8" t="str">
        <f ca="1">IFERROR(__xludf.DUMMYFUNCTION("""COMPUTED_VALUE"""),"Student")</f>
        <v>Student</v>
      </c>
      <c r="F2371" s="8" t="str">
        <f ca="1">IFERROR(__xludf.DUMMYFUNCTION("""COMPUTED_VALUE"""),"Teen")</f>
        <v>Teen</v>
      </c>
    </row>
    <row r="2372" spans="1:6" ht="12.75">
      <c r="A2372" s="4">
        <v>2371</v>
      </c>
      <c r="B2372" s="8" t="str">
        <f ca="1">IFERROR(__xludf.DUMMYFUNCTION("""COMPUTED_VALUE"""),"19920530DCARW")</f>
        <v>19920530DCARW</v>
      </c>
      <c r="C2372" s="8" t="str">
        <f ca="1">IFERROR(__xludf.DUMMYFUNCTION("""COMPUTED_VALUE"""),"Fatal")</f>
        <v>Fatal</v>
      </c>
      <c r="D2372" s="8" t="str">
        <f ca="1">IFERROR(__xludf.DUMMYFUNCTION("""COMPUTED_VALUE"""),"Male")</f>
        <v>Male</v>
      </c>
      <c r="E2372" s="8" t="str">
        <f ca="1">IFERROR(__xludf.DUMMYFUNCTION("""COMPUTED_VALUE"""),"Rival School Student")</f>
        <v>Rival School Student</v>
      </c>
      <c r="F2372" s="8" t="str">
        <f ca="1">IFERROR(__xludf.DUMMYFUNCTION("""COMPUTED_VALUE"""),"Teen")</f>
        <v>Teen</v>
      </c>
    </row>
    <row r="2373" spans="1:6" ht="12.75">
      <c r="A2373" s="4">
        <v>2372</v>
      </c>
      <c r="B2373" s="8" t="str">
        <f ca="1">IFERROR(__xludf.DUMMYFUNCTION("""COMPUTED_VALUE"""),"19920529CAVEL")</f>
        <v>19920529CAVEL</v>
      </c>
      <c r="C2373" s="8" t="str">
        <f ca="1">IFERROR(__xludf.DUMMYFUNCTION("""COMPUTED_VALUE"""),"Wounded")</f>
        <v>Wounded</v>
      </c>
      <c r="D2373" s="8" t="str">
        <f ca="1">IFERROR(__xludf.DUMMYFUNCTION("""COMPUTED_VALUE"""),"Male")</f>
        <v>Male</v>
      </c>
      <c r="E2373" s="8" t="str">
        <f ca="1">IFERROR(__xludf.DUMMYFUNCTION("""COMPUTED_VALUE"""),"Student")</f>
        <v>Student</v>
      </c>
      <c r="F2373" s="8" t="str">
        <f ca="1">IFERROR(__xludf.DUMMYFUNCTION("""COMPUTED_VALUE"""),"Teen")</f>
        <v>Teen</v>
      </c>
    </row>
    <row r="2374" spans="1:6" ht="12.75">
      <c r="A2374" s="4">
        <v>2373</v>
      </c>
      <c r="B2374" s="8" t="str">
        <f ca="1">IFERROR(__xludf.DUMMYFUNCTION("""COMPUTED_VALUE"""),"19920529CAVEL")</f>
        <v>19920529CAVEL</v>
      </c>
      <c r="C2374" s="8" t="str">
        <f ca="1">IFERROR(__xludf.DUMMYFUNCTION("""COMPUTED_VALUE"""),"Wounded")</f>
        <v>Wounded</v>
      </c>
      <c r="D2374" s="8" t="str">
        <f ca="1">IFERROR(__xludf.DUMMYFUNCTION("""COMPUTED_VALUE"""),"Male")</f>
        <v>Male</v>
      </c>
      <c r="E2374" s="8" t="str">
        <f ca="1">IFERROR(__xludf.DUMMYFUNCTION("""COMPUTED_VALUE"""),"Student")</f>
        <v>Student</v>
      </c>
      <c r="F2374" s="8" t="str">
        <f ca="1">IFERROR(__xludf.DUMMYFUNCTION("""COMPUTED_VALUE"""),"Teen")</f>
        <v>Teen</v>
      </c>
    </row>
    <row r="2375" spans="1:6" ht="12.75">
      <c r="A2375" s="4">
        <v>2374</v>
      </c>
      <c r="B2375" s="8" t="str">
        <f ca="1">IFERROR(__xludf.DUMMYFUNCTION("""COMPUTED_VALUE"""),"19920529CAVEL")</f>
        <v>19920529CAVEL</v>
      </c>
      <c r="C2375" s="8" t="str">
        <f ca="1">IFERROR(__xludf.DUMMYFUNCTION("""COMPUTED_VALUE"""),"Wounded")</f>
        <v>Wounded</v>
      </c>
      <c r="D2375" s="8" t="str">
        <f ca="1">IFERROR(__xludf.DUMMYFUNCTION("""COMPUTED_VALUE"""),"Male")</f>
        <v>Male</v>
      </c>
      <c r="E2375" s="8" t="str">
        <f ca="1">IFERROR(__xludf.DUMMYFUNCTION("""COMPUTED_VALUE"""),"Student")</f>
        <v>Student</v>
      </c>
      <c r="F2375" s="8" t="str">
        <f ca="1">IFERROR(__xludf.DUMMYFUNCTION("""COMPUTED_VALUE"""),"Teen")</f>
        <v>Teen</v>
      </c>
    </row>
    <row r="2376" spans="1:6" ht="12.75">
      <c r="A2376" s="4">
        <v>2375</v>
      </c>
      <c r="B2376" s="8" t="str">
        <f ca="1">IFERROR(__xludf.DUMMYFUNCTION("""COMPUTED_VALUE"""),"19920514TXHUH")</f>
        <v>19920514TXHUH</v>
      </c>
      <c r="C2376" s="8" t="str">
        <f ca="1">IFERROR(__xludf.DUMMYFUNCTION("""COMPUTED_VALUE"""),"Wounded")</f>
        <v>Wounded</v>
      </c>
      <c r="D2376" s="8" t="str">
        <f ca="1">IFERROR(__xludf.DUMMYFUNCTION("""COMPUTED_VALUE"""),"Male")</f>
        <v>Male</v>
      </c>
      <c r="E2376" s="8" t="str">
        <f ca="1">IFERROR(__xludf.DUMMYFUNCTION("""COMPUTED_VALUE"""),"Student")</f>
        <v>Student</v>
      </c>
      <c r="F2376" s="8" t="str">
        <f ca="1">IFERROR(__xludf.DUMMYFUNCTION("""COMPUTED_VALUE"""),"Teen")</f>
        <v>Teen</v>
      </c>
    </row>
    <row r="2377" spans="1:6" ht="12.75">
      <c r="A2377" s="4">
        <v>2376</v>
      </c>
      <c r="B2377" s="8" t="str">
        <f ca="1">IFERROR(__xludf.DUMMYFUNCTION("""COMPUTED_VALUE"""),"19920514CASIN")</f>
        <v>19920514CASIN</v>
      </c>
      <c r="C2377" s="8" t="str">
        <f ca="1">IFERROR(__xludf.DUMMYFUNCTION("""COMPUTED_VALUE"""),"Wounded")</f>
        <v>Wounded</v>
      </c>
      <c r="D2377" s="8" t="str">
        <f ca="1">IFERROR(__xludf.DUMMYFUNCTION("""COMPUTED_VALUE"""),"Male")</f>
        <v>Male</v>
      </c>
      <c r="E2377" s="8" t="str">
        <f ca="1">IFERROR(__xludf.DUMMYFUNCTION("""COMPUTED_VALUE"""),"Student")</f>
        <v>Student</v>
      </c>
      <c r="F2377" s="8" t="str">
        <f ca="1">IFERROR(__xludf.DUMMYFUNCTION("""COMPUTED_VALUE"""),"Teen")</f>
        <v>Teen</v>
      </c>
    </row>
    <row r="2378" spans="1:6" ht="12.75">
      <c r="A2378" s="4">
        <v>2377</v>
      </c>
      <c r="B2378" s="8" t="str">
        <f ca="1">IFERROR(__xludf.DUMMYFUNCTION("""COMPUTED_VALUE"""),"19920514CASIN")</f>
        <v>19920514CASIN</v>
      </c>
      <c r="C2378" s="8" t="str">
        <f ca="1">IFERROR(__xludf.DUMMYFUNCTION("""COMPUTED_VALUE"""),"Wounded")</f>
        <v>Wounded</v>
      </c>
      <c r="D2378" s="8" t="str">
        <f ca="1">IFERROR(__xludf.DUMMYFUNCTION("""COMPUTED_VALUE"""),"Male")</f>
        <v>Male</v>
      </c>
      <c r="E2378" s="8" t="str">
        <f ca="1">IFERROR(__xludf.DUMMYFUNCTION("""COMPUTED_VALUE"""),"Student")</f>
        <v>Student</v>
      </c>
      <c r="F2378" s="8" t="str">
        <f ca="1">IFERROR(__xludf.DUMMYFUNCTION("""COMPUTED_VALUE"""),"Teen")</f>
        <v>Teen</v>
      </c>
    </row>
    <row r="2379" spans="1:6" ht="12.75">
      <c r="A2379" s="4">
        <v>2378</v>
      </c>
      <c r="B2379" s="8" t="str">
        <f ca="1">IFERROR(__xludf.DUMMYFUNCTION("""COMPUTED_VALUE"""),"19920501CALIO")</f>
        <v>19920501CALIO</v>
      </c>
      <c r="C2379" s="8" t="str">
        <f ca="1">IFERROR(__xludf.DUMMYFUNCTION("""COMPUTED_VALUE"""),"Wounded")</f>
        <v>Wounded</v>
      </c>
      <c r="D2379" s="8"/>
      <c r="E2379" s="8" t="str">
        <f ca="1">IFERROR(__xludf.DUMMYFUNCTION("""COMPUTED_VALUE"""),"Student")</f>
        <v>Student</v>
      </c>
      <c r="F2379" s="8" t="str">
        <f ca="1">IFERROR(__xludf.DUMMYFUNCTION("""COMPUTED_VALUE"""),"Teen")</f>
        <v>Teen</v>
      </c>
    </row>
    <row r="2380" spans="1:6" ht="12.75">
      <c r="A2380" s="4">
        <v>2379</v>
      </c>
      <c r="B2380" s="8" t="str">
        <f ca="1">IFERROR(__xludf.DUMMYFUNCTION("""COMPUTED_VALUE"""),"19920501CALIO")</f>
        <v>19920501CALIO</v>
      </c>
      <c r="C2380" s="8" t="str">
        <f ca="1">IFERROR(__xludf.DUMMYFUNCTION("""COMPUTED_VALUE"""),"Wounded")</f>
        <v>Wounded</v>
      </c>
      <c r="D2380" s="8"/>
      <c r="E2380" s="8" t="str">
        <f ca="1">IFERROR(__xludf.DUMMYFUNCTION("""COMPUTED_VALUE"""),"Student")</f>
        <v>Student</v>
      </c>
      <c r="F2380" s="8" t="str">
        <f ca="1">IFERROR(__xludf.DUMMYFUNCTION("""COMPUTED_VALUE"""),"Teen")</f>
        <v>Teen</v>
      </c>
    </row>
    <row r="2381" spans="1:6" ht="12.75">
      <c r="A2381" s="4">
        <v>2380</v>
      </c>
      <c r="B2381" s="8" t="str">
        <f ca="1">IFERROR(__xludf.DUMMYFUNCTION("""COMPUTED_VALUE"""),"19920501CALIO")</f>
        <v>19920501CALIO</v>
      </c>
      <c r="C2381" s="8" t="str">
        <f ca="1">IFERROR(__xludf.DUMMYFUNCTION("""COMPUTED_VALUE"""),"Wounded")</f>
        <v>Wounded</v>
      </c>
      <c r="D2381" s="8"/>
      <c r="E2381" s="8" t="str">
        <f ca="1">IFERROR(__xludf.DUMMYFUNCTION("""COMPUTED_VALUE"""),"Student")</f>
        <v>Student</v>
      </c>
      <c r="F2381" s="8" t="str">
        <f ca="1">IFERROR(__xludf.DUMMYFUNCTION("""COMPUTED_VALUE"""),"Teen")</f>
        <v>Teen</v>
      </c>
    </row>
    <row r="2382" spans="1:6" ht="12.75">
      <c r="A2382" s="4">
        <v>2381</v>
      </c>
      <c r="B2382" s="8" t="str">
        <f ca="1">IFERROR(__xludf.DUMMYFUNCTION("""COMPUTED_VALUE"""),"19920501CALIO")</f>
        <v>19920501CALIO</v>
      </c>
      <c r="C2382" s="8" t="str">
        <f ca="1">IFERROR(__xludf.DUMMYFUNCTION("""COMPUTED_VALUE"""),"Wounded")</f>
        <v>Wounded</v>
      </c>
      <c r="D2382" s="8"/>
      <c r="E2382" s="8" t="str">
        <f ca="1">IFERROR(__xludf.DUMMYFUNCTION("""COMPUTED_VALUE"""),"Student")</f>
        <v>Student</v>
      </c>
      <c r="F2382" s="8" t="str">
        <f ca="1">IFERROR(__xludf.DUMMYFUNCTION("""COMPUTED_VALUE"""),"Teen")</f>
        <v>Teen</v>
      </c>
    </row>
    <row r="2383" spans="1:6" ht="12.75">
      <c r="A2383" s="4">
        <v>2382</v>
      </c>
      <c r="B2383" s="8" t="str">
        <f ca="1">IFERROR(__xludf.DUMMYFUNCTION("""COMPUTED_VALUE"""),"19920501CALIO")</f>
        <v>19920501CALIO</v>
      </c>
      <c r="C2383" s="8" t="str">
        <f ca="1">IFERROR(__xludf.DUMMYFUNCTION("""COMPUTED_VALUE"""),"Wounded")</f>
        <v>Wounded</v>
      </c>
      <c r="D2383" s="8"/>
      <c r="E2383" s="8" t="str">
        <f ca="1">IFERROR(__xludf.DUMMYFUNCTION("""COMPUTED_VALUE"""),"Teacher")</f>
        <v>Teacher</v>
      </c>
      <c r="F2383" s="8" t="str">
        <f ca="1">IFERROR(__xludf.DUMMYFUNCTION("""COMPUTED_VALUE"""),"Adult")</f>
        <v>Adult</v>
      </c>
    </row>
    <row r="2384" spans="1:6" ht="12.75">
      <c r="A2384" s="4">
        <v>2383</v>
      </c>
      <c r="B2384" s="8" t="str">
        <f ca="1">IFERROR(__xludf.DUMMYFUNCTION("""COMPUTED_VALUE"""),"19920501CALIO")</f>
        <v>19920501CALIO</v>
      </c>
      <c r="C2384" s="8" t="str">
        <f ca="1">IFERROR(__xludf.DUMMYFUNCTION("""COMPUTED_VALUE"""),"Fatal")</f>
        <v>Fatal</v>
      </c>
      <c r="D2384" s="8" t="str">
        <f ca="1">IFERROR(__xludf.DUMMYFUNCTION("""COMPUTED_VALUE"""),"Male")</f>
        <v>Male</v>
      </c>
      <c r="E2384" s="8" t="str">
        <f ca="1">IFERROR(__xludf.DUMMYFUNCTION("""COMPUTED_VALUE"""),"Teacher")</f>
        <v>Teacher</v>
      </c>
      <c r="F2384" s="8" t="str">
        <f ca="1">IFERROR(__xludf.DUMMYFUNCTION("""COMPUTED_VALUE"""),"Adult")</f>
        <v>Adult</v>
      </c>
    </row>
    <row r="2385" spans="1:6" ht="12.75">
      <c r="A2385" s="4">
        <v>2384</v>
      </c>
      <c r="B2385" s="8" t="str">
        <f ca="1">IFERROR(__xludf.DUMMYFUNCTION("""COMPUTED_VALUE"""),"19920501CALIO")</f>
        <v>19920501CALIO</v>
      </c>
      <c r="C2385" s="8" t="str">
        <f ca="1">IFERROR(__xludf.DUMMYFUNCTION("""COMPUTED_VALUE"""),"Wounded")</f>
        <v>Wounded</v>
      </c>
      <c r="D2385" s="8"/>
      <c r="E2385" s="8" t="str">
        <f ca="1">IFERROR(__xludf.DUMMYFUNCTION("""COMPUTED_VALUE"""),"Student")</f>
        <v>Student</v>
      </c>
      <c r="F2385" s="8" t="str">
        <f ca="1">IFERROR(__xludf.DUMMYFUNCTION("""COMPUTED_VALUE"""),"Teen")</f>
        <v>Teen</v>
      </c>
    </row>
    <row r="2386" spans="1:6" ht="12.75">
      <c r="A2386" s="4">
        <v>2385</v>
      </c>
      <c r="B2386" s="8" t="str">
        <f ca="1">IFERROR(__xludf.DUMMYFUNCTION("""COMPUTED_VALUE"""),"19920501CALIO")</f>
        <v>19920501CALIO</v>
      </c>
      <c r="C2386" s="8" t="str">
        <f ca="1">IFERROR(__xludf.DUMMYFUNCTION("""COMPUTED_VALUE"""),"Fatal")</f>
        <v>Fatal</v>
      </c>
      <c r="D2386" s="8" t="str">
        <f ca="1">IFERROR(__xludf.DUMMYFUNCTION("""COMPUTED_VALUE"""),"Male")</f>
        <v>Male</v>
      </c>
      <c r="E2386" s="8" t="str">
        <f ca="1">IFERROR(__xludf.DUMMYFUNCTION("""COMPUTED_VALUE"""),"Student")</f>
        <v>Student</v>
      </c>
      <c r="F2386" s="8">
        <f ca="1">IFERROR(__xludf.DUMMYFUNCTION("""COMPUTED_VALUE"""),16)</f>
        <v>16</v>
      </c>
    </row>
    <row r="2387" spans="1:6" ht="12.75">
      <c r="A2387" s="4">
        <v>2386</v>
      </c>
      <c r="B2387" s="8" t="str">
        <f ca="1">IFERROR(__xludf.DUMMYFUNCTION("""COMPUTED_VALUE"""),"19920501CALIO")</f>
        <v>19920501CALIO</v>
      </c>
      <c r="C2387" s="8" t="str">
        <f ca="1">IFERROR(__xludf.DUMMYFUNCTION("""COMPUTED_VALUE"""),"Wounded")</f>
        <v>Wounded</v>
      </c>
      <c r="D2387" s="8"/>
      <c r="E2387" s="8" t="str">
        <f ca="1">IFERROR(__xludf.DUMMYFUNCTION("""COMPUTED_VALUE"""),"Student")</f>
        <v>Student</v>
      </c>
      <c r="F2387" s="8" t="str">
        <f ca="1">IFERROR(__xludf.DUMMYFUNCTION("""COMPUTED_VALUE"""),"Teen")</f>
        <v>Teen</v>
      </c>
    </row>
    <row r="2388" spans="1:6" ht="12.75">
      <c r="A2388" s="4">
        <v>2387</v>
      </c>
      <c r="B2388" s="8" t="str">
        <f ca="1">IFERROR(__xludf.DUMMYFUNCTION("""COMPUTED_VALUE"""),"19920501CALIO")</f>
        <v>19920501CALIO</v>
      </c>
      <c r="C2388" s="8" t="str">
        <f ca="1">IFERROR(__xludf.DUMMYFUNCTION("""COMPUTED_VALUE"""),"Wounded")</f>
        <v>Wounded</v>
      </c>
      <c r="D2388" s="8"/>
      <c r="E2388" s="8" t="str">
        <f ca="1">IFERROR(__xludf.DUMMYFUNCTION("""COMPUTED_VALUE"""),"Student")</f>
        <v>Student</v>
      </c>
      <c r="F2388" s="8" t="str">
        <f ca="1">IFERROR(__xludf.DUMMYFUNCTION("""COMPUTED_VALUE"""),"Teen")</f>
        <v>Teen</v>
      </c>
    </row>
    <row r="2389" spans="1:6" ht="12.75">
      <c r="A2389" s="4">
        <v>2388</v>
      </c>
      <c r="B2389" s="8" t="str">
        <f ca="1">IFERROR(__xludf.DUMMYFUNCTION("""COMPUTED_VALUE"""),"19920501CALIO")</f>
        <v>19920501CALIO</v>
      </c>
      <c r="C2389" s="8" t="str">
        <f ca="1">IFERROR(__xludf.DUMMYFUNCTION("""COMPUTED_VALUE"""),"Fatal")</f>
        <v>Fatal</v>
      </c>
      <c r="D2389" s="8" t="str">
        <f ca="1">IFERROR(__xludf.DUMMYFUNCTION("""COMPUTED_VALUE"""),"Male")</f>
        <v>Male</v>
      </c>
      <c r="E2389" s="8" t="str">
        <f ca="1">IFERROR(__xludf.DUMMYFUNCTION("""COMPUTED_VALUE"""),"Student")</f>
        <v>Student</v>
      </c>
      <c r="F2389" s="8">
        <f ca="1">IFERROR(__xludf.DUMMYFUNCTION("""COMPUTED_VALUE"""),17)</f>
        <v>17</v>
      </c>
    </row>
    <row r="2390" spans="1:6" ht="12.75">
      <c r="A2390" s="4">
        <v>2389</v>
      </c>
      <c r="B2390" s="8" t="str">
        <f ca="1">IFERROR(__xludf.DUMMYFUNCTION("""COMPUTED_VALUE"""),"19920501CALIO")</f>
        <v>19920501CALIO</v>
      </c>
      <c r="C2390" s="8" t="str">
        <f ca="1">IFERROR(__xludf.DUMMYFUNCTION("""COMPUTED_VALUE"""),"Wounded")</f>
        <v>Wounded</v>
      </c>
      <c r="D2390" s="8"/>
      <c r="E2390" s="8" t="str">
        <f ca="1">IFERROR(__xludf.DUMMYFUNCTION("""COMPUTED_VALUE"""),"Student")</f>
        <v>Student</v>
      </c>
      <c r="F2390" s="8" t="str">
        <f ca="1">IFERROR(__xludf.DUMMYFUNCTION("""COMPUTED_VALUE"""),"Teen")</f>
        <v>Teen</v>
      </c>
    </row>
    <row r="2391" spans="1:6" ht="12.75">
      <c r="A2391" s="4">
        <v>2390</v>
      </c>
      <c r="B2391" s="8" t="str">
        <f ca="1">IFERROR(__xludf.DUMMYFUNCTION("""COMPUTED_VALUE"""),"19920501CALIO")</f>
        <v>19920501CALIO</v>
      </c>
      <c r="C2391" s="8" t="str">
        <f ca="1">IFERROR(__xludf.DUMMYFUNCTION("""COMPUTED_VALUE"""),"Wounded")</f>
        <v>Wounded</v>
      </c>
      <c r="D2391" s="8"/>
      <c r="E2391" s="8" t="str">
        <f ca="1">IFERROR(__xludf.DUMMYFUNCTION("""COMPUTED_VALUE"""),"Student")</f>
        <v>Student</v>
      </c>
      <c r="F2391" s="8" t="str">
        <f ca="1">IFERROR(__xludf.DUMMYFUNCTION("""COMPUTED_VALUE"""),"Teen")</f>
        <v>Teen</v>
      </c>
    </row>
    <row r="2392" spans="1:6" ht="12.75">
      <c r="A2392" s="4">
        <v>2391</v>
      </c>
      <c r="B2392" s="8" t="str">
        <f ca="1">IFERROR(__xludf.DUMMYFUNCTION("""COMPUTED_VALUE"""),"19920501CALIO")</f>
        <v>19920501CALIO</v>
      </c>
      <c r="C2392" s="8" t="str">
        <f ca="1">IFERROR(__xludf.DUMMYFUNCTION("""COMPUTED_VALUE"""),"Fatal")</f>
        <v>Fatal</v>
      </c>
      <c r="D2392" s="8" t="str">
        <f ca="1">IFERROR(__xludf.DUMMYFUNCTION("""COMPUTED_VALUE"""),"Male")</f>
        <v>Male</v>
      </c>
      <c r="E2392" s="8" t="str">
        <f ca="1">IFERROR(__xludf.DUMMYFUNCTION("""COMPUTED_VALUE"""),"Student")</f>
        <v>Student</v>
      </c>
      <c r="F2392" s="8" t="str">
        <f ca="1">IFERROR(__xludf.DUMMYFUNCTION("""COMPUTED_VALUE"""),"Teen")</f>
        <v>Teen</v>
      </c>
    </row>
    <row r="2393" spans="1:6" ht="12.75">
      <c r="A2393" s="4">
        <v>2392</v>
      </c>
      <c r="B2393" s="8" t="str">
        <f ca="1">IFERROR(__xludf.DUMMYFUNCTION("""COMPUTED_VALUE"""),"19920417TXLID")</f>
        <v>19920417TXLID</v>
      </c>
      <c r="C2393" s="8" t="str">
        <f ca="1">IFERROR(__xludf.DUMMYFUNCTION("""COMPUTED_VALUE"""),"Fatal")</f>
        <v>Fatal</v>
      </c>
      <c r="D2393" s="8" t="str">
        <f ca="1">IFERROR(__xludf.DUMMYFUNCTION("""COMPUTED_VALUE"""),"Male")</f>
        <v>Male</v>
      </c>
      <c r="E2393" s="8" t="str">
        <f ca="1">IFERROR(__xludf.DUMMYFUNCTION("""COMPUTED_VALUE"""),"Former Student")</f>
        <v>Former Student</v>
      </c>
      <c r="F2393" s="8" t="str">
        <f ca="1">IFERROR(__xludf.DUMMYFUNCTION("""COMPUTED_VALUE"""),"Adult")</f>
        <v>Adult</v>
      </c>
    </row>
    <row r="2394" spans="1:6" ht="12.75">
      <c r="A2394" s="4">
        <v>2393</v>
      </c>
      <c r="B2394" s="8" t="str">
        <f ca="1">IFERROR(__xludf.DUMMYFUNCTION("""COMPUTED_VALUE"""),"19920409FLFOF")</f>
        <v>19920409FLFOF</v>
      </c>
      <c r="C2394" s="8" t="str">
        <f ca="1">IFERROR(__xludf.DUMMYFUNCTION("""COMPUTED_VALUE"""),"Wounded")</f>
        <v>Wounded</v>
      </c>
      <c r="D2394" s="8" t="str">
        <f ca="1">IFERROR(__xludf.DUMMYFUNCTION("""COMPUTED_VALUE"""),"Male")</f>
        <v>Male</v>
      </c>
      <c r="E2394" s="8" t="str">
        <f ca="1">IFERROR(__xludf.DUMMYFUNCTION("""COMPUTED_VALUE"""),"Student")</f>
        <v>Student</v>
      </c>
      <c r="F2394" s="8">
        <f ca="1">IFERROR(__xludf.DUMMYFUNCTION("""COMPUTED_VALUE"""),18)</f>
        <v>18</v>
      </c>
    </row>
    <row r="2395" spans="1:6" ht="12.75">
      <c r="A2395" s="4">
        <v>2394</v>
      </c>
      <c r="B2395" s="8" t="str">
        <f ca="1">IFERROR(__xludf.DUMMYFUNCTION("""COMPUTED_VALUE"""),"19920331LAOPA")</f>
        <v>19920331LAOPA</v>
      </c>
      <c r="C2395" s="8" t="str">
        <f ca="1">IFERROR(__xludf.DUMMYFUNCTION("""COMPUTED_VALUE"""),"Fatal")</f>
        <v>Fatal</v>
      </c>
      <c r="D2395" s="8" t="str">
        <f ca="1">IFERROR(__xludf.DUMMYFUNCTION("""COMPUTED_VALUE"""),"Male")</f>
        <v>Male</v>
      </c>
      <c r="E2395" s="8" t="str">
        <f ca="1">IFERROR(__xludf.DUMMYFUNCTION("""COMPUTED_VALUE"""),"Student")</f>
        <v>Student</v>
      </c>
      <c r="F2395" s="8" t="str">
        <f ca="1">IFERROR(__xludf.DUMMYFUNCTION("""COMPUTED_VALUE"""),"Teen")</f>
        <v>Teen</v>
      </c>
    </row>
    <row r="2396" spans="1:6" ht="12.75">
      <c r="A2396" s="4">
        <v>2395</v>
      </c>
      <c r="B2396" s="8" t="str">
        <f ca="1">IFERROR(__xludf.DUMMYFUNCTION("""COMPUTED_VALUE"""),"19920305OHHAO")</f>
        <v>19920305OHHAO</v>
      </c>
      <c r="C2396" s="8" t="str">
        <f ca="1">IFERROR(__xludf.DUMMYFUNCTION("""COMPUTED_VALUE"""),"Wounded")</f>
        <v>Wounded</v>
      </c>
      <c r="D2396" s="8" t="str">
        <f ca="1">IFERROR(__xludf.DUMMYFUNCTION("""COMPUTED_VALUE"""),"Male")</f>
        <v>Male</v>
      </c>
      <c r="E2396" s="8" t="str">
        <f ca="1">IFERROR(__xludf.DUMMYFUNCTION("""COMPUTED_VALUE"""),"Student")</f>
        <v>Student</v>
      </c>
      <c r="F2396" s="8" t="str">
        <f ca="1">IFERROR(__xludf.DUMMYFUNCTION("""COMPUTED_VALUE"""),"Teen")</f>
        <v>Teen</v>
      </c>
    </row>
    <row r="2397" spans="1:6" ht="12.75">
      <c r="A2397" s="4">
        <v>2396</v>
      </c>
      <c r="B2397" s="8" t="str">
        <f ca="1">IFERROR(__xludf.DUMMYFUNCTION("""COMPUTED_VALUE"""),"19920226NYTHB")</f>
        <v>19920226NYTHB</v>
      </c>
      <c r="C2397" s="8" t="str">
        <f ca="1">IFERROR(__xludf.DUMMYFUNCTION("""COMPUTED_VALUE"""),"Fatal")</f>
        <v>Fatal</v>
      </c>
      <c r="D2397" s="8" t="str">
        <f ca="1">IFERROR(__xludf.DUMMYFUNCTION("""COMPUTED_VALUE"""),"Male")</f>
        <v>Male</v>
      </c>
      <c r="E2397" s="8" t="str">
        <f ca="1">IFERROR(__xludf.DUMMYFUNCTION("""COMPUTED_VALUE"""),"Student")</f>
        <v>Student</v>
      </c>
      <c r="F2397" s="8">
        <f ca="1">IFERROR(__xludf.DUMMYFUNCTION("""COMPUTED_VALUE"""),16)</f>
        <v>16</v>
      </c>
    </row>
    <row r="2398" spans="1:6" ht="12.75">
      <c r="A2398" s="4">
        <v>2397</v>
      </c>
      <c r="B2398" s="8" t="str">
        <f ca="1">IFERROR(__xludf.DUMMYFUNCTION("""COMPUTED_VALUE"""),"19920226NYTHB")</f>
        <v>19920226NYTHB</v>
      </c>
      <c r="C2398" s="8" t="str">
        <f ca="1">IFERROR(__xludf.DUMMYFUNCTION("""COMPUTED_VALUE"""),"Fatal")</f>
        <v>Fatal</v>
      </c>
      <c r="D2398" s="8" t="str">
        <f ca="1">IFERROR(__xludf.DUMMYFUNCTION("""COMPUTED_VALUE"""),"Male")</f>
        <v>Male</v>
      </c>
      <c r="E2398" s="8" t="str">
        <f ca="1">IFERROR(__xludf.DUMMYFUNCTION("""COMPUTED_VALUE"""),"Student")</f>
        <v>Student</v>
      </c>
      <c r="F2398" s="8">
        <f ca="1">IFERROR(__xludf.DUMMYFUNCTION("""COMPUTED_VALUE"""),17)</f>
        <v>17</v>
      </c>
    </row>
    <row r="2399" spans="1:6" ht="12.75">
      <c r="A2399" s="4">
        <v>2398</v>
      </c>
      <c r="B2399" s="8" t="str">
        <f ca="1">IFERROR(__xludf.DUMMYFUNCTION("""COMPUTED_VALUE"""),"19920207VABON")</f>
        <v>19920207VABON</v>
      </c>
      <c r="C2399" s="8" t="str">
        <f ca="1">IFERROR(__xludf.DUMMYFUNCTION("""COMPUTED_VALUE"""),"Fatal")</f>
        <v>Fatal</v>
      </c>
      <c r="D2399" s="8" t="str">
        <f ca="1">IFERROR(__xludf.DUMMYFUNCTION("""COMPUTED_VALUE"""),"Male")</f>
        <v>Male</v>
      </c>
      <c r="E2399" s="8" t="str">
        <f ca="1">IFERROR(__xludf.DUMMYFUNCTION("""COMPUTED_VALUE"""),"Student")</f>
        <v>Student</v>
      </c>
      <c r="F2399" s="8">
        <f ca="1">IFERROR(__xludf.DUMMYFUNCTION("""COMPUTED_VALUE"""),19)</f>
        <v>19</v>
      </c>
    </row>
    <row r="2400" spans="1:6" ht="12.75">
      <c r="A2400" s="4">
        <v>2399</v>
      </c>
      <c r="B2400" s="8" t="str">
        <f ca="1">IFERROR(__xludf.DUMMYFUNCTION("""COMPUTED_VALUE"""),"19920207VABON")</f>
        <v>19920207VABON</v>
      </c>
      <c r="C2400" s="8" t="str">
        <f ca="1">IFERROR(__xludf.DUMMYFUNCTION("""COMPUTED_VALUE"""),"Wounded")</f>
        <v>Wounded</v>
      </c>
      <c r="D2400" s="8" t="str">
        <f ca="1">IFERROR(__xludf.DUMMYFUNCTION("""COMPUTED_VALUE"""),"Male")</f>
        <v>Male</v>
      </c>
      <c r="E2400" s="8" t="str">
        <f ca="1">IFERROR(__xludf.DUMMYFUNCTION("""COMPUTED_VALUE"""),"Student")</f>
        <v>Student</v>
      </c>
      <c r="F2400" s="8">
        <f ca="1">IFERROR(__xludf.DUMMYFUNCTION("""COMPUTED_VALUE"""),18)</f>
        <v>18</v>
      </c>
    </row>
    <row r="2401" spans="1:6" ht="12.75">
      <c r="A2401" s="4">
        <v>2400</v>
      </c>
      <c r="B2401" s="8" t="str">
        <f ca="1">IFERROR(__xludf.DUMMYFUNCTION("""COMPUTED_VALUE"""),"19920206OKDOO")</f>
        <v>19920206OKDOO</v>
      </c>
      <c r="C2401" s="8" t="str">
        <f ca="1">IFERROR(__xludf.DUMMYFUNCTION("""COMPUTED_VALUE"""),"Fatal")</f>
        <v>Fatal</v>
      </c>
      <c r="D2401" s="8" t="str">
        <f ca="1">IFERROR(__xludf.DUMMYFUNCTION("""COMPUTED_VALUE"""),"Male")</f>
        <v>Male</v>
      </c>
      <c r="E2401" s="8" t="str">
        <f ca="1">IFERROR(__xludf.DUMMYFUNCTION("""COMPUTED_VALUE"""),"Student")</f>
        <v>Student</v>
      </c>
      <c r="F2401" s="8" t="str">
        <f ca="1">IFERROR(__xludf.DUMMYFUNCTION("""COMPUTED_VALUE"""),"Teen")</f>
        <v>Teen</v>
      </c>
    </row>
    <row r="2402" spans="1:6" ht="12.75">
      <c r="A2402" s="4">
        <v>2401</v>
      </c>
      <c r="B2402" s="8" t="str">
        <f ca="1">IFERROR(__xludf.DUMMYFUNCTION("""COMPUTED_VALUE"""),"19920131LAFRG")</f>
        <v>19920131LAFRG</v>
      </c>
      <c r="C2402" s="8" t="str">
        <f ca="1">IFERROR(__xludf.DUMMYFUNCTION("""COMPUTED_VALUE"""),"Wounded")</f>
        <v>Wounded</v>
      </c>
      <c r="D2402" s="8" t="str">
        <f ca="1">IFERROR(__xludf.DUMMYFUNCTION("""COMPUTED_VALUE"""),"Male")</f>
        <v>Male</v>
      </c>
      <c r="E2402" s="8" t="str">
        <f ca="1">IFERROR(__xludf.DUMMYFUNCTION("""COMPUTED_VALUE"""),"Student")</f>
        <v>Student</v>
      </c>
      <c r="F2402" s="8">
        <f ca="1">IFERROR(__xludf.DUMMYFUNCTION("""COMPUTED_VALUE"""),13)</f>
        <v>13</v>
      </c>
    </row>
    <row r="2403" spans="1:6" ht="12.75">
      <c r="A2403" s="4">
        <v>2402</v>
      </c>
      <c r="B2403" s="8" t="str">
        <f ca="1">IFERROR(__xludf.DUMMYFUNCTION("""COMPUTED_VALUE"""),"19920128LAFRG")</f>
        <v>19920128LAFRG</v>
      </c>
      <c r="C2403" s="8" t="str">
        <f ca="1">IFERROR(__xludf.DUMMYFUNCTION("""COMPUTED_VALUE"""),"Wounded")</f>
        <v>Wounded</v>
      </c>
      <c r="D2403" s="8" t="str">
        <f ca="1">IFERROR(__xludf.DUMMYFUNCTION("""COMPUTED_VALUE"""),"Male")</f>
        <v>Male</v>
      </c>
      <c r="E2403" s="8" t="str">
        <f ca="1">IFERROR(__xludf.DUMMYFUNCTION("""COMPUTED_VALUE"""),"Student")</f>
        <v>Student</v>
      </c>
      <c r="F2403" s="8">
        <f ca="1">IFERROR(__xludf.DUMMYFUNCTION("""COMPUTED_VALUE"""),14)</f>
        <v>14</v>
      </c>
    </row>
    <row r="2404" spans="1:6" ht="12.75">
      <c r="A2404" s="4">
        <v>2403</v>
      </c>
      <c r="B2404" s="8" t="str">
        <f ca="1">IFERROR(__xludf.DUMMYFUNCTION("""COMPUTED_VALUE"""),"19920117SCGRG")</f>
        <v>19920117SCGRG</v>
      </c>
      <c r="C2404" s="8" t="str">
        <f ca="1">IFERROR(__xludf.DUMMYFUNCTION("""COMPUTED_VALUE"""),"Wounded")</f>
        <v>Wounded</v>
      </c>
      <c r="D2404" s="8" t="str">
        <f ca="1">IFERROR(__xludf.DUMMYFUNCTION("""COMPUTED_VALUE"""),"Male")</f>
        <v>Male</v>
      </c>
      <c r="E2404" s="8" t="str">
        <f ca="1">IFERROR(__xludf.DUMMYFUNCTION("""COMPUTED_VALUE"""),"Student")</f>
        <v>Student</v>
      </c>
      <c r="F2404" s="8">
        <f ca="1">IFERROR(__xludf.DUMMYFUNCTION("""COMPUTED_VALUE"""),18)</f>
        <v>18</v>
      </c>
    </row>
    <row r="2405" spans="1:6" ht="12.75">
      <c r="A2405" s="4">
        <v>2404</v>
      </c>
      <c r="B2405" s="8" t="str">
        <f ca="1">IFERROR(__xludf.DUMMYFUNCTION("""COMPUTED_VALUE"""),"19911226NCWHW")</f>
        <v>19911226NCWHW</v>
      </c>
      <c r="C2405" s="8" t="str">
        <f ca="1">IFERROR(__xludf.DUMMYFUNCTION("""COMPUTED_VALUE"""),"Wounded")</f>
        <v>Wounded</v>
      </c>
      <c r="D2405" s="8" t="str">
        <f ca="1">IFERROR(__xludf.DUMMYFUNCTION("""COMPUTED_VALUE"""),"Male")</f>
        <v>Male</v>
      </c>
      <c r="E2405" s="8" t="str">
        <f ca="1">IFERROR(__xludf.DUMMYFUNCTION("""COMPUTED_VALUE"""),"Nonstudent Using Athletic Facilities/Attending Game")</f>
        <v>Nonstudent Using Athletic Facilities/Attending Game</v>
      </c>
      <c r="F2405" s="8" t="str">
        <f ca="1">IFERROR(__xludf.DUMMYFUNCTION("""COMPUTED_VALUE"""),"Adult")</f>
        <v>Adult</v>
      </c>
    </row>
    <row r="2406" spans="1:6" ht="12.75">
      <c r="A2406" s="4">
        <v>2405</v>
      </c>
      <c r="B2406" s="8" t="str">
        <f ca="1">IFERROR(__xludf.DUMMYFUNCTION("""COMPUTED_VALUE"""),"19911226NCWHW")</f>
        <v>19911226NCWHW</v>
      </c>
      <c r="C2406" s="8" t="str">
        <f ca="1">IFERROR(__xludf.DUMMYFUNCTION("""COMPUTED_VALUE"""),"Wounded")</f>
        <v>Wounded</v>
      </c>
      <c r="D2406" s="8" t="str">
        <f ca="1">IFERROR(__xludf.DUMMYFUNCTION("""COMPUTED_VALUE"""),"Male")</f>
        <v>Male</v>
      </c>
      <c r="E2406" s="8" t="str">
        <f ca="1">IFERROR(__xludf.DUMMYFUNCTION("""COMPUTED_VALUE"""),"Nonstudent Using Athletic Facilities/Attending Game")</f>
        <v>Nonstudent Using Athletic Facilities/Attending Game</v>
      </c>
      <c r="F2406" s="8" t="str">
        <f ca="1">IFERROR(__xludf.DUMMYFUNCTION("""COMPUTED_VALUE"""),"Adult")</f>
        <v>Adult</v>
      </c>
    </row>
    <row r="2407" spans="1:6" ht="12.75">
      <c r="A2407" s="4">
        <v>2406</v>
      </c>
      <c r="B2407" s="8" t="str">
        <f ca="1">IFERROR(__xludf.DUMMYFUNCTION("""COMPUTED_VALUE"""),"19911125NYTHB")</f>
        <v>19911125NYTHB</v>
      </c>
      <c r="C2407" s="8" t="str">
        <f ca="1">IFERROR(__xludf.DUMMYFUNCTION("""COMPUTED_VALUE"""),"Fatal")</f>
        <v>Fatal</v>
      </c>
      <c r="D2407" s="8" t="str">
        <f ca="1">IFERROR(__xludf.DUMMYFUNCTION("""COMPUTED_VALUE"""),"Male")</f>
        <v>Male</v>
      </c>
      <c r="E2407" s="8" t="str">
        <f ca="1">IFERROR(__xludf.DUMMYFUNCTION("""COMPUTED_VALUE"""),"Student")</f>
        <v>Student</v>
      </c>
      <c r="F2407" s="8">
        <f ca="1">IFERROR(__xludf.DUMMYFUNCTION("""COMPUTED_VALUE"""),16)</f>
        <v>16</v>
      </c>
    </row>
    <row r="2408" spans="1:6" ht="12.75">
      <c r="A2408" s="4">
        <v>2407</v>
      </c>
      <c r="B2408" s="8" t="str">
        <f ca="1">IFERROR(__xludf.DUMMYFUNCTION("""COMPUTED_VALUE"""),"19911125NYTHB")</f>
        <v>19911125NYTHB</v>
      </c>
      <c r="C2408" s="8" t="str">
        <f ca="1">IFERROR(__xludf.DUMMYFUNCTION("""COMPUTED_VALUE"""),"Wounded")</f>
        <v>Wounded</v>
      </c>
      <c r="D2408" s="8" t="str">
        <f ca="1">IFERROR(__xludf.DUMMYFUNCTION("""COMPUTED_VALUE"""),"Male")</f>
        <v>Male</v>
      </c>
      <c r="E2408" s="8" t="str">
        <f ca="1">IFERROR(__xludf.DUMMYFUNCTION("""COMPUTED_VALUE"""),"Teacher")</f>
        <v>Teacher</v>
      </c>
      <c r="F2408" s="8">
        <f ca="1">IFERROR(__xludf.DUMMYFUNCTION("""COMPUTED_VALUE"""),48)</f>
        <v>48</v>
      </c>
    </row>
    <row r="2409" spans="1:6" ht="12.75">
      <c r="A2409" s="4">
        <v>2408</v>
      </c>
      <c r="B2409" s="8" t="str">
        <f ca="1">IFERROR(__xludf.DUMMYFUNCTION("""COMPUTED_VALUE"""),"19911114TXMIH")</f>
        <v>19911114TXMIH</v>
      </c>
      <c r="C2409" s="8" t="str">
        <f ca="1">IFERROR(__xludf.DUMMYFUNCTION("""COMPUTED_VALUE"""),"Wounded")</f>
        <v>Wounded</v>
      </c>
      <c r="D2409" s="8" t="str">
        <f ca="1">IFERROR(__xludf.DUMMYFUNCTION("""COMPUTED_VALUE"""),"Male")</f>
        <v>Male</v>
      </c>
      <c r="E2409" s="8" t="str">
        <f ca="1">IFERROR(__xludf.DUMMYFUNCTION("""COMPUTED_VALUE"""),"Student")</f>
        <v>Student</v>
      </c>
      <c r="F2409" s="8">
        <f ca="1">IFERROR(__xludf.DUMMYFUNCTION("""COMPUTED_VALUE"""),18)</f>
        <v>18</v>
      </c>
    </row>
    <row r="2410" spans="1:6" ht="12.75">
      <c r="A2410" s="4">
        <v>2409</v>
      </c>
      <c r="B2410" s="8" t="str">
        <f ca="1">IFERROR(__xludf.DUMMYFUNCTION("""COMPUTED_VALUE"""),"19911111TXYSE")</f>
        <v>19911111TXYSE</v>
      </c>
      <c r="C2410" s="8" t="str">
        <f ca="1">IFERROR(__xludf.DUMMYFUNCTION("""COMPUTED_VALUE"""),"Fatal")</f>
        <v>Fatal</v>
      </c>
      <c r="D2410" s="8" t="str">
        <f ca="1">IFERROR(__xludf.DUMMYFUNCTION("""COMPUTED_VALUE"""),"Male")</f>
        <v>Male</v>
      </c>
      <c r="E2410" s="8" t="str">
        <f ca="1">IFERROR(__xludf.DUMMYFUNCTION("""COMPUTED_VALUE"""),"Student")</f>
        <v>Student</v>
      </c>
      <c r="F2410" s="8">
        <f ca="1">IFERROR(__xludf.DUMMYFUNCTION("""COMPUTED_VALUE"""),15)</f>
        <v>15</v>
      </c>
    </row>
    <row r="2411" spans="1:6" ht="12.75">
      <c r="A2411" s="4">
        <v>2410</v>
      </c>
      <c r="B2411" s="8" t="str">
        <f ca="1">IFERROR(__xludf.DUMMYFUNCTION("""COMPUTED_VALUE"""),"19911111TXYSE")</f>
        <v>19911111TXYSE</v>
      </c>
      <c r="C2411" s="8" t="str">
        <f ca="1">IFERROR(__xludf.DUMMYFUNCTION("""COMPUTED_VALUE"""),"Wounded")</f>
        <v>Wounded</v>
      </c>
      <c r="D2411" s="8" t="str">
        <f ca="1">IFERROR(__xludf.DUMMYFUNCTION("""COMPUTED_VALUE"""),"Male")</f>
        <v>Male</v>
      </c>
      <c r="E2411" s="8" t="str">
        <f ca="1">IFERROR(__xludf.DUMMYFUNCTION("""COMPUTED_VALUE"""),"Student")</f>
        <v>Student</v>
      </c>
      <c r="F2411" s="8">
        <f ca="1">IFERROR(__xludf.DUMMYFUNCTION("""COMPUTED_VALUE"""),18)</f>
        <v>18</v>
      </c>
    </row>
    <row r="2412" spans="1:6" ht="12.75">
      <c r="A2412" s="4">
        <v>2411</v>
      </c>
      <c r="B2412" s="8" t="str">
        <f ca="1">IFERROR(__xludf.DUMMYFUNCTION("""COMPUTED_VALUE"""),"19911106LAWAN")</f>
        <v>19911106LAWAN</v>
      </c>
      <c r="C2412" s="8" t="str">
        <f ca="1">IFERROR(__xludf.DUMMYFUNCTION("""COMPUTED_VALUE"""),"Fatal")</f>
        <v>Fatal</v>
      </c>
      <c r="D2412" s="8" t="str">
        <f ca="1">IFERROR(__xludf.DUMMYFUNCTION("""COMPUTED_VALUE"""),"Male")</f>
        <v>Male</v>
      </c>
      <c r="E2412" s="8" t="str">
        <f ca="1">IFERROR(__xludf.DUMMYFUNCTION("""COMPUTED_VALUE"""),"Student")</f>
        <v>Student</v>
      </c>
      <c r="F2412" s="8" t="str">
        <f ca="1">IFERROR(__xludf.DUMMYFUNCTION("""COMPUTED_VALUE"""),"Teen")</f>
        <v>Teen</v>
      </c>
    </row>
    <row r="2413" spans="1:6" ht="12.75">
      <c r="A2413" s="4">
        <v>2412</v>
      </c>
      <c r="B2413" s="8" t="str">
        <f ca="1">IFERROR(__xludf.DUMMYFUNCTION("""COMPUTED_VALUE"""),"19911106LAWAN")</f>
        <v>19911106LAWAN</v>
      </c>
      <c r="C2413" s="8" t="str">
        <f ca="1">IFERROR(__xludf.DUMMYFUNCTION("""COMPUTED_VALUE"""),"Wounded")</f>
        <v>Wounded</v>
      </c>
      <c r="D2413" s="8" t="str">
        <f ca="1">IFERROR(__xludf.DUMMYFUNCTION("""COMPUTED_VALUE"""),"Male")</f>
        <v>Male</v>
      </c>
      <c r="E2413" s="8" t="str">
        <f ca="1">IFERROR(__xludf.DUMMYFUNCTION("""COMPUTED_VALUE"""),"Student")</f>
        <v>Student</v>
      </c>
      <c r="F2413" s="8" t="str">
        <f ca="1">IFERROR(__xludf.DUMMYFUNCTION("""COMPUTED_VALUE"""),"Teen")</f>
        <v>Teen</v>
      </c>
    </row>
    <row r="2414" spans="1:6" ht="12.75">
      <c r="A2414" s="4">
        <v>2413</v>
      </c>
      <c r="B2414" s="8" t="str">
        <f ca="1">IFERROR(__xludf.DUMMYFUNCTION("""COMPUTED_VALUE"""),"19911023TXOAD")</f>
        <v>19911023TXOAD</v>
      </c>
      <c r="C2414" s="8" t="str">
        <f ca="1">IFERROR(__xludf.DUMMYFUNCTION("""COMPUTED_VALUE"""),"Fatal")</f>
        <v>Fatal</v>
      </c>
      <c r="D2414" s="8" t="str">
        <f ca="1">IFERROR(__xludf.DUMMYFUNCTION("""COMPUTED_VALUE"""),"Male")</f>
        <v>Male</v>
      </c>
      <c r="E2414" s="8" t="str">
        <f ca="1">IFERROR(__xludf.DUMMYFUNCTION("""COMPUTED_VALUE"""),"Student")</f>
        <v>Student</v>
      </c>
      <c r="F2414" s="8" t="str">
        <f ca="1">IFERROR(__xludf.DUMMYFUNCTION("""COMPUTED_VALUE"""),"Teen")</f>
        <v>Teen</v>
      </c>
    </row>
    <row r="2415" spans="1:6" ht="12.75">
      <c r="A2415" s="4">
        <v>2414</v>
      </c>
      <c r="B2415" s="8" t="str">
        <f ca="1">IFERROR(__xludf.DUMMYFUNCTION("""COMPUTED_VALUE"""),"19911015TXGEP")</f>
        <v>19911015TXGEP</v>
      </c>
      <c r="C2415" s="8" t="str">
        <f ca="1">IFERROR(__xludf.DUMMYFUNCTION("""COMPUTED_VALUE"""),"Wounded")</f>
        <v>Wounded</v>
      </c>
      <c r="D2415" s="8" t="str">
        <f ca="1">IFERROR(__xludf.DUMMYFUNCTION("""COMPUTED_VALUE"""),"Male")</f>
        <v>Male</v>
      </c>
      <c r="E2415" s="8" t="str">
        <f ca="1">IFERROR(__xludf.DUMMYFUNCTION("""COMPUTED_VALUE"""),"Student")</f>
        <v>Student</v>
      </c>
      <c r="F2415" s="8" t="str">
        <f ca="1">IFERROR(__xludf.DUMMYFUNCTION("""COMPUTED_VALUE"""),"Teen")</f>
        <v>Teen</v>
      </c>
    </row>
    <row r="2416" spans="1:6" ht="12.75">
      <c r="A2416" s="4">
        <v>2415</v>
      </c>
      <c r="B2416" s="8" t="str">
        <f ca="1">IFERROR(__xludf.DUMMYFUNCTION("""COMPUTED_VALUE"""),"19911015SCWOW")</f>
        <v>19911015SCWOW</v>
      </c>
      <c r="C2416" s="8" t="str">
        <f ca="1">IFERROR(__xludf.DUMMYFUNCTION("""COMPUTED_VALUE"""),"None")</f>
        <v>None</v>
      </c>
      <c r="D2416" s="8"/>
      <c r="E2416" s="8"/>
      <c r="F2416" s="8"/>
    </row>
    <row r="2417" spans="1:6" ht="12.75">
      <c r="A2417" s="4">
        <v>2416</v>
      </c>
      <c r="B2417" s="8" t="str">
        <f ca="1">IFERROR(__xludf.DUMMYFUNCTION("""COMPUTED_VALUE"""),"19911015NHMOS")</f>
        <v>19911015NHMOS</v>
      </c>
      <c r="C2417" s="8" t="str">
        <f ca="1">IFERROR(__xludf.DUMMYFUNCTION("""COMPUTED_VALUE"""),"Wounded")</f>
        <v>Wounded</v>
      </c>
      <c r="D2417" s="8"/>
      <c r="E2417" s="8" t="str">
        <f ca="1">IFERROR(__xludf.DUMMYFUNCTION("""COMPUTED_VALUE"""),"Student")</f>
        <v>Student</v>
      </c>
      <c r="F2417" s="8" t="str">
        <f ca="1">IFERROR(__xludf.DUMMYFUNCTION("""COMPUTED_VALUE"""),"Teen")</f>
        <v>Teen</v>
      </c>
    </row>
    <row r="2418" spans="1:6" ht="12.75">
      <c r="A2418" s="4">
        <v>2417</v>
      </c>
      <c r="B2418" s="8" t="str">
        <f ca="1">IFERROR(__xludf.DUMMYFUNCTION("""COMPUTED_VALUE"""),"19911015NHMOS")</f>
        <v>19911015NHMOS</v>
      </c>
      <c r="C2418" s="8" t="str">
        <f ca="1">IFERROR(__xludf.DUMMYFUNCTION("""COMPUTED_VALUE"""),"Wounded")</f>
        <v>Wounded</v>
      </c>
      <c r="D2418" s="8"/>
      <c r="E2418" s="8" t="str">
        <f ca="1">IFERROR(__xludf.DUMMYFUNCTION("""COMPUTED_VALUE"""),"Student")</f>
        <v>Student</v>
      </c>
      <c r="F2418" s="8" t="str">
        <f ca="1">IFERROR(__xludf.DUMMYFUNCTION("""COMPUTED_VALUE"""),"Teen")</f>
        <v>Teen</v>
      </c>
    </row>
    <row r="2419" spans="1:6" ht="12.75">
      <c r="A2419" s="4">
        <v>2418</v>
      </c>
      <c r="B2419" s="8" t="str">
        <f ca="1">IFERROR(__xludf.DUMMYFUNCTION("""COMPUTED_VALUE"""),"19911011MAMAR")</f>
        <v>19911011MAMAR</v>
      </c>
      <c r="C2419" s="8" t="str">
        <f ca="1">IFERROR(__xludf.DUMMYFUNCTION("""COMPUTED_VALUE"""),"Wounded")</f>
        <v>Wounded</v>
      </c>
      <c r="D2419" s="8" t="str">
        <f ca="1">IFERROR(__xludf.DUMMYFUNCTION("""COMPUTED_VALUE"""),"Male")</f>
        <v>Male</v>
      </c>
      <c r="E2419" s="8" t="str">
        <f ca="1">IFERROR(__xludf.DUMMYFUNCTION("""COMPUTED_VALUE"""),"Nonstudent")</f>
        <v>Nonstudent</v>
      </c>
      <c r="F2419" s="8">
        <f ca="1">IFERROR(__xludf.DUMMYFUNCTION("""COMPUTED_VALUE"""),17)</f>
        <v>17</v>
      </c>
    </row>
    <row r="2420" spans="1:6" ht="12.75">
      <c r="A2420" s="4">
        <v>2419</v>
      </c>
      <c r="B2420" s="8" t="str">
        <f ca="1">IFERROR(__xludf.DUMMYFUNCTION("""COMPUTED_VALUE"""),"19911009NYJAB")</f>
        <v>19911009NYJAB</v>
      </c>
      <c r="C2420" s="8" t="str">
        <f ca="1">IFERROR(__xludf.DUMMYFUNCTION("""COMPUTED_VALUE"""),"Fatal")</f>
        <v>Fatal</v>
      </c>
      <c r="D2420" s="8" t="str">
        <f ca="1">IFERROR(__xludf.DUMMYFUNCTION("""COMPUTED_VALUE"""),"Male")</f>
        <v>Male</v>
      </c>
      <c r="E2420" s="8" t="str">
        <f ca="1">IFERROR(__xludf.DUMMYFUNCTION("""COMPUTED_VALUE"""),"Student")</f>
        <v>Student</v>
      </c>
      <c r="F2420" s="8" t="str">
        <f ca="1">IFERROR(__xludf.DUMMYFUNCTION("""COMPUTED_VALUE"""),"Teen")</f>
        <v>Teen</v>
      </c>
    </row>
    <row r="2421" spans="1:6" ht="12.75">
      <c r="A2421" s="4">
        <v>2420</v>
      </c>
      <c r="B2421" s="8" t="str">
        <f ca="1">IFERROR(__xludf.DUMMYFUNCTION("""COMPUTED_VALUE"""),"19911004CAROL")</f>
        <v>19911004CAROL</v>
      </c>
      <c r="C2421" s="8" t="str">
        <f ca="1">IFERROR(__xludf.DUMMYFUNCTION("""COMPUTED_VALUE"""),"None")</f>
        <v>None</v>
      </c>
      <c r="D2421" s="8"/>
      <c r="E2421" s="8"/>
      <c r="F2421" s="8"/>
    </row>
    <row r="2422" spans="1:6" ht="12.75">
      <c r="A2422" s="4">
        <v>2421</v>
      </c>
      <c r="B2422" s="8" t="str">
        <f ca="1">IFERROR(__xludf.DUMMYFUNCTION("""COMPUTED_VALUE"""),"19911004CADOL")</f>
        <v>19911004CADOL</v>
      </c>
      <c r="C2422" s="8" t="str">
        <f ca="1">IFERROR(__xludf.DUMMYFUNCTION("""COMPUTED_VALUE"""),"Wounded")</f>
        <v>Wounded</v>
      </c>
      <c r="D2422" s="8" t="str">
        <f ca="1">IFERROR(__xludf.DUMMYFUNCTION("""COMPUTED_VALUE"""),"Male")</f>
        <v>Male</v>
      </c>
      <c r="E2422" s="8" t="str">
        <f ca="1">IFERROR(__xludf.DUMMYFUNCTION("""COMPUTED_VALUE"""),"Student")</f>
        <v>Student</v>
      </c>
      <c r="F2422" s="8" t="str">
        <f ca="1">IFERROR(__xludf.DUMMYFUNCTION("""COMPUTED_VALUE"""),"Teen")</f>
        <v>Teen</v>
      </c>
    </row>
    <row r="2423" spans="1:6" ht="12.75">
      <c r="A2423" s="4">
        <v>2422</v>
      </c>
      <c r="B2423" s="8" t="str">
        <f ca="1">IFERROR(__xludf.DUMMYFUNCTION("""COMPUTED_VALUE"""),"19911004CADOL")</f>
        <v>19911004CADOL</v>
      </c>
      <c r="C2423" s="8" t="str">
        <f ca="1">IFERROR(__xludf.DUMMYFUNCTION("""COMPUTED_VALUE"""),"Wounded")</f>
        <v>Wounded</v>
      </c>
      <c r="D2423" s="8" t="str">
        <f ca="1">IFERROR(__xludf.DUMMYFUNCTION("""COMPUTED_VALUE"""),"Male")</f>
        <v>Male</v>
      </c>
      <c r="E2423" s="8" t="str">
        <f ca="1">IFERROR(__xludf.DUMMYFUNCTION("""COMPUTED_VALUE"""),"Student")</f>
        <v>Student</v>
      </c>
      <c r="F2423" s="8" t="str">
        <f ca="1">IFERROR(__xludf.DUMMYFUNCTION("""COMPUTED_VALUE"""),"Teen")</f>
        <v>Teen</v>
      </c>
    </row>
    <row r="2424" spans="1:6" ht="12.75">
      <c r="A2424" s="4">
        <v>2423</v>
      </c>
      <c r="B2424" s="8" t="str">
        <f ca="1">IFERROR(__xludf.DUMMYFUNCTION("""COMPUTED_VALUE"""),"19911002TXSPH")</f>
        <v>19911002TXSPH</v>
      </c>
      <c r="C2424" s="8" t="str">
        <f ca="1">IFERROR(__xludf.DUMMYFUNCTION("""COMPUTED_VALUE"""),"Wounded")</f>
        <v>Wounded</v>
      </c>
      <c r="D2424" s="8" t="str">
        <f ca="1">IFERROR(__xludf.DUMMYFUNCTION("""COMPUTED_VALUE"""),"Male")</f>
        <v>Male</v>
      </c>
      <c r="E2424" s="8" t="str">
        <f ca="1">IFERROR(__xludf.DUMMYFUNCTION("""COMPUTED_VALUE"""),"Student")</f>
        <v>Student</v>
      </c>
      <c r="F2424" s="8" t="str">
        <f ca="1">IFERROR(__xludf.DUMMYFUNCTION("""COMPUTED_VALUE"""),"Teen")</f>
        <v>Teen</v>
      </c>
    </row>
    <row r="2425" spans="1:6" ht="12.75">
      <c r="A2425" s="4">
        <v>2424</v>
      </c>
      <c r="B2425" s="8" t="str">
        <f ca="1">IFERROR(__xludf.DUMMYFUNCTION("""COMPUTED_VALUE"""),"19910918TXCRC")</f>
        <v>19910918TXCRC</v>
      </c>
      <c r="C2425" s="8" t="str">
        <f ca="1">IFERROR(__xludf.DUMMYFUNCTION("""COMPUTED_VALUE"""),"Fatal")</f>
        <v>Fatal</v>
      </c>
      <c r="D2425" s="8" t="str">
        <f ca="1">IFERROR(__xludf.DUMMYFUNCTION("""COMPUTED_VALUE"""),"Male")</f>
        <v>Male</v>
      </c>
      <c r="E2425" s="8" t="str">
        <f ca="1">IFERROR(__xludf.DUMMYFUNCTION("""COMPUTED_VALUE"""),"Student")</f>
        <v>Student</v>
      </c>
      <c r="F2425" s="8">
        <f ca="1">IFERROR(__xludf.DUMMYFUNCTION("""COMPUTED_VALUE"""),17)</f>
        <v>17</v>
      </c>
    </row>
    <row r="2426" spans="1:6" ht="12.75">
      <c r="A2426" s="4">
        <v>2425</v>
      </c>
      <c r="B2426" s="8" t="str">
        <f ca="1">IFERROR(__xludf.DUMMYFUNCTION("""COMPUTED_VALUE"""),"19910917ILWOC")</f>
        <v>19910917ILWOC</v>
      </c>
      <c r="C2426" s="8" t="str">
        <f ca="1">IFERROR(__xludf.DUMMYFUNCTION("""COMPUTED_VALUE"""),"Wounded")</f>
        <v>Wounded</v>
      </c>
      <c r="D2426" s="8" t="str">
        <f ca="1">IFERROR(__xludf.DUMMYFUNCTION("""COMPUTED_VALUE"""),"Male")</f>
        <v>Male</v>
      </c>
      <c r="E2426" s="8" t="str">
        <f ca="1">IFERROR(__xludf.DUMMYFUNCTION("""COMPUTED_VALUE"""),"Student")</f>
        <v>Student</v>
      </c>
      <c r="F2426" s="8" t="str">
        <f ca="1">IFERROR(__xludf.DUMMYFUNCTION("""COMPUTED_VALUE"""),"Teen")</f>
        <v>Teen</v>
      </c>
    </row>
    <row r="2427" spans="1:6" ht="12.75">
      <c r="A2427" s="4">
        <v>2426</v>
      </c>
      <c r="B2427" s="8" t="str">
        <f ca="1">IFERROR(__xludf.DUMMYFUNCTION("""COMPUTED_VALUE"""),"19910913TXMAH")</f>
        <v>19910913TXMAH</v>
      </c>
      <c r="C2427" s="8" t="str">
        <f ca="1">IFERROR(__xludf.DUMMYFUNCTION("""COMPUTED_VALUE"""),"Fatal")</f>
        <v>Fatal</v>
      </c>
      <c r="D2427" s="8" t="str">
        <f ca="1">IFERROR(__xludf.DUMMYFUNCTION("""COMPUTED_VALUE"""),"Male")</f>
        <v>Male</v>
      </c>
      <c r="E2427" s="8" t="str">
        <f ca="1">IFERROR(__xludf.DUMMYFUNCTION("""COMPUTED_VALUE"""),"Student")</f>
        <v>Student</v>
      </c>
      <c r="F2427" s="8" t="str">
        <f ca="1">IFERROR(__xludf.DUMMYFUNCTION("""COMPUTED_VALUE"""),"Teen")</f>
        <v>Teen</v>
      </c>
    </row>
    <row r="2428" spans="1:6" ht="12.75">
      <c r="A2428" s="4">
        <v>2427</v>
      </c>
      <c r="B2428" s="8" t="str">
        <f ca="1">IFERROR(__xludf.DUMMYFUNCTION("""COMPUTED_VALUE"""),"19910730CAENC")</f>
        <v>19910730CAENC</v>
      </c>
      <c r="C2428" s="8" t="str">
        <f ca="1">IFERROR(__xludf.DUMMYFUNCTION("""COMPUTED_VALUE"""),"Wounded")</f>
        <v>Wounded</v>
      </c>
      <c r="D2428" s="8" t="str">
        <f ca="1">IFERROR(__xludf.DUMMYFUNCTION("""COMPUTED_VALUE"""),"Male")</f>
        <v>Male</v>
      </c>
      <c r="E2428" s="8" t="str">
        <f ca="1">IFERROR(__xludf.DUMMYFUNCTION("""COMPUTED_VALUE"""),"Student")</f>
        <v>Student</v>
      </c>
      <c r="F2428" s="8" t="str">
        <f ca="1">IFERROR(__xludf.DUMMYFUNCTION("""COMPUTED_VALUE"""),"Teen")</f>
        <v>Teen</v>
      </c>
    </row>
    <row r="2429" spans="1:6" ht="12.75">
      <c r="A2429" s="4">
        <v>2428</v>
      </c>
      <c r="B2429" s="8" t="str">
        <f ca="1">IFERROR(__xludf.DUMMYFUNCTION("""COMPUTED_VALUE"""),"19910722CAWEL")</f>
        <v>19910722CAWEL</v>
      </c>
      <c r="C2429" s="8" t="str">
        <f ca="1">IFERROR(__xludf.DUMMYFUNCTION("""COMPUTED_VALUE"""),"Wounded")</f>
        <v>Wounded</v>
      </c>
      <c r="D2429" s="8" t="str">
        <f ca="1">IFERROR(__xludf.DUMMYFUNCTION("""COMPUTED_VALUE"""),"Male")</f>
        <v>Male</v>
      </c>
      <c r="E2429" s="8" t="str">
        <f ca="1">IFERROR(__xludf.DUMMYFUNCTION("""COMPUTED_VALUE"""),"Student")</f>
        <v>Student</v>
      </c>
      <c r="F2429" s="8" t="str">
        <f ca="1">IFERROR(__xludf.DUMMYFUNCTION("""COMPUTED_VALUE"""),"Teen")</f>
        <v>Teen</v>
      </c>
    </row>
    <row r="2430" spans="1:6" ht="12.75">
      <c r="A2430" s="4">
        <v>2429</v>
      </c>
      <c r="B2430" s="8" t="str">
        <f ca="1">IFERROR(__xludf.DUMMYFUNCTION("""COMPUTED_VALUE"""),"19910521FLSCP")</f>
        <v>19910521FLSCP</v>
      </c>
      <c r="C2430" s="8" t="str">
        <f ca="1">IFERROR(__xludf.DUMMYFUNCTION("""COMPUTED_VALUE"""),"Wounded")</f>
        <v>Wounded</v>
      </c>
      <c r="D2430" s="8" t="str">
        <f ca="1">IFERROR(__xludf.DUMMYFUNCTION("""COMPUTED_VALUE"""),"Male")</f>
        <v>Male</v>
      </c>
      <c r="E2430" s="8" t="str">
        <f ca="1">IFERROR(__xludf.DUMMYFUNCTION("""COMPUTED_VALUE"""),"Student")</f>
        <v>Student</v>
      </c>
      <c r="F2430" s="8" t="str">
        <f ca="1">IFERROR(__xludf.DUMMYFUNCTION("""COMPUTED_VALUE"""),"Teen")</f>
        <v>Teen</v>
      </c>
    </row>
    <row r="2431" spans="1:6" ht="12.75">
      <c r="A2431" s="4">
        <v>2430</v>
      </c>
      <c r="B2431" s="8" t="str">
        <f ca="1">IFERROR(__xludf.DUMMYFUNCTION("""COMPUTED_VALUE"""),"19910521FLSCP")</f>
        <v>19910521FLSCP</v>
      </c>
      <c r="C2431" s="8" t="str">
        <f ca="1">IFERROR(__xludf.DUMMYFUNCTION("""COMPUTED_VALUE"""),"Fatal")</f>
        <v>Fatal</v>
      </c>
      <c r="D2431" s="8" t="str">
        <f ca="1">IFERROR(__xludf.DUMMYFUNCTION("""COMPUTED_VALUE"""),"Female")</f>
        <v>Female</v>
      </c>
      <c r="E2431" s="8" t="str">
        <f ca="1">IFERROR(__xludf.DUMMYFUNCTION("""COMPUTED_VALUE"""),"Student")</f>
        <v>Student</v>
      </c>
      <c r="F2431" s="8">
        <f ca="1">IFERROR(__xludf.DUMMYFUNCTION("""COMPUTED_VALUE"""),15)</f>
        <v>15</v>
      </c>
    </row>
    <row r="2432" spans="1:6" ht="12.75">
      <c r="A2432" s="4">
        <v>2431</v>
      </c>
      <c r="B2432" s="8" t="str">
        <f ca="1">IFERROR(__xludf.DUMMYFUNCTION("""COMPUTED_VALUE"""),"19910521FLSCP")</f>
        <v>19910521FLSCP</v>
      </c>
      <c r="C2432" s="8" t="str">
        <f ca="1">IFERROR(__xludf.DUMMYFUNCTION("""COMPUTED_VALUE"""),"Wounded")</f>
        <v>Wounded</v>
      </c>
      <c r="D2432" s="8" t="str">
        <f ca="1">IFERROR(__xludf.DUMMYFUNCTION("""COMPUTED_VALUE"""),"Male")</f>
        <v>Male</v>
      </c>
      <c r="E2432" s="8" t="str">
        <f ca="1">IFERROR(__xludf.DUMMYFUNCTION("""COMPUTED_VALUE"""),"Student")</f>
        <v>Student</v>
      </c>
      <c r="F2432" s="8" t="str">
        <f ca="1">IFERROR(__xludf.DUMMYFUNCTION("""COMPUTED_VALUE"""),"Teen")</f>
        <v>Teen</v>
      </c>
    </row>
    <row r="2433" spans="1:6" ht="12.75">
      <c r="A2433" s="4">
        <v>2432</v>
      </c>
      <c r="B2433" s="8" t="str">
        <f ca="1">IFERROR(__xludf.DUMMYFUNCTION("""COMPUTED_VALUE"""),"19910521CAROS")</f>
        <v>19910521CAROS</v>
      </c>
      <c r="C2433" s="8" t="str">
        <f ca="1">IFERROR(__xludf.DUMMYFUNCTION("""COMPUTED_VALUE"""),"Fatal")</f>
        <v>Fatal</v>
      </c>
      <c r="D2433" s="8" t="str">
        <f ca="1">IFERROR(__xludf.DUMMYFUNCTION("""COMPUTED_VALUE"""),"Male")</f>
        <v>Male</v>
      </c>
      <c r="E2433" s="8" t="str">
        <f ca="1">IFERROR(__xludf.DUMMYFUNCTION("""COMPUTED_VALUE"""),"Student")</f>
        <v>Student</v>
      </c>
      <c r="F2433" s="8" t="str">
        <f ca="1">IFERROR(__xludf.DUMMYFUNCTION("""COMPUTED_VALUE"""),"Teen")</f>
        <v>Teen</v>
      </c>
    </row>
    <row r="2434" spans="1:6" ht="12.75">
      <c r="A2434" s="4">
        <v>2433</v>
      </c>
      <c r="B2434" s="8" t="str">
        <f ca="1">IFERROR(__xludf.DUMMYFUNCTION("""COMPUTED_VALUE"""),"19910516KSCOK")</f>
        <v>19910516KSCOK</v>
      </c>
      <c r="C2434" s="8" t="str">
        <f ca="1">IFERROR(__xludf.DUMMYFUNCTION("""COMPUTED_VALUE"""),"Wounded")</f>
        <v>Wounded</v>
      </c>
      <c r="D2434" s="8" t="str">
        <f ca="1">IFERROR(__xludf.DUMMYFUNCTION("""COMPUTED_VALUE"""),"Male")</f>
        <v>Male</v>
      </c>
      <c r="E2434" s="8" t="str">
        <f ca="1">IFERROR(__xludf.DUMMYFUNCTION("""COMPUTED_VALUE"""),"Student")</f>
        <v>Student</v>
      </c>
      <c r="F2434" s="8">
        <f ca="1">IFERROR(__xludf.DUMMYFUNCTION("""COMPUTED_VALUE"""),13)</f>
        <v>13</v>
      </c>
    </row>
    <row r="2435" spans="1:6" ht="12.75">
      <c r="A2435" s="4">
        <v>2434</v>
      </c>
      <c r="B2435" s="8" t="str">
        <f ca="1">IFERROR(__xludf.DUMMYFUNCTION("""COMPUTED_VALUE"""),"19910516KSCOK")</f>
        <v>19910516KSCOK</v>
      </c>
      <c r="C2435" s="8" t="str">
        <f ca="1">IFERROR(__xludf.DUMMYFUNCTION("""COMPUTED_VALUE"""),"Wounded")</f>
        <v>Wounded</v>
      </c>
      <c r="D2435" s="8" t="str">
        <f ca="1">IFERROR(__xludf.DUMMYFUNCTION("""COMPUTED_VALUE"""),"Female")</f>
        <v>Female</v>
      </c>
      <c r="E2435" s="8" t="str">
        <f ca="1">IFERROR(__xludf.DUMMYFUNCTION("""COMPUTED_VALUE"""),"Student")</f>
        <v>Student</v>
      </c>
      <c r="F2435" s="8">
        <f ca="1">IFERROR(__xludf.DUMMYFUNCTION("""COMPUTED_VALUE"""),13)</f>
        <v>13</v>
      </c>
    </row>
    <row r="2436" spans="1:6" ht="12.75">
      <c r="A2436" s="4">
        <v>2435</v>
      </c>
      <c r="B2436" s="8" t="str">
        <f ca="1">IFERROR(__xludf.DUMMYFUNCTION("""COMPUTED_VALUE"""),"19910510OHFRC")</f>
        <v>19910510OHFRC</v>
      </c>
      <c r="C2436" s="8" t="str">
        <f ca="1">IFERROR(__xludf.DUMMYFUNCTION("""COMPUTED_VALUE"""),"Fatal")</f>
        <v>Fatal</v>
      </c>
      <c r="D2436" s="8" t="str">
        <f ca="1">IFERROR(__xludf.DUMMYFUNCTION("""COMPUTED_VALUE"""),"Male")</f>
        <v>Male</v>
      </c>
      <c r="E2436" s="8" t="str">
        <f ca="1">IFERROR(__xludf.DUMMYFUNCTION("""COMPUTED_VALUE"""),"Student")</f>
        <v>Student</v>
      </c>
      <c r="F2436" s="8">
        <f ca="1">IFERROR(__xludf.DUMMYFUNCTION("""COMPUTED_VALUE"""),18)</f>
        <v>18</v>
      </c>
    </row>
    <row r="2437" spans="1:6" ht="12.75">
      <c r="A2437" s="4">
        <v>2436</v>
      </c>
      <c r="B2437" s="8" t="str">
        <f ca="1">IFERROR(__xludf.DUMMYFUNCTION("""COMPUTED_VALUE"""),"19910423MSHUB")</f>
        <v>19910423MSHUB</v>
      </c>
      <c r="C2437" s="8" t="str">
        <f ca="1">IFERROR(__xludf.DUMMYFUNCTION("""COMPUTED_VALUE"""),"Wounded")</f>
        <v>Wounded</v>
      </c>
      <c r="D2437" s="8" t="str">
        <f ca="1">IFERROR(__xludf.DUMMYFUNCTION("""COMPUTED_VALUE"""),"Male")</f>
        <v>Male</v>
      </c>
      <c r="E2437" s="8" t="str">
        <f ca="1">IFERROR(__xludf.DUMMYFUNCTION("""COMPUTED_VALUE"""),"Student")</f>
        <v>Student</v>
      </c>
      <c r="F2437" s="8">
        <f ca="1">IFERROR(__xludf.DUMMYFUNCTION("""COMPUTED_VALUE"""),16)</f>
        <v>16</v>
      </c>
    </row>
    <row r="2438" spans="1:6" ht="12.75">
      <c r="A2438" s="4">
        <v>2437</v>
      </c>
      <c r="B2438" s="8" t="str">
        <f ca="1">IFERROR(__xludf.DUMMYFUNCTION("""COMPUTED_VALUE"""),"19910423CARAC")</f>
        <v>19910423CARAC</v>
      </c>
      <c r="C2438" s="8" t="str">
        <f ca="1">IFERROR(__xludf.DUMMYFUNCTION("""COMPUTED_VALUE"""),"Fatal")</f>
        <v>Fatal</v>
      </c>
      <c r="D2438" s="8" t="str">
        <f ca="1">IFERROR(__xludf.DUMMYFUNCTION("""COMPUTED_VALUE"""),"Male")</f>
        <v>Male</v>
      </c>
      <c r="E2438" s="8" t="str">
        <f ca="1">IFERROR(__xludf.DUMMYFUNCTION("""COMPUTED_VALUE"""),"Student")</f>
        <v>Student</v>
      </c>
      <c r="F2438" s="8">
        <f ca="1">IFERROR(__xludf.DUMMYFUNCTION("""COMPUTED_VALUE"""),11)</f>
        <v>11</v>
      </c>
    </row>
    <row r="2439" spans="1:6" ht="12.75">
      <c r="A2439" s="4">
        <v>2438</v>
      </c>
      <c r="B2439" s="8" t="str">
        <f ca="1">IFERROR(__xludf.DUMMYFUNCTION("""COMPUTED_VALUE"""),"19910411SCNOR")</f>
        <v>19910411SCNOR</v>
      </c>
      <c r="C2439" s="8" t="str">
        <f ca="1">IFERROR(__xludf.DUMMYFUNCTION("""COMPUTED_VALUE"""),"None")</f>
        <v>None</v>
      </c>
      <c r="D2439" s="8" t="str">
        <f ca="1">IFERROR(__xludf.DUMMYFUNCTION("""COMPUTED_VALUE"""),"Female")</f>
        <v>Female</v>
      </c>
      <c r="E2439" s="8" t="str">
        <f ca="1">IFERROR(__xludf.DUMMYFUNCTION("""COMPUTED_VALUE"""),"Student")</f>
        <v>Student</v>
      </c>
      <c r="F2439" s="8" t="str">
        <f ca="1">IFERROR(__xludf.DUMMYFUNCTION("""COMPUTED_VALUE"""),"Teen")</f>
        <v>Teen</v>
      </c>
    </row>
    <row r="2440" spans="1:6" ht="12.75">
      <c r="A2440" s="4">
        <v>2439</v>
      </c>
      <c r="B2440" s="8" t="str">
        <f ca="1">IFERROR(__xludf.DUMMYFUNCTION("""COMPUTED_VALUE"""),"19910325NCGAC")</f>
        <v>19910325NCGAC</v>
      </c>
      <c r="C2440" s="8" t="str">
        <f ca="1">IFERROR(__xludf.DUMMYFUNCTION("""COMPUTED_VALUE"""),"Fatal")</f>
        <v>Fatal</v>
      </c>
      <c r="D2440" s="8" t="str">
        <f ca="1">IFERROR(__xludf.DUMMYFUNCTION("""COMPUTED_VALUE"""),"Male")</f>
        <v>Male</v>
      </c>
      <c r="E2440" s="8" t="str">
        <f ca="1">IFERROR(__xludf.DUMMYFUNCTION("""COMPUTED_VALUE"""),"Former Student")</f>
        <v>Former Student</v>
      </c>
      <c r="F2440" s="8">
        <f ca="1">IFERROR(__xludf.DUMMYFUNCTION("""COMPUTED_VALUE"""),21)</f>
        <v>21</v>
      </c>
    </row>
    <row r="2441" spans="1:6" ht="12.75">
      <c r="A2441" s="4">
        <v>2440</v>
      </c>
      <c r="B2441" s="8" t="str">
        <f ca="1">IFERROR(__xludf.DUMMYFUNCTION("""COMPUTED_VALUE"""),"19910314SCWOP")</f>
        <v>19910314SCWOP</v>
      </c>
      <c r="C2441" s="8" t="str">
        <f ca="1">IFERROR(__xludf.DUMMYFUNCTION("""COMPUTED_VALUE"""),"Wounded")</f>
        <v>Wounded</v>
      </c>
      <c r="D2441" s="8" t="str">
        <f ca="1">IFERROR(__xludf.DUMMYFUNCTION("""COMPUTED_VALUE"""),"Female")</f>
        <v>Female</v>
      </c>
      <c r="E2441" s="8" t="str">
        <f ca="1">IFERROR(__xludf.DUMMYFUNCTION("""COMPUTED_VALUE"""),"Nonstudent Using Athletic Facilities/Attending Game")</f>
        <v>Nonstudent Using Athletic Facilities/Attending Game</v>
      </c>
      <c r="F2441" s="8">
        <f ca="1">IFERROR(__xludf.DUMMYFUNCTION("""COMPUTED_VALUE"""),20)</f>
        <v>20</v>
      </c>
    </row>
    <row r="2442" spans="1:6" ht="12.75">
      <c r="A2442" s="4">
        <v>2441</v>
      </c>
      <c r="B2442" s="8" t="str">
        <f ca="1">IFERROR(__xludf.DUMMYFUNCTION("""COMPUTED_VALUE"""),"19910314SCWOP")</f>
        <v>19910314SCWOP</v>
      </c>
      <c r="C2442" s="8" t="str">
        <f ca="1">IFERROR(__xludf.DUMMYFUNCTION("""COMPUTED_VALUE"""),"Wounded")</f>
        <v>Wounded</v>
      </c>
      <c r="D2442" s="8" t="str">
        <f ca="1">IFERROR(__xludf.DUMMYFUNCTION("""COMPUTED_VALUE"""),"Male")</f>
        <v>Male</v>
      </c>
      <c r="E2442" s="8" t="str">
        <f ca="1">IFERROR(__xludf.DUMMYFUNCTION("""COMPUTED_VALUE"""),"Nonstudent Using Athletic Facilities/Attending Game")</f>
        <v>Nonstudent Using Athletic Facilities/Attending Game</v>
      </c>
      <c r="F2442" s="8">
        <f ca="1">IFERROR(__xludf.DUMMYFUNCTION("""COMPUTED_VALUE"""),20)</f>
        <v>20</v>
      </c>
    </row>
    <row r="2443" spans="1:6" ht="12.75">
      <c r="A2443" s="4">
        <v>2442</v>
      </c>
      <c r="B2443" s="8" t="str">
        <f ca="1">IFERROR(__xludf.DUMMYFUNCTION("""COMPUTED_VALUE"""),"19910314SCWOP")</f>
        <v>19910314SCWOP</v>
      </c>
      <c r="C2443" s="8" t="str">
        <f ca="1">IFERROR(__xludf.DUMMYFUNCTION("""COMPUTED_VALUE"""),"Wounded")</f>
        <v>Wounded</v>
      </c>
      <c r="D2443" s="8" t="str">
        <f ca="1">IFERROR(__xludf.DUMMYFUNCTION("""COMPUTED_VALUE"""),"Female")</f>
        <v>Female</v>
      </c>
      <c r="E2443" s="8" t="str">
        <f ca="1">IFERROR(__xludf.DUMMYFUNCTION("""COMPUTED_VALUE"""),"Nonstudent Using Athletic Facilities/Attending Game")</f>
        <v>Nonstudent Using Athletic Facilities/Attending Game</v>
      </c>
      <c r="F2443" s="8">
        <f ca="1">IFERROR(__xludf.DUMMYFUNCTION("""COMPUTED_VALUE"""),11)</f>
        <v>11</v>
      </c>
    </row>
    <row r="2444" spans="1:6" ht="12.75">
      <c r="A2444" s="4">
        <v>2443</v>
      </c>
      <c r="B2444" s="8" t="str">
        <f ca="1">IFERROR(__xludf.DUMMYFUNCTION("""COMPUTED_VALUE"""),"19910314SCWOP")</f>
        <v>19910314SCWOP</v>
      </c>
      <c r="C2444" s="8" t="str">
        <f ca="1">IFERROR(__xludf.DUMMYFUNCTION("""COMPUTED_VALUE"""),"Wounded")</f>
        <v>Wounded</v>
      </c>
      <c r="D2444" s="8" t="str">
        <f ca="1">IFERROR(__xludf.DUMMYFUNCTION("""COMPUTED_VALUE"""),"Male")</f>
        <v>Male</v>
      </c>
      <c r="E2444" s="8" t="str">
        <f ca="1">IFERROR(__xludf.DUMMYFUNCTION("""COMPUTED_VALUE"""),"Nonstudent Using Athletic Facilities/Attending Game")</f>
        <v>Nonstudent Using Athletic Facilities/Attending Game</v>
      </c>
      <c r="F2444" s="8">
        <f ca="1">IFERROR(__xludf.DUMMYFUNCTION("""COMPUTED_VALUE"""),20)</f>
        <v>20</v>
      </c>
    </row>
    <row r="2445" spans="1:6" ht="12.75">
      <c r="A2445" s="4">
        <v>2444</v>
      </c>
      <c r="B2445" s="8" t="str">
        <f ca="1">IFERROR(__xludf.DUMMYFUNCTION("""COMPUTED_VALUE"""),"19910313ALSES")</f>
        <v>19910313ALSES</v>
      </c>
      <c r="C2445" s="8" t="str">
        <f ca="1">IFERROR(__xludf.DUMMYFUNCTION("""COMPUTED_VALUE"""),"Wounded")</f>
        <v>Wounded</v>
      </c>
      <c r="D2445" s="8" t="str">
        <f ca="1">IFERROR(__xludf.DUMMYFUNCTION("""COMPUTED_VALUE"""),"Male")</f>
        <v>Male</v>
      </c>
      <c r="E2445" s="8" t="str">
        <f ca="1">IFERROR(__xludf.DUMMYFUNCTION("""COMPUTED_VALUE"""),"Student")</f>
        <v>Student</v>
      </c>
      <c r="F2445" s="8">
        <f ca="1">IFERROR(__xludf.DUMMYFUNCTION("""COMPUTED_VALUE"""),18)</f>
        <v>18</v>
      </c>
    </row>
    <row r="2446" spans="1:6" ht="12.75">
      <c r="A2446" s="4">
        <v>2445</v>
      </c>
      <c r="B2446" s="8" t="str">
        <f ca="1">IFERROR(__xludf.DUMMYFUNCTION("""COMPUTED_VALUE"""),"19910313ALSES")</f>
        <v>19910313ALSES</v>
      </c>
      <c r="C2446" s="8" t="str">
        <f ca="1">IFERROR(__xludf.DUMMYFUNCTION("""COMPUTED_VALUE"""),"Wounded")</f>
        <v>Wounded</v>
      </c>
      <c r="D2446" s="8" t="str">
        <f ca="1">IFERROR(__xludf.DUMMYFUNCTION("""COMPUTED_VALUE"""),"Male")</f>
        <v>Male</v>
      </c>
      <c r="E2446" s="8" t="str">
        <f ca="1">IFERROR(__xludf.DUMMYFUNCTION("""COMPUTED_VALUE"""),"Student")</f>
        <v>Student</v>
      </c>
      <c r="F2446" s="8">
        <f ca="1">IFERROR(__xludf.DUMMYFUNCTION("""COMPUTED_VALUE"""),17)</f>
        <v>17</v>
      </c>
    </row>
    <row r="2447" spans="1:6" ht="12.75">
      <c r="A2447" s="4">
        <v>2446</v>
      </c>
      <c r="B2447" s="8" t="str">
        <f ca="1">IFERROR(__xludf.DUMMYFUNCTION("""COMPUTED_VALUE"""),"19910219LABON")</f>
        <v>19910219LABON</v>
      </c>
      <c r="C2447" s="8" t="str">
        <f ca="1">IFERROR(__xludf.DUMMYFUNCTION("""COMPUTED_VALUE"""),"Fatal")</f>
        <v>Fatal</v>
      </c>
      <c r="D2447" s="8" t="str">
        <f ca="1">IFERROR(__xludf.DUMMYFUNCTION("""COMPUTED_VALUE"""),"Male")</f>
        <v>Male</v>
      </c>
      <c r="E2447" s="8" t="str">
        <f ca="1">IFERROR(__xludf.DUMMYFUNCTION("""COMPUTED_VALUE"""),"Student")</f>
        <v>Student</v>
      </c>
      <c r="F2447" s="8">
        <f ca="1">IFERROR(__xludf.DUMMYFUNCTION("""COMPUTED_VALUE"""),15)</f>
        <v>15</v>
      </c>
    </row>
    <row r="2448" spans="1:6" ht="12.75">
      <c r="A2448" s="4">
        <v>2447</v>
      </c>
      <c r="B2448" s="8" t="str">
        <f ca="1">IFERROR(__xludf.DUMMYFUNCTION("""COMPUTED_VALUE"""),"19910219LABON")</f>
        <v>19910219LABON</v>
      </c>
      <c r="C2448" s="8" t="str">
        <f ca="1">IFERROR(__xludf.DUMMYFUNCTION("""COMPUTED_VALUE"""),"Wounded")</f>
        <v>Wounded</v>
      </c>
      <c r="D2448" s="8" t="str">
        <f ca="1">IFERROR(__xludf.DUMMYFUNCTION("""COMPUTED_VALUE"""),"Female")</f>
        <v>Female</v>
      </c>
      <c r="E2448" s="8" t="str">
        <f ca="1">IFERROR(__xludf.DUMMYFUNCTION("""COMPUTED_VALUE"""),"Student")</f>
        <v>Student</v>
      </c>
      <c r="F2448" s="8">
        <f ca="1">IFERROR(__xludf.DUMMYFUNCTION("""COMPUTED_VALUE"""),18)</f>
        <v>18</v>
      </c>
    </row>
    <row r="2449" spans="1:6" ht="12.75">
      <c r="A2449" s="4">
        <v>2448</v>
      </c>
      <c r="B2449" s="8" t="str">
        <f ca="1">IFERROR(__xludf.DUMMYFUNCTION("""COMPUTED_VALUE"""),"19910117TXHOD")</f>
        <v>19910117TXHOD</v>
      </c>
      <c r="C2449" s="8" t="str">
        <f ca="1">IFERROR(__xludf.DUMMYFUNCTION("""COMPUTED_VALUE"""),"Wounded")</f>
        <v>Wounded</v>
      </c>
      <c r="D2449" s="8" t="str">
        <f ca="1">IFERROR(__xludf.DUMMYFUNCTION("""COMPUTED_VALUE"""),"Female")</f>
        <v>Female</v>
      </c>
      <c r="E2449" s="8" t="str">
        <f ca="1">IFERROR(__xludf.DUMMYFUNCTION("""COMPUTED_VALUE"""),"Student")</f>
        <v>Student</v>
      </c>
      <c r="F2449" s="8">
        <f ca="1">IFERROR(__xludf.DUMMYFUNCTION("""COMPUTED_VALUE"""),15)</f>
        <v>15</v>
      </c>
    </row>
    <row r="2450" spans="1:6" ht="12.75">
      <c r="A2450" s="4">
        <v>2449</v>
      </c>
      <c r="B2450" s="8" t="str">
        <f ca="1">IFERROR(__xludf.DUMMYFUNCTION("""COMPUTED_VALUE"""),"19910108TXRIR")</f>
        <v>19910108TXRIR</v>
      </c>
      <c r="C2450" s="8" t="str">
        <f ca="1">IFERROR(__xludf.DUMMYFUNCTION("""COMPUTED_VALUE"""),"None")</f>
        <v>None</v>
      </c>
      <c r="D2450" s="8" t="str">
        <f ca="1">IFERROR(__xludf.DUMMYFUNCTION("""COMPUTED_VALUE"""),"Male")</f>
        <v>Male</v>
      </c>
      <c r="E2450" s="8" t="str">
        <f ca="1">IFERROR(__xludf.DUMMYFUNCTION("""COMPUTED_VALUE"""),"Student")</f>
        <v>Student</v>
      </c>
      <c r="F2450" s="8">
        <f ca="1">IFERROR(__xludf.DUMMYFUNCTION("""COMPUTED_VALUE"""),16)</f>
        <v>16</v>
      </c>
    </row>
    <row r="2451" spans="1:6" ht="12.75">
      <c r="A2451" s="4">
        <v>2450</v>
      </c>
      <c r="B2451" s="8" t="str">
        <f ca="1">IFERROR(__xludf.DUMMYFUNCTION("""COMPUTED_VALUE"""),"19901213LASAS")</f>
        <v>19901213LASAS</v>
      </c>
      <c r="C2451" s="8" t="str">
        <f ca="1">IFERROR(__xludf.DUMMYFUNCTION("""COMPUTED_VALUE"""),"None")</f>
        <v>None</v>
      </c>
      <c r="D2451" s="8"/>
      <c r="E2451" s="8"/>
      <c r="F2451" s="8"/>
    </row>
    <row r="2452" spans="1:6" ht="12.75">
      <c r="A2452" s="4">
        <v>2451</v>
      </c>
      <c r="B2452" s="8" t="str">
        <f ca="1">IFERROR(__xludf.DUMMYFUNCTION("""COMPUTED_VALUE"""),"19901110TXJUD")</f>
        <v>19901110TXJUD</v>
      </c>
      <c r="C2452" s="8" t="str">
        <f ca="1">IFERROR(__xludf.DUMMYFUNCTION("""COMPUTED_VALUE"""),"Wounded")</f>
        <v>Wounded</v>
      </c>
      <c r="D2452" s="8" t="str">
        <f ca="1">IFERROR(__xludf.DUMMYFUNCTION("""COMPUTED_VALUE"""),"Male")</f>
        <v>Male</v>
      </c>
      <c r="E2452" s="8" t="str">
        <f ca="1">IFERROR(__xludf.DUMMYFUNCTION("""COMPUTED_VALUE"""),"Nonstudent Using Athletic Facilities/Attending Game")</f>
        <v>Nonstudent Using Athletic Facilities/Attending Game</v>
      </c>
      <c r="F2452" s="8">
        <f ca="1">IFERROR(__xludf.DUMMYFUNCTION("""COMPUTED_VALUE"""),19)</f>
        <v>19</v>
      </c>
    </row>
    <row r="2453" spans="1:6" ht="12.75">
      <c r="A2453" s="4">
        <v>2452</v>
      </c>
      <c r="B2453" s="8" t="str">
        <f ca="1">IFERROR(__xludf.DUMMYFUNCTION("""COMPUTED_VALUE"""),"19901030TXNAG")</f>
        <v>19901030TXNAG</v>
      </c>
      <c r="C2453" s="8" t="str">
        <f ca="1">IFERROR(__xludf.DUMMYFUNCTION("""COMPUTED_VALUE"""),"Wounded")</f>
        <v>Wounded</v>
      </c>
      <c r="D2453" s="8" t="str">
        <f ca="1">IFERROR(__xludf.DUMMYFUNCTION("""COMPUTED_VALUE"""),"Male")</f>
        <v>Male</v>
      </c>
      <c r="E2453" s="8" t="str">
        <f ca="1">IFERROR(__xludf.DUMMYFUNCTION("""COMPUTED_VALUE"""),"Principal/Vice-Principal")</f>
        <v>Principal/Vice-Principal</v>
      </c>
      <c r="F2453" s="8" t="str">
        <f ca="1">IFERROR(__xludf.DUMMYFUNCTION("""COMPUTED_VALUE"""),"Adult")</f>
        <v>Adult</v>
      </c>
    </row>
    <row r="2454" spans="1:6" ht="12.75">
      <c r="A2454" s="4">
        <v>2453</v>
      </c>
      <c r="B2454" s="8" t="str">
        <f ca="1">IFERROR(__xludf.DUMMYFUNCTION("""COMPUTED_VALUE"""),"19901029INCHC")</f>
        <v>19901029INCHC</v>
      </c>
      <c r="C2454" s="8" t="str">
        <f ca="1">IFERROR(__xludf.DUMMYFUNCTION("""COMPUTED_VALUE"""),"None")</f>
        <v>None</v>
      </c>
      <c r="D2454" s="8"/>
      <c r="E2454" s="8"/>
      <c r="F2454" s="8"/>
    </row>
    <row r="2455" spans="1:6" ht="12.75">
      <c r="A2455" s="4">
        <v>2454</v>
      </c>
      <c r="B2455" s="8" t="str">
        <f ca="1">IFERROR(__xludf.DUMMYFUNCTION("""COMPUTED_VALUE"""),"19901002TXWHD")</f>
        <v>19901002TXWHD</v>
      </c>
      <c r="C2455" s="8" t="str">
        <f ca="1">IFERROR(__xludf.DUMMYFUNCTION("""COMPUTED_VALUE"""),"Wounded")</f>
        <v>Wounded</v>
      </c>
      <c r="D2455" s="8" t="str">
        <f ca="1">IFERROR(__xludf.DUMMYFUNCTION("""COMPUTED_VALUE"""),"Female")</f>
        <v>Female</v>
      </c>
      <c r="E2455" s="8" t="str">
        <f ca="1">IFERROR(__xludf.DUMMYFUNCTION("""COMPUTED_VALUE"""),"Student")</f>
        <v>Student</v>
      </c>
      <c r="F2455" s="8" t="str">
        <f ca="1">IFERROR(__xludf.DUMMYFUNCTION("""COMPUTED_VALUE"""),"Teen")</f>
        <v>Teen</v>
      </c>
    </row>
    <row r="2456" spans="1:6" ht="12.75">
      <c r="A2456" s="4">
        <v>2455</v>
      </c>
      <c r="B2456" s="8" t="str">
        <f ca="1">IFERROR(__xludf.DUMMYFUNCTION("""COMPUTED_VALUE"""),"19900922ALLEB")</f>
        <v>19900922ALLEB</v>
      </c>
      <c r="C2456" s="8" t="str">
        <f ca="1">IFERROR(__xludf.DUMMYFUNCTION("""COMPUTED_VALUE"""),"Wounded")</f>
        <v>Wounded</v>
      </c>
      <c r="D2456" s="8" t="str">
        <f ca="1">IFERROR(__xludf.DUMMYFUNCTION("""COMPUTED_VALUE"""),"Male")</f>
        <v>Male</v>
      </c>
      <c r="E2456" s="8" t="str">
        <f ca="1">IFERROR(__xludf.DUMMYFUNCTION("""COMPUTED_VALUE"""),"No Relation")</f>
        <v>No Relation</v>
      </c>
      <c r="F2456" s="8">
        <f ca="1">IFERROR(__xludf.DUMMYFUNCTION("""COMPUTED_VALUE"""),16)</f>
        <v>16</v>
      </c>
    </row>
    <row r="2457" spans="1:6" ht="12.75">
      <c r="A2457" s="4">
        <v>2456</v>
      </c>
      <c r="B2457" s="8" t="str">
        <f ca="1">IFERROR(__xludf.DUMMYFUNCTION("""COMPUTED_VALUE"""),"19900922ALLEB")</f>
        <v>19900922ALLEB</v>
      </c>
      <c r="C2457" s="8" t="str">
        <f ca="1">IFERROR(__xludf.DUMMYFUNCTION("""COMPUTED_VALUE"""),"Wounded")</f>
        <v>Wounded</v>
      </c>
      <c r="D2457" s="8" t="str">
        <f ca="1">IFERROR(__xludf.DUMMYFUNCTION("""COMPUTED_VALUE"""),"Male")</f>
        <v>Male</v>
      </c>
      <c r="E2457" s="8" t="str">
        <f ca="1">IFERROR(__xludf.DUMMYFUNCTION("""COMPUTED_VALUE"""),"No Relation")</f>
        <v>No Relation</v>
      </c>
      <c r="F2457" s="8">
        <f ca="1">IFERROR(__xludf.DUMMYFUNCTION("""COMPUTED_VALUE"""),19)</f>
        <v>19</v>
      </c>
    </row>
    <row r="2458" spans="1:6" ht="12.75">
      <c r="A2458" s="4">
        <v>2457</v>
      </c>
      <c r="B2458" s="8" t="str">
        <f ca="1">IFERROR(__xludf.DUMMYFUNCTION("""COMPUTED_VALUE"""),"19900911TXSAS")</f>
        <v>19900911TXSAS</v>
      </c>
      <c r="C2458" s="8" t="str">
        <f ca="1">IFERROR(__xludf.DUMMYFUNCTION("""COMPUTED_VALUE"""),"Wounded")</f>
        <v>Wounded</v>
      </c>
      <c r="D2458" s="8" t="str">
        <f ca="1">IFERROR(__xludf.DUMMYFUNCTION("""COMPUTED_VALUE"""),"Male")</f>
        <v>Male</v>
      </c>
      <c r="E2458" s="8" t="str">
        <f ca="1">IFERROR(__xludf.DUMMYFUNCTION("""COMPUTED_VALUE"""),"Student")</f>
        <v>Student</v>
      </c>
      <c r="F2458" s="8" t="str">
        <f ca="1">IFERROR(__xludf.DUMMYFUNCTION("""COMPUTED_VALUE"""),"Teen")</f>
        <v>Teen</v>
      </c>
    </row>
    <row r="2459" spans="1:6" ht="12.75">
      <c r="A2459" s="4">
        <v>2458</v>
      </c>
      <c r="B2459" s="8" t="str">
        <f ca="1">IFERROR(__xludf.DUMMYFUNCTION("""COMPUTED_VALUE"""),"19900911TXSAS")</f>
        <v>19900911TXSAS</v>
      </c>
      <c r="C2459" s="8" t="str">
        <f ca="1">IFERROR(__xludf.DUMMYFUNCTION("""COMPUTED_VALUE"""),"Wounded")</f>
        <v>Wounded</v>
      </c>
      <c r="D2459" s="8" t="str">
        <f ca="1">IFERROR(__xludf.DUMMYFUNCTION("""COMPUTED_VALUE"""),"Male")</f>
        <v>Male</v>
      </c>
      <c r="E2459" s="8" t="str">
        <f ca="1">IFERROR(__xludf.DUMMYFUNCTION("""COMPUTED_VALUE"""),"Student")</f>
        <v>Student</v>
      </c>
      <c r="F2459" s="8" t="str">
        <f ca="1">IFERROR(__xludf.DUMMYFUNCTION("""COMPUTED_VALUE"""),"Teen")</f>
        <v>Teen</v>
      </c>
    </row>
    <row r="2460" spans="1:6" ht="12.75">
      <c r="A2460" s="4">
        <v>2459</v>
      </c>
      <c r="B2460" s="8" t="str">
        <f ca="1">IFERROR(__xludf.DUMMYFUNCTION("""COMPUTED_VALUE"""),"19900911TXSAS")</f>
        <v>19900911TXSAS</v>
      </c>
      <c r="C2460" s="8" t="str">
        <f ca="1">IFERROR(__xludf.DUMMYFUNCTION("""COMPUTED_VALUE"""),"Wounded")</f>
        <v>Wounded</v>
      </c>
      <c r="D2460" s="8" t="str">
        <f ca="1">IFERROR(__xludf.DUMMYFUNCTION("""COMPUTED_VALUE"""),"Male")</f>
        <v>Male</v>
      </c>
      <c r="E2460" s="8" t="str">
        <f ca="1">IFERROR(__xludf.DUMMYFUNCTION("""COMPUTED_VALUE"""),"Student")</f>
        <v>Student</v>
      </c>
      <c r="F2460" s="8" t="str">
        <f ca="1">IFERROR(__xludf.DUMMYFUNCTION("""COMPUTED_VALUE"""),"Teen")</f>
        <v>Teen</v>
      </c>
    </row>
    <row r="2461" spans="1:6" ht="12.75">
      <c r="A2461" s="4">
        <v>2460</v>
      </c>
      <c r="B2461" s="8" t="str">
        <f ca="1">IFERROR(__xludf.DUMMYFUNCTION("""COMPUTED_VALUE"""),"19900827TXWHD")</f>
        <v>19900827TXWHD</v>
      </c>
      <c r="C2461" s="8" t="str">
        <f ca="1">IFERROR(__xludf.DUMMYFUNCTION("""COMPUTED_VALUE"""),"None")</f>
        <v>None</v>
      </c>
      <c r="D2461" s="8"/>
      <c r="E2461" s="8" t="str">
        <f ca="1">IFERROR(__xludf.DUMMYFUNCTION("""COMPUTED_VALUE"""),"Student")</f>
        <v>Student</v>
      </c>
      <c r="F2461" s="8" t="str">
        <f ca="1">IFERROR(__xludf.DUMMYFUNCTION("""COMPUTED_VALUE"""),"Teen")</f>
        <v>Teen</v>
      </c>
    </row>
    <row r="2462" spans="1:6" ht="12.75">
      <c r="A2462" s="4">
        <v>2461</v>
      </c>
      <c r="B2462" s="8" t="str">
        <f ca="1">IFERROR(__xludf.DUMMYFUNCTION("""COMPUTED_VALUE"""),"19900827NVELL")</f>
        <v>19900827NVELL</v>
      </c>
      <c r="C2462" s="8" t="str">
        <f ca="1">IFERROR(__xludf.DUMMYFUNCTION("""COMPUTED_VALUE"""),"Fatal")</f>
        <v>Fatal</v>
      </c>
      <c r="D2462" s="8" t="str">
        <f ca="1">IFERROR(__xludf.DUMMYFUNCTION("""COMPUTED_VALUE"""),"Male")</f>
        <v>Male</v>
      </c>
      <c r="E2462" s="8" t="str">
        <f ca="1">IFERROR(__xludf.DUMMYFUNCTION("""COMPUTED_VALUE"""),"Student")</f>
        <v>Student</v>
      </c>
      <c r="F2462" s="8" t="str">
        <f ca="1">IFERROR(__xludf.DUMMYFUNCTION("""COMPUTED_VALUE"""),"Teen")</f>
        <v>Teen</v>
      </c>
    </row>
    <row r="2463" spans="1:6" ht="12.75">
      <c r="A2463" s="4">
        <v>2462</v>
      </c>
      <c r="B2463" s="8" t="str">
        <f ca="1">IFERROR(__xludf.DUMMYFUNCTION("""COMPUTED_VALUE"""),"19900824NCMYC")</f>
        <v>19900824NCMYC</v>
      </c>
      <c r="C2463" s="8" t="str">
        <f ca="1">IFERROR(__xludf.DUMMYFUNCTION("""COMPUTED_VALUE"""),"Fatal")</f>
        <v>Fatal</v>
      </c>
      <c r="D2463" s="8" t="str">
        <f ca="1">IFERROR(__xludf.DUMMYFUNCTION("""COMPUTED_VALUE"""),"Male")</f>
        <v>Male</v>
      </c>
      <c r="E2463" s="8" t="str">
        <f ca="1">IFERROR(__xludf.DUMMYFUNCTION("""COMPUTED_VALUE"""),"Student")</f>
        <v>Student</v>
      </c>
      <c r="F2463" s="8" t="str">
        <f ca="1">IFERROR(__xludf.DUMMYFUNCTION("""COMPUTED_VALUE"""),"Teen")</f>
        <v>Teen</v>
      </c>
    </row>
    <row r="2464" spans="1:6" ht="12.75">
      <c r="A2464" s="4">
        <v>2463</v>
      </c>
      <c r="B2464" s="8" t="str">
        <f ca="1">IFERROR(__xludf.DUMMYFUNCTION("""COMPUTED_VALUE"""),"19900531TXSUF")</f>
        <v>19900531TXSUF</v>
      </c>
      <c r="C2464" s="8" t="str">
        <f ca="1">IFERROR(__xludf.DUMMYFUNCTION("""COMPUTED_VALUE"""),"Wounded")</f>
        <v>Wounded</v>
      </c>
      <c r="D2464" s="8" t="str">
        <f ca="1">IFERROR(__xludf.DUMMYFUNCTION("""COMPUTED_VALUE"""),"Male")</f>
        <v>Male</v>
      </c>
      <c r="E2464" s="8" t="str">
        <f ca="1">IFERROR(__xludf.DUMMYFUNCTION("""COMPUTED_VALUE"""),"Student")</f>
        <v>Student</v>
      </c>
      <c r="F2464" s="8" t="str">
        <f ca="1">IFERROR(__xludf.DUMMYFUNCTION("""COMPUTED_VALUE"""),"Teen")</f>
        <v>Teen</v>
      </c>
    </row>
    <row r="2465" spans="1:6" ht="12.75">
      <c r="A2465" s="4">
        <v>2464</v>
      </c>
      <c r="B2465" s="8" t="str">
        <f ca="1">IFERROR(__xludf.DUMMYFUNCTION("""COMPUTED_VALUE"""),"19900531TXSUF")</f>
        <v>19900531TXSUF</v>
      </c>
      <c r="C2465" s="8" t="str">
        <f ca="1">IFERROR(__xludf.DUMMYFUNCTION("""COMPUTED_VALUE"""),"Wounded")</f>
        <v>Wounded</v>
      </c>
      <c r="D2465" s="8" t="str">
        <f ca="1">IFERROR(__xludf.DUMMYFUNCTION("""COMPUTED_VALUE"""),"Male")</f>
        <v>Male</v>
      </c>
      <c r="E2465" s="8" t="str">
        <f ca="1">IFERROR(__xludf.DUMMYFUNCTION("""COMPUTED_VALUE"""),"Student")</f>
        <v>Student</v>
      </c>
      <c r="F2465" s="8" t="str">
        <f ca="1">IFERROR(__xludf.DUMMYFUNCTION("""COMPUTED_VALUE"""),"Teen")</f>
        <v>Teen</v>
      </c>
    </row>
    <row r="2466" spans="1:6" ht="12.75">
      <c r="A2466" s="4">
        <v>2465</v>
      </c>
      <c r="B2466" s="8" t="str">
        <f ca="1">IFERROR(__xludf.DUMMYFUNCTION("""COMPUTED_VALUE"""),"19900520TNHIC")</f>
        <v>19900520TNHIC</v>
      </c>
      <c r="C2466" s="8" t="str">
        <f ca="1">IFERROR(__xludf.DUMMYFUNCTION("""COMPUTED_VALUE"""),"Fatal")</f>
        <v>Fatal</v>
      </c>
      <c r="D2466" s="8" t="str">
        <f ca="1">IFERROR(__xludf.DUMMYFUNCTION("""COMPUTED_VALUE"""),"Male")</f>
        <v>Male</v>
      </c>
      <c r="E2466" s="8" t="str">
        <f ca="1">IFERROR(__xludf.DUMMYFUNCTION("""COMPUTED_VALUE"""),"Principal/Vice-Principal")</f>
        <v>Principal/Vice-Principal</v>
      </c>
      <c r="F2466" s="8" t="str">
        <f ca="1">IFERROR(__xludf.DUMMYFUNCTION("""COMPUTED_VALUE"""),"Adult")</f>
        <v>Adult</v>
      </c>
    </row>
    <row r="2467" spans="1:6" ht="12.75">
      <c r="A2467" s="4">
        <v>2466</v>
      </c>
      <c r="B2467" s="8" t="str">
        <f ca="1">IFERROR(__xludf.DUMMYFUNCTION("""COMPUTED_VALUE"""),"19900504CAMOE")</f>
        <v>19900504CAMOE</v>
      </c>
      <c r="C2467" s="8" t="str">
        <f ca="1">IFERROR(__xludf.DUMMYFUNCTION("""COMPUTED_VALUE"""),"Fatal")</f>
        <v>Fatal</v>
      </c>
      <c r="D2467" s="8" t="str">
        <f ca="1">IFERROR(__xludf.DUMMYFUNCTION("""COMPUTED_VALUE"""),"Male")</f>
        <v>Male</v>
      </c>
      <c r="E2467" s="8" t="str">
        <f ca="1">IFERROR(__xludf.DUMMYFUNCTION("""COMPUTED_VALUE"""),"Student")</f>
        <v>Student</v>
      </c>
      <c r="F2467" s="8">
        <f ca="1">IFERROR(__xludf.DUMMYFUNCTION("""COMPUTED_VALUE"""),15)</f>
        <v>15</v>
      </c>
    </row>
    <row r="2468" spans="1:6" ht="12.75">
      <c r="A2468" s="4">
        <v>2467</v>
      </c>
      <c r="B2468" s="8" t="str">
        <f ca="1">IFERROR(__xludf.DUMMYFUNCTION("""COMPUTED_VALUE"""),"19900504CAMOE")</f>
        <v>19900504CAMOE</v>
      </c>
      <c r="C2468" s="8" t="str">
        <f ca="1">IFERROR(__xludf.DUMMYFUNCTION("""COMPUTED_VALUE"""),"Wounded")</f>
        <v>Wounded</v>
      </c>
      <c r="D2468" s="8" t="str">
        <f ca="1">IFERROR(__xludf.DUMMYFUNCTION("""COMPUTED_VALUE"""),"Male")</f>
        <v>Male</v>
      </c>
      <c r="E2468" s="8" t="str">
        <f ca="1">IFERROR(__xludf.DUMMYFUNCTION("""COMPUTED_VALUE"""),"Student")</f>
        <v>Student</v>
      </c>
      <c r="F2468" s="8">
        <f ca="1">IFERROR(__xludf.DUMMYFUNCTION("""COMPUTED_VALUE"""),15)</f>
        <v>15</v>
      </c>
    </row>
    <row r="2469" spans="1:6" ht="12.75">
      <c r="A2469" s="4">
        <v>2468</v>
      </c>
      <c r="B2469" s="8" t="str">
        <f ca="1">IFERROR(__xludf.DUMMYFUNCTION("""COMPUTED_VALUE"""),"19900403TXSKD")</f>
        <v>19900403TXSKD</v>
      </c>
      <c r="C2469" s="8" t="str">
        <f ca="1">IFERROR(__xludf.DUMMYFUNCTION("""COMPUTED_VALUE"""),"Wounded")</f>
        <v>Wounded</v>
      </c>
      <c r="D2469" s="8" t="str">
        <f ca="1">IFERROR(__xludf.DUMMYFUNCTION("""COMPUTED_VALUE"""),"Male")</f>
        <v>Male</v>
      </c>
      <c r="E2469" s="8" t="str">
        <f ca="1">IFERROR(__xludf.DUMMYFUNCTION("""COMPUTED_VALUE"""),"Student")</f>
        <v>Student</v>
      </c>
      <c r="F2469" s="8">
        <f ca="1">IFERROR(__xludf.DUMMYFUNCTION("""COMPUTED_VALUE"""),16)</f>
        <v>16</v>
      </c>
    </row>
    <row r="2470" spans="1:6" ht="12.75">
      <c r="A2470" s="4">
        <v>2469</v>
      </c>
      <c r="B2470" s="8" t="str">
        <f ca="1">IFERROR(__xludf.DUMMYFUNCTION("""COMPUTED_VALUE"""),"19900327NYNEB")</f>
        <v>19900327NYNEB</v>
      </c>
      <c r="C2470" s="8" t="str">
        <f ca="1">IFERROR(__xludf.DUMMYFUNCTION("""COMPUTED_VALUE"""),"Wounded")</f>
        <v>Wounded</v>
      </c>
      <c r="D2470" s="8" t="str">
        <f ca="1">IFERROR(__xludf.DUMMYFUNCTION("""COMPUTED_VALUE"""),"Male")</f>
        <v>Male</v>
      </c>
      <c r="E2470" s="8" t="str">
        <f ca="1">IFERROR(__xludf.DUMMYFUNCTION("""COMPUTED_VALUE"""),"Student")</f>
        <v>Student</v>
      </c>
      <c r="F2470" s="8" t="str">
        <f ca="1">IFERROR(__xludf.DUMMYFUNCTION("""COMPUTED_VALUE"""),"Teen")</f>
        <v>Teen</v>
      </c>
    </row>
    <row r="2471" spans="1:6" ht="12.75">
      <c r="A2471" s="4">
        <v>2470</v>
      </c>
      <c r="B2471" s="8" t="str">
        <f ca="1">IFERROR(__xludf.DUMMYFUNCTION("""COMPUTED_VALUE"""),"19900220OHTAC")</f>
        <v>19900220OHTAC</v>
      </c>
      <c r="C2471" s="8" t="str">
        <f ca="1">IFERROR(__xludf.DUMMYFUNCTION("""COMPUTED_VALUE"""),"Fatal")</f>
        <v>Fatal</v>
      </c>
      <c r="D2471" s="8" t="str">
        <f ca="1">IFERROR(__xludf.DUMMYFUNCTION("""COMPUTED_VALUE"""),"Male")</f>
        <v>Male</v>
      </c>
      <c r="E2471" s="8" t="str">
        <f ca="1">IFERROR(__xludf.DUMMYFUNCTION("""COMPUTED_VALUE"""),"Former Student")</f>
        <v>Former Student</v>
      </c>
      <c r="F2471" s="8">
        <f ca="1">IFERROR(__xludf.DUMMYFUNCTION("""COMPUTED_VALUE"""),18)</f>
        <v>18</v>
      </c>
    </row>
    <row r="2472" spans="1:6" ht="12.75">
      <c r="A2472" s="4">
        <v>2471</v>
      </c>
      <c r="B2472" s="8" t="str">
        <f ca="1">IFERROR(__xludf.DUMMYFUNCTION("""COMPUTED_VALUE"""),"19900116RICEP")</f>
        <v>19900116RICEP</v>
      </c>
      <c r="C2472" s="8" t="str">
        <f ca="1">IFERROR(__xludf.DUMMYFUNCTION("""COMPUTED_VALUE"""),"Wounded")</f>
        <v>Wounded</v>
      </c>
      <c r="D2472" s="8" t="str">
        <f ca="1">IFERROR(__xludf.DUMMYFUNCTION("""COMPUTED_VALUE"""),"Male")</f>
        <v>Male</v>
      </c>
      <c r="E2472" s="8" t="str">
        <f ca="1">IFERROR(__xludf.DUMMYFUNCTION("""COMPUTED_VALUE"""),"Student")</f>
        <v>Student</v>
      </c>
      <c r="F2472" s="8" t="str">
        <f ca="1">IFERROR(__xludf.DUMMYFUNCTION("""COMPUTED_VALUE"""),"Teen")</f>
        <v>Teen</v>
      </c>
    </row>
    <row r="2473" spans="1:6" ht="12.75">
      <c r="A2473" s="4">
        <v>2472</v>
      </c>
      <c r="B2473" s="8" t="str">
        <f ca="1">IFERROR(__xludf.DUMMYFUNCTION("""COMPUTED_VALUE"""),"19900116RICEP")</f>
        <v>19900116RICEP</v>
      </c>
      <c r="C2473" s="8" t="str">
        <f ca="1">IFERROR(__xludf.DUMMYFUNCTION("""COMPUTED_VALUE"""),"Wounded")</f>
        <v>Wounded</v>
      </c>
      <c r="D2473" s="8" t="str">
        <f ca="1">IFERROR(__xludf.DUMMYFUNCTION("""COMPUTED_VALUE"""),"Female")</f>
        <v>Female</v>
      </c>
      <c r="E2473" s="8" t="str">
        <f ca="1">IFERROR(__xludf.DUMMYFUNCTION("""COMPUTED_VALUE"""),"Student")</f>
        <v>Student</v>
      </c>
      <c r="F2473" s="8" t="str">
        <f ca="1">IFERROR(__xludf.DUMMYFUNCTION("""COMPUTED_VALUE"""),"Teen")</f>
        <v>Teen</v>
      </c>
    </row>
    <row r="2474" spans="1:6" ht="12.75">
      <c r="A2474" s="4">
        <v>2473</v>
      </c>
      <c r="B2474" s="8" t="str">
        <f ca="1">IFERROR(__xludf.DUMMYFUNCTION("""COMPUTED_VALUE"""),"19891212SCCHC")</f>
        <v>19891212SCCHC</v>
      </c>
      <c r="C2474" s="8" t="str">
        <f ca="1">IFERROR(__xludf.DUMMYFUNCTION("""COMPUTED_VALUE"""),"Wounded")</f>
        <v>Wounded</v>
      </c>
      <c r="D2474" s="8" t="str">
        <f ca="1">IFERROR(__xludf.DUMMYFUNCTION("""COMPUTED_VALUE"""),"Male")</f>
        <v>Male</v>
      </c>
      <c r="E2474" s="8" t="str">
        <f ca="1">IFERROR(__xludf.DUMMYFUNCTION("""COMPUTED_VALUE"""),"Student")</f>
        <v>Student</v>
      </c>
      <c r="F2474" s="8">
        <f ca="1">IFERROR(__xludf.DUMMYFUNCTION("""COMPUTED_VALUE"""),15)</f>
        <v>15</v>
      </c>
    </row>
    <row r="2475" spans="1:6" ht="12.75">
      <c r="A2475" s="4">
        <v>2474</v>
      </c>
      <c r="B2475" s="8" t="str">
        <f ca="1">IFERROR(__xludf.DUMMYFUNCTION("""COMPUTED_VALUE"""),"19891205TXWWD")</f>
        <v>19891205TXWWD</v>
      </c>
      <c r="C2475" s="8" t="str">
        <f ca="1">IFERROR(__xludf.DUMMYFUNCTION("""COMPUTED_VALUE"""),"Wounded")</f>
        <v>Wounded</v>
      </c>
      <c r="D2475" s="8" t="str">
        <f ca="1">IFERROR(__xludf.DUMMYFUNCTION("""COMPUTED_VALUE"""),"Male")</f>
        <v>Male</v>
      </c>
      <c r="E2475" s="8" t="str">
        <f ca="1">IFERROR(__xludf.DUMMYFUNCTION("""COMPUTED_VALUE"""),"Teacher")</f>
        <v>Teacher</v>
      </c>
      <c r="F2475" s="8">
        <f ca="1">IFERROR(__xludf.DUMMYFUNCTION("""COMPUTED_VALUE"""),50)</f>
        <v>50</v>
      </c>
    </row>
    <row r="2476" spans="1:6" ht="12.75">
      <c r="A2476" s="4">
        <v>2475</v>
      </c>
      <c r="B2476" s="8" t="str">
        <f ca="1">IFERROR(__xludf.DUMMYFUNCTION("""COMPUTED_VALUE"""),"19891205PASEM")</f>
        <v>19891205PASEM</v>
      </c>
      <c r="C2476" s="8" t="str">
        <f ca="1">IFERROR(__xludf.DUMMYFUNCTION("""COMPUTED_VALUE"""),"Wounded")</f>
        <v>Wounded</v>
      </c>
      <c r="D2476" s="8" t="str">
        <f ca="1">IFERROR(__xludf.DUMMYFUNCTION("""COMPUTED_VALUE"""),"Male")</f>
        <v>Male</v>
      </c>
      <c r="E2476" s="8" t="str">
        <f ca="1">IFERROR(__xludf.DUMMYFUNCTION("""COMPUTED_VALUE"""),"Student")</f>
        <v>Student</v>
      </c>
      <c r="F2476" s="8" t="str">
        <f ca="1">IFERROR(__xludf.DUMMYFUNCTION("""COMPUTED_VALUE"""),"Teen")</f>
        <v>Teen</v>
      </c>
    </row>
    <row r="2477" spans="1:6" ht="12.75">
      <c r="A2477" s="4">
        <v>2476</v>
      </c>
      <c r="B2477" s="8" t="str">
        <f ca="1">IFERROR(__xludf.DUMMYFUNCTION("""COMPUTED_VALUE"""),"19891204LACAS")</f>
        <v>19891204LACAS</v>
      </c>
      <c r="C2477" s="8" t="str">
        <f ca="1">IFERROR(__xludf.DUMMYFUNCTION("""COMPUTED_VALUE"""),"Wounded")</f>
        <v>Wounded</v>
      </c>
      <c r="D2477" s="8" t="str">
        <f ca="1">IFERROR(__xludf.DUMMYFUNCTION("""COMPUTED_VALUE"""),"Male")</f>
        <v>Male</v>
      </c>
      <c r="E2477" s="8" t="str">
        <f ca="1">IFERROR(__xludf.DUMMYFUNCTION("""COMPUTED_VALUE"""),"Student")</f>
        <v>Student</v>
      </c>
      <c r="F2477" s="8" t="str">
        <f ca="1">IFERROR(__xludf.DUMMYFUNCTION("""COMPUTED_VALUE"""),"Teen")</f>
        <v>Teen</v>
      </c>
    </row>
    <row r="2478" spans="1:6" ht="12.75">
      <c r="A2478" s="4">
        <v>2477</v>
      </c>
      <c r="B2478" s="8" t="str">
        <f ca="1">IFERROR(__xludf.DUMMYFUNCTION("""COMPUTED_VALUE"""),"19891122CACHO")</f>
        <v>19891122CACHO</v>
      </c>
      <c r="C2478" s="8" t="str">
        <f ca="1">IFERROR(__xludf.DUMMYFUNCTION("""COMPUTED_VALUE"""),"Fatal")</f>
        <v>Fatal</v>
      </c>
      <c r="D2478" s="8" t="str">
        <f ca="1">IFERROR(__xludf.DUMMYFUNCTION("""COMPUTED_VALUE"""),"Male")</f>
        <v>Male</v>
      </c>
      <c r="E2478" s="8" t="str">
        <f ca="1">IFERROR(__xludf.DUMMYFUNCTION("""COMPUTED_VALUE"""),"Gang Member")</f>
        <v>Gang Member</v>
      </c>
      <c r="F2478" s="8">
        <f ca="1">IFERROR(__xludf.DUMMYFUNCTION("""COMPUTED_VALUE"""),20)</f>
        <v>20</v>
      </c>
    </row>
    <row r="2479" spans="1:6" ht="12.75">
      <c r="A2479" s="4">
        <v>2478</v>
      </c>
      <c r="B2479" s="8" t="str">
        <f ca="1">IFERROR(__xludf.DUMMYFUNCTION("""COMPUTED_VALUE"""),"19891115TXWOA")</f>
        <v>19891115TXWOA</v>
      </c>
      <c r="C2479" s="8" t="str">
        <f ca="1">IFERROR(__xludf.DUMMYFUNCTION("""COMPUTED_VALUE"""),"Wounded")</f>
        <v>Wounded</v>
      </c>
      <c r="D2479" s="8" t="str">
        <f ca="1">IFERROR(__xludf.DUMMYFUNCTION("""COMPUTED_VALUE"""),"Male")</f>
        <v>Male</v>
      </c>
      <c r="E2479" s="8" t="str">
        <f ca="1">IFERROR(__xludf.DUMMYFUNCTION("""COMPUTED_VALUE"""),"Principal/Vice-Principal")</f>
        <v>Principal/Vice-Principal</v>
      </c>
      <c r="F2479" s="8">
        <f ca="1">IFERROR(__xludf.DUMMYFUNCTION("""COMPUTED_VALUE"""),44)</f>
        <v>44</v>
      </c>
    </row>
    <row r="2480" spans="1:6" ht="12.75">
      <c r="A2480" s="4">
        <v>2479</v>
      </c>
      <c r="B2480" s="8" t="str">
        <f ca="1">IFERROR(__xludf.DUMMYFUNCTION("""COMPUTED_VALUE"""),"19891113NYALN")</f>
        <v>19891113NYALN</v>
      </c>
      <c r="C2480" s="8" t="str">
        <f ca="1">IFERROR(__xludf.DUMMYFUNCTION("""COMPUTED_VALUE"""),"Fatal")</f>
        <v>Fatal</v>
      </c>
      <c r="D2480" s="8" t="str">
        <f ca="1">IFERROR(__xludf.DUMMYFUNCTION("""COMPUTED_VALUE"""),"Male")</f>
        <v>Male</v>
      </c>
      <c r="E2480" s="8" t="str">
        <f ca="1">IFERROR(__xludf.DUMMYFUNCTION("""COMPUTED_VALUE"""),"Student")</f>
        <v>Student</v>
      </c>
      <c r="F2480" s="8">
        <f ca="1">IFERROR(__xludf.DUMMYFUNCTION("""COMPUTED_VALUE"""),17)</f>
        <v>17</v>
      </c>
    </row>
    <row r="2481" spans="1:6" ht="12.75">
      <c r="A2481" s="4">
        <v>2480</v>
      </c>
      <c r="B2481" s="8" t="str">
        <f ca="1">IFERROR(__xludf.DUMMYFUNCTION("""COMPUTED_VALUE"""),"19891031TXOLD")</f>
        <v>19891031TXOLD</v>
      </c>
      <c r="C2481" s="8" t="str">
        <f ca="1">IFERROR(__xludf.DUMMYFUNCTION("""COMPUTED_VALUE"""),"Wounded")</f>
        <v>Wounded</v>
      </c>
      <c r="D2481" s="8" t="str">
        <f ca="1">IFERROR(__xludf.DUMMYFUNCTION("""COMPUTED_VALUE"""),"Male")</f>
        <v>Male</v>
      </c>
      <c r="E2481" s="8" t="str">
        <f ca="1">IFERROR(__xludf.DUMMYFUNCTION("""COMPUTED_VALUE"""),"Student")</f>
        <v>Student</v>
      </c>
      <c r="F2481" s="8">
        <f ca="1">IFERROR(__xludf.DUMMYFUNCTION("""COMPUTED_VALUE"""),14)</f>
        <v>14</v>
      </c>
    </row>
    <row r="2482" spans="1:6" ht="12.75">
      <c r="A2482" s="4">
        <v>2481</v>
      </c>
      <c r="B2482" s="8" t="str">
        <f ca="1">IFERROR(__xludf.DUMMYFUNCTION("""COMPUTED_VALUE"""),"19891005CALOA")</f>
        <v>19891005CALOA</v>
      </c>
      <c r="C2482" s="8" t="str">
        <f ca="1">IFERROR(__xludf.DUMMYFUNCTION("""COMPUTED_VALUE"""),"Wounded")</f>
        <v>Wounded</v>
      </c>
      <c r="D2482" s="8" t="str">
        <f ca="1">IFERROR(__xludf.DUMMYFUNCTION("""COMPUTED_VALUE"""),"Male")</f>
        <v>Male</v>
      </c>
      <c r="E2482" s="8" t="str">
        <f ca="1">IFERROR(__xludf.DUMMYFUNCTION("""COMPUTED_VALUE"""),"Student")</f>
        <v>Student</v>
      </c>
      <c r="F2482" s="8">
        <f ca="1">IFERROR(__xludf.DUMMYFUNCTION("""COMPUTED_VALUE"""),14)</f>
        <v>14</v>
      </c>
    </row>
    <row r="2483" spans="1:6" ht="12.75">
      <c r="A2483" s="4">
        <v>2482</v>
      </c>
      <c r="B2483" s="8" t="str">
        <f ca="1">IFERROR(__xludf.DUMMYFUNCTION("""COMPUTED_VALUE"""),"19890918KYJAM")</f>
        <v>19890918KYJAM</v>
      </c>
      <c r="C2483" s="8" t="str">
        <f ca="1">IFERROR(__xludf.DUMMYFUNCTION("""COMPUTED_VALUE"""),"None")</f>
        <v>None</v>
      </c>
      <c r="D2483" s="8"/>
      <c r="E2483" s="8"/>
      <c r="F2483" s="8"/>
    </row>
    <row r="2484" spans="1:6" ht="12.75">
      <c r="A2484" s="4">
        <v>2483</v>
      </c>
      <c r="B2484" s="8" t="str">
        <f ca="1">IFERROR(__xludf.DUMMYFUNCTION("""COMPUTED_VALUE"""),"19890911AZDYE")</f>
        <v>19890911AZDYE</v>
      </c>
      <c r="C2484" s="8" t="str">
        <f ca="1">IFERROR(__xludf.DUMMYFUNCTION("""COMPUTED_VALUE"""),"Fatal")</f>
        <v>Fatal</v>
      </c>
      <c r="D2484" s="8" t="str">
        <f ca="1">IFERROR(__xludf.DUMMYFUNCTION("""COMPUTED_VALUE"""),"Male")</f>
        <v>Male</v>
      </c>
      <c r="E2484" s="8" t="str">
        <f ca="1">IFERROR(__xludf.DUMMYFUNCTION("""COMPUTED_VALUE"""),"Student")</f>
        <v>Student</v>
      </c>
      <c r="F2484" s="8">
        <f ca="1">IFERROR(__xludf.DUMMYFUNCTION("""COMPUTED_VALUE"""),15)</f>
        <v>15</v>
      </c>
    </row>
    <row r="2485" spans="1:6" ht="12.75">
      <c r="A2485" s="4">
        <v>2484</v>
      </c>
      <c r="B2485" s="8" t="str">
        <f ca="1">IFERROR(__xludf.DUMMYFUNCTION("""COMPUTED_VALUE"""),"19890901VASAV")</f>
        <v>19890901VASAV</v>
      </c>
      <c r="C2485" s="8" t="str">
        <f ca="1">IFERROR(__xludf.DUMMYFUNCTION("""COMPUTED_VALUE"""),"Wounded")</f>
        <v>Wounded</v>
      </c>
      <c r="D2485" s="8" t="str">
        <f ca="1">IFERROR(__xludf.DUMMYFUNCTION("""COMPUTED_VALUE"""),"Male")</f>
        <v>Male</v>
      </c>
      <c r="E2485" s="8" t="str">
        <f ca="1">IFERROR(__xludf.DUMMYFUNCTION("""COMPUTED_VALUE"""),"Student")</f>
        <v>Student</v>
      </c>
      <c r="F2485" s="8">
        <f ca="1">IFERROR(__xludf.DUMMYFUNCTION("""COMPUTED_VALUE"""),15)</f>
        <v>15</v>
      </c>
    </row>
    <row r="2486" spans="1:6" ht="12.75">
      <c r="A2486" s="4">
        <v>2485</v>
      </c>
      <c r="B2486" s="8" t="str">
        <f ca="1">IFERROR(__xludf.DUMMYFUNCTION("""COMPUTED_VALUE"""),"19890901VASAV")</f>
        <v>19890901VASAV</v>
      </c>
      <c r="C2486" s="8" t="str">
        <f ca="1">IFERROR(__xludf.DUMMYFUNCTION("""COMPUTED_VALUE"""),"Wounded")</f>
        <v>Wounded</v>
      </c>
      <c r="D2486" s="8" t="str">
        <f ca="1">IFERROR(__xludf.DUMMYFUNCTION("""COMPUTED_VALUE"""),"Male")</f>
        <v>Male</v>
      </c>
      <c r="E2486" s="8" t="str">
        <f ca="1">IFERROR(__xludf.DUMMYFUNCTION("""COMPUTED_VALUE"""),"Student")</f>
        <v>Student</v>
      </c>
      <c r="F2486" s="8">
        <f ca="1">IFERROR(__xludf.DUMMYFUNCTION("""COMPUTED_VALUE"""),17)</f>
        <v>17</v>
      </c>
    </row>
    <row r="2487" spans="1:6" ht="12.75">
      <c r="A2487" s="4">
        <v>2486</v>
      </c>
      <c r="B2487" s="8" t="str">
        <f ca="1">IFERROR(__xludf.DUMMYFUNCTION("""COMPUTED_VALUE"""),"19890426TXAMD")</f>
        <v>19890426TXAMD</v>
      </c>
      <c r="C2487" s="8" t="str">
        <f ca="1">IFERROR(__xludf.DUMMYFUNCTION("""COMPUTED_VALUE"""),"Wounded")</f>
        <v>Wounded</v>
      </c>
      <c r="D2487" s="8" t="str">
        <f ca="1">IFERROR(__xludf.DUMMYFUNCTION("""COMPUTED_VALUE"""),"Male")</f>
        <v>Male</v>
      </c>
      <c r="E2487" s="8" t="str">
        <f ca="1">IFERROR(__xludf.DUMMYFUNCTION("""COMPUTED_VALUE"""),"Student")</f>
        <v>Student</v>
      </c>
      <c r="F2487" s="8">
        <f ca="1">IFERROR(__xludf.DUMMYFUNCTION("""COMPUTED_VALUE"""),16)</f>
        <v>16</v>
      </c>
    </row>
    <row r="2488" spans="1:6" ht="12.75">
      <c r="A2488" s="4">
        <v>2487</v>
      </c>
      <c r="B2488" s="8" t="str">
        <f ca="1">IFERROR(__xludf.DUMMYFUNCTION("""COMPUTED_VALUE"""),"19890303INWIG")</f>
        <v>19890303INWIG</v>
      </c>
      <c r="C2488" s="8" t="str">
        <f ca="1">IFERROR(__xludf.DUMMYFUNCTION("""COMPUTED_VALUE"""),"Fatal")</f>
        <v>Fatal</v>
      </c>
      <c r="D2488" s="8" t="str">
        <f ca="1">IFERROR(__xludf.DUMMYFUNCTION("""COMPUTED_VALUE"""),"Male")</f>
        <v>Male</v>
      </c>
      <c r="E2488" s="8" t="str">
        <f ca="1">IFERROR(__xludf.DUMMYFUNCTION("""COMPUTED_VALUE"""),"Student")</f>
        <v>Student</v>
      </c>
      <c r="F2488" s="8">
        <f ca="1">IFERROR(__xludf.DUMMYFUNCTION("""COMPUTED_VALUE"""),17)</f>
        <v>17</v>
      </c>
    </row>
    <row r="2489" spans="1:6" ht="12.75">
      <c r="A2489" s="4">
        <v>2488</v>
      </c>
      <c r="B2489" s="8" t="str">
        <f ca="1">IFERROR(__xludf.DUMMYFUNCTION("""COMPUTED_VALUE"""),"19890210UTTHK")</f>
        <v>19890210UTTHK</v>
      </c>
      <c r="C2489" s="8" t="str">
        <f ca="1">IFERROR(__xludf.DUMMYFUNCTION("""COMPUTED_VALUE"""),"None")</f>
        <v>None</v>
      </c>
      <c r="D2489" s="8" t="str">
        <f ca="1">IFERROR(__xludf.DUMMYFUNCTION("""COMPUTED_VALUE"""),"Male")</f>
        <v>Male</v>
      </c>
      <c r="E2489" s="8" t="str">
        <f ca="1">IFERROR(__xludf.DUMMYFUNCTION("""COMPUTED_VALUE"""),"Principal/Vice-Principal")</f>
        <v>Principal/Vice-Principal</v>
      </c>
      <c r="F2489" s="8" t="str">
        <f ca="1">IFERROR(__xludf.DUMMYFUNCTION("""COMPUTED_VALUE"""),"Adult")</f>
        <v>Adult</v>
      </c>
    </row>
    <row r="2490" spans="1:6" ht="12.75">
      <c r="A2490" s="4">
        <v>2489</v>
      </c>
      <c r="B2490" s="8" t="str">
        <f ca="1">IFERROR(__xludf.DUMMYFUNCTION("""COMPUTED_VALUE"""),"19890209IDRIR")</f>
        <v>19890209IDRIR</v>
      </c>
      <c r="C2490" s="8" t="str">
        <f ca="1">IFERROR(__xludf.DUMMYFUNCTION("""COMPUTED_VALUE"""),"None")</f>
        <v>None</v>
      </c>
      <c r="D2490" s="8"/>
      <c r="E2490" s="8" t="str">
        <f ca="1">IFERROR(__xludf.DUMMYFUNCTION("""COMPUTED_VALUE"""),"Student")</f>
        <v>Student</v>
      </c>
      <c r="F2490" s="8" t="str">
        <f ca="1">IFERROR(__xludf.DUMMYFUNCTION("""COMPUTED_VALUE"""),"Teen")</f>
        <v>Teen</v>
      </c>
    </row>
    <row r="2491" spans="1:6" ht="12.75">
      <c r="A2491" s="4">
        <v>2490</v>
      </c>
      <c r="B2491" s="8" t="str">
        <f ca="1">IFERROR(__xludf.DUMMYFUNCTION("""COMPUTED_VALUE"""),"19890209IDRIR")</f>
        <v>19890209IDRIR</v>
      </c>
      <c r="C2491" s="8" t="str">
        <f ca="1">IFERROR(__xludf.DUMMYFUNCTION("""COMPUTED_VALUE"""),"None")</f>
        <v>None</v>
      </c>
      <c r="D2491" s="8"/>
      <c r="E2491" s="8" t="str">
        <f ca="1">IFERROR(__xludf.DUMMYFUNCTION("""COMPUTED_VALUE"""),"Teacher")</f>
        <v>Teacher</v>
      </c>
      <c r="F2491" s="8" t="str">
        <f ca="1">IFERROR(__xludf.DUMMYFUNCTION("""COMPUTED_VALUE"""),"Adult")</f>
        <v>Adult</v>
      </c>
    </row>
    <row r="2492" spans="1:6" ht="12.75">
      <c r="A2492" s="4">
        <v>2491</v>
      </c>
      <c r="B2492" s="8" t="str">
        <f ca="1">IFERROR(__xludf.DUMMYFUNCTION("""COMPUTED_VALUE"""),"19890209IDRIR")</f>
        <v>19890209IDRIR</v>
      </c>
      <c r="C2492" s="8" t="str">
        <f ca="1">IFERROR(__xludf.DUMMYFUNCTION("""COMPUTED_VALUE"""),"None")</f>
        <v>None</v>
      </c>
      <c r="D2492" s="8" t="str">
        <f ca="1">IFERROR(__xludf.DUMMYFUNCTION("""COMPUTED_VALUE"""),"Female")</f>
        <v>Female</v>
      </c>
      <c r="E2492" s="8" t="str">
        <f ca="1">IFERROR(__xludf.DUMMYFUNCTION("""COMPUTED_VALUE"""),"Student")</f>
        <v>Student</v>
      </c>
      <c r="F2492" s="8">
        <f ca="1">IFERROR(__xludf.DUMMYFUNCTION("""COMPUTED_VALUE"""),14)</f>
        <v>14</v>
      </c>
    </row>
    <row r="2493" spans="1:6" ht="12.75">
      <c r="A2493" s="4">
        <v>2492</v>
      </c>
      <c r="B2493" s="8" t="str">
        <f ca="1">IFERROR(__xludf.DUMMYFUNCTION("""COMPUTED_VALUE"""),"19890126DCWOW")</f>
        <v>19890126DCWOW</v>
      </c>
      <c r="C2493" s="8" t="str">
        <f ca="1">IFERROR(__xludf.DUMMYFUNCTION("""COMPUTED_VALUE"""),"Wounded")</f>
        <v>Wounded</v>
      </c>
      <c r="D2493" s="8" t="str">
        <f ca="1">IFERROR(__xludf.DUMMYFUNCTION("""COMPUTED_VALUE"""),"Male")</f>
        <v>Male</v>
      </c>
      <c r="E2493" s="8" t="str">
        <f ca="1">IFERROR(__xludf.DUMMYFUNCTION("""COMPUTED_VALUE"""),"Student")</f>
        <v>Student</v>
      </c>
      <c r="F2493" s="8" t="str">
        <f ca="1">IFERROR(__xludf.DUMMYFUNCTION("""COMPUTED_VALUE"""),"Teen")</f>
        <v>Teen</v>
      </c>
    </row>
    <row r="2494" spans="1:6" ht="12.75">
      <c r="A2494" s="4">
        <v>2493</v>
      </c>
      <c r="B2494" s="8" t="str">
        <f ca="1">IFERROR(__xludf.DUMMYFUNCTION("""COMPUTED_VALUE"""),"19890126DCWOW")</f>
        <v>19890126DCWOW</v>
      </c>
      <c r="C2494" s="8" t="str">
        <f ca="1">IFERROR(__xludf.DUMMYFUNCTION("""COMPUTED_VALUE"""),"Wounded")</f>
        <v>Wounded</v>
      </c>
      <c r="D2494" s="8" t="str">
        <f ca="1">IFERROR(__xludf.DUMMYFUNCTION("""COMPUTED_VALUE"""),"Male")</f>
        <v>Male</v>
      </c>
      <c r="E2494" s="8" t="str">
        <f ca="1">IFERROR(__xludf.DUMMYFUNCTION("""COMPUTED_VALUE"""),"Student")</f>
        <v>Student</v>
      </c>
      <c r="F2494" s="8" t="str">
        <f ca="1">IFERROR(__xludf.DUMMYFUNCTION("""COMPUTED_VALUE"""),"Teen")</f>
        <v>Teen</v>
      </c>
    </row>
    <row r="2495" spans="1:6" ht="12.75">
      <c r="A2495" s="4">
        <v>2494</v>
      </c>
      <c r="B2495" s="8" t="str">
        <f ca="1">IFERROR(__xludf.DUMMYFUNCTION("""COMPUTED_VALUE"""),"19890126DCWOW")</f>
        <v>19890126DCWOW</v>
      </c>
      <c r="C2495" s="8" t="str">
        <f ca="1">IFERROR(__xludf.DUMMYFUNCTION("""COMPUTED_VALUE"""),"Wounded")</f>
        <v>Wounded</v>
      </c>
      <c r="D2495" s="8" t="str">
        <f ca="1">IFERROR(__xludf.DUMMYFUNCTION("""COMPUTED_VALUE"""),"Male")</f>
        <v>Male</v>
      </c>
      <c r="E2495" s="8" t="str">
        <f ca="1">IFERROR(__xludf.DUMMYFUNCTION("""COMPUTED_VALUE"""),"Student")</f>
        <v>Student</v>
      </c>
      <c r="F2495" s="8" t="str">
        <f ca="1">IFERROR(__xludf.DUMMYFUNCTION("""COMPUTED_VALUE"""),"Teen")</f>
        <v>Teen</v>
      </c>
    </row>
    <row r="2496" spans="1:6" ht="12.75">
      <c r="A2496" s="4">
        <v>2495</v>
      </c>
      <c r="B2496" s="8" t="str">
        <f ca="1">IFERROR(__xludf.DUMMYFUNCTION("""COMPUTED_VALUE"""),"19890126DCWOW")</f>
        <v>19890126DCWOW</v>
      </c>
      <c r="C2496" s="8" t="str">
        <f ca="1">IFERROR(__xludf.DUMMYFUNCTION("""COMPUTED_VALUE"""),"Wounded")</f>
        <v>Wounded</v>
      </c>
      <c r="D2496" s="8" t="str">
        <f ca="1">IFERROR(__xludf.DUMMYFUNCTION("""COMPUTED_VALUE"""),"Male")</f>
        <v>Male</v>
      </c>
      <c r="E2496" s="8" t="str">
        <f ca="1">IFERROR(__xludf.DUMMYFUNCTION("""COMPUTED_VALUE"""),"Student")</f>
        <v>Student</v>
      </c>
      <c r="F2496" s="8" t="str">
        <f ca="1">IFERROR(__xludf.DUMMYFUNCTION("""COMPUTED_VALUE"""),"Teen")</f>
        <v>Teen</v>
      </c>
    </row>
    <row r="2497" spans="1:6" ht="12.75">
      <c r="A2497" s="4">
        <v>2496</v>
      </c>
      <c r="B2497" s="8" t="str">
        <f ca="1">IFERROR(__xludf.DUMMYFUNCTION("""COMPUTED_VALUE"""),"19890117CACLS")</f>
        <v>19890117CACLS</v>
      </c>
      <c r="C2497" s="8" t="str">
        <f ca="1">IFERROR(__xludf.DUMMYFUNCTION("""COMPUTED_VALUE"""),"Wounded")</f>
        <v>Wounded</v>
      </c>
      <c r="D2497" s="8"/>
      <c r="E2497" s="8" t="str">
        <f ca="1">IFERROR(__xludf.DUMMYFUNCTION("""COMPUTED_VALUE"""),"Student")</f>
        <v>Student</v>
      </c>
      <c r="F2497" s="8" t="str">
        <f ca="1">IFERROR(__xludf.DUMMYFUNCTION("""COMPUTED_VALUE"""),"Child")</f>
        <v>Child</v>
      </c>
    </row>
    <row r="2498" spans="1:6" ht="12.75">
      <c r="A2498" s="4">
        <v>2497</v>
      </c>
      <c r="B2498" s="8" t="str">
        <f ca="1">IFERROR(__xludf.DUMMYFUNCTION("""COMPUTED_VALUE"""),"19890117CACLS")</f>
        <v>19890117CACLS</v>
      </c>
      <c r="C2498" s="8" t="str">
        <f ca="1">IFERROR(__xludf.DUMMYFUNCTION("""COMPUTED_VALUE"""),"Fatal")</f>
        <v>Fatal</v>
      </c>
      <c r="D2498" s="8" t="str">
        <f ca="1">IFERROR(__xludf.DUMMYFUNCTION("""COMPUTED_VALUE"""),"Male")</f>
        <v>Male</v>
      </c>
      <c r="E2498" s="8" t="str">
        <f ca="1">IFERROR(__xludf.DUMMYFUNCTION("""COMPUTED_VALUE"""),"Student")</f>
        <v>Student</v>
      </c>
      <c r="F2498" s="8">
        <f ca="1">IFERROR(__xludf.DUMMYFUNCTION("""COMPUTED_VALUE"""),9)</f>
        <v>9</v>
      </c>
    </row>
    <row r="2499" spans="1:6" ht="12.75">
      <c r="A2499" s="4">
        <v>2498</v>
      </c>
      <c r="B2499" s="8" t="str">
        <f ca="1">IFERROR(__xludf.DUMMYFUNCTION("""COMPUTED_VALUE"""),"19890117CACLS")</f>
        <v>19890117CACLS</v>
      </c>
      <c r="C2499" s="8" t="str">
        <f ca="1">IFERROR(__xludf.DUMMYFUNCTION("""COMPUTED_VALUE"""),"Wounded")</f>
        <v>Wounded</v>
      </c>
      <c r="D2499" s="8"/>
      <c r="E2499" s="8" t="str">
        <f ca="1">IFERROR(__xludf.DUMMYFUNCTION("""COMPUTED_VALUE"""),"Student")</f>
        <v>Student</v>
      </c>
      <c r="F2499" s="8" t="str">
        <f ca="1">IFERROR(__xludf.DUMMYFUNCTION("""COMPUTED_VALUE"""),"Child")</f>
        <v>Child</v>
      </c>
    </row>
    <row r="2500" spans="1:6" ht="12.75">
      <c r="A2500" s="4">
        <v>2499</v>
      </c>
      <c r="B2500" s="8" t="str">
        <f ca="1">IFERROR(__xludf.DUMMYFUNCTION("""COMPUTED_VALUE"""),"19890117CACLS")</f>
        <v>19890117CACLS</v>
      </c>
      <c r="C2500" s="8" t="str">
        <f ca="1">IFERROR(__xludf.DUMMYFUNCTION("""COMPUTED_VALUE"""),"Wounded")</f>
        <v>Wounded</v>
      </c>
      <c r="D2500" s="8"/>
      <c r="E2500" s="8" t="str">
        <f ca="1">IFERROR(__xludf.DUMMYFUNCTION("""COMPUTED_VALUE"""),"Student")</f>
        <v>Student</v>
      </c>
      <c r="F2500" s="8" t="str">
        <f ca="1">IFERROR(__xludf.DUMMYFUNCTION("""COMPUTED_VALUE"""),"Child")</f>
        <v>Child</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1522-0B67-6948-85D0-9ABD39B91B07}">
  <sheetPr>
    <outlinePr summaryBelow="0" summaryRight="0"/>
  </sheetPr>
  <dimension ref="A1:B2190"/>
  <sheetViews>
    <sheetView workbookViewId="0">
      <selection activeCell="A10" sqref="A10"/>
    </sheetView>
  </sheetViews>
  <sheetFormatPr defaultColWidth="12.42578125" defaultRowHeight="15.75" customHeight="1"/>
  <cols>
    <col min="1" max="1" width="28.42578125" style="4" customWidth="1"/>
    <col min="2" max="16384" width="12.42578125" style="4"/>
  </cols>
  <sheetData>
    <row r="1" spans="1:2" ht="15.75" customHeight="1">
      <c r="A1" s="9" t="str">
        <f ca="1">IFERROR(__xludf.DUMMYFUNCTION("IMPORTRANGE(""https://docs.google.com/spreadsheets/d/13by1rx0kMN24Sm2nKqqR6GsRtIyhgOO8U6IyuCHwhEU/edit#gid=1519919770"", ""Weapon!A1:D2500"")"),"Incident_ID")</f>
        <v>Incident_ID</v>
      </c>
      <c r="B1" s="8" t="str">
        <f ca="1">IFERROR(__xludf.DUMMYFUNCTION("""COMPUTED_VALUE"""),"Weapon_Type")</f>
        <v>Weapon_Type</v>
      </c>
    </row>
    <row r="2" spans="1:2" ht="12.75">
      <c r="A2" s="8" t="str">
        <f ca="1">IFERROR(__xludf.DUMMYFUNCTION("""COMPUTED_VALUE"""),"20221029TXAVA")</f>
        <v>20221029TXAVA</v>
      </c>
      <c r="B2" s="8" t="str">
        <f ca="1">IFERROR(__xludf.DUMMYFUNCTION("""COMPUTED_VALUE"""),"Handgun")</f>
        <v>Handgun</v>
      </c>
    </row>
    <row r="3" spans="1:2" ht="12.75">
      <c r="A3" s="8" t="str">
        <f ca="1">IFERROR(__xludf.DUMMYFUNCTION("""COMPUTED_VALUE"""),"20221029COCRH")</f>
        <v>20221029COCRH</v>
      </c>
      <c r="B3" s="8" t="str">
        <f ca="1">IFERROR(__xludf.DUMMYFUNCTION("""COMPUTED_VALUE"""),"Handgun")</f>
        <v>Handgun</v>
      </c>
    </row>
    <row r="4" spans="1:2" ht="12.75">
      <c r="A4" s="8" t="str">
        <f ca="1">IFERROR(__xludf.DUMMYFUNCTION("""COMPUTED_VALUE"""),"20221028TXROR")</f>
        <v>20221028TXROR</v>
      </c>
      <c r="B4" s="8" t="str">
        <f ca="1">IFERROR(__xludf.DUMMYFUNCTION("""COMPUTED_VALUE"""),"Handgun")</f>
        <v>Handgun</v>
      </c>
    </row>
    <row r="5" spans="1:2" ht="12.75">
      <c r="A5" s="8" t="str">
        <f ca="1">IFERROR(__xludf.DUMMYFUNCTION("""COMPUTED_VALUE"""),"20221028NCWAT")</f>
        <v>20221028NCWAT</v>
      </c>
      <c r="B5" s="8" t="str">
        <f ca="1">IFERROR(__xludf.DUMMYFUNCTION("""COMPUTED_VALUE"""),"Handgun")</f>
        <v>Handgun</v>
      </c>
    </row>
    <row r="6" spans="1:2" ht="12.75">
      <c r="A6" s="8" t="str">
        <f ca="1">IFERROR(__xludf.DUMMYFUNCTION("""COMPUTED_VALUE"""),"20221028ARROR")</f>
        <v>20221028ARROR</v>
      </c>
      <c r="B6" s="8" t="str">
        <f ca="1">IFERROR(__xludf.DUMMYFUNCTION("""COMPUTED_VALUE"""),"Other")</f>
        <v>Other</v>
      </c>
    </row>
    <row r="7" spans="1:2" ht="12.75">
      <c r="A7" s="8" t="str">
        <f ca="1">IFERROR(__xludf.DUMMYFUNCTION("""COMPUTED_VALUE"""),"20221026ILMIW")</f>
        <v>20221026ILMIW</v>
      </c>
      <c r="B7" s="8" t="str">
        <f ca="1">IFERROR(__xludf.DUMMYFUNCTION("""COMPUTED_VALUE"""),"Handgun")</f>
        <v>Handgun</v>
      </c>
    </row>
    <row r="8" spans="1:2" ht="12.75">
      <c r="A8" s="8" t="str">
        <f ca="1">IFERROR(__xludf.DUMMYFUNCTION("""COMPUTED_VALUE"""),"20221025PAPAP")</f>
        <v>20221025PAPAP</v>
      </c>
      <c r="B8" s="8" t="str">
        <f ca="1">IFERROR(__xludf.DUMMYFUNCTION("""COMPUTED_VALUE"""),"Handgun")</f>
        <v>Handgun</v>
      </c>
    </row>
    <row r="9" spans="1:2" ht="12.75">
      <c r="A9" s="8" t="str">
        <f ca="1">IFERROR(__xludf.DUMMYFUNCTION("""COMPUTED_VALUE"""),"20221025NYTOS")</f>
        <v>20221025NYTOS</v>
      </c>
      <c r="B9" s="8" t="str">
        <f ca="1">IFERROR(__xludf.DUMMYFUNCTION("""COMPUTED_VALUE"""),"Handgun")</f>
        <v>Handgun</v>
      </c>
    </row>
    <row r="10" spans="1:2" ht="12.75">
      <c r="A10" s="8" t="str">
        <f ca="1">IFERROR(__xludf.DUMMYFUNCTION("""COMPUTED_VALUE"""),"20221024MOCES")</f>
        <v>20221024MOCES</v>
      </c>
      <c r="B10" s="8" t="str">
        <f ca="1">IFERROR(__xludf.DUMMYFUNCTION("""COMPUTED_VALUE"""),"Rifle")</f>
        <v>Rifle</v>
      </c>
    </row>
    <row r="11" spans="1:2" ht="12.75">
      <c r="A11" s="8" t="str">
        <f ca="1">IFERROR(__xludf.DUMMYFUNCTION("""COMPUTED_VALUE"""),"20221022OHDUC")</f>
        <v>20221022OHDUC</v>
      </c>
      <c r="B11" s="8"/>
    </row>
    <row r="12" spans="1:2" ht="12.75">
      <c r="A12" s="8" t="str">
        <f ca="1">IFERROR(__xludf.DUMMYFUNCTION("""COMPUTED_VALUE"""),"20221022ILCHC")</f>
        <v>20221022ILCHC</v>
      </c>
      <c r="B12" s="8"/>
    </row>
    <row r="13" spans="1:2" ht="12.75">
      <c r="A13" s="8" t="str">
        <f ca="1">IFERROR(__xludf.DUMMYFUNCTION("""COMPUTED_VALUE"""),"20221021OHSHS")</f>
        <v>20221021OHSHS</v>
      </c>
      <c r="B13" s="8" t="str">
        <f ca="1">IFERROR(__xludf.DUMMYFUNCTION("""COMPUTED_VALUE"""),"Handgun")</f>
        <v>Handgun</v>
      </c>
    </row>
    <row r="14" spans="1:2" ht="12.75">
      <c r="A14" s="8" t="str">
        <f ca="1">IFERROR(__xludf.DUMMYFUNCTION("""COMPUTED_VALUE"""),"20221021CAGRS")</f>
        <v>20221021CAGRS</v>
      </c>
      <c r="B14" s="8" t="str">
        <f ca="1">IFERROR(__xludf.DUMMYFUNCTION("""COMPUTED_VALUE"""),"Handgun")</f>
        <v>Handgun</v>
      </c>
    </row>
    <row r="15" spans="1:2" ht="12.75">
      <c r="A15" s="8" t="str">
        <f ca="1">IFERROR(__xludf.DUMMYFUNCTION("""COMPUTED_VALUE"""),"20221020COCAD")</f>
        <v>20221020COCAD</v>
      </c>
      <c r="B15" s="8" t="str">
        <f ca="1">IFERROR(__xludf.DUMMYFUNCTION("""COMPUTED_VALUE"""),"Other")</f>
        <v>Other</v>
      </c>
    </row>
    <row r="16" spans="1:2" ht="12.75">
      <c r="A16" s="8" t="str">
        <f ca="1">IFERROR(__xludf.DUMMYFUNCTION("""COMPUTED_VALUE"""),"20221020PAPAP")</f>
        <v>20221020PAPAP</v>
      </c>
      <c r="B16" s="8" t="str">
        <f ca="1">IFERROR(__xludf.DUMMYFUNCTION("""COMPUTED_VALUE"""),"Handgun")</f>
        <v>Handgun</v>
      </c>
    </row>
    <row r="17" spans="1:2" ht="12.75">
      <c r="A17" s="8" t="str">
        <f ca="1">IFERROR(__xludf.DUMMYFUNCTION("""COMPUTED_VALUE"""),"20221019TNROR")</f>
        <v>20221019TNROR</v>
      </c>
      <c r="B17" s="8"/>
    </row>
    <row r="18" spans="1:2" ht="12.75">
      <c r="A18" s="8" t="str">
        <f ca="1">IFERROR(__xludf.DUMMYFUNCTION("""COMPUTED_VALUE"""),"20221018NVSUL")</f>
        <v>20221018NVSUL</v>
      </c>
      <c r="B18" s="8"/>
    </row>
    <row r="19" spans="1:2" ht="12.75">
      <c r="A19" s="8" t="str">
        <f ca="1">IFERROR(__xludf.DUMMYFUNCTION("""COMPUTED_VALUE"""),"20221018ORJEP")</f>
        <v>20221018ORJEP</v>
      </c>
      <c r="B19" s="8"/>
    </row>
    <row r="20" spans="1:2" ht="12.75">
      <c r="A20" s="8" t="str">
        <f ca="1">IFERROR(__xludf.DUMMYFUNCTION("""COMPUTED_VALUE"""),"20221017CAWIS")</f>
        <v>20221017CAWIS</v>
      </c>
      <c r="B20" s="8" t="str">
        <f ca="1">IFERROR(__xludf.DUMMYFUNCTION("""COMPUTED_VALUE"""),"Other")</f>
        <v>Other</v>
      </c>
    </row>
    <row r="21" spans="1:2" ht="12.75">
      <c r="A21" s="8" t="str">
        <f ca="1">IFERROR(__xludf.DUMMYFUNCTION("""COMPUTED_VALUE"""),"20221017FLORT")</f>
        <v>20221017FLORT</v>
      </c>
      <c r="B21" s="8" t="str">
        <f ca="1">IFERROR(__xludf.DUMMYFUNCTION("""COMPUTED_VALUE"""),"Handgun")</f>
        <v>Handgun</v>
      </c>
    </row>
    <row r="22" spans="1:2" ht="12.75">
      <c r="A22" s="8" t="str">
        <f ca="1">IFERROR(__xludf.DUMMYFUNCTION("""COMPUTED_VALUE"""),"20221016VAFAR")</f>
        <v>20221016VAFAR</v>
      </c>
      <c r="B22" s="8"/>
    </row>
    <row r="23" spans="1:2" ht="12.75">
      <c r="A23" s="8" t="str">
        <f ca="1">IFERROR(__xludf.DUMMYFUNCTION("""COMPUTED_VALUE"""),"20221014LAJHA")</f>
        <v>20221014LAJHA</v>
      </c>
      <c r="B23" s="8" t="str">
        <f ca="1">IFERROR(__xludf.DUMMYFUNCTION("""COMPUTED_VALUE"""),"Handgun")</f>
        <v>Handgun</v>
      </c>
    </row>
    <row r="24" spans="1:2" ht="12.75">
      <c r="A24" s="8" t="str">
        <f ca="1">IFERROR(__xludf.DUMMYFUNCTION("""COMPUTED_VALUE"""),"20220908LAJHA")</f>
        <v>20220908LAJHA</v>
      </c>
      <c r="B24" s="8" t="str">
        <f ca="1">IFERROR(__xludf.DUMMYFUNCTION("""COMPUTED_VALUE"""),"Handgun")</f>
        <v>Handgun</v>
      </c>
    </row>
    <row r="25" spans="1:2" ht="12.75">
      <c r="A25" s="8" t="str">
        <f ca="1">IFERROR(__xludf.DUMMYFUNCTION("""COMPUTED_VALUE"""),"20221014NCJAG")</f>
        <v>20221014NCJAG</v>
      </c>
      <c r="B25" s="8" t="str">
        <f ca="1">IFERROR(__xludf.DUMMYFUNCTION("""COMPUTED_VALUE"""),"Rifle")</f>
        <v>Rifle</v>
      </c>
    </row>
    <row r="26" spans="1:2" ht="12.75">
      <c r="A26" s="8" t="str">
        <f ca="1">IFERROR(__xludf.DUMMYFUNCTION("""COMPUTED_VALUE"""),"20221014NCJAG")</f>
        <v>20221014NCJAG</v>
      </c>
      <c r="B26" s="8" t="str">
        <f ca="1">IFERROR(__xludf.DUMMYFUNCTION("""COMPUTED_VALUE"""),"Handgun")</f>
        <v>Handgun</v>
      </c>
    </row>
    <row r="27" spans="1:2" ht="12.75">
      <c r="A27" s="8" t="str">
        <f ca="1">IFERROR(__xludf.DUMMYFUNCTION("""COMPUTED_VALUE"""),"20221014VAWER")</f>
        <v>20221014VAWER</v>
      </c>
      <c r="B27" s="8" t="str">
        <f ca="1">IFERROR(__xludf.DUMMYFUNCTION("""COMPUTED_VALUE"""),"Handgun")</f>
        <v>Handgun</v>
      </c>
    </row>
    <row r="28" spans="1:2" ht="12.75">
      <c r="A28" s="8" t="str">
        <f ca="1">IFERROR(__xludf.DUMMYFUNCTION("""COMPUTED_VALUE"""),"20221014LABOB")</f>
        <v>20221014LABOB</v>
      </c>
      <c r="B28" s="8" t="str">
        <f ca="1">IFERROR(__xludf.DUMMYFUNCTION("""COMPUTED_VALUE"""),"Handgun")</f>
        <v>Handgun</v>
      </c>
    </row>
    <row r="29" spans="1:2" ht="12.75">
      <c r="A29" s="8" t="str">
        <f ca="1">IFERROR(__xludf.DUMMYFUNCTION("""COMPUTED_VALUE"""),"20221014TNRIM")</f>
        <v>20221014TNRIM</v>
      </c>
      <c r="B29" s="8" t="str">
        <f ca="1">IFERROR(__xludf.DUMMYFUNCTION("""COMPUTED_VALUE"""),"Handgun")</f>
        <v>Handgun</v>
      </c>
    </row>
    <row r="30" spans="1:2" ht="12.75">
      <c r="A30" s="8" t="str">
        <f ca="1">IFERROR(__xludf.DUMMYFUNCTION("""COMPUTED_VALUE"""),"20221013NYSCB")</f>
        <v>20221013NYSCB</v>
      </c>
      <c r="B30" s="8" t="str">
        <f ca="1">IFERROR(__xludf.DUMMYFUNCTION("""COMPUTED_VALUE"""),"Multiple Handguns")</f>
        <v>Multiple Handguns</v>
      </c>
    </row>
    <row r="31" spans="1:2" ht="12.75">
      <c r="A31" s="8" t="str">
        <f ca="1">IFERROR(__xludf.DUMMYFUNCTION("""COMPUTED_VALUE"""),"20221013TXJOD")</f>
        <v>20221013TXJOD</v>
      </c>
      <c r="B31" s="8" t="str">
        <f ca="1">IFERROR(__xludf.DUMMYFUNCTION("""COMPUTED_VALUE"""),"Handgun")</f>
        <v>Handgun</v>
      </c>
    </row>
    <row r="32" spans="1:2" ht="12.75">
      <c r="A32" s="8" t="str">
        <f ca="1">IFERROR(__xludf.DUMMYFUNCTION("""COMPUTED_VALUE"""),"20221012NCCAC")</f>
        <v>20221012NCCAC</v>
      </c>
      <c r="B32" s="8" t="str">
        <f ca="1">IFERROR(__xludf.DUMMYFUNCTION("""COMPUTED_VALUE"""),"Handgun")</f>
        <v>Handgun</v>
      </c>
    </row>
    <row r="33" spans="1:2" ht="12.75">
      <c r="A33" s="8" t="str">
        <f ca="1">IFERROR(__xludf.DUMMYFUNCTION("""COMPUTED_VALUE"""),"20221011ORREP")</f>
        <v>20221011ORREP</v>
      </c>
      <c r="B33" s="8" t="str">
        <f ca="1">IFERROR(__xludf.DUMMYFUNCTION("""COMPUTED_VALUE"""),"Handgun")</f>
        <v>Handgun</v>
      </c>
    </row>
    <row r="34" spans="1:2" ht="12.75">
      <c r="A34" s="8" t="str">
        <f ca="1">IFERROR(__xludf.DUMMYFUNCTION("""COMPUTED_VALUE"""),"20221011KSSAS")</f>
        <v>20221011KSSAS</v>
      </c>
      <c r="B34" s="8" t="str">
        <f ca="1">IFERROR(__xludf.DUMMYFUNCTION("""COMPUTED_VALUE"""),"Handgun")</f>
        <v>Handgun</v>
      </c>
    </row>
    <row r="35" spans="1:2" ht="12.75">
      <c r="A35" s="8" t="str">
        <f ca="1">IFERROR(__xludf.DUMMYFUNCTION("""COMPUTED_VALUE"""),"20221010WIJAM")</f>
        <v>20221010WIJAM</v>
      </c>
      <c r="B35" s="8" t="str">
        <f ca="1">IFERROR(__xludf.DUMMYFUNCTION("""COMPUTED_VALUE"""),"Handgun")</f>
        <v>Handgun</v>
      </c>
    </row>
    <row r="36" spans="1:2" ht="12.75">
      <c r="A36" s="8" t="str">
        <f ca="1">IFERROR(__xludf.DUMMYFUNCTION("""COMPUTED_VALUE"""),"20221009MAWAA")</f>
        <v>20221009MAWAA</v>
      </c>
      <c r="B36" s="8" t="str">
        <f ca="1">IFERROR(__xludf.DUMMYFUNCTION("""COMPUTED_VALUE"""),"Handgun")</f>
        <v>Handgun</v>
      </c>
    </row>
    <row r="37" spans="1:2" ht="12.75">
      <c r="A37" s="8" t="str">
        <f ca="1">IFERROR(__xludf.DUMMYFUNCTION("""COMPUTED_VALUE"""),"20221008MOJCK")</f>
        <v>20221008MOJCK</v>
      </c>
      <c r="B37" s="8" t="str">
        <f ca="1">IFERROR(__xludf.DUMMYFUNCTION("""COMPUTED_VALUE"""),"Handgun")</f>
        <v>Handgun</v>
      </c>
    </row>
    <row r="38" spans="1:2" ht="12.75">
      <c r="A38" s="8" t="str">
        <f ca="1">IFERROR(__xludf.DUMMYFUNCTION("""COMPUTED_VALUE"""),"20221007MIBAB")</f>
        <v>20221007MIBAB</v>
      </c>
      <c r="B38" s="8" t="str">
        <f ca="1">IFERROR(__xludf.DUMMYFUNCTION("""COMPUTED_VALUE"""),"Handgun")</f>
        <v>Handgun</v>
      </c>
    </row>
    <row r="39" spans="1:2" ht="12.75">
      <c r="A39" s="8" t="str">
        <f ca="1">IFERROR(__xludf.DUMMYFUNCTION("""COMPUTED_VALUE"""),"20221007NCJHG")</f>
        <v>20221007NCJHG</v>
      </c>
      <c r="B39" s="8" t="str">
        <f ca="1">IFERROR(__xludf.DUMMYFUNCTION("""COMPUTED_VALUE"""),"Handgun")</f>
        <v>Handgun</v>
      </c>
    </row>
    <row r="40" spans="1:2" ht="12.75">
      <c r="A40" s="8" t="str">
        <f ca="1">IFERROR(__xludf.DUMMYFUNCTION("""COMPUTED_VALUE"""),"20221007AZCAP")</f>
        <v>20221007AZCAP</v>
      </c>
      <c r="B40" s="8" t="str">
        <f ca="1">IFERROR(__xludf.DUMMYFUNCTION("""COMPUTED_VALUE"""),"Handgun")</f>
        <v>Handgun</v>
      </c>
    </row>
    <row r="41" spans="1:2" ht="12.75">
      <c r="A41" s="8" t="str">
        <f ca="1">IFERROR(__xludf.DUMMYFUNCTION("""COMPUTED_VALUE"""),"20221007OHWHT")</f>
        <v>20221007OHWHT</v>
      </c>
      <c r="B41" s="8" t="str">
        <f ca="1">IFERROR(__xludf.DUMMYFUNCTION("""COMPUTED_VALUE"""),"Handgun")</f>
        <v>Handgun</v>
      </c>
    </row>
    <row r="42" spans="1:2" ht="12.75">
      <c r="A42" s="8" t="str">
        <f ca="1">IFERROR(__xludf.DUMMYFUNCTION("""COMPUTED_VALUE"""),"20221006OHMAC")</f>
        <v>20221006OHMAC</v>
      </c>
      <c r="B42" s="8" t="str">
        <f ca="1">IFERROR(__xludf.DUMMYFUNCTION("""COMPUTED_VALUE"""),"Handgun")</f>
        <v>Handgun</v>
      </c>
    </row>
    <row r="43" spans="1:2" ht="12.75">
      <c r="A43" s="8" t="str">
        <f ca="1">IFERROR(__xludf.DUMMYFUNCTION("""COMPUTED_VALUE"""),"20221004MAJB")</f>
        <v>20221004MAJB</v>
      </c>
      <c r="B43" s="8" t="str">
        <f ca="1">IFERROR(__xludf.DUMMYFUNCTION("""COMPUTED_VALUE"""),"Handgun")</f>
        <v>Handgun</v>
      </c>
    </row>
    <row r="44" spans="1:2" ht="12.75">
      <c r="A44" s="8" t="str">
        <f ca="1">IFERROR(__xludf.DUMMYFUNCTION("""COMPUTED_VALUE"""),"20221004NCPIS")</f>
        <v>20221004NCPIS</v>
      </c>
      <c r="B44" s="8"/>
    </row>
    <row r="45" spans="1:2" ht="12.75">
      <c r="A45" s="8" t="str">
        <f ca="1">IFERROR(__xludf.DUMMYFUNCTION("""COMPUTED_VALUE"""),"20221003MIOXO")</f>
        <v>20221003MIOXO</v>
      </c>
      <c r="B45" s="8" t="str">
        <f ca="1">IFERROR(__xludf.DUMMYFUNCTION("""COMPUTED_VALUE"""),"Handgun")</f>
        <v>Handgun</v>
      </c>
    </row>
    <row r="46" spans="1:2" ht="12.75">
      <c r="A46" s="8" t="str">
        <f ca="1">IFERROR(__xludf.DUMMYFUNCTION("""COMPUTED_VALUE"""),"20221001CACOO")</f>
        <v>20221001CACOO</v>
      </c>
      <c r="B46" s="8" t="str">
        <f ca="1">IFERROR(__xludf.DUMMYFUNCTION("""COMPUTED_VALUE"""),"Handgun")</f>
        <v>Handgun</v>
      </c>
    </row>
    <row r="47" spans="1:2" ht="12.75">
      <c r="A47" s="8" t="str">
        <f ca="1">IFERROR(__xludf.DUMMYFUNCTION("""COMPUTED_VALUE"""),"20220930OKMCT")</f>
        <v>20220930OKMCT</v>
      </c>
      <c r="B47" s="8" t="str">
        <f ca="1">IFERROR(__xludf.DUMMYFUNCTION("""COMPUTED_VALUE"""),"Handgun")</f>
        <v>Handgun</v>
      </c>
    </row>
    <row r="48" spans="1:2" ht="12.75">
      <c r="A48" s="8" t="str">
        <f ca="1">IFERROR(__xludf.DUMMYFUNCTION("""COMPUTED_VALUE"""),"20220930NYNEN")</f>
        <v>20220930NYNEN</v>
      </c>
      <c r="B48" s="8" t="str">
        <f ca="1">IFERROR(__xludf.DUMMYFUNCTION("""COMPUTED_VALUE"""),"Handgun")</f>
        <v>Handgun</v>
      </c>
    </row>
    <row r="49" spans="1:2" ht="12.75">
      <c r="A49" s="8" t="str">
        <f ca="1">IFERROR(__xludf.DUMMYFUNCTION("""COMPUTED_VALUE"""),"20220928LASEB")</f>
        <v>20220928LASEB</v>
      </c>
      <c r="B49" s="8" t="str">
        <f ca="1">IFERROR(__xludf.DUMMYFUNCTION("""COMPUTED_VALUE"""),"Handgun")</f>
        <v>Handgun</v>
      </c>
    </row>
    <row r="50" spans="1:2" ht="12.75">
      <c r="A50" s="8" t="str">
        <f ca="1">IFERROR(__xludf.DUMMYFUNCTION("""COMPUTED_VALUE"""),"20220928CARUO")</f>
        <v>20220928CARUO</v>
      </c>
      <c r="B50" s="8" t="str">
        <f ca="1">IFERROR(__xludf.DUMMYFUNCTION("""COMPUTED_VALUE"""),"Handgun")</f>
        <v>Handgun</v>
      </c>
    </row>
    <row r="51" spans="1:2" ht="12.75">
      <c r="A51" s="8" t="str">
        <f ca="1">IFERROR(__xludf.DUMMYFUNCTION("""COMPUTED_VALUE"""),"20220927PAROP")</f>
        <v>20220927PAROP</v>
      </c>
      <c r="B51" s="8" t="str">
        <f ca="1">IFERROR(__xludf.DUMMYFUNCTION("""COMPUTED_VALUE"""),"Multiple Unknown")</f>
        <v>Multiple Unknown</v>
      </c>
    </row>
    <row r="52" spans="1:2" ht="12.75">
      <c r="A52" s="8" t="str">
        <f ca="1">IFERROR(__xludf.DUMMYFUNCTION("""COMPUTED_VALUE"""),"20220927TXHGD")</f>
        <v>20220927TXHGD</v>
      </c>
      <c r="B52" s="8"/>
    </row>
    <row r="53" spans="1:2" ht="12.75">
      <c r="A53" s="8" t="str">
        <f ca="1">IFERROR(__xludf.DUMMYFUNCTION("""COMPUTED_VALUE"""),"20220926GAVAV")</f>
        <v>20220926GAVAV</v>
      </c>
      <c r="B53" s="8" t="str">
        <f ca="1">IFERROR(__xludf.DUMMYFUNCTION("""COMPUTED_VALUE"""),"Handgun")</f>
        <v>Handgun</v>
      </c>
    </row>
    <row r="54" spans="1:2" ht="12.75">
      <c r="A54" s="8" t="str">
        <f ca="1">IFERROR(__xludf.DUMMYFUNCTION("""COMPUTED_VALUE"""),"20220923CANOC")</f>
        <v>20220923CANOC</v>
      </c>
      <c r="B54" s="8" t="str">
        <f ca="1">IFERROR(__xludf.DUMMYFUNCTION("""COMPUTED_VALUE"""),"Handgun")</f>
        <v>Handgun</v>
      </c>
    </row>
    <row r="55" spans="1:2" ht="12.75">
      <c r="A55" s="8" t="str">
        <f ca="1">IFERROR(__xludf.DUMMYFUNCTION("""COMPUTED_VALUE"""),"20220923WIROM")</f>
        <v>20220923WIROM</v>
      </c>
      <c r="B55" s="8" t="str">
        <f ca="1">IFERROR(__xludf.DUMMYFUNCTION("""COMPUTED_VALUE"""),"Handgun")</f>
        <v>Handgun</v>
      </c>
    </row>
    <row r="56" spans="1:2" ht="12.75">
      <c r="A56" s="8" t="str">
        <f ca="1">IFERROR(__xludf.DUMMYFUNCTION("""COMPUTED_VALUE"""),"20220923PAWEP")</f>
        <v>20220923PAWEP</v>
      </c>
      <c r="B56" s="8" t="str">
        <f ca="1">IFERROR(__xludf.DUMMYFUNCTION("""COMPUTED_VALUE"""),"Handgun")</f>
        <v>Handgun</v>
      </c>
    </row>
    <row r="57" spans="1:2" ht="12.75">
      <c r="A57" s="8" t="str">
        <f ca="1">IFERROR(__xludf.DUMMYFUNCTION("""COMPUTED_VALUE"""),"20220923DEAPM")</f>
        <v>20220923DEAPM</v>
      </c>
      <c r="B57" s="8" t="str">
        <f ca="1">IFERROR(__xludf.DUMMYFUNCTION("""COMPUTED_VALUE"""),"Handgun")</f>
        <v>Handgun</v>
      </c>
    </row>
    <row r="58" spans="1:2" ht="12.75">
      <c r="A58" s="8" t="str">
        <f ca="1">IFERROR(__xludf.DUMMYFUNCTION("""COMPUTED_VALUE"""),"20220923MNRIM")</f>
        <v>20220923MNRIM</v>
      </c>
      <c r="B58" s="8" t="str">
        <f ca="1">IFERROR(__xludf.DUMMYFUNCTION("""COMPUTED_VALUE"""),"Handgun")</f>
        <v>Handgun</v>
      </c>
    </row>
    <row r="59" spans="1:2" ht="12.75">
      <c r="A59" s="8" t="str">
        <f ca="1">IFERROR(__xludf.DUMMYFUNCTION("""COMPUTED_VALUE"""),"20220921INJAS")</f>
        <v>20220921INJAS</v>
      </c>
      <c r="B59" s="8" t="str">
        <f ca="1">IFERROR(__xludf.DUMMYFUNCTION("""COMPUTED_VALUE"""),"Handgun")</f>
        <v>Handgun</v>
      </c>
    </row>
    <row r="60" spans="1:2" ht="12.75">
      <c r="A60" s="8" t="str">
        <f ca="1">IFERROR(__xludf.DUMMYFUNCTION("""COMPUTED_VALUE"""),"20220920NYINB")</f>
        <v>20220920NYINB</v>
      </c>
      <c r="B60" s="8" t="str">
        <f ca="1">IFERROR(__xludf.DUMMYFUNCTION("""COMPUTED_VALUE"""),"Handgun")</f>
        <v>Handgun</v>
      </c>
    </row>
    <row r="61" spans="1:2" ht="12.75">
      <c r="A61" s="8" t="str">
        <f ca="1">IFERROR(__xludf.DUMMYFUNCTION("""COMPUTED_VALUE"""),"20220919FLTRS")</f>
        <v>20220919FLTRS</v>
      </c>
      <c r="B61" s="8" t="str">
        <f ca="1">IFERROR(__xludf.DUMMYFUNCTION("""COMPUTED_VALUE"""),"Handgun")</f>
        <v>Handgun</v>
      </c>
    </row>
    <row r="62" spans="1:2" ht="12.75">
      <c r="A62" s="8" t="str">
        <f ca="1">IFERROR(__xludf.DUMMYFUNCTION("""COMPUTED_VALUE"""),"20220919LALAN")</f>
        <v>20220919LALAN</v>
      </c>
      <c r="B62" s="8"/>
    </row>
    <row r="63" spans="1:2" ht="12.75">
      <c r="A63" s="8" t="str">
        <f ca="1">IFERROR(__xludf.DUMMYFUNCTION("""COMPUTED_VALUE"""),"20220917GAJOA")</f>
        <v>20220917GAJOA</v>
      </c>
      <c r="B63" s="8" t="str">
        <f ca="1">IFERROR(__xludf.DUMMYFUNCTION("""COMPUTED_VALUE"""),"Handgun")</f>
        <v>Handgun</v>
      </c>
    </row>
    <row r="64" spans="1:2" ht="12.75">
      <c r="A64" s="8" t="str">
        <f ca="1">IFERROR(__xludf.DUMMYFUNCTION("""COMPUTED_VALUE"""),"20220916GALAA")</f>
        <v>20220916GALAA</v>
      </c>
      <c r="B64" s="8" t="str">
        <f ca="1">IFERROR(__xludf.DUMMYFUNCTION("""COMPUTED_VALUE"""),"Multiple Handguns")</f>
        <v>Multiple Handguns</v>
      </c>
    </row>
    <row r="65" spans="1:2" ht="12.75">
      <c r="A65" s="8" t="str">
        <f ca="1">IFERROR(__xludf.DUMMYFUNCTION("""COMPUTED_VALUE"""),"20220916NYPSN")</f>
        <v>20220916NYPSN</v>
      </c>
      <c r="B65" s="8" t="str">
        <f ca="1">IFERROR(__xludf.DUMMYFUNCTION("""COMPUTED_VALUE"""),"Other")</f>
        <v>Other</v>
      </c>
    </row>
    <row r="66" spans="1:2" ht="12.75">
      <c r="A66" s="8" t="str">
        <f ca="1">IFERROR(__xludf.DUMMYFUNCTION("""COMPUTED_VALUE"""),"20220914PACON")</f>
        <v>20220914PACON</v>
      </c>
      <c r="B66" s="8" t="str">
        <f ca="1">IFERROR(__xludf.DUMMYFUNCTION("""COMPUTED_VALUE"""),"Other")</f>
        <v>Other</v>
      </c>
    </row>
    <row r="67" spans="1:2" ht="12.75">
      <c r="A67" s="8" t="str">
        <f ca="1">IFERROR(__xludf.DUMMYFUNCTION("""COMPUTED_VALUE"""),"20220913UTBOB")</f>
        <v>20220913UTBOB</v>
      </c>
      <c r="B67" s="8" t="str">
        <f ca="1">IFERROR(__xludf.DUMMYFUNCTION("""COMPUTED_VALUE"""),"Handgun")</f>
        <v>Handgun</v>
      </c>
    </row>
    <row r="68" spans="1:2" ht="12.75">
      <c r="A68" s="8" t="str">
        <f ca="1">IFERROR(__xludf.DUMMYFUNCTION("""COMPUTED_VALUE"""),"20220913MIJAJ")</f>
        <v>20220913MIJAJ</v>
      </c>
      <c r="B68" s="8"/>
    </row>
    <row r="69" spans="1:2" ht="12.75">
      <c r="A69" s="8" t="str">
        <f ca="1">IFERROR(__xludf.DUMMYFUNCTION("""COMPUTED_VALUE"""),"20220913MDOXO")</f>
        <v>20220913MDOXO</v>
      </c>
      <c r="B69" s="8"/>
    </row>
    <row r="70" spans="1:2" ht="12.75">
      <c r="A70" s="8" t="str">
        <f ca="1">IFERROR(__xludf.DUMMYFUNCTION("""COMPUTED_VALUE"""),"20220913CAVAV")</f>
        <v>20220913CAVAV</v>
      </c>
      <c r="B70" s="8" t="str">
        <f ca="1">IFERROR(__xludf.DUMMYFUNCTION("""COMPUTED_VALUE"""),"Handgun")</f>
        <v>Handgun</v>
      </c>
    </row>
    <row r="71" spans="1:2" ht="12.75">
      <c r="A71" s="8" t="str">
        <f ca="1">IFERROR(__xludf.DUMMYFUNCTION("""COMPUTED_VALUE"""),"20220909WIWIR")</f>
        <v>20220909WIWIR</v>
      </c>
      <c r="B71" s="8" t="str">
        <f ca="1">IFERROR(__xludf.DUMMYFUNCTION("""COMPUTED_VALUE"""),"Handgun")</f>
        <v>Handgun</v>
      </c>
    </row>
    <row r="72" spans="1:2" ht="12.75">
      <c r="A72" s="8" t="str">
        <f ca="1">IFERROR(__xludf.DUMMYFUNCTION("""COMPUTED_VALUE"""),"20220909WIMIM")</f>
        <v>20220909WIMIM</v>
      </c>
      <c r="B72" s="8"/>
    </row>
    <row r="73" spans="1:2" ht="12.75">
      <c r="A73" s="8" t="str">
        <f ca="1">IFERROR(__xludf.DUMMYFUNCTION("""COMPUTED_VALUE"""),"20220907OHBEB")</f>
        <v>20220907OHBEB</v>
      </c>
      <c r="B73" s="8"/>
    </row>
    <row r="74" spans="1:2" ht="12.75">
      <c r="A74" s="8" t="str">
        <f ca="1">IFERROR(__xludf.DUMMYFUNCTION("""COMPUTED_VALUE"""),"20220907MDCAB")</f>
        <v>20220907MDCAB</v>
      </c>
      <c r="B74" s="8" t="str">
        <f ca="1">IFERROR(__xludf.DUMMYFUNCTION("""COMPUTED_VALUE"""),"Handgun")</f>
        <v>Handgun</v>
      </c>
    </row>
    <row r="75" spans="1:2" ht="12.75">
      <c r="A75" s="8" t="str">
        <f ca="1">IFERROR(__xludf.DUMMYFUNCTION("""COMPUTED_VALUE"""),"20220907WIBAM")</f>
        <v>20220907WIBAM</v>
      </c>
      <c r="B75" s="8" t="str">
        <f ca="1">IFERROR(__xludf.DUMMYFUNCTION("""COMPUTED_VALUE"""),"Handgun")</f>
        <v>Handgun</v>
      </c>
    </row>
    <row r="76" spans="1:2" ht="12.75">
      <c r="A76" s="8" t="str">
        <f ca="1">IFERROR(__xludf.DUMMYFUNCTION("""COMPUTED_VALUE"""),"20220907WIBAM")</f>
        <v>20220907WIBAM</v>
      </c>
      <c r="B76" s="8" t="str">
        <f ca="1">IFERROR(__xludf.DUMMYFUNCTION("""COMPUTED_VALUE"""),"Rifle")</f>
        <v>Rifle</v>
      </c>
    </row>
    <row r="77" spans="1:2" ht="12.75">
      <c r="A77" s="8" t="str">
        <f ca="1">IFERROR(__xludf.DUMMYFUNCTION("""COMPUTED_VALUE"""),"20220906IANOS")</f>
        <v>20220906IANOS</v>
      </c>
      <c r="B77" s="8" t="str">
        <f ca="1">IFERROR(__xludf.DUMMYFUNCTION("""COMPUTED_VALUE"""),"Other")</f>
        <v>Other</v>
      </c>
    </row>
    <row r="78" spans="1:2" ht="12.75">
      <c r="A78" s="8" t="str">
        <f ca="1">IFERROR(__xludf.DUMMYFUNCTION("""COMPUTED_VALUE"""),"20220904FLBOL")</f>
        <v>20220904FLBOL</v>
      </c>
      <c r="B78" s="8" t="str">
        <f ca="1">IFERROR(__xludf.DUMMYFUNCTION("""COMPUTED_VALUE"""),"Handgun")</f>
        <v>Handgun</v>
      </c>
    </row>
    <row r="79" spans="1:2" ht="12.75">
      <c r="A79" s="8" t="str">
        <f ca="1">IFERROR(__xludf.DUMMYFUNCTION("""COMPUTED_VALUE"""),"20220902INJEL")</f>
        <v>20220902INJEL</v>
      </c>
      <c r="B79" s="8" t="str">
        <f ca="1">IFERROR(__xludf.DUMMYFUNCTION("""COMPUTED_VALUE"""),"Handgun")</f>
        <v>Handgun</v>
      </c>
    </row>
    <row r="80" spans="1:2" ht="12.75">
      <c r="A80" s="8" t="str">
        <f ca="1">IFERROR(__xludf.DUMMYFUNCTION("""COMPUTED_VALUE"""),"20220902MDMEB")</f>
        <v>20220902MDMEB</v>
      </c>
      <c r="B80" s="8" t="str">
        <f ca="1">IFERROR(__xludf.DUMMYFUNCTION("""COMPUTED_VALUE"""),"Handgun")</f>
        <v>Handgun</v>
      </c>
    </row>
    <row r="81" spans="1:2" ht="12.75">
      <c r="A81" s="8" t="str">
        <f ca="1">IFERROR(__xludf.DUMMYFUNCTION("""COMPUTED_VALUE"""),"20220831DCIDW")</f>
        <v>20220831DCIDW</v>
      </c>
      <c r="B81" s="8" t="str">
        <f ca="1">IFERROR(__xludf.DUMMYFUNCTION("""COMPUTED_VALUE"""),"Handgun")</f>
        <v>Handgun</v>
      </c>
    </row>
    <row r="82" spans="1:2" ht="12.75">
      <c r="A82" s="8" t="str">
        <f ca="1">IFERROR(__xludf.DUMMYFUNCTION("""COMPUTED_VALUE"""),"20220831NMDEA")</f>
        <v>20220831NMDEA</v>
      </c>
      <c r="B82" s="8" t="str">
        <f ca="1">IFERROR(__xludf.DUMMYFUNCTION("""COMPUTED_VALUE"""),"Handgun")</f>
        <v>Handgun</v>
      </c>
    </row>
    <row r="83" spans="1:2" ht="12.75">
      <c r="A83" s="8" t="str">
        <f ca="1">IFERROR(__xludf.DUMMYFUNCTION("""COMPUTED_VALUE"""),"20220831PAFRP")</f>
        <v>20220831PAFRP</v>
      </c>
      <c r="B83" s="8" t="str">
        <f ca="1">IFERROR(__xludf.DUMMYFUNCTION("""COMPUTED_VALUE"""),"Handgun")</f>
        <v>Handgun</v>
      </c>
    </row>
    <row r="84" spans="1:2" ht="12.75">
      <c r="A84" s="8" t="str">
        <f ca="1">IFERROR(__xludf.DUMMYFUNCTION("""COMPUTED_VALUE"""),"20220831PAFRP")</f>
        <v>20220831PAFRP</v>
      </c>
      <c r="B84" s="8" t="str">
        <f ca="1">IFERROR(__xludf.DUMMYFUNCTION("""COMPUTED_VALUE"""),"Rifle")</f>
        <v>Rifle</v>
      </c>
    </row>
    <row r="85" spans="1:2" ht="12.75">
      <c r="A85" s="8" t="str">
        <f ca="1">IFERROR(__xludf.DUMMYFUNCTION("""COMPUTED_VALUE"""),"20220829CAMAO")</f>
        <v>20220829CAMAO</v>
      </c>
      <c r="B85" s="8" t="str">
        <f ca="1">IFERROR(__xludf.DUMMYFUNCTION("""COMPUTED_VALUE"""),"Handgun")</f>
        <v>Handgun</v>
      </c>
    </row>
    <row r="86" spans="1:2" ht="12.75">
      <c r="A86" s="8" t="str">
        <f ca="1">IFERROR(__xludf.DUMMYFUNCTION("""COMPUTED_VALUE"""),"20220827MONOS")</f>
        <v>20220827MONOS</v>
      </c>
      <c r="B86" s="8" t="str">
        <f ca="1">IFERROR(__xludf.DUMMYFUNCTION("""COMPUTED_VALUE"""),"Handgun")</f>
        <v>Handgun</v>
      </c>
    </row>
    <row r="87" spans="1:2" ht="12.75">
      <c r="A87" s="8" t="str">
        <f ca="1">IFERROR(__xludf.DUMMYFUNCTION("""COMPUTED_VALUE"""),"20220826OHGAC")</f>
        <v>20220826OHGAC</v>
      </c>
      <c r="B87" s="8" t="str">
        <f ca="1">IFERROR(__xludf.DUMMYFUNCTION("""COMPUTED_VALUE"""),"Handgun")</f>
        <v>Handgun</v>
      </c>
    </row>
    <row r="88" spans="1:2" ht="12.75">
      <c r="A88" s="8" t="str">
        <f ca="1">IFERROR(__xludf.DUMMYFUNCTION("""COMPUTED_VALUE"""),"20220823OHINC")</f>
        <v>20220823OHINC</v>
      </c>
      <c r="B88" s="8" t="str">
        <f ca="1">IFERROR(__xludf.DUMMYFUNCTION("""COMPUTED_VALUE"""),"Other")</f>
        <v>Other</v>
      </c>
    </row>
    <row r="89" spans="1:2" ht="12.75">
      <c r="A89" s="8" t="str">
        <f ca="1">IFERROR(__xludf.DUMMYFUNCTION("""COMPUTED_VALUE"""),"20220823OHART")</f>
        <v>20220823OHART</v>
      </c>
      <c r="B89" s="8" t="str">
        <f ca="1">IFERROR(__xludf.DUMMYFUNCTION("""COMPUTED_VALUE"""),"Handgun")</f>
        <v>Handgun</v>
      </c>
    </row>
    <row r="90" spans="1:2" ht="12.75">
      <c r="A90" s="8" t="str">
        <f ca="1">IFERROR(__xludf.DUMMYFUNCTION("""COMPUTED_VALUE"""),"20220819LAAKN")</f>
        <v>20220819LAAKN</v>
      </c>
      <c r="B90" s="8" t="str">
        <f ca="1">IFERROR(__xludf.DUMMYFUNCTION("""COMPUTED_VALUE"""),"Handgun")</f>
        <v>Handgun</v>
      </c>
    </row>
    <row r="91" spans="1:2" ht="12.75">
      <c r="A91" s="8" t="str">
        <f ca="1">IFERROR(__xludf.DUMMYFUNCTION("""COMPUTED_VALUE"""),"20220819OHGRG")</f>
        <v>20220819OHGRG</v>
      </c>
      <c r="B91" s="8" t="str">
        <f ca="1">IFERROR(__xludf.DUMMYFUNCTION("""COMPUTED_VALUE"""),"Handgun")</f>
        <v>Handgun</v>
      </c>
    </row>
    <row r="92" spans="1:2" ht="12.75">
      <c r="A92" s="8" t="str">
        <f ca="1">IFERROR(__xludf.DUMMYFUNCTION("""COMPUTED_VALUE"""),"20220819TNWEC")</f>
        <v>20220819TNWEC</v>
      </c>
      <c r="B92" s="8"/>
    </row>
    <row r="93" spans="1:2" ht="12.75">
      <c r="A93" s="8" t="str">
        <f ca="1">IFERROR(__xludf.DUMMYFUNCTION("""COMPUTED_VALUE"""),"20220818FLLER")</f>
        <v>20220818FLLER</v>
      </c>
      <c r="B93" s="8" t="str">
        <f ca="1">IFERROR(__xludf.DUMMYFUNCTION("""COMPUTED_VALUE"""),"Handgun")</f>
        <v>Handgun</v>
      </c>
    </row>
    <row r="94" spans="1:2" ht="12.75">
      <c r="A94" s="8" t="str">
        <f ca="1">IFERROR(__xludf.DUMMYFUNCTION("""COMPUTED_VALUE"""),"20220816TXPOB")</f>
        <v>20220816TXPOB</v>
      </c>
      <c r="B94" s="8" t="str">
        <f ca="1">IFERROR(__xludf.DUMMYFUNCTION("""COMPUTED_VALUE"""),"Handgun")</f>
        <v>Handgun</v>
      </c>
    </row>
    <row r="95" spans="1:2" ht="12.75">
      <c r="A95" s="8" t="str">
        <f ca="1">IFERROR(__xludf.DUMMYFUNCTION("""COMPUTED_VALUE"""),"20220815CALIS")</f>
        <v>20220815CALIS</v>
      </c>
      <c r="B95" s="8" t="str">
        <f ca="1">IFERROR(__xludf.DUMMYFUNCTION("""COMPUTED_VALUE"""),"Handgun")</f>
        <v>Handgun</v>
      </c>
    </row>
    <row r="96" spans="1:2" ht="12.75">
      <c r="A96" s="8" t="str">
        <f ca="1">IFERROR(__xludf.DUMMYFUNCTION("""COMPUTED_VALUE"""),"20220813ARMAL")</f>
        <v>20220813ARMAL</v>
      </c>
      <c r="B96" s="8"/>
    </row>
    <row r="97" spans="1:2" ht="12.75">
      <c r="A97" s="8" t="str">
        <f ca="1">IFERROR(__xludf.DUMMYFUNCTION("""COMPUTED_VALUE"""),"20220812CASIV")</f>
        <v>20220812CASIV</v>
      </c>
      <c r="B97" s="8" t="str">
        <f ca="1">IFERROR(__xludf.DUMMYFUNCTION("""COMPUTED_VALUE"""),"Handgun")</f>
        <v>Handgun</v>
      </c>
    </row>
    <row r="98" spans="1:2" ht="12.75">
      <c r="A98" s="8" t="str">
        <f ca="1">IFERROR(__xludf.DUMMYFUNCTION("""COMPUTED_VALUE"""),"20220811GAUCB")</f>
        <v>20220811GAUCB</v>
      </c>
      <c r="B98" s="8"/>
    </row>
    <row r="99" spans="1:2" ht="12.75">
      <c r="A99" s="8" t="str">
        <f ca="1">IFERROR(__xludf.DUMMYFUNCTION("""COMPUTED_VALUE"""),"20220810GAMCA")</f>
        <v>20220810GAMCA</v>
      </c>
      <c r="B99" s="8" t="str">
        <f ca="1">IFERROR(__xludf.DUMMYFUNCTION("""COMPUTED_VALUE"""),"Multiple Handguns")</f>
        <v>Multiple Handguns</v>
      </c>
    </row>
    <row r="100" spans="1:2" ht="12.75">
      <c r="A100" s="8" t="str">
        <f ca="1">IFERROR(__xludf.DUMMYFUNCTION("""COMPUTED_VALUE"""),"20220809PACHP")</f>
        <v>20220809PACHP</v>
      </c>
      <c r="B100" s="8" t="str">
        <f ca="1">IFERROR(__xludf.DUMMYFUNCTION("""COMPUTED_VALUE"""),"Handgun")</f>
        <v>Handgun</v>
      </c>
    </row>
    <row r="101" spans="1:2" ht="12.75">
      <c r="A101" s="8" t="str">
        <f ca="1">IFERROR(__xludf.DUMMYFUNCTION("""COMPUTED_VALUE"""),"20220805MATHL")</f>
        <v>20220805MATHL</v>
      </c>
      <c r="B101" s="8" t="str">
        <f ca="1">IFERROR(__xludf.DUMMYFUNCTION("""COMPUTED_VALUE"""),"Handgun")</f>
        <v>Handgun</v>
      </c>
    </row>
    <row r="102" spans="1:2" ht="12.75">
      <c r="A102" s="8" t="str">
        <f ca="1">IFERROR(__xludf.DUMMYFUNCTION("""COMPUTED_VALUE"""),"20220805GAJOJ")</f>
        <v>20220805GAJOJ</v>
      </c>
      <c r="B102" s="8" t="str">
        <f ca="1">IFERROR(__xludf.DUMMYFUNCTION("""COMPUTED_VALUE"""),"Handgun")</f>
        <v>Handgun</v>
      </c>
    </row>
    <row r="103" spans="1:2" ht="12.75">
      <c r="A103" s="8" t="str">
        <f ca="1">IFERROR(__xludf.DUMMYFUNCTION("""COMPUTED_VALUE"""),"20220803PALEP")</f>
        <v>20220803PALEP</v>
      </c>
      <c r="B103" s="8" t="str">
        <f ca="1">IFERROR(__xludf.DUMMYFUNCTION("""COMPUTED_VALUE"""),"Handgun")</f>
        <v>Handgun</v>
      </c>
    </row>
    <row r="104" spans="1:2" ht="12.75">
      <c r="A104" s="8" t="str">
        <f ca="1">IFERROR(__xludf.DUMMYFUNCTION("""COMPUTED_VALUE"""),"20220731CAOAO")</f>
        <v>20220731CAOAO</v>
      </c>
      <c r="B104" s="8" t="str">
        <f ca="1">IFERROR(__xludf.DUMMYFUNCTION("""COMPUTED_VALUE"""),"Handgun")</f>
        <v>Handgun</v>
      </c>
    </row>
    <row r="105" spans="1:2" ht="12.75">
      <c r="A105" s="8" t="str">
        <f ca="1">IFERROR(__xludf.DUMMYFUNCTION("""COMPUTED_VALUE"""),"20220730NYRHH")</f>
        <v>20220730NYRHH</v>
      </c>
      <c r="B105" s="8"/>
    </row>
    <row r="106" spans="1:2" ht="12.75">
      <c r="A106" s="8" t="str">
        <f ca="1">IFERROR(__xludf.DUMMYFUNCTION("""COMPUTED_VALUE"""),"20220729INCOS")</f>
        <v>20220729INCOS</v>
      </c>
      <c r="B106" s="8" t="str">
        <f ca="1">IFERROR(__xludf.DUMMYFUNCTION("""COMPUTED_VALUE"""),"Handgun")</f>
        <v>Handgun</v>
      </c>
    </row>
    <row r="107" spans="1:2" ht="12.75">
      <c r="A107" s="8" t="str">
        <f ca="1">IFERROR(__xludf.DUMMYFUNCTION("""COMPUTED_VALUE"""),"20220728KSMOG")</f>
        <v>20220728KSMOG</v>
      </c>
      <c r="B107" s="8" t="str">
        <f ca="1">IFERROR(__xludf.DUMMYFUNCTION("""COMPUTED_VALUE"""),"Handgun")</f>
        <v>Handgun</v>
      </c>
    </row>
    <row r="108" spans="1:2" ht="12.75">
      <c r="A108" s="8" t="str">
        <f ca="1">IFERROR(__xludf.DUMMYFUNCTION("""COMPUTED_VALUE"""),"20220726PALAL")</f>
        <v>20220726PALAL</v>
      </c>
      <c r="B108" s="8"/>
    </row>
    <row r="109" spans="1:2" ht="12.75">
      <c r="A109" s="8" t="str">
        <f ca="1">IFERROR(__xludf.DUMMYFUNCTION("""COMPUTED_VALUE"""),"20220726TXCOC")</f>
        <v>20220726TXCOC</v>
      </c>
      <c r="B109" s="8" t="str">
        <f ca="1">IFERROR(__xludf.DUMMYFUNCTION("""COMPUTED_VALUE"""),"Handgun")</f>
        <v>Handgun</v>
      </c>
    </row>
    <row r="110" spans="1:2" ht="12.75">
      <c r="A110" s="8" t="str">
        <f ca="1">IFERROR(__xludf.DUMMYFUNCTION("""COMPUTED_VALUE"""),"20220725NYBRB")</f>
        <v>20220725NYBRB</v>
      </c>
      <c r="B110" s="8" t="str">
        <f ca="1">IFERROR(__xludf.DUMMYFUNCTION("""COMPUTED_VALUE"""),"Handgun")</f>
        <v>Handgun</v>
      </c>
    </row>
    <row r="111" spans="1:2" ht="12.75">
      <c r="A111" s="8" t="str">
        <f ca="1">IFERROR(__xludf.DUMMYFUNCTION("""COMPUTED_VALUE"""),"20220720CAJOV")</f>
        <v>20220720CAJOV</v>
      </c>
      <c r="B111" s="8" t="str">
        <f ca="1">IFERROR(__xludf.DUMMYFUNCTION("""COMPUTED_VALUE"""),"Handgun")</f>
        <v>Handgun</v>
      </c>
    </row>
    <row r="112" spans="1:2" ht="12.75">
      <c r="A112" s="8" t="str">
        <f ca="1">IFERROR(__xludf.DUMMYFUNCTION("""COMPUTED_VALUE"""),"20220716NYCLS")</f>
        <v>20220716NYCLS</v>
      </c>
      <c r="B112" s="8" t="str">
        <f ca="1">IFERROR(__xludf.DUMMYFUNCTION("""COMPUTED_VALUE"""),"Handgun")</f>
        <v>Handgun</v>
      </c>
    </row>
    <row r="113" spans="1:2" ht="12.75">
      <c r="A113" s="8" t="str">
        <f ca="1">IFERROR(__xludf.DUMMYFUNCTION("""COMPUTED_VALUE"""),"20220716GAAPF")</f>
        <v>20220716GAAPF</v>
      </c>
      <c r="B113" s="8" t="str">
        <f ca="1">IFERROR(__xludf.DUMMYFUNCTION("""COMPUTED_VALUE"""),"Handgun")</f>
        <v>Handgun</v>
      </c>
    </row>
    <row r="114" spans="1:2" ht="12.75">
      <c r="A114" s="8" t="str">
        <f ca="1">IFERROR(__xludf.DUMMYFUNCTION("""COMPUTED_VALUE"""),"20220629CABUA")</f>
        <v>20220629CABUA</v>
      </c>
      <c r="B114" s="8"/>
    </row>
    <row r="115" spans="1:2" ht="12.75">
      <c r="A115" s="8" t="str">
        <f ca="1">IFERROR(__xludf.DUMMYFUNCTION("""COMPUTED_VALUE"""),"20220620ILGRC")</f>
        <v>20220620ILGRC</v>
      </c>
      <c r="B115" s="8"/>
    </row>
    <row r="116" spans="1:2" ht="12.75">
      <c r="A116" s="8" t="str">
        <f ca="1">IFERROR(__xludf.DUMMYFUNCTION("""COMPUTED_VALUE"""),"20220613WAMAE")</f>
        <v>20220613WAMAE</v>
      </c>
      <c r="B116" s="8" t="str">
        <f ca="1">IFERROR(__xludf.DUMMYFUNCTION("""COMPUTED_VALUE"""),"Handgun")</f>
        <v>Handgun</v>
      </c>
    </row>
    <row r="117" spans="1:2" ht="12.75">
      <c r="A117" s="8" t="str">
        <f ca="1">IFERROR(__xludf.DUMMYFUNCTION("""COMPUTED_VALUE"""),"20220610ALBYB")</f>
        <v>20220610ALBYB</v>
      </c>
      <c r="B117" s="8" t="str">
        <f ca="1">IFERROR(__xludf.DUMMYFUNCTION("""COMPUTED_VALUE"""),"Handgun")</f>
        <v>Handgun</v>
      </c>
    </row>
    <row r="118" spans="1:2" ht="12.75">
      <c r="A118" s="8" t="str">
        <f ca="1">IFERROR(__xludf.DUMMYFUNCTION("""COMPUTED_VALUE"""),"20220609ALWAG")</f>
        <v>20220609ALWAG</v>
      </c>
      <c r="B118" s="8" t="str">
        <f ca="1">IFERROR(__xludf.DUMMYFUNCTION("""COMPUTED_VALUE"""),"Handgun")</f>
        <v>Handgun</v>
      </c>
    </row>
    <row r="119" spans="1:2" ht="12.75">
      <c r="A119" s="8" t="str">
        <f ca="1">IFERROR(__xludf.DUMMYFUNCTION("""COMPUTED_VALUE"""),"20220608ARLIL")</f>
        <v>20220608ARLIL</v>
      </c>
      <c r="B119" s="8"/>
    </row>
    <row r="120" spans="1:2" ht="12.75">
      <c r="A120" s="8" t="str">
        <f ca="1">IFERROR(__xludf.DUMMYFUNCTION("""COMPUTED_VALUE"""),"20220607MIPED")</f>
        <v>20220607MIPED</v>
      </c>
      <c r="B120" s="8" t="str">
        <f ca="1">IFERROR(__xludf.DUMMYFUNCTION("""COMPUTED_VALUE"""),"Handgun")</f>
        <v>Handgun</v>
      </c>
    </row>
    <row r="121" spans="1:2" ht="12.75">
      <c r="A121" s="8" t="str">
        <f ca="1">IFERROR(__xludf.DUMMYFUNCTION("""COMPUTED_VALUE"""),"20220605INWEG")</f>
        <v>20220605INWEG</v>
      </c>
      <c r="B121" s="8" t="str">
        <f ca="1">IFERROR(__xludf.DUMMYFUNCTION("""COMPUTED_VALUE"""),"Handgun")</f>
        <v>Handgun</v>
      </c>
    </row>
    <row r="122" spans="1:2" ht="12.75">
      <c r="A122" s="8" t="str">
        <f ca="1">IFERROR(__xludf.DUMMYFUNCTION("""COMPUTED_VALUE"""),"20220601CAULL")</f>
        <v>20220601CAULL</v>
      </c>
      <c r="B122" s="8" t="str">
        <f ca="1">IFERROR(__xludf.DUMMYFUNCTION("""COMPUTED_VALUE"""),"Handgun")</f>
        <v>Handgun</v>
      </c>
    </row>
    <row r="123" spans="1:2" ht="12.75">
      <c r="A123" s="8" t="str">
        <f ca="1">IFERROR(__xludf.DUMMYFUNCTION("""COMPUTED_VALUE"""),"20220531LAMON")</f>
        <v>20220531LAMON</v>
      </c>
      <c r="B123" s="8" t="str">
        <f ca="1">IFERROR(__xludf.DUMMYFUNCTION("""COMPUTED_VALUE"""),"Handgun")</f>
        <v>Handgun</v>
      </c>
    </row>
    <row r="124" spans="1:2" ht="12.75">
      <c r="A124" s="8" t="str">
        <f ca="1">IFERROR(__xludf.DUMMYFUNCTION("""COMPUTED_VALUE"""),"20220530CAHEL")</f>
        <v>20220530CAHEL</v>
      </c>
      <c r="B124" s="8" t="str">
        <f ca="1">IFERROR(__xludf.DUMMYFUNCTION("""COMPUTED_VALUE"""),"Handgun")</f>
        <v>Handgun</v>
      </c>
    </row>
    <row r="125" spans="1:2" ht="12.75">
      <c r="A125" s="8" t="str">
        <f ca="1">IFERROR(__xludf.DUMMYFUNCTION("""COMPUTED_VALUE"""),"20220529ILDAC")</f>
        <v>20220529ILDAC</v>
      </c>
      <c r="B125" s="8" t="str">
        <f ca="1">IFERROR(__xludf.DUMMYFUNCTION("""COMPUTED_VALUE"""),"Rifle")</f>
        <v>Rifle</v>
      </c>
    </row>
    <row r="126" spans="1:2" ht="12.75">
      <c r="A126" s="8" t="str">
        <f ca="1">IFERROR(__xludf.DUMMYFUNCTION("""COMPUTED_VALUE"""),"20220529ILDAC")</f>
        <v>20220529ILDAC</v>
      </c>
      <c r="B126" s="8" t="str">
        <f ca="1">IFERROR(__xludf.DUMMYFUNCTION("""COMPUTED_VALUE"""),"Handgun")</f>
        <v>Handgun</v>
      </c>
    </row>
    <row r="127" spans="1:2" ht="12.75">
      <c r="A127" s="8" t="str">
        <f ca="1">IFERROR(__xludf.DUMMYFUNCTION("""COMPUTED_VALUE"""),"20220526TXDUA")</f>
        <v>20220526TXDUA</v>
      </c>
      <c r="B127" s="8" t="str">
        <f ca="1">IFERROR(__xludf.DUMMYFUNCTION("""COMPUTED_VALUE"""),"Handgun")</f>
        <v>Handgun</v>
      </c>
    </row>
    <row r="128" spans="1:2" ht="12.75">
      <c r="A128" s="8" t="str">
        <f ca="1">IFERROR(__xludf.DUMMYFUNCTION("""COMPUTED_VALUE"""),"20220526SCMEG")</f>
        <v>20220526SCMEG</v>
      </c>
      <c r="B128" s="8"/>
    </row>
    <row r="129" spans="1:2" ht="12.75">
      <c r="A129" s="8" t="str">
        <f ca="1">IFERROR(__xludf.DUMMYFUNCTION("""COMPUTED_VALUE"""),"20220525ILSTC")</f>
        <v>20220525ILSTC</v>
      </c>
      <c r="B129" s="8"/>
    </row>
    <row r="130" spans="1:2" ht="12.75">
      <c r="A130" s="8" t="str">
        <f ca="1">IFERROR(__xludf.DUMMYFUNCTION("""COMPUTED_VALUE"""),"20220524WIRIM")</f>
        <v>20220524WIRIM</v>
      </c>
      <c r="B130" s="8" t="str">
        <f ca="1">IFERROR(__xludf.DUMMYFUNCTION("""COMPUTED_VALUE"""),"Handgun")</f>
        <v>Handgun</v>
      </c>
    </row>
    <row r="131" spans="1:2" ht="12.75">
      <c r="A131" s="8" t="str">
        <f ca="1">IFERROR(__xludf.DUMMYFUNCTION("""COMPUTED_VALUE"""),"20220524TXROU")</f>
        <v>20220524TXROU</v>
      </c>
      <c r="B131" s="8" t="str">
        <f ca="1">IFERROR(__xludf.DUMMYFUNCTION("""COMPUTED_VALUE"""),"Multiple Rifles")</f>
        <v>Multiple Rifles</v>
      </c>
    </row>
    <row r="132" spans="1:2" ht="12.75">
      <c r="A132" s="8" t="str">
        <f ca="1">IFERROR(__xludf.DUMMYFUNCTION("""COMPUTED_VALUE"""),"20220524DCPOW")</f>
        <v>20220524DCPOW</v>
      </c>
      <c r="B132" s="8" t="str">
        <f ca="1">IFERROR(__xludf.DUMMYFUNCTION("""COMPUTED_VALUE"""),"Handgun")</f>
        <v>Handgun</v>
      </c>
    </row>
    <row r="133" spans="1:2" ht="12.75">
      <c r="A133" s="8" t="str">
        <f ca="1">IFERROR(__xludf.DUMMYFUNCTION("""COMPUTED_VALUE"""),"20220523PASIP")</f>
        <v>20220523PASIP</v>
      </c>
      <c r="B133" s="8" t="str">
        <f ca="1">IFERROR(__xludf.DUMMYFUNCTION("""COMPUTED_VALUE"""),"Handgun")</f>
        <v>Handgun</v>
      </c>
    </row>
    <row r="134" spans="1:2" ht="12.75">
      <c r="A134" s="8" t="str">
        <f ca="1">IFERROR(__xludf.DUMMYFUNCTION("""COMPUTED_VALUE"""),"20220520VAPOD")</f>
        <v>20220520VAPOD</v>
      </c>
      <c r="B134" s="8" t="str">
        <f ca="1">IFERROR(__xludf.DUMMYFUNCTION("""COMPUTED_VALUE"""),"Handgun")</f>
        <v>Handgun</v>
      </c>
    </row>
    <row r="135" spans="1:2" ht="12.75">
      <c r="A135" s="8" t="str">
        <f ca="1">IFERROR(__xludf.DUMMYFUNCTION("""COMPUTED_VALUE"""),"20220520TNEAC")</f>
        <v>20220520TNEAC</v>
      </c>
      <c r="B135" s="8"/>
    </row>
    <row r="136" spans="1:2" ht="12.75">
      <c r="A136" s="8" t="str">
        <f ca="1">IFERROR(__xludf.DUMMYFUNCTION("""COMPUTED_VALUE"""),"20220520OHCAC")</f>
        <v>20220520OHCAC</v>
      </c>
      <c r="B136" s="8" t="str">
        <f ca="1">IFERROR(__xludf.DUMMYFUNCTION("""COMPUTED_VALUE"""),"Other")</f>
        <v>Other</v>
      </c>
    </row>
    <row r="137" spans="1:2" ht="12.75">
      <c r="A137" s="8" t="str">
        <f ca="1">IFERROR(__xludf.DUMMYFUNCTION("""COMPUTED_VALUE"""),"20220520ILSOP")</f>
        <v>20220520ILSOP</v>
      </c>
      <c r="B137" s="8" t="str">
        <f ca="1">IFERROR(__xludf.DUMMYFUNCTION("""COMPUTED_VALUE"""),"Handgun")</f>
        <v>Handgun</v>
      </c>
    </row>
    <row r="138" spans="1:2" ht="12.75">
      <c r="A138" s="8" t="str">
        <f ca="1">IFERROR(__xludf.DUMMYFUNCTION("""COMPUTED_VALUE"""),"20220520ALMAT")</f>
        <v>20220520ALMAT</v>
      </c>
      <c r="B138" s="8"/>
    </row>
    <row r="139" spans="1:2" ht="12.75">
      <c r="A139" s="8" t="str">
        <f ca="1">IFERROR(__xludf.DUMMYFUNCTION("""COMPUTED_VALUE"""),"20220519VAGER")</f>
        <v>20220519VAGER</v>
      </c>
      <c r="B139" s="8"/>
    </row>
    <row r="140" spans="1:2" ht="12.75">
      <c r="A140" s="8" t="str">
        <f ca="1">IFERROR(__xludf.DUMMYFUNCTION("""COMPUTED_VALUE"""),"20220519MIEAK")</f>
        <v>20220519MIEAK</v>
      </c>
      <c r="B140" s="8"/>
    </row>
    <row r="141" spans="1:2" ht="12.75">
      <c r="A141" s="8" t="str">
        <f ca="1">IFERROR(__xludf.DUMMYFUNCTION("""COMPUTED_VALUE"""),"20220519LAHAH")</f>
        <v>20220519LAHAH</v>
      </c>
      <c r="B141" s="8" t="str">
        <f ca="1">IFERROR(__xludf.DUMMYFUNCTION("""COMPUTED_VALUE"""),"Handgun")</f>
        <v>Handgun</v>
      </c>
    </row>
    <row r="142" spans="1:2" ht="12.75">
      <c r="A142" s="8" t="str">
        <f ca="1">IFERROR(__xludf.DUMMYFUNCTION("""COMPUTED_VALUE"""),"20220518TNRIM")</f>
        <v>20220518TNRIM</v>
      </c>
      <c r="B142" s="8" t="str">
        <f ca="1">IFERROR(__xludf.DUMMYFUNCTION("""COMPUTED_VALUE"""),"Handgun")</f>
        <v>Handgun</v>
      </c>
    </row>
    <row r="143" spans="1:2" ht="12.75">
      <c r="A143" s="8" t="str">
        <f ca="1">IFERROR(__xludf.DUMMYFUNCTION("""COMPUTED_VALUE"""),"20220518FLPAP")</f>
        <v>20220518FLPAP</v>
      </c>
      <c r="B143" s="8" t="str">
        <f ca="1">IFERROR(__xludf.DUMMYFUNCTION("""COMPUTED_VALUE"""),"Handgun")</f>
        <v>Handgun</v>
      </c>
    </row>
    <row r="144" spans="1:2" ht="12.75">
      <c r="A144" s="8" t="str">
        <f ca="1">IFERROR(__xludf.DUMMYFUNCTION("""COMPUTED_VALUE"""),"20220517ILWAC")</f>
        <v>20220517ILWAC</v>
      </c>
      <c r="B144" s="8" t="str">
        <f ca="1">IFERROR(__xludf.DUMMYFUNCTION("""COMPUTED_VALUE"""),"Handgun")</f>
        <v>Handgun</v>
      </c>
    </row>
    <row r="145" spans="1:2" ht="12.75">
      <c r="A145" s="8" t="str">
        <f ca="1">IFERROR(__xludf.DUMMYFUNCTION("""COMPUTED_VALUE"""),"20220517CASAS")</f>
        <v>20220517CASAS</v>
      </c>
      <c r="B145" s="8"/>
    </row>
    <row r="146" spans="1:2" ht="12.75">
      <c r="A146" s="8" t="str">
        <f ca="1">IFERROR(__xludf.DUMMYFUNCTION("""COMPUTED_VALUE"""),"20220516TXMEM")</f>
        <v>20220516TXMEM</v>
      </c>
      <c r="B146" s="8" t="str">
        <f ca="1">IFERROR(__xludf.DUMMYFUNCTION("""COMPUTED_VALUE"""),"Handgun")</f>
        <v>Handgun</v>
      </c>
    </row>
    <row r="147" spans="1:2" ht="12.75">
      <c r="A147" s="8" t="str">
        <f ca="1">IFERROR(__xludf.DUMMYFUNCTION("""COMPUTED_VALUE"""),"20220515NHBEB")</f>
        <v>20220515NHBEB</v>
      </c>
      <c r="B147" s="8" t="str">
        <f ca="1">IFERROR(__xludf.DUMMYFUNCTION("""COMPUTED_VALUE"""),"Other")</f>
        <v>Other</v>
      </c>
    </row>
    <row r="148" spans="1:2" ht="12.75">
      <c r="A148" s="8" t="str">
        <f ca="1">IFERROR(__xludf.DUMMYFUNCTION("""COMPUTED_VALUE"""),"20220515ILMEP")</f>
        <v>20220515ILMEP</v>
      </c>
      <c r="B148" s="8" t="str">
        <f ca="1">IFERROR(__xludf.DUMMYFUNCTION("""COMPUTED_VALUE"""),"Handgun")</f>
        <v>Handgun</v>
      </c>
    </row>
    <row r="149" spans="1:2" ht="12.75">
      <c r="A149" s="8" t="str">
        <f ca="1">IFERROR(__xludf.DUMMYFUNCTION("""COMPUTED_VALUE"""),"20220513GASOM")</f>
        <v>20220513GASOM</v>
      </c>
      <c r="B149" s="8"/>
    </row>
    <row r="150" spans="1:2" ht="12.75">
      <c r="A150" s="8" t="str">
        <f ca="1">IFERROR(__xludf.DUMMYFUNCTION("""COMPUTED_VALUE"""),"20220513FLALW")</f>
        <v>20220513FLALW</v>
      </c>
      <c r="B150" s="8" t="str">
        <f ca="1">IFERROR(__xludf.DUMMYFUNCTION("""COMPUTED_VALUE"""),"Handgun")</f>
        <v>Handgun</v>
      </c>
    </row>
    <row r="151" spans="1:2" ht="12.75">
      <c r="A151" s="8" t="str">
        <f ca="1">IFERROR(__xludf.DUMMYFUNCTION("""COMPUTED_VALUE"""),"20220512TXHEH")</f>
        <v>20220512TXHEH</v>
      </c>
      <c r="B151" s="8"/>
    </row>
    <row r="152" spans="1:2" ht="12.75">
      <c r="A152" s="8" t="str">
        <f ca="1">IFERROR(__xludf.DUMMYFUNCTION("""COMPUTED_VALUE"""),"20220512ARHOH")</f>
        <v>20220512ARHOH</v>
      </c>
      <c r="B152" s="8" t="str">
        <f ca="1">IFERROR(__xludf.DUMMYFUNCTION("""COMPUTED_VALUE"""),"Handgun")</f>
        <v>Handgun</v>
      </c>
    </row>
    <row r="153" spans="1:2" ht="12.75">
      <c r="A153" s="8" t="str">
        <f ca="1">IFERROR(__xludf.DUMMYFUNCTION("""COMPUTED_VALUE"""),"20220511FLJAJ")</f>
        <v>20220511FLJAJ</v>
      </c>
      <c r="B153" s="8"/>
    </row>
    <row r="154" spans="1:2" ht="12.75">
      <c r="A154" s="8" t="str">
        <f ca="1">IFERROR(__xludf.DUMMYFUNCTION("""COMPUTED_VALUE"""),"20220509NYEDS")</f>
        <v>20220509NYEDS</v>
      </c>
      <c r="B154" s="8" t="str">
        <f ca="1">IFERROR(__xludf.DUMMYFUNCTION("""COMPUTED_VALUE"""),"Handgun")</f>
        <v>Handgun</v>
      </c>
    </row>
    <row r="155" spans="1:2" ht="12.75">
      <c r="A155" s="8" t="str">
        <f ca="1">IFERROR(__xludf.DUMMYFUNCTION("""COMPUTED_VALUE"""),"20220509GARIS")</f>
        <v>20220509GARIS</v>
      </c>
      <c r="B155" s="8" t="str">
        <f ca="1">IFERROR(__xludf.DUMMYFUNCTION("""COMPUTED_VALUE"""),"Handgun")</f>
        <v>Handgun</v>
      </c>
    </row>
    <row r="156" spans="1:2" ht="12.75">
      <c r="A156" s="8" t="str">
        <f ca="1">IFERROR(__xludf.DUMMYFUNCTION("""COMPUTED_VALUE"""),"20220505OHLOL")</f>
        <v>20220505OHLOL</v>
      </c>
      <c r="B156" s="8" t="str">
        <f ca="1">IFERROR(__xludf.DUMMYFUNCTION("""COMPUTED_VALUE"""),"Handgun")</f>
        <v>Handgun</v>
      </c>
    </row>
    <row r="157" spans="1:2" ht="12.75">
      <c r="A157" s="8" t="str">
        <f ca="1">IFERROR(__xludf.DUMMYFUNCTION("""COMPUTED_VALUE"""),"20220505ALDOD")</f>
        <v>20220505ALDOD</v>
      </c>
      <c r="B157" s="8" t="str">
        <f ca="1">IFERROR(__xludf.DUMMYFUNCTION("""COMPUTED_VALUE"""),"Other")</f>
        <v>Other</v>
      </c>
    </row>
    <row r="158" spans="1:2" ht="12.75">
      <c r="A158" s="8" t="str">
        <f ca="1">IFERROR(__xludf.DUMMYFUNCTION("""COMPUTED_VALUE"""),"20220503CAARS")</f>
        <v>20220503CAARS</v>
      </c>
      <c r="B158" s="8"/>
    </row>
    <row r="159" spans="1:2" ht="12.75">
      <c r="A159" s="8" t="str">
        <f ca="1">IFERROR(__xludf.DUMMYFUNCTION("""COMPUTED_VALUE"""),"20220501VALOM")</f>
        <v>20220501VALOM</v>
      </c>
      <c r="B159" s="8" t="str">
        <f ca="1">IFERROR(__xludf.DUMMYFUNCTION("""COMPUTED_VALUE"""),"Handgun")</f>
        <v>Handgun</v>
      </c>
    </row>
    <row r="160" spans="1:2" ht="12.75">
      <c r="A160" s="8" t="str">
        <f ca="1">IFERROR(__xludf.DUMMYFUNCTION("""COMPUTED_VALUE"""),"20220501OHHAC")</f>
        <v>20220501OHHAC</v>
      </c>
      <c r="B160" s="8" t="str">
        <f ca="1">IFERROR(__xludf.DUMMYFUNCTION("""COMPUTED_VALUE"""),"Handgun")</f>
        <v>Handgun</v>
      </c>
    </row>
    <row r="161" spans="1:2" ht="12.75">
      <c r="A161" s="8" t="str">
        <f ca="1">IFERROR(__xludf.DUMMYFUNCTION("""COMPUTED_VALUE"""),"20220430PAMCJ")</f>
        <v>20220430PAMCJ</v>
      </c>
      <c r="B161" s="8" t="str">
        <f ca="1">IFERROR(__xludf.DUMMYFUNCTION("""COMPUTED_VALUE"""),"Handgun")</f>
        <v>Handgun</v>
      </c>
    </row>
    <row r="162" spans="1:2" ht="12.75">
      <c r="A162" s="8" t="str">
        <f ca="1">IFERROR(__xludf.DUMMYFUNCTION("""COMPUTED_VALUE"""),"20220427TXMOS")</f>
        <v>20220427TXMOS</v>
      </c>
      <c r="B162" s="8" t="str">
        <f ca="1">IFERROR(__xludf.DUMMYFUNCTION("""COMPUTED_VALUE"""),"Handgun")</f>
        <v>Handgun</v>
      </c>
    </row>
    <row r="163" spans="1:2" ht="12.75">
      <c r="A163" s="8" t="str">
        <f ca="1">IFERROR(__xludf.DUMMYFUNCTION("""COMPUTED_VALUE"""),"20220427INCOS")</f>
        <v>20220427INCOS</v>
      </c>
      <c r="B163" s="8" t="str">
        <f ca="1">IFERROR(__xludf.DUMMYFUNCTION("""COMPUTED_VALUE"""),"Other")</f>
        <v>Other</v>
      </c>
    </row>
    <row r="164" spans="1:2" ht="12.75">
      <c r="A164" s="8" t="str">
        <f ca="1">IFERROR(__xludf.DUMMYFUNCTION("""COMPUTED_VALUE"""),"20220426MIASI")</f>
        <v>20220426MIASI</v>
      </c>
      <c r="B164" s="8" t="str">
        <f ca="1">IFERROR(__xludf.DUMMYFUNCTION("""COMPUTED_VALUE"""),"Handgun")</f>
        <v>Handgun</v>
      </c>
    </row>
    <row r="165" spans="1:2" ht="12.75">
      <c r="A165" s="8" t="str">
        <f ca="1">IFERROR(__xludf.DUMMYFUNCTION("""COMPUTED_VALUE"""),"20220426GASOM")</f>
        <v>20220426GASOM</v>
      </c>
      <c r="B165" s="8" t="str">
        <f ca="1">IFERROR(__xludf.DUMMYFUNCTION("""COMPUTED_VALUE"""),"Handgun")</f>
        <v>Handgun</v>
      </c>
    </row>
    <row r="166" spans="1:2" ht="12.75">
      <c r="A166" s="8" t="str">
        <f ca="1">IFERROR(__xludf.DUMMYFUNCTION("""COMPUTED_VALUE"""),"20220426GASOM")</f>
        <v>20220426GASOM</v>
      </c>
      <c r="B166" s="8" t="str">
        <f ca="1">IFERROR(__xludf.DUMMYFUNCTION("""COMPUTED_VALUE"""),"Other")</f>
        <v>Other</v>
      </c>
    </row>
    <row r="167" spans="1:2" ht="12.75">
      <c r="A167" s="8" t="str">
        <f ca="1">IFERROR(__xludf.DUMMYFUNCTION("""COMPUTED_VALUE"""),"20220425WIWIM")</f>
        <v>20220425WIWIM</v>
      </c>
      <c r="B167" s="8" t="str">
        <f ca="1">IFERROR(__xludf.DUMMYFUNCTION("""COMPUTED_VALUE"""),"Multiple Handguns")</f>
        <v>Multiple Handguns</v>
      </c>
    </row>
    <row r="168" spans="1:2" ht="12.75">
      <c r="A168" s="8" t="str">
        <f ca="1">IFERROR(__xludf.DUMMYFUNCTION("""COMPUTED_VALUE"""),"20220424MOHAF")</f>
        <v>20220424MOHAF</v>
      </c>
      <c r="B168" s="8" t="str">
        <f ca="1">IFERROR(__xludf.DUMMYFUNCTION("""COMPUTED_VALUE"""),"Handgun")</f>
        <v>Handgun</v>
      </c>
    </row>
    <row r="169" spans="1:2" ht="12.75">
      <c r="A169" s="8" t="str">
        <f ca="1">IFERROR(__xludf.DUMMYFUNCTION("""COMPUTED_VALUE"""),"20220422ORHOS")</f>
        <v>20220422ORHOS</v>
      </c>
      <c r="B169" s="8" t="str">
        <f ca="1">IFERROR(__xludf.DUMMYFUNCTION("""COMPUTED_VALUE"""),"Handgun")</f>
        <v>Handgun</v>
      </c>
    </row>
    <row r="170" spans="1:2" ht="12.75">
      <c r="A170" s="8" t="str">
        <f ca="1">IFERROR(__xludf.DUMMYFUNCTION("""COMPUTED_VALUE"""),"20220422DCEDW")</f>
        <v>20220422DCEDW</v>
      </c>
      <c r="B170" s="8" t="str">
        <f ca="1">IFERROR(__xludf.DUMMYFUNCTION("""COMPUTED_VALUE"""),"Multiple Rifles")</f>
        <v>Multiple Rifles</v>
      </c>
    </row>
    <row r="171" spans="1:2" ht="12.75">
      <c r="A171" s="8" t="str">
        <f ca="1">IFERROR(__xludf.DUMMYFUNCTION("""COMPUTED_VALUE"""),"20220422DCEDW")</f>
        <v>20220422DCEDW</v>
      </c>
      <c r="B171" s="8" t="str">
        <f ca="1">IFERROR(__xludf.DUMMYFUNCTION("""COMPUTED_VALUE"""),"Multiple Handguns")</f>
        <v>Multiple Handguns</v>
      </c>
    </row>
    <row r="172" spans="1:2" ht="12.75">
      <c r="A172" s="8" t="str">
        <f ca="1">IFERROR(__xludf.DUMMYFUNCTION("""COMPUTED_VALUE"""),"20220422CAMOR")</f>
        <v>20220422CAMOR</v>
      </c>
      <c r="B172" s="8" t="str">
        <f ca="1">IFERROR(__xludf.DUMMYFUNCTION("""COMPUTED_VALUE"""),"Rifle")</f>
        <v>Rifle</v>
      </c>
    </row>
    <row r="173" spans="1:2" ht="12.75">
      <c r="A173" s="8" t="str">
        <f ca="1">IFERROR(__xludf.DUMMYFUNCTION("""COMPUTED_VALUE"""),"20220421NDMOM")</f>
        <v>20220421NDMOM</v>
      </c>
      <c r="B173" s="8" t="str">
        <f ca="1">IFERROR(__xludf.DUMMYFUNCTION("""COMPUTED_VALUE"""),"Handgun")</f>
        <v>Handgun</v>
      </c>
    </row>
    <row r="174" spans="1:2" ht="12.75">
      <c r="A174" s="8" t="str">
        <f ca="1">IFERROR(__xludf.DUMMYFUNCTION("""COMPUTED_VALUE"""),"20220416IAMED")</f>
        <v>20220416IAMED</v>
      </c>
      <c r="B174" s="8" t="str">
        <f ca="1">IFERROR(__xludf.DUMMYFUNCTION("""COMPUTED_VALUE"""),"Handgun")</f>
        <v>Handgun</v>
      </c>
    </row>
    <row r="175" spans="1:2" ht="12.75">
      <c r="A175" s="8" t="str">
        <f ca="1">IFERROR(__xludf.DUMMYFUNCTION("""COMPUTED_VALUE"""),"20220415VAGAW")</f>
        <v>20220415VAGAW</v>
      </c>
      <c r="B175" s="8" t="str">
        <f ca="1">IFERROR(__xludf.DUMMYFUNCTION("""COMPUTED_VALUE"""),"Handgun")</f>
        <v>Handgun</v>
      </c>
    </row>
    <row r="176" spans="1:2" ht="12.75">
      <c r="A176" s="8" t="str">
        <f ca="1">IFERROR(__xludf.DUMMYFUNCTION("""COMPUTED_VALUE"""),"20220414MSNEP")</f>
        <v>20220414MSNEP</v>
      </c>
      <c r="B176" s="8" t="str">
        <f ca="1">IFERROR(__xludf.DUMMYFUNCTION("""COMPUTED_VALUE"""),"Other")</f>
        <v>Other</v>
      </c>
    </row>
    <row r="177" spans="1:2" ht="12.75">
      <c r="A177" s="8" t="str">
        <f ca="1">IFERROR(__xludf.DUMMYFUNCTION("""COMPUTED_VALUE"""),"20220413MISHS")</f>
        <v>20220413MISHS</v>
      </c>
      <c r="B177" s="8" t="str">
        <f ca="1">IFERROR(__xludf.DUMMYFUNCTION("""COMPUTED_VALUE"""),"Other")</f>
        <v>Other</v>
      </c>
    </row>
    <row r="178" spans="1:2" ht="12.75">
      <c r="A178" s="8" t="str">
        <f ca="1">IFERROR(__xludf.DUMMYFUNCTION("""COMPUTED_VALUE"""),"20220411ARPIP")</f>
        <v>20220411ARPIP</v>
      </c>
      <c r="B178" s="8" t="str">
        <f ca="1">IFERROR(__xludf.DUMMYFUNCTION("""COMPUTED_VALUE"""),"Handgun")</f>
        <v>Handgun</v>
      </c>
    </row>
    <row r="179" spans="1:2" ht="12.75">
      <c r="A179" s="8" t="str">
        <f ca="1">IFERROR(__xludf.DUMMYFUNCTION("""COMPUTED_VALUE"""),"20220410MALYL")</f>
        <v>20220410MALYL</v>
      </c>
      <c r="B179" s="8" t="str">
        <f ca="1">IFERROR(__xludf.DUMMYFUNCTION("""COMPUTED_VALUE"""),"Handgun")</f>
        <v>Handgun</v>
      </c>
    </row>
    <row r="180" spans="1:2" ht="12.75">
      <c r="A180" s="8" t="str">
        <f ca="1">IFERROR(__xludf.DUMMYFUNCTION("""COMPUTED_VALUE"""),"20220406WVRIR")</f>
        <v>20220406WVRIR</v>
      </c>
      <c r="B180" s="8" t="str">
        <f ca="1">IFERROR(__xludf.DUMMYFUNCTION("""COMPUTED_VALUE"""),"Handgun")</f>
        <v>Handgun</v>
      </c>
    </row>
    <row r="181" spans="1:2" ht="12.75">
      <c r="A181" s="8" t="str">
        <f ca="1">IFERROR(__xludf.DUMMYFUNCTION("""COMPUTED_VALUE"""),"20220406WASTM")</f>
        <v>20220406WASTM</v>
      </c>
      <c r="B181" s="8" t="str">
        <f ca="1">IFERROR(__xludf.DUMMYFUNCTION("""COMPUTED_VALUE"""),"Other")</f>
        <v>Other</v>
      </c>
    </row>
    <row r="182" spans="1:2" ht="12.75">
      <c r="A182" s="8" t="str">
        <f ca="1">IFERROR(__xludf.DUMMYFUNCTION("""COMPUTED_VALUE"""),"20220406ORROP")</f>
        <v>20220406ORROP</v>
      </c>
      <c r="B182" s="8" t="str">
        <f ca="1">IFERROR(__xludf.DUMMYFUNCTION("""COMPUTED_VALUE"""),"Handgun")</f>
        <v>Handgun</v>
      </c>
    </row>
    <row r="183" spans="1:2" ht="12.75">
      <c r="A183" s="8" t="str">
        <f ca="1">IFERROR(__xludf.DUMMYFUNCTION("""COMPUTED_VALUE"""),"20220405PAERE")</f>
        <v>20220405PAERE</v>
      </c>
      <c r="B183" s="8" t="str">
        <f ca="1">IFERROR(__xludf.DUMMYFUNCTION("""COMPUTED_VALUE"""),"Handgun")</f>
        <v>Handgun</v>
      </c>
    </row>
    <row r="184" spans="1:2" ht="12.75">
      <c r="A184" s="8" t="str">
        <f ca="1">IFERROR(__xludf.DUMMYFUNCTION("""COMPUTED_VALUE"""),"20220403INBLB")</f>
        <v>20220403INBLB</v>
      </c>
      <c r="B184" s="8" t="str">
        <f ca="1">IFERROR(__xludf.DUMMYFUNCTION("""COMPUTED_VALUE"""),"Multiple Handguns")</f>
        <v>Multiple Handguns</v>
      </c>
    </row>
    <row r="185" spans="1:2" ht="12.75">
      <c r="A185" s="8" t="str">
        <f ca="1">IFERROR(__xludf.DUMMYFUNCTION("""COMPUTED_VALUE"""),"20220331PAACP")</f>
        <v>20220331PAACP</v>
      </c>
      <c r="B185" s="8" t="str">
        <f ca="1">IFERROR(__xludf.DUMMYFUNCTION("""COMPUTED_VALUE"""),"Handgun")</f>
        <v>Handgun</v>
      </c>
    </row>
    <row r="186" spans="1:2" ht="12.75">
      <c r="A186" s="8" t="str">
        <f ca="1">IFERROR(__xludf.DUMMYFUNCTION("""COMPUTED_VALUE"""),"20220330GABOA")</f>
        <v>20220330GABOA</v>
      </c>
      <c r="B186" s="8" t="str">
        <f ca="1">IFERROR(__xludf.DUMMYFUNCTION("""COMPUTED_VALUE"""),"Handgun")</f>
        <v>Handgun</v>
      </c>
    </row>
    <row r="187" spans="1:2" ht="12.75">
      <c r="A187" s="8" t="str">
        <f ca="1">IFERROR(__xludf.DUMMYFUNCTION("""COMPUTED_VALUE"""),"20220330AZKIK")</f>
        <v>20220330AZKIK</v>
      </c>
      <c r="B187" s="8" t="str">
        <f ca="1">IFERROR(__xludf.DUMMYFUNCTION("""COMPUTED_VALUE"""),"Handgun")</f>
        <v>Handgun</v>
      </c>
    </row>
    <row r="188" spans="1:2" ht="12.75">
      <c r="A188" s="8" t="str">
        <f ca="1">IFERROR(__xludf.DUMMYFUNCTION("""COMPUTED_VALUE"""),"20220329VALUR")</f>
        <v>20220329VALUR</v>
      </c>
      <c r="B188" s="8" t="str">
        <f ca="1">IFERROR(__xludf.DUMMYFUNCTION("""COMPUTED_VALUE"""),"Handgun")</f>
        <v>Handgun</v>
      </c>
    </row>
    <row r="189" spans="1:2" ht="12.75">
      <c r="A189" s="8" t="str">
        <f ca="1">IFERROR(__xludf.DUMMYFUNCTION("""COMPUTED_VALUE"""),"20220329NVWEL")</f>
        <v>20220329NVWEL</v>
      </c>
      <c r="B189" s="8" t="str">
        <f ca="1">IFERROR(__xludf.DUMMYFUNCTION("""COMPUTED_VALUE"""),"Handgun")</f>
        <v>Handgun</v>
      </c>
    </row>
    <row r="190" spans="1:2" ht="12.75">
      <c r="A190" s="8" t="str">
        <f ca="1">IFERROR(__xludf.DUMMYFUNCTION("""COMPUTED_VALUE"""),"20220328TXNOF")</f>
        <v>20220328TXNOF</v>
      </c>
      <c r="B190" s="8" t="str">
        <f ca="1">IFERROR(__xludf.DUMMYFUNCTION("""COMPUTED_VALUE"""),"Handgun")</f>
        <v>Handgun</v>
      </c>
    </row>
    <row r="191" spans="1:2" ht="12.75">
      <c r="A191" s="8" t="str">
        <f ca="1">IFERROR(__xludf.DUMMYFUNCTION("""COMPUTED_VALUE"""),"20220328NCOAC")</f>
        <v>20220328NCOAC</v>
      </c>
      <c r="B191" s="8" t="str">
        <f ca="1">IFERROR(__xludf.DUMMYFUNCTION("""COMPUTED_VALUE"""),"Handgun")</f>
        <v>Handgun</v>
      </c>
    </row>
    <row r="192" spans="1:2" ht="12.75">
      <c r="A192" s="8" t="str">
        <f ca="1">IFERROR(__xludf.DUMMYFUNCTION("""COMPUTED_VALUE"""),"20220325UTHIS")</f>
        <v>20220325UTHIS</v>
      </c>
      <c r="B192" s="8" t="str">
        <f ca="1">IFERROR(__xludf.DUMMYFUNCTION("""COMPUTED_VALUE"""),"Handgun")</f>
        <v>Handgun</v>
      </c>
    </row>
    <row r="193" spans="1:2" ht="12.75">
      <c r="A193" s="8" t="str">
        <f ca="1">IFERROR(__xludf.DUMMYFUNCTION("""COMPUTED_VALUE"""),"20220325UTHIS")</f>
        <v>20220325UTHIS</v>
      </c>
      <c r="B193" s="8" t="str">
        <f ca="1">IFERROR(__xludf.DUMMYFUNCTION("""COMPUTED_VALUE"""),"Other")</f>
        <v>Other</v>
      </c>
    </row>
    <row r="194" spans="1:2" ht="12.75">
      <c r="A194" s="8" t="str">
        <f ca="1">IFERROR(__xludf.DUMMYFUNCTION("""COMPUTED_VALUE"""),"20220325TXROR")</f>
        <v>20220325TXROR</v>
      </c>
      <c r="B194" s="8" t="str">
        <f ca="1">IFERROR(__xludf.DUMMYFUNCTION("""COMPUTED_VALUE"""),"Other")</f>
        <v>Other</v>
      </c>
    </row>
    <row r="195" spans="1:2" ht="12.75">
      <c r="A195" s="8" t="str">
        <f ca="1">IFERROR(__xludf.DUMMYFUNCTION("""COMPUTED_VALUE"""),"20220325TNBRM")</f>
        <v>20220325TNBRM</v>
      </c>
      <c r="B195" s="8" t="str">
        <f ca="1">IFERROR(__xludf.DUMMYFUNCTION("""COMPUTED_VALUE"""),"Handgun")</f>
        <v>Handgun</v>
      </c>
    </row>
    <row r="196" spans="1:2" ht="12.75">
      <c r="A196" s="8" t="str">
        <f ca="1">IFERROR(__xludf.DUMMYFUNCTION("""COMPUTED_VALUE"""),"20220324VARIW")</f>
        <v>20220324VARIW</v>
      </c>
      <c r="B196" s="8" t="str">
        <f ca="1">IFERROR(__xludf.DUMMYFUNCTION("""COMPUTED_VALUE"""),"Multiple Rifles")</f>
        <v>Multiple Rifles</v>
      </c>
    </row>
    <row r="197" spans="1:2" ht="12.75">
      <c r="A197" s="8" t="str">
        <f ca="1">IFERROR(__xludf.DUMMYFUNCTION("""COMPUTED_VALUE"""),"20220322VAJAR")</f>
        <v>20220322VAJAR</v>
      </c>
      <c r="B197" s="8" t="str">
        <f ca="1">IFERROR(__xludf.DUMMYFUNCTION("""COMPUTED_VALUE"""),"Handgun")</f>
        <v>Handgun</v>
      </c>
    </row>
    <row r="198" spans="1:2" ht="12.75">
      <c r="A198" s="8" t="str">
        <f ca="1">IFERROR(__xludf.DUMMYFUNCTION("""COMPUTED_VALUE"""),"20220322TXWOD")</f>
        <v>20220322TXWOD</v>
      </c>
      <c r="B198" s="8" t="str">
        <f ca="1">IFERROR(__xludf.DUMMYFUNCTION("""COMPUTED_VALUE"""),"Handgun")</f>
        <v>Handgun</v>
      </c>
    </row>
    <row r="199" spans="1:2" ht="12.75">
      <c r="A199" s="8" t="str">
        <f ca="1">IFERROR(__xludf.DUMMYFUNCTION("""COMPUTED_VALUE"""),"20220322FLNEN")</f>
        <v>20220322FLNEN</v>
      </c>
      <c r="B199" s="8" t="str">
        <f ca="1">IFERROR(__xludf.DUMMYFUNCTION("""COMPUTED_VALUE"""),"Other")</f>
        <v>Other</v>
      </c>
    </row>
    <row r="200" spans="1:2" ht="12.75">
      <c r="A200" s="8" t="str">
        <f ca="1">IFERROR(__xludf.DUMMYFUNCTION("""COMPUTED_VALUE"""),"20220321MSLEP")</f>
        <v>20220321MSLEP</v>
      </c>
      <c r="B200" s="8"/>
    </row>
    <row r="201" spans="1:2" ht="12.75">
      <c r="A201" s="8" t="str">
        <f ca="1">IFERROR(__xludf.DUMMYFUNCTION("""COMPUTED_VALUE"""),"20220321MIMAK")</f>
        <v>20220321MIMAK</v>
      </c>
      <c r="B201" s="8" t="str">
        <f ca="1">IFERROR(__xludf.DUMMYFUNCTION("""COMPUTED_VALUE"""),"Handgun")</f>
        <v>Handgun</v>
      </c>
    </row>
    <row r="202" spans="1:2" ht="12.75">
      <c r="A202" s="8" t="str">
        <f ca="1">IFERROR(__xludf.DUMMYFUNCTION("""COMPUTED_VALUE"""),"20220321AZDES")</f>
        <v>20220321AZDES</v>
      </c>
      <c r="B202" s="8" t="str">
        <f ca="1">IFERROR(__xludf.DUMMYFUNCTION("""COMPUTED_VALUE"""),"Handgun")</f>
        <v>Handgun</v>
      </c>
    </row>
    <row r="203" spans="1:2" ht="12.75">
      <c r="A203" s="8" t="str">
        <f ca="1">IFERROR(__xludf.DUMMYFUNCTION("""COMPUTED_VALUE"""),"20220319ALCEL")</f>
        <v>20220319ALCEL</v>
      </c>
      <c r="B203" s="8" t="str">
        <f ca="1">IFERROR(__xludf.DUMMYFUNCTION("""COMPUTED_VALUE"""),"Handgun")</f>
        <v>Handgun</v>
      </c>
    </row>
    <row r="204" spans="1:2" ht="12.75">
      <c r="A204" s="8" t="str">
        <f ca="1">IFERROR(__xludf.DUMMYFUNCTION("""COMPUTED_VALUE"""),"20220318RICEP")</f>
        <v>20220318RICEP</v>
      </c>
      <c r="B204" s="8" t="str">
        <f ca="1">IFERROR(__xludf.DUMMYFUNCTION("""COMPUTED_VALUE"""),"Other")</f>
        <v>Other</v>
      </c>
    </row>
    <row r="205" spans="1:2" ht="12.75">
      <c r="A205" s="8" t="str">
        <f ca="1">IFERROR(__xludf.DUMMYFUNCTION("""COMPUTED_VALUE"""),"20220318ILBAB")</f>
        <v>20220318ILBAB</v>
      </c>
      <c r="B205" s="8" t="str">
        <f ca="1">IFERROR(__xludf.DUMMYFUNCTION("""COMPUTED_VALUE"""),"Other")</f>
        <v>Other</v>
      </c>
    </row>
    <row r="206" spans="1:2" ht="12.75">
      <c r="A206" s="8" t="str">
        <f ca="1">IFERROR(__xludf.DUMMYFUNCTION("""COMPUTED_VALUE"""),"20220317AKREW")</f>
        <v>20220317AKREW</v>
      </c>
      <c r="B206" s="8" t="str">
        <f ca="1">IFERROR(__xludf.DUMMYFUNCTION("""COMPUTED_VALUE"""),"Handgun")</f>
        <v>Handgun</v>
      </c>
    </row>
    <row r="207" spans="1:2" ht="12.75">
      <c r="A207" s="8" t="str">
        <f ca="1">IFERROR(__xludf.DUMMYFUNCTION("""COMPUTED_VALUE"""),"20220316CALOR")</f>
        <v>20220316CALOR</v>
      </c>
      <c r="B207" s="8" t="str">
        <f ca="1">IFERROR(__xludf.DUMMYFUNCTION("""COMPUTED_VALUE"""),"Handgun")</f>
        <v>Handgun</v>
      </c>
    </row>
    <row r="208" spans="1:2" ht="12.75">
      <c r="A208" s="8" t="str">
        <f ca="1">IFERROR(__xludf.DUMMYFUNCTION("""COMPUTED_VALUE"""),"20220315WAEIY")</f>
        <v>20220315WAEIY</v>
      </c>
      <c r="B208" s="8" t="str">
        <f ca="1">IFERROR(__xludf.DUMMYFUNCTION("""COMPUTED_VALUE"""),"Multiple Handguns")</f>
        <v>Multiple Handguns</v>
      </c>
    </row>
    <row r="209" spans="1:2" ht="12.75">
      <c r="A209" s="8" t="str">
        <f ca="1">IFERROR(__xludf.DUMMYFUNCTION("""COMPUTED_VALUE"""),"20220315MDPAB")</f>
        <v>20220315MDPAB</v>
      </c>
      <c r="B209" s="8" t="str">
        <f ca="1">IFERROR(__xludf.DUMMYFUNCTION("""COMPUTED_VALUE"""),"Handgun")</f>
        <v>Handgun</v>
      </c>
    </row>
    <row r="210" spans="1:2" ht="12.75">
      <c r="A210" s="8" t="str">
        <f ca="1">IFERROR(__xludf.DUMMYFUNCTION("""COMPUTED_VALUE"""),"20220315MATEB")</f>
        <v>20220315MATEB</v>
      </c>
      <c r="B210" s="8" t="str">
        <f ca="1">IFERROR(__xludf.DUMMYFUNCTION("""COMPUTED_VALUE"""),"Multiple Handguns")</f>
        <v>Multiple Handguns</v>
      </c>
    </row>
    <row r="211" spans="1:2" ht="12.75">
      <c r="A211" s="8" t="str">
        <f ca="1">IFERROR(__xludf.DUMMYFUNCTION("""COMPUTED_VALUE"""),"20220315GAFOF")</f>
        <v>20220315GAFOF</v>
      </c>
      <c r="B211" s="8" t="str">
        <f ca="1">IFERROR(__xludf.DUMMYFUNCTION("""COMPUTED_VALUE"""),"Handgun")</f>
        <v>Handgun</v>
      </c>
    </row>
    <row r="212" spans="1:2" ht="12.75">
      <c r="A212" s="8" t="str">
        <f ca="1">IFERROR(__xludf.DUMMYFUNCTION("""COMPUTED_VALUE"""),"20220314CAKRP")</f>
        <v>20220314CAKRP</v>
      </c>
      <c r="B212" s="8" t="str">
        <f ca="1">IFERROR(__xludf.DUMMYFUNCTION("""COMPUTED_VALUE"""),"Handgun")</f>
        <v>Handgun</v>
      </c>
    </row>
    <row r="213" spans="1:2" ht="12.75">
      <c r="A213" s="8" t="str">
        <f ca="1">IFERROR(__xludf.DUMMYFUNCTION("""COMPUTED_VALUE"""),"20220313PANEP")</f>
        <v>20220313PANEP</v>
      </c>
      <c r="B213" s="8"/>
    </row>
    <row r="214" spans="1:2" ht="12.75">
      <c r="A214" s="8" t="str">
        <f ca="1">IFERROR(__xludf.DUMMYFUNCTION("""COMPUTED_VALUE"""),"20220313PANEP")</f>
        <v>20220313PANEP</v>
      </c>
      <c r="B214" s="8"/>
    </row>
    <row r="215" spans="1:2" ht="12.75">
      <c r="A215" s="8" t="str">
        <f ca="1">IFERROR(__xludf.DUMMYFUNCTION("""COMPUTED_VALUE"""),"20220311WIJER")</f>
        <v>20220311WIJER</v>
      </c>
      <c r="B215" s="8" t="str">
        <f ca="1">IFERROR(__xludf.DUMMYFUNCTION("""COMPUTED_VALUE"""),"Handgun")</f>
        <v>Handgun</v>
      </c>
    </row>
    <row r="216" spans="1:2" ht="12.75">
      <c r="A216" s="8" t="str">
        <f ca="1">IFERROR(__xludf.DUMMYFUNCTION("""COMPUTED_VALUE"""),"20220311OHMAM")</f>
        <v>20220311OHMAM</v>
      </c>
      <c r="B216" s="8"/>
    </row>
    <row r="217" spans="1:2" ht="12.75">
      <c r="A217" s="8" t="str">
        <f ca="1">IFERROR(__xludf.DUMMYFUNCTION("""COMPUTED_VALUE"""),"20220311OHFAP")</f>
        <v>20220311OHFAP</v>
      </c>
      <c r="B217" s="8" t="str">
        <f ca="1">IFERROR(__xludf.DUMMYFUNCTION("""COMPUTED_VALUE"""),"Handgun")</f>
        <v>Handgun</v>
      </c>
    </row>
    <row r="218" spans="1:2" ht="12.75">
      <c r="A218" s="8" t="str">
        <f ca="1">IFERROR(__xludf.DUMMYFUNCTION("""COMPUTED_VALUE"""),"20220311CADER")</f>
        <v>20220311CADER</v>
      </c>
      <c r="B218" s="8" t="str">
        <f ca="1">IFERROR(__xludf.DUMMYFUNCTION("""COMPUTED_VALUE"""),"Handgun")</f>
        <v>Handgun</v>
      </c>
    </row>
    <row r="219" spans="1:2" ht="12.75">
      <c r="A219" s="8" t="str">
        <f ca="1">IFERROR(__xludf.DUMMYFUNCTION("""COMPUTED_VALUE"""),"20220310TNHAM")</f>
        <v>20220310TNHAM</v>
      </c>
      <c r="B219" s="8" t="str">
        <f ca="1">IFERROR(__xludf.DUMMYFUNCTION("""COMPUTED_VALUE"""),"Handgun")</f>
        <v>Handgun</v>
      </c>
    </row>
    <row r="220" spans="1:2" ht="12.75">
      <c r="A220" s="8" t="str">
        <f ca="1">IFERROR(__xludf.DUMMYFUNCTION("""COMPUTED_VALUE"""),"20220310MDCOL")</f>
        <v>20220310MDCOL</v>
      </c>
      <c r="B220" s="8" t="str">
        <f ca="1">IFERROR(__xludf.DUMMYFUNCTION("""COMPUTED_VALUE"""),"Handgun")</f>
        <v>Handgun</v>
      </c>
    </row>
    <row r="221" spans="1:2" ht="12.75">
      <c r="A221" s="8" t="str">
        <f ca="1">IFERROR(__xludf.DUMMYFUNCTION("""COMPUTED_VALUE"""),"20220310COROH")</f>
        <v>20220310COROH</v>
      </c>
      <c r="B221" s="8" t="str">
        <f ca="1">IFERROR(__xludf.DUMMYFUNCTION("""COMPUTED_VALUE"""),"Other")</f>
        <v>Other</v>
      </c>
    </row>
    <row r="222" spans="1:2" ht="12.75">
      <c r="A222" s="8" t="str">
        <f ca="1">IFERROR(__xludf.DUMMYFUNCTION("""COMPUTED_VALUE"""),"20220309TXNOH")</f>
        <v>20220309TXNOH</v>
      </c>
      <c r="B222" s="8" t="str">
        <f ca="1">IFERROR(__xludf.DUMMYFUNCTION("""COMPUTED_VALUE"""),"Handgun")</f>
        <v>Handgun</v>
      </c>
    </row>
    <row r="223" spans="1:2" ht="12.75">
      <c r="A223" s="8" t="str">
        <f ca="1">IFERROR(__xludf.DUMMYFUNCTION("""COMPUTED_VALUE"""),"20220309NMESE")</f>
        <v>20220309NMESE</v>
      </c>
      <c r="B223" s="8" t="str">
        <f ca="1">IFERROR(__xludf.DUMMYFUNCTION("""COMPUTED_VALUE"""),"Other")</f>
        <v>Other</v>
      </c>
    </row>
    <row r="224" spans="1:2" ht="12.75">
      <c r="A224" s="8" t="str">
        <f ca="1">IFERROR(__xludf.DUMMYFUNCTION("""COMPUTED_VALUE"""),"20220309FLNOM")</f>
        <v>20220309FLNOM</v>
      </c>
      <c r="B224" s="8" t="str">
        <f ca="1">IFERROR(__xludf.DUMMYFUNCTION("""COMPUTED_VALUE"""),"Handgun")</f>
        <v>Handgun</v>
      </c>
    </row>
    <row r="225" spans="1:2" ht="12.75">
      <c r="A225" s="8" t="str">
        <f ca="1">IFERROR(__xludf.DUMMYFUNCTION("""COMPUTED_VALUE"""),"20220309FLNOM")</f>
        <v>20220309FLNOM</v>
      </c>
      <c r="B225" s="8" t="str">
        <f ca="1">IFERROR(__xludf.DUMMYFUNCTION("""COMPUTED_VALUE"""),"Rifle")</f>
        <v>Rifle</v>
      </c>
    </row>
    <row r="226" spans="1:2" ht="12.75">
      <c r="A226" s="8" t="str">
        <f ca="1">IFERROR(__xludf.DUMMYFUNCTION("""COMPUTED_VALUE"""),"20220307IAEAD")</f>
        <v>20220307IAEAD</v>
      </c>
      <c r="B226" s="8" t="str">
        <f ca="1">IFERROR(__xludf.DUMMYFUNCTION("""COMPUTED_VALUE"""),"Multiple Handguns")</f>
        <v>Multiple Handguns</v>
      </c>
    </row>
    <row r="227" spans="1:2" ht="12.75">
      <c r="A227" s="8" t="str">
        <f ca="1">IFERROR(__xludf.DUMMYFUNCTION("""COMPUTED_VALUE"""),"20220304KSOLO")</f>
        <v>20220304KSOLO</v>
      </c>
      <c r="B227" s="8" t="str">
        <f ca="1">IFERROR(__xludf.DUMMYFUNCTION("""COMPUTED_VALUE"""),"Handgun")</f>
        <v>Handgun</v>
      </c>
    </row>
    <row r="228" spans="1:2" ht="12.75">
      <c r="A228" s="8" t="str">
        <f ca="1">IFERROR(__xludf.DUMMYFUNCTION("""COMPUTED_VALUE"""),"20220303MIJWL")</f>
        <v>20220303MIJWL</v>
      </c>
      <c r="B228" s="8" t="str">
        <f ca="1">IFERROR(__xludf.DUMMYFUNCTION("""COMPUTED_VALUE"""),"Handgun")</f>
        <v>Handgun</v>
      </c>
    </row>
    <row r="229" spans="1:2" ht="12.75">
      <c r="A229" s="8" t="str">
        <f ca="1">IFERROR(__xludf.DUMMYFUNCTION("""COMPUTED_VALUE"""),"20220228NYBOB")</f>
        <v>20220228NYBOB</v>
      </c>
      <c r="B229" s="8" t="str">
        <f ca="1">IFERROR(__xludf.DUMMYFUNCTION("""COMPUTED_VALUE"""),"Handgun")</f>
        <v>Handgun</v>
      </c>
    </row>
    <row r="230" spans="1:2" ht="12.75">
      <c r="A230" s="8" t="str">
        <f ca="1">IFERROR(__xludf.DUMMYFUNCTION("""COMPUTED_VALUE"""),"20220227DCDUW")</f>
        <v>20220227DCDUW</v>
      </c>
      <c r="B230" s="8" t="str">
        <f ca="1">IFERROR(__xludf.DUMMYFUNCTION("""COMPUTED_VALUE"""),"Handgun")</f>
        <v>Handgun</v>
      </c>
    </row>
    <row r="231" spans="1:2" ht="12.75">
      <c r="A231" s="8" t="str">
        <f ca="1">IFERROR(__xludf.DUMMYFUNCTION("""COMPUTED_VALUE"""),"20220225NMWEA")</f>
        <v>20220225NMWEA</v>
      </c>
      <c r="B231" s="8" t="str">
        <f ca="1">IFERROR(__xludf.DUMMYFUNCTION("""COMPUTED_VALUE"""),"Handgun")</f>
        <v>Handgun</v>
      </c>
    </row>
    <row r="232" spans="1:2" ht="12.75">
      <c r="A232" s="8" t="str">
        <f ca="1">IFERROR(__xludf.DUMMYFUNCTION("""COMPUTED_VALUE"""),"20220225ALSOH")</f>
        <v>20220225ALSOH</v>
      </c>
      <c r="B232" s="8" t="str">
        <f ca="1">IFERROR(__xludf.DUMMYFUNCTION("""COMPUTED_VALUE"""),"Handgun")</f>
        <v>Handgun</v>
      </c>
    </row>
    <row r="233" spans="1:2" ht="12.75">
      <c r="A233" s="8" t="str">
        <f ca="1">IFERROR(__xludf.DUMMYFUNCTION("""COMPUTED_VALUE"""),"20220223VAWOW")</f>
        <v>20220223VAWOW</v>
      </c>
      <c r="B233" s="8" t="str">
        <f ca="1">IFERROR(__xludf.DUMMYFUNCTION("""COMPUTED_VALUE"""),"Handgun")</f>
        <v>Handgun</v>
      </c>
    </row>
    <row r="234" spans="1:2" ht="12.75">
      <c r="A234" s="8" t="str">
        <f ca="1">IFERROR(__xludf.DUMMYFUNCTION("""COMPUTED_VALUE"""),"20220222TXALH")</f>
        <v>20220222TXALH</v>
      </c>
      <c r="B234" s="8" t="str">
        <f ca="1">IFERROR(__xludf.DUMMYFUNCTION("""COMPUTED_VALUE"""),"Handgun")</f>
        <v>Handgun</v>
      </c>
    </row>
    <row r="235" spans="1:2" ht="12.75">
      <c r="A235" s="8" t="str">
        <f ca="1">IFERROR(__xludf.DUMMYFUNCTION("""COMPUTED_VALUE"""),"20220222COLIP")</f>
        <v>20220222COLIP</v>
      </c>
      <c r="B235" s="8" t="str">
        <f ca="1">IFERROR(__xludf.DUMMYFUNCTION("""COMPUTED_VALUE"""),"Handgun")</f>
        <v>Handgun</v>
      </c>
    </row>
    <row r="236" spans="1:2" ht="12.75">
      <c r="A236" s="8" t="str">
        <f ca="1">IFERROR(__xludf.DUMMYFUNCTION("""COMPUTED_VALUE"""),"20220221MDJOH")</f>
        <v>20220221MDJOH</v>
      </c>
      <c r="B236" s="8" t="str">
        <f ca="1">IFERROR(__xludf.DUMMYFUNCTION("""COMPUTED_VALUE"""),"Handgun")</f>
        <v>Handgun</v>
      </c>
    </row>
    <row r="237" spans="1:2" ht="12.75">
      <c r="A237" s="8" t="str">
        <f ca="1">IFERROR(__xludf.DUMMYFUNCTION("""COMPUTED_VALUE"""),"20220220OKWIW")</f>
        <v>20220220OKWIW</v>
      </c>
      <c r="B237" s="8" t="str">
        <f ca="1">IFERROR(__xludf.DUMMYFUNCTION("""COMPUTED_VALUE"""),"Handgun")</f>
        <v>Handgun</v>
      </c>
    </row>
    <row r="238" spans="1:2" ht="12.75">
      <c r="A238" s="8" t="str">
        <f ca="1">IFERROR(__xludf.DUMMYFUNCTION("""COMPUTED_VALUE"""),"20220220MSMCM")</f>
        <v>20220220MSMCM</v>
      </c>
      <c r="B238" s="8"/>
    </row>
    <row r="239" spans="1:2" ht="12.75">
      <c r="A239" s="8" t="str">
        <f ca="1">IFERROR(__xludf.DUMMYFUNCTION("""COMPUTED_VALUE"""),"20220219VACAC")</f>
        <v>20220219VACAC</v>
      </c>
      <c r="B239" s="8"/>
    </row>
    <row r="240" spans="1:2" ht="12.75">
      <c r="A240" s="8" t="str">
        <f ca="1">IFERROR(__xludf.DUMMYFUNCTION("""COMPUTED_VALUE"""),"20220218MATET")</f>
        <v>20220218MATET</v>
      </c>
      <c r="B240" s="8" t="str">
        <f ca="1">IFERROR(__xludf.DUMMYFUNCTION("""COMPUTED_VALUE"""),"Other")</f>
        <v>Other</v>
      </c>
    </row>
    <row r="241" spans="1:2" ht="12.75">
      <c r="A241" s="8" t="str">
        <f ca="1">IFERROR(__xludf.DUMMYFUNCTION("""COMPUTED_VALUE"""),"20220217WAMCG")</f>
        <v>20220217WAMCG</v>
      </c>
      <c r="B241" s="8" t="str">
        <f ca="1">IFERROR(__xludf.DUMMYFUNCTION("""COMPUTED_VALUE"""),"Handgun")</f>
        <v>Handgun</v>
      </c>
    </row>
    <row r="242" spans="1:2" ht="12.75">
      <c r="A242" s="8" t="str">
        <f ca="1">IFERROR(__xludf.DUMMYFUNCTION("""COMPUTED_VALUE"""),"20220214FLLAL")</f>
        <v>20220214FLLAL</v>
      </c>
      <c r="B242" s="8" t="str">
        <f ca="1">IFERROR(__xludf.DUMMYFUNCTION("""COMPUTED_VALUE"""),"Handgun")</f>
        <v>Handgun</v>
      </c>
    </row>
    <row r="243" spans="1:2" ht="12.75">
      <c r="A243" s="8" t="str">
        <f ca="1">IFERROR(__xludf.DUMMYFUNCTION("""COMPUTED_VALUE"""),"20220211DCEAW")</f>
        <v>20220211DCEAW</v>
      </c>
      <c r="B243" s="8" t="str">
        <f ca="1">IFERROR(__xludf.DUMMYFUNCTION("""COMPUTED_VALUE"""),"Handgun")</f>
        <v>Handgun</v>
      </c>
    </row>
    <row r="244" spans="1:2" ht="12.75">
      <c r="A244" s="8" t="str">
        <f ca="1">IFERROR(__xludf.DUMMYFUNCTION("""COMPUTED_VALUE"""),"20220209NYMCB")</f>
        <v>20220209NYMCB</v>
      </c>
      <c r="B244" s="8" t="str">
        <f ca="1">IFERROR(__xludf.DUMMYFUNCTION("""COMPUTED_VALUE"""),"Handgun")</f>
        <v>Handgun</v>
      </c>
    </row>
    <row r="245" spans="1:2" ht="12.75">
      <c r="A245" s="8" t="str">
        <f ca="1">IFERROR(__xludf.DUMMYFUNCTION("""COMPUTED_VALUE"""),"20220209MNMIM")</f>
        <v>20220209MNMIM</v>
      </c>
      <c r="B245" s="8"/>
    </row>
    <row r="246" spans="1:2" ht="12.75">
      <c r="A246" s="8" t="str">
        <f ca="1">IFERROR(__xludf.DUMMYFUNCTION("""COMPUTED_VALUE"""),"20220208NYMOM")</f>
        <v>20220208NYMOM</v>
      </c>
      <c r="B246" s="8" t="str">
        <f ca="1">IFERROR(__xludf.DUMMYFUNCTION("""COMPUTED_VALUE"""),"Handgun")</f>
        <v>Handgun</v>
      </c>
    </row>
    <row r="247" spans="1:2" ht="12.75">
      <c r="A247" s="8" t="str">
        <f ca="1">IFERROR(__xludf.DUMMYFUNCTION("""COMPUTED_VALUE"""),"20220208MDCAC")</f>
        <v>20220208MDCAC</v>
      </c>
      <c r="B247" s="8" t="str">
        <f ca="1">IFERROR(__xludf.DUMMYFUNCTION("""COMPUTED_VALUE"""),"Handgun")</f>
        <v>Handgun</v>
      </c>
    </row>
    <row r="248" spans="1:2" ht="12.75">
      <c r="A248" s="8" t="str">
        <f ca="1">IFERROR(__xludf.DUMMYFUNCTION("""COMPUTED_VALUE"""),"20220204GASOD")</f>
        <v>20220204GASOD</v>
      </c>
      <c r="B248" s="8" t="str">
        <f ca="1">IFERROR(__xludf.DUMMYFUNCTION("""COMPUTED_VALUE"""),"Handgun")</f>
        <v>Handgun</v>
      </c>
    </row>
    <row r="249" spans="1:2" ht="12.75">
      <c r="A249" s="8" t="str">
        <f ca="1">IFERROR(__xludf.DUMMYFUNCTION("""COMPUTED_VALUE"""),"20220204ALWEB")</f>
        <v>20220204ALWEB</v>
      </c>
      <c r="B249" s="8" t="str">
        <f ca="1">IFERROR(__xludf.DUMMYFUNCTION("""COMPUTED_VALUE"""),"Handgun")</f>
        <v>Handgun</v>
      </c>
    </row>
    <row r="250" spans="1:2" ht="12.75">
      <c r="A250" s="8" t="str">
        <f ca="1">IFERROR(__xludf.DUMMYFUNCTION("""COMPUTED_VALUE"""),"20220203NCSPS")</f>
        <v>20220203NCSPS</v>
      </c>
      <c r="B250" s="8"/>
    </row>
    <row r="251" spans="1:2" ht="12.75">
      <c r="A251" s="8" t="str">
        <f ca="1">IFERROR(__xludf.DUMMYFUNCTION("""COMPUTED_VALUE"""),"20220202KYLOR")</f>
        <v>20220202KYLOR</v>
      </c>
      <c r="B251" s="8"/>
    </row>
    <row r="252" spans="1:2" ht="12.75">
      <c r="A252" s="8" t="str">
        <f ca="1">IFERROR(__xludf.DUMMYFUNCTION("""COMPUTED_VALUE"""),"20220201WIRUM")</f>
        <v>20220201WIRUM</v>
      </c>
      <c r="B252" s="8" t="str">
        <f ca="1">IFERROR(__xludf.DUMMYFUNCTION("""COMPUTED_VALUE"""),"Handgun")</f>
        <v>Handgun</v>
      </c>
    </row>
    <row r="253" spans="1:2" ht="12.75">
      <c r="A253" s="8" t="str">
        <f ca="1">IFERROR(__xludf.DUMMYFUNCTION("""COMPUTED_VALUE"""),"20220201WIRUM")</f>
        <v>20220201WIRUM</v>
      </c>
      <c r="B253" s="8" t="str">
        <f ca="1">IFERROR(__xludf.DUMMYFUNCTION("""COMPUTED_VALUE"""),"Handgun")</f>
        <v>Handgun</v>
      </c>
    </row>
    <row r="254" spans="1:2" ht="12.75">
      <c r="A254" s="8" t="str">
        <f ca="1">IFERROR(__xludf.DUMMYFUNCTION("""COMPUTED_VALUE"""),"20220201MNSOR")</f>
        <v>20220201MNSOR</v>
      </c>
      <c r="B254" s="8"/>
    </row>
    <row r="255" spans="1:2" ht="12.75">
      <c r="A255" s="8" t="str">
        <f ca="1">IFERROR(__xludf.DUMMYFUNCTION("""COMPUTED_VALUE"""),"20220201ILALC")</f>
        <v>20220201ILALC</v>
      </c>
      <c r="B255" s="8" t="str">
        <f ca="1">IFERROR(__xludf.DUMMYFUNCTION("""COMPUTED_VALUE"""),"Handgun")</f>
        <v>Handgun</v>
      </c>
    </row>
    <row r="256" spans="1:2" ht="12.75">
      <c r="A256" s="8" t="str">
        <f ca="1">IFERROR(__xludf.DUMMYFUNCTION("""COMPUTED_VALUE"""),"20220129WIBEB")</f>
        <v>20220129WIBEB</v>
      </c>
      <c r="B256" s="8" t="str">
        <f ca="1">IFERROR(__xludf.DUMMYFUNCTION("""COMPUTED_VALUE"""),"Handgun")</f>
        <v>Handgun</v>
      </c>
    </row>
    <row r="257" spans="1:2" ht="12.75">
      <c r="A257" s="8" t="str">
        <f ca="1">IFERROR(__xludf.DUMMYFUNCTION("""COMPUTED_VALUE"""),"20220128LACAM")</f>
        <v>20220128LACAM</v>
      </c>
      <c r="B257" s="8" t="str">
        <f ca="1">IFERROR(__xludf.DUMMYFUNCTION("""COMPUTED_VALUE"""),"Handgun")</f>
        <v>Handgun</v>
      </c>
    </row>
    <row r="258" spans="1:2" ht="12.75">
      <c r="A258" s="8" t="str">
        <f ca="1">IFERROR(__xludf.DUMMYFUNCTION("""COMPUTED_VALUE"""),"20220127TXMOH")</f>
        <v>20220127TXMOH</v>
      </c>
      <c r="B258" s="8" t="str">
        <f ca="1">IFERROR(__xludf.DUMMYFUNCTION("""COMPUTED_VALUE"""),"Handgun")</f>
        <v>Handgun</v>
      </c>
    </row>
    <row r="259" spans="1:2" ht="12.75">
      <c r="A259" s="8" t="str">
        <f ca="1">IFERROR(__xludf.DUMMYFUNCTION("""COMPUTED_VALUE"""),"20220126PABAP")</f>
        <v>20220126PABAP</v>
      </c>
      <c r="B259" s="8" t="str">
        <f ca="1">IFERROR(__xludf.DUMMYFUNCTION("""COMPUTED_VALUE"""),"Handgun")</f>
        <v>Handgun</v>
      </c>
    </row>
    <row r="260" spans="1:2" ht="12.75">
      <c r="A260" s="8" t="str">
        <f ca="1">IFERROR(__xludf.DUMMYFUNCTION("""COMPUTED_VALUE"""),"20220124NVSUL")</f>
        <v>20220124NVSUL</v>
      </c>
      <c r="B260" s="8"/>
    </row>
    <row r="261" spans="1:2" ht="12.75">
      <c r="A261" s="8" t="str">
        <f ca="1">IFERROR(__xludf.DUMMYFUNCTION("""COMPUTED_VALUE"""),"20220121MDMAR")</f>
        <v>20220121MDMAR</v>
      </c>
      <c r="B261" s="8" t="str">
        <f ca="1">IFERROR(__xludf.DUMMYFUNCTION("""COMPUTED_VALUE"""),"Handgun")</f>
        <v>Handgun</v>
      </c>
    </row>
    <row r="262" spans="1:2" ht="12.75">
      <c r="A262" s="8" t="str">
        <f ca="1">IFERROR(__xludf.DUMMYFUNCTION("""COMPUTED_VALUE"""),"20220121GAMCA")</f>
        <v>20220121GAMCA</v>
      </c>
      <c r="B262" s="8"/>
    </row>
    <row r="263" spans="1:2" ht="12.75">
      <c r="A263" s="8" t="str">
        <f ca="1">IFERROR(__xludf.DUMMYFUNCTION("""COMPUTED_VALUE"""),"20220119VAMAP")</f>
        <v>20220119VAMAP</v>
      </c>
      <c r="B263" s="8" t="str">
        <f ca="1">IFERROR(__xludf.DUMMYFUNCTION("""COMPUTED_VALUE"""),"Handgun")</f>
        <v>Handgun</v>
      </c>
    </row>
    <row r="264" spans="1:2" ht="12.75">
      <c r="A264" s="8" t="str">
        <f ca="1">IFERROR(__xludf.DUMMYFUNCTION("""COMPUTED_VALUE"""),"20220119VAMAP")</f>
        <v>20220119VAMAP</v>
      </c>
      <c r="B264" s="8" t="str">
        <f ca="1">IFERROR(__xludf.DUMMYFUNCTION("""COMPUTED_VALUE"""),"Handgun")</f>
        <v>Handgun</v>
      </c>
    </row>
    <row r="265" spans="1:2" ht="12.75">
      <c r="A265" s="8" t="str">
        <f ca="1">IFERROR(__xludf.DUMMYFUNCTION("""COMPUTED_VALUE"""),"20220119FLSES")</f>
        <v>20220119FLSES</v>
      </c>
      <c r="B265" s="8" t="str">
        <f ca="1">IFERROR(__xludf.DUMMYFUNCTION("""COMPUTED_VALUE"""),"Handgun")</f>
        <v>Handgun</v>
      </c>
    </row>
    <row r="266" spans="1:2" ht="12.75">
      <c r="A266" s="8" t="str">
        <f ca="1">IFERROR(__xludf.DUMMYFUNCTION("""COMPUTED_VALUE"""),"20220119DCANW")</f>
        <v>20220119DCANW</v>
      </c>
      <c r="B266" s="8" t="str">
        <f ca="1">IFERROR(__xludf.DUMMYFUNCTION("""COMPUTED_VALUE"""),"Handgun")</f>
        <v>Handgun</v>
      </c>
    </row>
    <row r="267" spans="1:2" ht="12.75">
      <c r="A267" s="8" t="str">
        <f ca="1">IFERROR(__xludf.DUMMYFUNCTION("""COMPUTED_VALUE"""),"20220117TXPYH")</f>
        <v>20220117TXPYH</v>
      </c>
      <c r="B267" s="8" t="str">
        <f ca="1">IFERROR(__xludf.DUMMYFUNCTION("""COMPUTED_VALUE"""),"Multiple Handguns")</f>
        <v>Multiple Handguns</v>
      </c>
    </row>
    <row r="268" spans="1:2" ht="12.75">
      <c r="A268" s="8" t="str">
        <f ca="1">IFERROR(__xludf.DUMMYFUNCTION("""COMPUTED_VALUE"""),"20220114MDGAG")</f>
        <v>20220114MDGAG</v>
      </c>
      <c r="B268" s="8" t="str">
        <f ca="1">IFERROR(__xludf.DUMMYFUNCTION("""COMPUTED_VALUE"""),"Rifle")</f>
        <v>Rifle</v>
      </c>
    </row>
    <row r="269" spans="1:2" ht="12.75">
      <c r="A269" s="8" t="str">
        <f ca="1">IFERROR(__xludf.DUMMYFUNCTION("""COMPUTED_VALUE"""),"20220111NMVAA")</f>
        <v>20220111NMVAA</v>
      </c>
      <c r="B269" s="8"/>
    </row>
    <row r="270" spans="1:2" ht="12.75">
      <c r="A270" s="8" t="str">
        <f ca="1">IFERROR(__xludf.DUMMYFUNCTION("""COMPUTED_VALUE"""),"20220106CAFLS")</f>
        <v>20220106CAFLS</v>
      </c>
      <c r="B270" s="8" t="str">
        <f ca="1">IFERROR(__xludf.DUMMYFUNCTION("""COMPUTED_VALUE"""),"Handgun")</f>
        <v>Handgun</v>
      </c>
    </row>
    <row r="271" spans="1:2" ht="12.75">
      <c r="A271" s="8" t="str">
        <f ca="1">IFERROR(__xludf.DUMMYFUNCTION("""COMPUTED_VALUE"""),"20220104ILAUR")</f>
        <v>20220104ILAUR</v>
      </c>
      <c r="B271" s="8" t="str">
        <f ca="1">IFERROR(__xludf.DUMMYFUNCTION("""COMPUTED_VALUE"""),"Multiple Handguns")</f>
        <v>Multiple Handguns</v>
      </c>
    </row>
    <row r="272" spans="1:2" ht="12.75">
      <c r="A272" s="8" t="str">
        <f ca="1">IFERROR(__xludf.DUMMYFUNCTION("""COMPUTED_VALUE"""),"20220103WACHP")</f>
        <v>20220103WACHP</v>
      </c>
      <c r="B272" s="8" t="str">
        <f ca="1">IFERROR(__xludf.DUMMYFUNCTION("""COMPUTED_VALUE"""),"Handgun")</f>
        <v>Handgun</v>
      </c>
    </row>
    <row r="273" spans="1:2" ht="12.75">
      <c r="A273" s="8" t="str">
        <f ca="1">IFERROR(__xludf.DUMMYFUNCTION("""COMPUTED_VALUE"""),"20220103OHCOC")</f>
        <v>20220103OHCOC</v>
      </c>
      <c r="B273" s="8"/>
    </row>
    <row r="274" spans="1:2" ht="12.75">
      <c r="A274" s="8" t="str">
        <f ca="1">IFERROR(__xludf.DUMMYFUNCTION("""COMPUTED_VALUE"""),"20211229NCCAS")</f>
        <v>20211229NCCAS</v>
      </c>
      <c r="B274" s="8" t="str">
        <f ca="1">IFERROR(__xludf.DUMMYFUNCTION("""COMPUTED_VALUE"""),"Handgun")</f>
        <v>Handgun</v>
      </c>
    </row>
    <row r="275" spans="1:2" ht="12.75">
      <c r="A275" s="8" t="str">
        <f ca="1">IFERROR(__xludf.DUMMYFUNCTION("""COMPUTED_VALUE"""),"20211217TXWOD")</f>
        <v>20211217TXWOD</v>
      </c>
      <c r="B275" s="8" t="str">
        <f ca="1">IFERROR(__xludf.DUMMYFUNCTION("""COMPUTED_VALUE"""),"Other")</f>
        <v>Other</v>
      </c>
    </row>
    <row r="276" spans="1:2" ht="12.75">
      <c r="A276" s="8" t="str">
        <f ca="1">IFERROR(__xludf.DUMMYFUNCTION("""COMPUTED_VALUE"""),"20211216SCEAC")</f>
        <v>20211216SCEAC</v>
      </c>
      <c r="B276" s="8" t="str">
        <f ca="1">IFERROR(__xludf.DUMMYFUNCTION("""COMPUTED_VALUE"""),"Handgun")</f>
        <v>Handgun</v>
      </c>
    </row>
    <row r="277" spans="1:2" ht="12.75">
      <c r="A277" s="8" t="str">
        <f ca="1">IFERROR(__xludf.DUMMYFUNCTION("""COMPUTED_VALUE"""),"20211216NYPSB")</f>
        <v>20211216NYPSB</v>
      </c>
      <c r="B277" s="8" t="str">
        <f ca="1">IFERROR(__xludf.DUMMYFUNCTION("""COMPUTED_VALUE"""),"Handgun")</f>
        <v>Handgun</v>
      </c>
    </row>
    <row r="278" spans="1:2" ht="12.75">
      <c r="A278" s="8" t="str">
        <f ca="1">IFERROR(__xludf.DUMMYFUNCTION("""COMPUTED_VALUE"""),"20211214WISOM")</f>
        <v>20211214WISOM</v>
      </c>
      <c r="B278" s="8" t="str">
        <f ca="1">IFERROR(__xludf.DUMMYFUNCTION("""COMPUTED_VALUE"""),"Handgun")</f>
        <v>Handgun</v>
      </c>
    </row>
    <row r="279" spans="1:2" ht="12.75">
      <c r="A279" s="8" t="str">
        <f ca="1">IFERROR(__xludf.DUMMYFUNCTION("""COMPUTED_VALUE"""),"20211214VAMEN")</f>
        <v>20211214VAMEN</v>
      </c>
      <c r="B279" s="8" t="str">
        <f ca="1">IFERROR(__xludf.DUMMYFUNCTION("""COMPUTED_VALUE"""),"Handgun")</f>
        <v>Handgun</v>
      </c>
    </row>
    <row r="280" spans="1:2" ht="12.75">
      <c r="A280" s="8" t="str">
        <f ca="1">IFERROR(__xludf.DUMMYFUNCTION("""COMPUTED_VALUE"""),"20211213NCWEC")</f>
        <v>20211213NCWEC</v>
      </c>
      <c r="B280" s="8" t="str">
        <f ca="1">IFERROR(__xludf.DUMMYFUNCTION("""COMPUTED_VALUE"""),"Handgun")</f>
        <v>Handgun</v>
      </c>
    </row>
    <row r="281" spans="1:2" ht="12.75">
      <c r="A281" s="8" t="str">
        <f ca="1">IFERROR(__xludf.DUMMYFUNCTION("""COMPUTED_VALUE"""),"20211213FLEAO")</f>
        <v>20211213FLEAO</v>
      </c>
      <c r="B281" s="8" t="str">
        <f ca="1">IFERROR(__xludf.DUMMYFUNCTION("""COMPUTED_VALUE"""),"Handgun")</f>
        <v>Handgun</v>
      </c>
    </row>
    <row r="282" spans="1:2" ht="12.75">
      <c r="A282" s="8" t="str">
        <f ca="1">IFERROR(__xludf.DUMMYFUNCTION("""COMPUTED_VALUE"""),"20211212NYSCR")</f>
        <v>20211212NYSCR</v>
      </c>
      <c r="B282" s="8" t="str">
        <f ca="1">IFERROR(__xludf.DUMMYFUNCTION("""COMPUTED_VALUE"""),"Handgun")</f>
        <v>Handgun</v>
      </c>
    </row>
    <row r="283" spans="1:2" ht="12.75">
      <c r="A283" s="8" t="str">
        <f ca="1">IFERROR(__xludf.DUMMYFUNCTION("""COMPUTED_VALUE"""),"20211211GAJOG")</f>
        <v>20211211GAJOG</v>
      </c>
      <c r="B283" s="8" t="str">
        <f ca="1">IFERROR(__xludf.DUMMYFUNCTION("""COMPUTED_VALUE"""),"Handgun")</f>
        <v>Handgun</v>
      </c>
    </row>
    <row r="284" spans="1:2" ht="12.75">
      <c r="A284" s="8" t="str">
        <f ca="1">IFERROR(__xludf.DUMMYFUNCTION("""COMPUTED_VALUE"""),"20211211FLEDL")</f>
        <v>20211211FLEDL</v>
      </c>
      <c r="B284" s="8" t="str">
        <f ca="1">IFERROR(__xludf.DUMMYFUNCTION("""COMPUTED_VALUE"""),"Handgun")</f>
        <v>Handgun</v>
      </c>
    </row>
    <row r="285" spans="1:2" ht="12.75">
      <c r="A285" s="8" t="str">
        <f ca="1">IFERROR(__xludf.DUMMYFUNCTION("""COMPUTED_VALUE"""),"20211210OHCAC")</f>
        <v>20211210OHCAC</v>
      </c>
      <c r="B285" s="8" t="str">
        <f ca="1">IFERROR(__xludf.DUMMYFUNCTION("""COMPUTED_VALUE"""),"Handgun")</f>
        <v>Handgun</v>
      </c>
    </row>
    <row r="286" spans="1:2" ht="12.75">
      <c r="A286" s="8" t="str">
        <f ca="1">IFERROR(__xludf.DUMMYFUNCTION("""COMPUTED_VALUE"""),"20211210NCJEC")</f>
        <v>20211210NCJEC</v>
      </c>
      <c r="B286" s="8"/>
    </row>
    <row r="287" spans="1:2" ht="12.75">
      <c r="A287" s="8" t="str">
        <f ca="1">IFERROR(__xludf.DUMMYFUNCTION("""COMPUTED_VALUE"""),"20211209NYGRN")</f>
        <v>20211209NYGRN</v>
      </c>
      <c r="B287" s="8" t="str">
        <f ca="1">IFERROR(__xludf.DUMMYFUNCTION("""COMPUTED_VALUE"""),"Handgun")</f>
        <v>Handgun</v>
      </c>
    </row>
    <row r="288" spans="1:2" ht="12.75">
      <c r="A288" s="8" t="str">
        <f ca="1">IFERROR(__xludf.DUMMYFUNCTION("""COMPUTED_VALUE"""),"20211208MOEWK")</f>
        <v>20211208MOEWK</v>
      </c>
      <c r="B288" s="8" t="str">
        <f ca="1">IFERROR(__xludf.DUMMYFUNCTION("""COMPUTED_VALUE"""),"Handgun")</f>
        <v>Handgun</v>
      </c>
    </row>
    <row r="289" spans="1:2" ht="12.75">
      <c r="A289" s="8" t="str">
        <f ca="1">IFERROR(__xludf.DUMMYFUNCTION("""COMPUTED_VALUE"""),"20211208KYSTL")</f>
        <v>20211208KYSTL</v>
      </c>
      <c r="B289" s="8"/>
    </row>
    <row r="290" spans="1:2" ht="12.75">
      <c r="A290" s="8" t="str">
        <f ca="1">IFERROR(__xludf.DUMMYFUNCTION("""COMPUTED_VALUE"""),"20211207ILHAC")</f>
        <v>20211207ILHAC</v>
      </c>
      <c r="B290" s="8" t="str">
        <f ca="1">IFERROR(__xludf.DUMMYFUNCTION("""COMPUTED_VALUE"""),"Handgun")</f>
        <v>Handgun</v>
      </c>
    </row>
    <row r="291" spans="1:2" ht="12.75">
      <c r="A291" s="8" t="str">
        <f ca="1">IFERROR(__xludf.DUMMYFUNCTION("""COMPUTED_VALUE"""),"20211206NYSUS")</f>
        <v>20211206NYSUS</v>
      </c>
      <c r="B291" s="8" t="str">
        <f ca="1">IFERROR(__xludf.DUMMYFUNCTION("""COMPUTED_VALUE"""),"Handgun")</f>
        <v>Handgun</v>
      </c>
    </row>
    <row r="292" spans="1:2" ht="12.75">
      <c r="A292" s="8" t="str">
        <f ca="1">IFERROR(__xludf.DUMMYFUNCTION("""COMPUTED_VALUE"""),"20211206CAWIW")</f>
        <v>20211206CAWIW</v>
      </c>
      <c r="B292" s="8" t="str">
        <f ca="1">IFERROR(__xludf.DUMMYFUNCTION("""COMPUTED_VALUE"""),"Multiple Rifles")</f>
        <v>Multiple Rifles</v>
      </c>
    </row>
    <row r="293" spans="1:2" ht="12.75">
      <c r="A293" s="8" t="str">
        <f ca="1">IFERROR(__xludf.DUMMYFUNCTION("""COMPUTED_VALUE"""),"20211203ARBLB")</f>
        <v>20211203ARBLB</v>
      </c>
      <c r="B293" s="8" t="str">
        <f ca="1">IFERROR(__xludf.DUMMYFUNCTION("""COMPUTED_VALUE"""),"Handgun")</f>
        <v>Handgun</v>
      </c>
    </row>
    <row r="294" spans="1:2" ht="12.75">
      <c r="A294" s="8" t="str">
        <f ca="1">IFERROR(__xludf.DUMMYFUNCTION("""COMPUTED_VALUE"""),"20211202WAGAS")</f>
        <v>20211202WAGAS</v>
      </c>
      <c r="B294" s="8" t="str">
        <f ca="1">IFERROR(__xludf.DUMMYFUNCTION("""COMPUTED_VALUE"""),"Handgun")</f>
        <v>Handgun</v>
      </c>
    </row>
    <row r="295" spans="1:2" ht="12.75">
      <c r="A295" s="8" t="str">
        <f ca="1">IFERROR(__xludf.DUMMYFUNCTION("""COMPUTED_VALUE"""),"20211201TXSAP")</f>
        <v>20211201TXSAP</v>
      </c>
      <c r="B295" s="8" t="str">
        <f ca="1">IFERROR(__xludf.DUMMYFUNCTION("""COMPUTED_VALUE"""),"Handgun")</f>
        <v>Handgun</v>
      </c>
    </row>
    <row r="296" spans="1:2" ht="12.75">
      <c r="A296" s="8" t="str">
        <f ca="1">IFERROR(__xludf.DUMMYFUNCTION("""COMPUTED_VALUE"""),"20211130TNHUH")</f>
        <v>20211130TNHUH</v>
      </c>
      <c r="B296" s="8" t="str">
        <f ca="1">IFERROR(__xludf.DUMMYFUNCTION("""COMPUTED_VALUE"""),"Handgun")</f>
        <v>Handgun</v>
      </c>
    </row>
    <row r="297" spans="1:2" ht="12.75">
      <c r="A297" s="8" t="str">
        <f ca="1">IFERROR(__xludf.DUMMYFUNCTION("""COMPUTED_VALUE"""),"20211130MIOXO")</f>
        <v>20211130MIOXO</v>
      </c>
      <c r="B297" s="8" t="str">
        <f ca="1">IFERROR(__xludf.DUMMYFUNCTION("""COMPUTED_VALUE"""),"Handgun")</f>
        <v>Handgun</v>
      </c>
    </row>
    <row r="298" spans="1:2" ht="12.75">
      <c r="A298" s="8" t="str">
        <f ca="1">IFERROR(__xludf.DUMMYFUNCTION("""COMPUTED_VALUE"""),"20211130CALOL")</f>
        <v>20211130CALOL</v>
      </c>
      <c r="B298" s="8" t="str">
        <f ca="1">IFERROR(__xludf.DUMMYFUNCTION("""COMPUTED_VALUE"""),"Other")</f>
        <v>Other</v>
      </c>
    </row>
    <row r="299" spans="1:2" ht="12.75">
      <c r="A299" s="8" t="str">
        <f ca="1">IFERROR(__xludf.DUMMYFUNCTION("""COMPUTED_VALUE"""),"20211129ILWER")</f>
        <v>20211129ILWER</v>
      </c>
      <c r="B299" s="8" t="str">
        <f ca="1">IFERROR(__xludf.DUMMYFUNCTION("""COMPUTED_VALUE"""),"Handgun")</f>
        <v>Handgun</v>
      </c>
    </row>
    <row r="300" spans="1:2" ht="12.75">
      <c r="A300" s="8" t="str">
        <f ca="1">IFERROR(__xludf.DUMMYFUNCTION("""COMPUTED_VALUE"""),"20211129AZCHP")</f>
        <v>20211129AZCHP</v>
      </c>
      <c r="B300" s="8" t="str">
        <f ca="1">IFERROR(__xludf.DUMMYFUNCTION("""COMPUTED_VALUE"""),"Handgun")</f>
        <v>Handgun</v>
      </c>
    </row>
    <row r="301" spans="1:2" ht="12.75">
      <c r="A301" s="8" t="str">
        <f ca="1">IFERROR(__xludf.DUMMYFUNCTION("""COMPUTED_VALUE"""),"20211126CAWES")</f>
        <v>20211126CAWES</v>
      </c>
      <c r="B301" s="8" t="str">
        <f ca="1">IFERROR(__xludf.DUMMYFUNCTION("""COMPUTED_VALUE"""),"Handgun")</f>
        <v>Handgun</v>
      </c>
    </row>
    <row r="302" spans="1:2" ht="12.75">
      <c r="A302" s="8" t="str">
        <f ca="1">IFERROR(__xludf.DUMMYFUNCTION("""COMPUTED_VALUE"""),"20211125SCCEP")</f>
        <v>20211125SCCEP</v>
      </c>
      <c r="B302" s="8"/>
    </row>
    <row r="303" spans="1:2" ht="12.75">
      <c r="A303" s="8" t="str">
        <f ca="1">IFERROR(__xludf.DUMMYFUNCTION("""COMPUTED_VALUE"""),"20211124ILTHH")</f>
        <v>20211124ILTHH</v>
      </c>
      <c r="B303" s="8"/>
    </row>
    <row r="304" spans="1:2" ht="12.75">
      <c r="A304" s="8" t="str">
        <f ca="1">IFERROR(__xludf.DUMMYFUNCTION("""COMPUTED_VALUE"""),"20211123OHCLC")</f>
        <v>20211123OHCLC</v>
      </c>
      <c r="B304" s="8" t="str">
        <f ca="1">IFERROR(__xludf.DUMMYFUNCTION("""COMPUTED_VALUE"""),"Handgun")</f>
        <v>Handgun</v>
      </c>
    </row>
    <row r="305" spans="1:2" ht="12.75">
      <c r="A305" s="8" t="str">
        <f ca="1">IFERROR(__xludf.DUMMYFUNCTION("""COMPUTED_VALUE"""),"20211119MDGIB")</f>
        <v>20211119MDGIB</v>
      </c>
      <c r="B305" s="8"/>
    </row>
    <row r="306" spans="1:2" ht="12.75">
      <c r="A306" s="8" t="str">
        <f ca="1">IFERROR(__xludf.DUMMYFUNCTION("""COMPUTED_VALUE"""),"20211119COHIA")</f>
        <v>20211119COHIA</v>
      </c>
      <c r="B306" s="8" t="str">
        <f ca="1">IFERROR(__xludf.DUMMYFUNCTION("""COMPUTED_VALUE"""),"Multiple Handguns")</f>
        <v>Multiple Handguns</v>
      </c>
    </row>
    <row r="307" spans="1:2" ht="12.75">
      <c r="A307" s="8" t="str">
        <f ca="1">IFERROR(__xludf.DUMMYFUNCTION("""COMPUTED_VALUE"""),"20211116NYPSB")</f>
        <v>20211116NYPSB</v>
      </c>
      <c r="B307" s="8" t="str">
        <f ca="1">IFERROR(__xludf.DUMMYFUNCTION("""COMPUTED_VALUE"""),"Handgun")</f>
        <v>Handgun</v>
      </c>
    </row>
    <row r="308" spans="1:2" ht="12.75">
      <c r="A308" s="8" t="str">
        <f ca="1">IFERROR(__xludf.DUMMYFUNCTION("""COMPUTED_VALUE"""),"20211116FLJAJ")</f>
        <v>20211116FLJAJ</v>
      </c>
      <c r="B308" s="8"/>
    </row>
    <row r="309" spans="1:2" ht="12.75">
      <c r="A309" s="8" t="str">
        <f ca="1">IFERROR(__xludf.DUMMYFUNCTION("""COMPUTED_VALUE"""),"20211115NYPOP")</f>
        <v>20211115NYPOP</v>
      </c>
      <c r="B309" s="8" t="str">
        <f ca="1">IFERROR(__xludf.DUMMYFUNCTION("""COMPUTED_VALUE"""),"Handgun")</f>
        <v>Handgun</v>
      </c>
    </row>
    <row r="310" spans="1:2" ht="12.75">
      <c r="A310" s="8" t="str">
        <f ca="1">IFERROR(__xludf.DUMMYFUNCTION("""COMPUTED_VALUE"""),"20211110NYITI")</f>
        <v>20211110NYITI</v>
      </c>
      <c r="B310" s="8"/>
    </row>
    <row r="311" spans="1:2" ht="12.75">
      <c r="A311" s="8" t="str">
        <f ca="1">IFERROR(__xludf.DUMMYFUNCTION("""COMPUTED_VALUE"""),"20211109NMMEL")</f>
        <v>20211109NMMEL</v>
      </c>
      <c r="B311" s="8" t="str">
        <f ca="1">IFERROR(__xludf.DUMMYFUNCTION("""COMPUTED_VALUE"""),"Handgun")</f>
        <v>Handgun</v>
      </c>
    </row>
    <row r="312" spans="1:2" ht="12.75">
      <c r="A312" s="8" t="str">
        <f ca="1">IFERROR(__xludf.DUMMYFUNCTION("""COMPUTED_VALUE"""),"20211108NYTHB")</f>
        <v>20211108NYTHB</v>
      </c>
      <c r="B312" s="8" t="str">
        <f ca="1">IFERROR(__xludf.DUMMYFUNCTION("""COMPUTED_VALUE"""),"Handgun")</f>
        <v>Handgun</v>
      </c>
    </row>
    <row r="313" spans="1:2" ht="12.75">
      <c r="A313" s="8" t="str">
        <f ca="1">IFERROR(__xludf.DUMMYFUNCTION("""COMPUTED_VALUE"""),"20211106FLOVO")</f>
        <v>20211106FLOVO</v>
      </c>
      <c r="B313" s="8" t="str">
        <f ca="1">IFERROR(__xludf.DUMMYFUNCTION("""COMPUTED_VALUE"""),"Handgun")</f>
        <v>Handgun</v>
      </c>
    </row>
    <row r="314" spans="1:2" ht="12.75">
      <c r="A314" s="8" t="str">
        <f ca="1">IFERROR(__xludf.DUMMYFUNCTION("""COMPUTED_VALUE"""),"20211102NMHIH")</f>
        <v>20211102NMHIH</v>
      </c>
      <c r="B314" s="8" t="str">
        <f ca="1">IFERROR(__xludf.DUMMYFUNCTION("""COMPUTED_VALUE"""),"Other")</f>
        <v>Other</v>
      </c>
    </row>
    <row r="315" spans="1:2" ht="12.75">
      <c r="A315" s="8" t="str">
        <f ca="1">IFERROR(__xludf.DUMMYFUNCTION("""COMPUTED_VALUE"""),"20211030PASTM")</f>
        <v>20211030PASTM</v>
      </c>
      <c r="B315" s="8" t="str">
        <f ca="1">IFERROR(__xludf.DUMMYFUNCTION("""COMPUTED_VALUE"""),"Handgun")</f>
        <v>Handgun</v>
      </c>
    </row>
    <row r="316" spans="1:2" ht="12.75">
      <c r="A316" s="8" t="str">
        <f ca="1">IFERROR(__xludf.DUMMYFUNCTION("""COMPUTED_VALUE"""),"20211027SCCAS")</f>
        <v>20211027SCCAS</v>
      </c>
      <c r="B316" s="8" t="str">
        <f ca="1">IFERROR(__xludf.DUMMYFUNCTION("""COMPUTED_VALUE"""),"Handgun")</f>
        <v>Handgun</v>
      </c>
    </row>
    <row r="317" spans="1:2" ht="12.75">
      <c r="A317" s="8" t="str">
        <f ca="1">IFERROR(__xludf.DUMMYFUNCTION("""COMPUTED_VALUE"""),"20211026MSCAN")</f>
        <v>20211026MSCAN</v>
      </c>
      <c r="B317" s="8" t="str">
        <f ca="1">IFERROR(__xludf.DUMMYFUNCTION("""COMPUTED_VALUE"""),"Shotgun")</f>
        <v>Shotgun</v>
      </c>
    </row>
    <row r="318" spans="1:2" ht="12.75">
      <c r="A318" s="8" t="str">
        <f ca="1">IFERROR(__xludf.DUMMYFUNCTION("""COMPUTED_VALUE"""),"20211026ILWIC")</f>
        <v>20211026ILWIC</v>
      </c>
      <c r="B318" s="8" t="str">
        <f ca="1">IFERROR(__xludf.DUMMYFUNCTION("""COMPUTED_VALUE"""),"Handgun")</f>
        <v>Handgun</v>
      </c>
    </row>
    <row r="319" spans="1:2" ht="12.75">
      <c r="A319" s="8" t="str">
        <f ca="1">IFERROR(__xludf.DUMMYFUNCTION("""COMPUTED_VALUE"""),"20211022PAPHP")</f>
        <v>20211022PAPHP</v>
      </c>
      <c r="B319" s="8" t="str">
        <f ca="1">IFERROR(__xludf.DUMMYFUNCTION("""COMPUTED_VALUE"""),"Handgun")</f>
        <v>Handgun</v>
      </c>
    </row>
    <row r="320" spans="1:2" ht="12.75">
      <c r="A320" s="8" t="str">
        <f ca="1">IFERROR(__xludf.DUMMYFUNCTION("""COMPUTED_VALUE"""),"20211021NYPSB")</f>
        <v>20211021NYPSB</v>
      </c>
      <c r="B320" s="8" t="str">
        <f ca="1">IFERROR(__xludf.DUMMYFUNCTION("""COMPUTED_VALUE"""),"Handgun")</f>
        <v>Handgun</v>
      </c>
    </row>
    <row r="321" spans="1:2" ht="12.75">
      <c r="A321" s="8" t="str">
        <f ca="1">IFERROR(__xludf.DUMMYFUNCTION("""COMPUTED_VALUE"""),"20211021GABES")</f>
        <v>20211021GABES</v>
      </c>
      <c r="B321" s="8"/>
    </row>
    <row r="322" spans="1:2" ht="12.75">
      <c r="A322" s="8" t="str">
        <f ca="1">IFERROR(__xludf.DUMMYFUNCTION("""COMPUTED_VALUE"""),"20211018PALIP")</f>
        <v>20211018PALIP</v>
      </c>
      <c r="B322" s="8" t="str">
        <f ca="1">IFERROR(__xludf.DUMMYFUNCTION("""COMPUTED_VALUE"""),"Handgun")</f>
        <v>Handgun</v>
      </c>
    </row>
    <row r="323" spans="1:2" ht="12.75">
      <c r="A323" s="8" t="str">
        <f ca="1">IFERROR(__xludf.DUMMYFUNCTION("""COMPUTED_VALUE"""),"20211017ARROR")</f>
        <v>20211017ARROR</v>
      </c>
      <c r="B323" s="8" t="str">
        <f ca="1">IFERROR(__xludf.DUMMYFUNCTION("""COMPUTED_VALUE"""),"Rifle")</f>
        <v>Rifle</v>
      </c>
    </row>
    <row r="324" spans="1:2" ht="12.75">
      <c r="A324" s="8" t="str">
        <f ca="1">IFERROR(__xludf.DUMMYFUNCTION("""COMPUTED_VALUE"""),"20211015CAKEF")</f>
        <v>20211015CAKEF</v>
      </c>
      <c r="B324" s="8" t="str">
        <f ca="1">IFERROR(__xludf.DUMMYFUNCTION("""COMPUTED_VALUE"""),"Handgun")</f>
        <v>Handgun</v>
      </c>
    </row>
    <row r="325" spans="1:2" ht="12.75">
      <c r="A325" s="8" t="str">
        <f ca="1">IFERROR(__xludf.DUMMYFUNCTION("""COMPUTED_VALUE"""),"20211015ALWIM")</f>
        <v>20211015ALWIM</v>
      </c>
      <c r="B325" s="8" t="str">
        <f ca="1">IFERROR(__xludf.DUMMYFUNCTION("""COMPUTED_VALUE"""),"Handgun")</f>
        <v>Handgun</v>
      </c>
    </row>
    <row r="326" spans="1:2" ht="12.75">
      <c r="A326" s="8" t="str">
        <f ca="1">IFERROR(__xludf.DUMMYFUNCTION("""COMPUTED_VALUE"""),"20211014MEREP")</f>
        <v>20211014MEREP</v>
      </c>
      <c r="B326" s="8"/>
    </row>
    <row r="327" spans="1:2" ht="12.75">
      <c r="A327" s="8" t="str">
        <f ca="1">IFERROR(__xludf.DUMMYFUNCTION("""COMPUTED_VALUE"""),"20211013PACHD")</f>
        <v>20211013PACHD</v>
      </c>
      <c r="B327" s="8" t="str">
        <f ca="1">IFERROR(__xludf.DUMMYFUNCTION("""COMPUTED_VALUE"""),"Other")</f>
        <v>Other</v>
      </c>
    </row>
    <row r="328" spans="1:2" ht="12.75">
      <c r="A328" s="8" t="str">
        <f ca="1">IFERROR(__xludf.DUMMYFUNCTION("""COMPUTED_VALUE"""),"20211013ILMCC")</f>
        <v>20211013ILMCC</v>
      </c>
      <c r="B328" s="8"/>
    </row>
    <row r="329" spans="1:2" ht="12.75">
      <c r="A329" s="8" t="str">
        <f ca="1">IFERROR(__xludf.DUMMYFUNCTION("""COMPUTED_VALUE"""),"20211012OKUNT")</f>
        <v>20211012OKUNT</v>
      </c>
      <c r="B329" s="8" t="str">
        <f ca="1">IFERROR(__xludf.DUMMYFUNCTION("""COMPUTED_VALUE"""),"Other")</f>
        <v>Other</v>
      </c>
    </row>
    <row r="330" spans="1:2" ht="12.75">
      <c r="A330" s="8" t="str">
        <f ca="1">IFERROR(__xludf.DUMMYFUNCTION("""COMPUTED_VALUE"""),"20211012MIELK")</f>
        <v>20211012MIELK</v>
      </c>
      <c r="B330" s="8" t="str">
        <f ca="1">IFERROR(__xludf.DUMMYFUNCTION("""COMPUTED_VALUE"""),"Handgun")</f>
        <v>Handgun</v>
      </c>
    </row>
    <row r="331" spans="1:2" ht="12.75">
      <c r="A331" s="8" t="str">
        <f ca="1">IFERROR(__xludf.DUMMYFUNCTION("""COMPUTED_VALUE"""),"20211012ILWEC")</f>
        <v>20211012ILWEC</v>
      </c>
      <c r="B331" s="8" t="str">
        <f ca="1">IFERROR(__xludf.DUMMYFUNCTION("""COMPUTED_VALUE"""),"Handgun")</f>
        <v>Handgun</v>
      </c>
    </row>
    <row r="332" spans="1:2" ht="12.75">
      <c r="A332" s="8" t="str">
        <f ca="1">IFERROR(__xludf.DUMMYFUNCTION("""COMPUTED_VALUE"""),"20211012ARLIL")</f>
        <v>20211012ARLIL</v>
      </c>
      <c r="B332" s="8"/>
    </row>
    <row r="333" spans="1:2" ht="12.75">
      <c r="A333" s="8" t="str">
        <f ca="1">IFERROR(__xludf.DUMMYFUNCTION("""COMPUTED_VALUE"""),"20211011ORROP")</f>
        <v>20211011ORROP</v>
      </c>
      <c r="B333" s="8" t="str">
        <f ca="1">IFERROR(__xludf.DUMMYFUNCTION("""COMPUTED_VALUE"""),"Handgun")</f>
        <v>Handgun</v>
      </c>
    </row>
    <row r="334" spans="1:2" ht="12.75">
      <c r="A334" s="8" t="str">
        <f ca="1">IFERROR(__xludf.DUMMYFUNCTION("""COMPUTED_VALUE"""),"20211008OKCOC")</f>
        <v>20211008OKCOC</v>
      </c>
      <c r="B334" s="8"/>
    </row>
    <row r="335" spans="1:2" ht="12.75">
      <c r="A335" s="8" t="str">
        <f ca="1">IFERROR(__xludf.DUMMYFUNCTION("""COMPUTED_VALUE"""),"20211007TXEAW")</f>
        <v>20211007TXEAW</v>
      </c>
      <c r="B335" s="8" t="str">
        <f ca="1">IFERROR(__xludf.DUMMYFUNCTION("""COMPUTED_VALUE"""),"Rifle")</f>
        <v>Rifle</v>
      </c>
    </row>
    <row r="336" spans="1:2" ht="12.75">
      <c r="A336" s="8" t="str">
        <f ca="1">IFERROR(__xludf.DUMMYFUNCTION("""COMPUTED_VALUE"""),"20211007PAANP")</f>
        <v>20211007PAANP</v>
      </c>
      <c r="B336" s="8"/>
    </row>
    <row r="337" spans="1:2" ht="12.75">
      <c r="A337" s="8" t="str">
        <f ca="1">IFERROR(__xludf.DUMMYFUNCTION("""COMPUTED_VALUE"""),"20211007NCEAD")</f>
        <v>20211007NCEAD</v>
      </c>
      <c r="B337" s="8" t="str">
        <f ca="1">IFERROR(__xludf.DUMMYFUNCTION("""COMPUTED_VALUE"""),"Handgun")</f>
        <v>Handgun</v>
      </c>
    </row>
    <row r="338" spans="1:2" ht="12.75">
      <c r="A338" s="8" t="str">
        <f ca="1">IFERROR(__xludf.DUMMYFUNCTION("""COMPUTED_VALUE"""),"20211007DCWAW")</f>
        <v>20211007DCWAW</v>
      </c>
      <c r="B338" s="8" t="str">
        <f ca="1">IFERROR(__xludf.DUMMYFUNCTION("""COMPUTED_VALUE"""),"Handgun")</f>
        <v>Handgun</v>
      </c>
    </row>
    <row r="339" spans="1:2" ht="12.75">
      <c r="A339" s="8" t="str">
        <f ca="1">IFERROR(__xludf.DUMMYFUNCTION("""COMPUTED_VALUE"""),"20211006TXTIA")</f>
        <v>20211006TXTIA</v>
      </c>
      <c r="B339" s="8" t="str">
        <f ca="1">IFERROR(__xludf.DUMMYFUNCTION("""COMPUTED_VALUE"""),"Handgun")</f>
        <v>Handgun</v>
      </c>
    </row>
    <row r="340" spans="1:2" ht="12.75">
      <c r="A340" s="8" t="str">
        <f ca="1">IFERROR(__xludf.DUMMYFUNCTION("""COMPUTED_VALUE"""),"20211005NDHEH")</f>
        <v>20211005NDHEH</v>
      </c>
      <c r="B340" s="8" t="str">
        <f ca="1">IFERROR(__xludf.DUMMYFUNCTION("""COMPUTED_VALUE"""),"Handgun")</f>
        <v>Handgun</v>
      </c>
    </row>
    <row r="341" spans="1:2" ht="12.75">
      <c r="A341" s="8" t="str">
        <f ca="1">IFERROR(__xludf.DUMMYFUNCTION("""COMPUTED_VALUE"""),"20211005NCGAC")</f>
        <v>20211005NCGAC</v>
      </c>
      <c r="B341" s="8" t="str">
        <f ca="1">IFERROR(__xludf.DUMMYFUNCTION("""COMPUTED_VALUE"""),"Handgun")</f>
        <v>Handgun</v>
      </c>
    </row>
    <row r="342" spans="1:2" ht="12.75">
      <c r="A342" s="8" t="str">
        <f ca="1">IFERROR(__xludf.DUMMYFUNCTION("""COMPUTED_VALUE"""),"20211004PASCP")</f>
        <v>20211004PASCP</v>
      </c>
      <c r="B342" s="8" t="str">
        <f ca="1">IFERROR(__xludf.DUMMYFUNCTION("""COMPUTED_VALUE"""),"Handgun")</f>
        <v>Handgun</v>
      </c>
    </row>
    <row r="343" spans="1:2" ht="12.75">
      <c r="A343" s="8" t="str">
        <f ca="1">IFERROR(__xludf.DUMMYFUNCTION("""COMPUTED_VALUE"""),"20211004PASCP")</f>
        <v>20211004PASCP</v>
      </c>
      <c r="B343" s="8" t="str">
        <f ca="1">IFERROR(__xludf.DUMMYFUNCTION("""COMPUTED_VALUE"""),"Rifle")</f>
        <v>Rifle</v>
      </c>
    </row>
    <row r="344" spans="1:2" ht="12.75">
      <c r="A344" s="8" t="str">
        <f ca="1">IFERROR(__xludf.DUMMYFUNCTION("""COMPUTED_VALUE"""),"20211004OHWOT")</f>
        <v>20211004OHWOT</v>
      </c>
      <c r="B344" s="8" t="str">
        <f ca="1">IFERROR(__xludf.DUMMYFUNCTION("""COMPUTED_VALUE"""),"Handgun")</f>
        <v>Handgun</v>
      </c>
    </row>
    <row r="345" spans="1:2" ht="12.75">
      <c r="A345" s="8" t="str">
        <f ca="1">IFERROR(__xludf.DUMMYFUNCTION("""COMPUTED_VALUE"""),"20211004ILLAC")</f>
        <v>20211004ILLAC</v>
      </c>
      <c r="B345" s="8" t="str">
        <f ca="1">IFERROR(__xludf.DUMMYFUNCTION("""COMPUTED_VALUE"""),"Handgun")</f>
        <v>Handgun</v>
      </c>
    </row>
    <row r="346" spans="1:2" ht="12.75">
      <c r="A346" s="8" t="str">
        <f ca="1">IFERROR(__xludf.DUMMYFUNCTION("""COMPUTED_VALUE"""),"20211001TXYEH")</f>
        <v>20211001TXYEH</v>
      </c>
      <c r="B346" s="8" t="str">
        <f ca="1">IFERROR(__xludf.DUMMYFUNCTION("""COMPUTED_VALUE"""),"Rifle")</f>
        <v>Rifle</v>
      </c>
    </row>
    <row r="347" spans="1:2" ht="12.75">
      <c r="A347" s="8" t="str">
        <f ca="1">IFERROR(__xludf.DUMMYFUNCTION("""COMPUTED_VALUE"""),"20211001NJCHC")</f>
        <v>20211001NJCHC</v>
      </c>
      <c r="B347" s="8" t="str">
        <f ca="1">IFERROR(__xludf.DUMMYFUNCTION("""COMPUTED_VALUE"""),"Handgun")</f>
        <v>Handgun</v>
      </c>
    </row>
    <row r="348" spans="1:2" ht="12.75">
      <c r="A348" s="8" t="str">
        <f ca="1">IFERROR(__xludf.DUMMYFUNCTION("""COMPUTED_VALUE"""),"20211001NCSEF")</f>
        <v>20211001NCSEF</v>
      </c>
      <c r="B348" s="8" t="str">
        <f ca="1">IFERROR(__xludf.DUMMYFUNCTION("""COMPUTED_VALUE"""),"Handgun")</f>
        <v>Handgun</v>
      </c>
    </row>
    <row r="349" spans="1:2" ht="12.75">
      <c r="A349" s="8" t="str">
        <f ca="1">IFERROR(__xludf.DUMMYFUNCTION("""COMPUTED_VALUE"""),"20211001NCNOD")</f>
        <v>20211001NCNOD</v>
      </c>
      <c r="B349" s="8" t="str">
        <f ca="1">IFERROR(__xludf.DUMMYFUNCTION("""COMPUTED_VALUE"""),"Handgun")</f>
        <v>Handgun</v>
      </c>
    </row>
    <row r="350" spans="1:2" ht="12.75">
      <c r="A350" s="8" t="str">
        <f ca="1">IFERROR(__xludf.DUMMYFUNCTION("""COMPUTED_VALUE"""),"20211001INBEI")</f>
        <v>20211001INBEI</v>
      </c>
      <c r="B350" s="8" t="str">
        <f ca="1">IFERROR(__xludf.DUMMYFUNCTION("""COMPUTED_VALUE"""),"Handgun")</f>
        <v>Handgun</v>
      </c>
    </row>
    <row r="351" spans="1:2" ht="12.75">
      <c r="A351" s="8" t="str">
        <f ca="1">IFERROR(__xludf.DUMMYFUNCTION("""COMPUTED_VALUE"""),"20210930TNCUM")</f>
        <v>20210930TNCUM</v>
      </c>
      <c r="B351" s="8" t="str">
        <f ca="1">IFERROR(__xludf.DUMMYFUNCTION("""COMPUTED_VALUE"""),"Handgun")</f>
        <v>Handgun</v>
      </c>
    </row>
    <row r="352" spans="1:2" ht="12.75">
      <c r="A352" s="8" t="str">
        <f ca="1">IFERROR(__xludf.DUMMYFUNCTION("""COMPUTED_VALUE"""),"20210930MSNEN")</f>
        <v>20210930MSNEN</v>
      </c>
      <c r="B352" s="8" t="str">
        <f ca="1">IFERROR(__xludf.DUMMYFUNCTION("""COMPUTED_VALUE"""),"Handgun")</f>
        <v>Handgun</v>
      </c>
    </row>
    <row r="353" spans="1:2" ht="12.75">
      <c r="A353" s="8" t="str">
        <f ca="1">IFERROR(__xludf.DUMMYFUNCTION("""COMPUTED_VALUE"""),"20210929OHSHS")</f>
        <v>20210929OHSHS</v>
      </c>
      <c r="B353" s="8" t="str">
        <f ca="1">IFERROR(__xludf.DUMMYFUNCTION("""COMPUTED_VALUE"""),"Handgun")</f>
        <v>Handgun</v>
      </c>
    </row>
    <row r="354" spans="1:2" ht="12.75">
      <c r="A354" s="8" t="str">
        <f ca="1">IFERROR(__xludf.DUMMYFUNCTION("""COMPUTED_VALUE"""),"20210928MESOS")</f>
        <v>20210928MESOS</v>
      </c>
      <c r="B354" s="8" t="str">
        <f ca="1">IFERROR(__xludf.DUMMYFUNCTION("""COMPUTED_VALUE"""),"Handgun")</f>
        <v>Handgun</v>
      </c>
    </row>
    <row r="355" spans="1:2" ht="12.75">
      <c r="A355" s="8" t="str">
        <f ca="1">IFERROR(__xludf.DUMMYFUNCTION("""COMPUTED_VALUE"""),"20210927ILCAC")</f>
        <v>20210927ILCAC</v>
      </c>
      <c r="B355" s="8" t="str">
        <f ca="1">IFERROR(__xludf.DUMMYFUNCTION("""COMPUTED_VALUE"""),"Other")</f>
        <v>Other</v>
      </c>
    </row>
    <row r="356" spans="1:2" ht="12.75">
      <c r="A356" s="8" t="str">
        <f ca="1">IFERROR(__xludf.DUMMYFUNCTION("""COMPUTED_VALUE"""),"20210924VAESE")</f>
        <v>20210924VAESE</v>
      </c>
      <c r="B356" s="8" t="str">
        <f ca="1">IFERROR(__xludf.DUMMYFUNCTION("""COMPUTED_VALUE"""),"Handgun")</f>
        <v>Handgun</v>
      </c>
    </row>
    <row r="357" spans="1:2" ht="12.75">
      <c r="A357" s="8" t="str">
        <f ca="1">IFERROR(__xludf.DUMMYFUNCTION("""COMPUTED_VALUE"""),"20210924TNSTS")</f>
        <v>20210924TNSTS</v>
      </c>
      <c r="B357" s="8" t="str">
        <f ca="1">IFERROR(__xludf.DUMMYFUNCTION("""COMPUTED_VALUE"""),"Handgun")</f>
        <v>Handgun</v>
      </c>
    </row>
    <row r="358" spans="1:2" ht="12.75">
      <c r="A358" s="8" t="str">
        <f ca="1">IFERROR(__xludf.DUMMYFUNCTION("""COMPUTED_VALUE"""),"20210924TNSTS")</f>
        <v>20210924TNSTS</v>
      </c>
      <c r="B358" s="8" t="str">
        <f ca="1">IFERROR(__xludf.DUMMYFUNCTION("""COMPUTED_VALUE"""),"Rifle")</f>
        <v>Rifle</v>
      </c>
    </row>
    <row r="359" spans="1:2" ht="12.75">
      <c r="A359" s="8" t="str">
        <f ca="1">IFERROR(__xludf.DUMMYFUNCTION("""COMPUTED_VALUE"""),"20210924MDWIB")</f>
        <v>20210924MDWIB</v>
      </c>
      <c r="B359" s="8" t="str">
        <f ca="1">IFERROR(__xludf.DUMMYFUNCTION("""COMPUTED_VALUE"""),"Handgun")</f>
        <v>Handgun</v>
      </c>
    </row>
    <row r="360" spans="1:2" ht="12.75">
      <c r="A360" s="8" t="str">
        <f ca="1">IFERROR(__xludf.DUMMYFUNCTION("""COMPUTED_VALUE"""),"20210924ALFAF")</f>
        <v>20210924ALFAF</v>
      </c>
      <c r="B360" s="8"/>
    </row>
    <row r="361" spans="1:2" ht="12.75">
      <c r="A361" s="8" t="str">
        <f ca="1">IFERROR(__xludf.DUMMYFUNCTION("""COMPUTED_VALUE"""),"20210923IDRIR")</f>
        <v>20210923IDRIR</v>
      </c>
      <c r="B361" s="8" t="str">
        <f ca="1">IFERROR(__xludf.DUMMYFUNCTION("""COMPUTED_VALUE"""),"Handgun")</f>
        <v>Handgun</v>
      </c>
    </row>
    <row r="362" spans="1:2" ht="12.75">
      <c r="A362" s="8" t="str">
        <f ca="1">IFERROR(__xludf.DUMMYFUNCTION("""COMPUTED_VALUE"""),"20210922NYSOB")</f>
        <v>20210922NYSOB</v>
      </c>
      <c r="B362" s="8" t="str">
        <f ca="1">IFERROR(__xludf.DUMMYFUNCTION("""COMPUTED_VALUE"""),"Handgun")</f>
        <v>Handgun</v>
      </c>
    </row>
    <row r="363" spans="1:2" ht="12.75">
      <c r="A363" s="8" t="str">
        <f ca="1">IFERROR(__xludf.DUMMYFUNCTION("""COMPUTED_VALUE"""),"20210922CTLIN")</f>
        <v>20210922CTLIN</v>
      </c>
      <c r="B363" s="8"/>
    </row>
    <row r="364" spans="1:2" ht="12.75">
      <c r="A364" s="8" t="str">
        <f ca="1">IFERROR(__xludf.DUMMYFUNCTION("""COMPUTED_VALUE"""),"20210921PAVAP")</f>
        <v>20210921PAVAP</v>
      </c>
      <c r="B364" s="8" t="str">
        <f ca="1">IFERROR(__xludf.DUMMYFUNCTION("""COMPUTED_VALUE"""),"Handgun")</f>
        <v>Handgun</v>
      </c>
    </row>
    <row r="365" spans="1:2" ht="12.75">
      <c r="A365" s="8" t="str">
        <f ca="1">IFERROR(__xludf.DUMMYFUNCTION("""COMPUTED_VALUE"""),"20210921OHMIM")</f>
        <v>20210921OHMIM</v>
      </c>
      <c r="B365" s="8" t="str">
        <f ca="1">IFERROR(__xludf.DUMMYFUNCTION("""COMPUTED_VALUE"""),"Other")</f>
        <v>Other</v>
      </c>
    </row>
    <row r="366" spans="1:2" ht="12.75">
      <c r="A366" s="8" t="str">
        <f ca="1">IFERROR(__xludf.DUMMYFUNCTION("""COMPUTED_VALUE"""),"20210921KSEAW")</f>
        <v>20210921KSEAW</v>
      </c>
      <c r="B366" s="8" t="str">
        <f ca="1">IFERROR(__xludf.DUMMYFUNCTION("""COMPUTED_VALUE"""),"Handgun")</f>
        <v>Handgun</v>
      </c>
    </row>
    <row r="367" spans="1:2" ht="12.75">
      <c r="A367" s="8" t="str">
        <f ca="1">IFERROR(__xludf.DUMMYFUNCTION("""COMPUTED_VALUE"""),"20210921GAFRA")</f>
        <v>20210921GAFRA</v>
      </c>
      <c r="B367" s="8" t="str">
        <f ca="1">IFERROR(__xludf.DUMMYFUNCTION("""COMPUTED_VALUE"""),"Handgun")</f>
        <v>Handgun</v>
      </c>
    </row>
    <row r="368" spans="1:2" ht="12.75">
      <c r="A368" s="8" t="str">
        <f ca="1">IFERROR(__xludf.DUMMYFUNCTION("""COMPUTED_VALUE"""),"20210921FLLAL")</f>
        <v>20210921FLLAL</v>
      </c>
      <c r="B368" s="8" t="str">
        <f ca="1">IFERROR(__xludf.DUMMYFUNCTION("""COMPUTED_VALUE"""),"Other")</f>
        <v>Other</v>
      </c>
    </row>
    <row r="369" spans="1:2" ht="12.75">
      <c r="A369" s="8" t="str">
        <f ca="1">IFERROR(__xludf.DUMMYFUNCTION("""COMPUTED_VALUE"""),"20210920VAHEN")</f>
        <v>20210920VAHEN</v>
      </c>
      <c r="B369" s="8" t="str">
        <f ca="1">IFERROR(__xludf.DUMMYFUNCTION("""COMPUTED_VALUE"""),"Handgun")</f>
        <v>Handgun</v>
      </c>
    </row>
    <row r="370" spans="1:2" ht="12.75">
      <c r="A370" s="8" t="str">
        <f ca="1">IFERROR(__xludf.DUMMYFUNCTION("""COMPUTED_VALUE"""),"20210920OHEAC")</f>
        <v>20210920OHEAC</v>
      </c>
      <c r="B370" s="8" t="str">
        <f ca="1">IFERROR(__xludf.DUMMYFUNCTION("""COMPUTED_VALUE"""),"Multiple Handguns")</f>
        <v>Multiple Handguns</v>
      </c>
    </row>
    <row r="371" spans="1:2" ht="12.75">
      <c r="A371" s="8" t="str">
        <f ca="1">IFERROR(__xludf.DUMMYFUNCTION("""COMPUTED_VALUE"""),"20210920OHEAC")</f>
        <v>20210920OHEAC</v>
      </c>
      <c r="B371" s="8" t="str">
        <f ca="1">IFERROR(__xludf.DUMMYFUNCTION("""COMPUTED_VALUE"""),"Handgun")</f>
        <v>Handgun</v>
      </c>
    </row>
    <row r="372" spans="1:2" ht="12.75">
      <c r="A372" s="8" t="str">
        <f ca="1">IFERROR(__xludf.DUMMYFUNCTION("""COMPUTED_VALUE"""),"20210918COWIC")</f>
        <v>20210918COWIC</v>
      </c>
      <c r="B372" s="8" t="str">
        <f ca="1">IFERROR(__xludf.DUMMYFUNCTION("""COMPUTED_VALUE"""),"Handgun")</f>
        <v>Handgun</v>
      </c>
    </row>
    <row r="373" spans="1:2" ht="12.75">
      <c r="A373" s="8" t="str">
        <f ca="1">IFERROR(__xludf.DUMMYFUNCTION("""COMPUTED_VALUE"""),"20210917VAHEH")</f>
        <v>20210917VAHEH</v>
      </c>
      <c r="B373" s="8" t="str">
        <f ca="1">IFERROR(__xludf.DUMMYFUNCTION("""COMPUTED_VALUE"""),"Handgun")</f>
        <v>Handgun</v>
      </c>
    </row>
    <row r="374" spans="1:2" ht="12.75">
      <c r="A374" s="8" t="str">
        <f ca="1">IFERROR(__xludf.DUMMYFUNCTION("""COMPUTED_VALUE"""),"20210917TNAUK")</f>
        <v>20210917TNAUK</v>
      </c>
      <c r="B374" s="8" t="str">
        <f ca="1">IFERROR(__xludf.DUMMYFUNCTION("""COMPUTED_VALUE"""),"Handgun")</f>
        <v>Handgun</v>
      </c>
    </row>
    <row r="375" spans="1:2" ht="12.75">
      <c r="A375" s="8" t="str">
        <f ca="1">IFERROR(__xludf.DUMMYFUNCTION("""COMPUTED_VALUE"""),"20210917PAWEP")</f>
        <v>20210917PAWEP</v>
      </c>
      <c r="B375" s="8" t="str">
        <f ca="1">IFERROR(__xludf.DUMMYFUNCTION("""COMPUTED_VALUE"""),"Handgun")</f>
        <v>Handgun</v>
      </c>
    </row>
    <row r="376" spans="1:2" ht="12.75">
      <c r="A376" s="8" t="str">
        <f ca="1">IFERROR(__xludf.DUMMYFUNCTION("""COMPUTED_VALUE"""),"20210917NCPAW")</f>
        <v>20210917NCPAW</v>
      </c>
      <c r="B376" s="8" t="str">
        <f ca="1">IFERROR(__xludf.DUMMYFUNCTION("""COMPUTED_VALUE"""),"Handgun")</f>
        <v>Handgun</v>
      </c>
    </row>
    <row r="377" spans="1:2" ht="12.75">
      <c r="A377" s="8" t="str">
        <f ca="1">IFERROR(__xludf.DUMMYFUNCTION("""COMPUTED_VALUE"""),"20210917GASWS")</f>
        <v>20210917GASWS</v>
      </c>
      <c r="B377" s="8" t="str">
        <f ca="1">IFERROR(__xludf.DUMMYFUNCTION("""COMPUTED_VALUE"""),"Handgun")</f>
        <v>Handgun</v>
      </c>
    </row>
    <row r="378" spans="1:2" ht="12.75">
      <c r="A378" s="8" t="str">
        <f ca="1">IFERROR(__xludf.DUMMYFUNCTION("""COMPUTED_VALUE"""),"20210916WIORM")</f>
        <v>20210916WIORM</v>
      </c>
      <c r="B378" s="8" t="str">
        <f ca="1">IFERROR(__xludf.DUMMYFUNCTION("""COMPUTED_VALUE"""),"Handgun")</f>
        <v>Handgun</v>
      </c>
    </row>
    <row r="379" spans="1:2" ht="12.75">
      <c r="A379" s="8" t="str">
        <f ca="1">IFERROR(__xludf.DUMMYFUNCTION("""COMPUTED_VALUE"""),"20210916UTPRP")</f>
        <v>20210916UTPRP</v>
      </c>
      <c r="B379" s="8" t="str">
        <f ca="1">IFERROR(__xludf.DUMMYFUNCTION("""COMPUTED_VALUE"""),"Other")</f>
        <v>Other</v>
      </c>
    </row>
    <row r="380" spans="1:2" ht="12.75">
      <c r="A380" s="8" t="str">
        <f ca="1">IFERROR(__xludf.DUMMYFUNCTION("""COMPUTED_VALUE"""),"20210915VASPS")</f>
        <v>20210915VASPS</v>
      </c>
      <c r="B380" s="8" t="str">
        <f ca="1">IFERROR(__xludf.DUMMYFUNCTION("""COMPUTED_VALUE"""),"Other")</f>
        <v>Other</v>
      </c>
    </row>
    <row r="381" spans="1:2" ht="12.75">
      <c r="A381" s="8" t="str">
        <f ca="1">IFERROR(__xludf.DUMMYFUNCTION("""COMPUTED_VALUE"""),"20210915KYMAL")</f>
        <v>20210915KYMAL</v>
      </c>
      <c r="B381" s="8" t="str">
        <f ca="1">IFERROR(__xludf.DUMMYFUNCTION("""COMPUTED_VALUE"""),"Handgun")</f>
        <v>Handgun</v>
      </c>
    </row>
    <row r="382" spans="1:2" ht="12.75">
      <c r="A382" s="8" t="str">
        <f ca="1">IFERROR(__xludf.DUMMYFUNCTION("""COMPUTED_VALUE"""),"20210915ILCEC")</f>
        <v>20210915ILCEC</v>
      </c>
      <c r="B382" s="8" t="str">
        <f ca="1">IFERROR(__xludf.DUMMYFUNCTION("""COMPUTED_VALUE"""),"Handgun")</f>
        <v>Handgun</v>
      </c>
    </row>
    <row r="383" spans="1:2" ht="12.75">
      <c r="A383" s="8" t="str">
        <f ca="1">IFERROR(__xludf.DUMMYFUNCTION("""COMPUTED_VALUE"""),"20210914TNLAL")</f>
        <v>20210914TNLAL</v>
      </c>
      <c r="B383" s="8" t="str">
        <f ca="1">IFERROR(__xludf.DUMMYFUNCTION("""COMPUTED_VALUE"""),"Handgun")</f>
        <v>Handgun</v>
      </c>
    </row>
    <row r="384" spans="1:2" ht="12.75">
      <c r="A384" s="8" t="str">
        <f ca="1">IFERROR(__xludf.DUMMYFUNCTION("""COMPUTED_VALUE"""),"20210914MOMCH")</f>
        <v>20210914MOMCH</v>
      </c>
      <c r="B384" s="8" t="str">
        <f ca="1">IFERROR(__xludf.DUMMYFUNCTION("""COMPUTED_VALUE"""),"Multiple Handguns")</f>
        <v>Multiple Handguns</v>
      </c>
    </row>
    <row r="385" spans="1:2" ht="12.75">
      <c r="A385" s="8" t="str">
        <f ca="1">IFERROR(__xludf.DUMMYFUNCTION("""COMPUTED_VALUE"""),"20210913SCEDC")</f>
        <v>20210913SCEDC</v>
      </c>
      <c r="B385" s="8" t="str">
        <f ca="1">IFERROR(__xludf.DUMMYFUNCTION("""COMPUTED_VALUE"""),"Handgun")</f>
        <v>Handgun</v>
      </c>
    </row>
    <row r="386" spans="1:2" ht="12.75">
      <c r="A386" s="8" t="str">
        <f ca="1">IFERROR(__xludf.DUMMYFUNCTION("""COMPUTED_VALUE"""),"20210910CONOA")</f>
        <v>20210910CONOA</v>
      </c>
      <c r="B386" s="8" t="str">
        <f ca="1">IFERROR(__xludf.DUMMYFUNCTION("""COMPUTED_VALUE"""),"Handgun")</f>
        <v>Handgun</v>
      </c>
    </row>
    <row r="387" spans="1:2" ht="12.75">
      <c r="A387" s="8" t="str">
        <f ca="1">IFERROR(__xludf.DUMMYFUNCTION("""COMPUTED_VALUE"""),"20210910CASTP")</f>
        <v>20210910CASTP</v>
      </c>
      <c r="B387" s="8" t="str">
        <f ca="1">IFERROR(__xludf.DUMMYFUNCTION("""COMPUTED_VALUE"""),"Other")</f>
        <v>Other</v>
      </c>
    </row>
    <row r="388" spans="1:2" ht="12.75">
      <c r="A388" s="8" t="str">
        <f ca="1">IFERROR(__xludf.DUMMYFUNCTION("""COMPUTED_VALUE"""),"20210909NCSHE")</f>
        <v>20210909NCSHE</v>
      </c>
      <c r="B388" s="8"/>
    </row>
    <row r="389" spans="1:2" ht="12.75">
      <c r="A389" s="8" t="str">
        <f ca="1">IFERROR(__xludf.DUMMYFUNCTION("""COMPUTED_VALUE"""),"20210909MITRF")</f>
        <v>20210909MITRF</v>
      </c>
      <c r="B389" s="8" t="str">
        <f ca="1">IFERROR(__xludf.DUMMYFUNCTION("""COMPUTED_VALUE"""),"Handgun")</f>
        <v>Handgun</v>
      </c>
    </row>
    <row r="390" spans="1:2" ht="12.75">
      <c r="A390" s="8" t="str">
        <f ca="1">IFERROR(__xludf.DUMMYFUNCTION("""COMPUTED_VALUE"""),"20210909ILCHC")</f>
        <v>20210909ILCHC</v>
      </c>
      <c r="B390" s="8" t="str">
        <f ca="1">IFERROR(__xludf.DUMMYFUNCTION("""COMPUTED_VALUE"""),"Handgun")</f>
        <v>Handgun</v>
      </c>
    </row>
    <row r="391" spans="1:2" ht="12.75">
      <c r="A391" s="8" t="str">
        <f ca="1">IFERROR(__xludf.DUMMYFUNCTION("""COMPUTED_VALUE"""),"20210908MNPRB")</f>
        <v>20210908MNPRB</v>
      </c>
      <c r="B391" s="8" t="str">
        <f ca="1">IFERROR(__xludf.DUMMYFUNCTION("""COMPUTED_VALUE"""),"Multiple Handguns")</f>
        <v>Multiple Handguns</v>
      </c>
    </row>
    <row r="392" spans="1:2" ht="12.75">
      <c r="A392" s="8" t="str">
        <f ca="1">IFERROR(__xludf.DUMMYFUNCTION("""COMPUTED_VALUE"""),"20210908ILCEC")</f>
        <v>20210908ILCEC</v>
      </c>
      <c r="B392" s="8" t="str">
        <f ca="1">IFERROR(__xludf.DUMMYFUNCTION("""COMPUTED_VALUE"""),"Handgun")</f>
        <v>Handgun</v>
      </c>
    </row>
    <row r="393" spans="1:2" ht="12.75">
      <c r="A393" s="8" t="str">
        <f ca="1">IFERROR(__xludf.DUMMYFUNCTION("""COMPUTED_VALUE"""),"20210907TNLAL")</f>
        <v>20210907TNLAL</v>
      </c>
      <c r="B393" s="8" t="str">
        <f ca="1">IFERROR(__xludf.DUMMYFUNCTION("""COMPUTED_VALUE"""),"Handgun")</f>
        <v>Handgun</v>
      </c>
    </row>
    <row r="394" spans="1:2" ht="12.75">
      <c r="A394" s="8" t="str">
        <f ca="1">IFERROR(__xludf.DUMMYFUNCTION("""COMPUTED_VALUE"""),"20210907PAHAH")</f>
        <v>20210907PAHAH</v>
      </c>
      <c r="B394" s="8" t="str">
        <f ca="1">IFERROR(__xludf.DUMMYFUNCTION("""COMPUTED_VALUE"""),"Handgun")</f>
        <v>Handgun</v>
      </c>
    </row>
    <row r="395" spans="1:2" ht="12.75">
      <c r="A395" s="8" t="str">
        <f ca="1">IFERROR(__xludf.DUMMYFUNCTION("""COMPUTED_VALUE"""),"20210907MAOMG")</f>
        <v>20210907MAOMG</v>
      </c>
      <c r="B395" s="8" t="str">
        <f ca="1">IFERROR(__xludf.DUMMYFUNCTION("""COMPUTED_VALUE"""),"Other")</f>
        <v>Other</v>
      </c>
    </row>
    <row r="396" spans="1:2" ht="12.75">
      <c r="A396" s="8" t="str">
        <f ca="1">IFERROR(__xludf.DUMMYFUNCTION("""COMPUTED_VALUE"""),"20210903NVDEL")</f>
        <v>20210903NVDEL</v>
      </c>
      <c r="B396" s="8" t="str">
        <f ca="1">IFERROR(__xludf.DUMMYFUNCTION("""COMPUTED_VALUE"""),"Handgun")</f>
        <v>Handgun</v>
      </c>
    </row>
    <row r="397" spans="1:2" ht="12.75">
      <c r="A397" s="8" t="str">
        <f ca="1">IFERROR(__xludf.DUMMYFUNCTION("""COMPUTED_VALUE"""),"20210903NCJUC")</f>
        <v>20210903NCJUC</v>
      </c>
      <c r="B397" s="8" t="str">
        <f ca="1">IFERROR(__xludf.DUMMYFUNCTION("""COMPUTED_VALUE"""),"Handgun")</f>
        <v>Handgun</v>
      </c>
    </row>
    <row r="398" spans="1:2" ht="12.75">
      <c r="A398" s="8" t="str">
        <f ca="1">IFERROR(__xludf.DUMMYFUNCTION("""COMPUTED_VALUE"""),"20210903CAMTH")</f>
        <v>20210903CAMTH</v>
      </c>
      <c r="B398" s="8" t="str">
        <f ca="1">IFERROR(__xludf.DUMMYFUNCTION("""COMPUTED_VALUE"""),"Handgun")</f>
        <v>Handgun</v>
      </c>
    </row>
    <row r="399" spans="1:2" ht="12.75">
      <c r="A399" s="8" t="str">
        <f ca="1">IFERROR(__xludf.DUMMYFUNCTION("""COMPUTED_VALUE"""),"20210903CABUB")</f>
        <v>20210903CABUB</v>
      </c>
      <c r="B399" s="8" t="str">
        <f ca="1">IFERROR(__xludf.DUMMYFUNCTION("""COMPUTED_VALUE"""),"Handgun")</f>
        <v>Handgun</v>
      </c>
    </row>
    <row r="400" spans="1:2" ht="12.75">
      <c r="A400" s="8" t="str">
        <f ca="1">IFERROR(__xludf.DUMMYFUNCTION("""COMPUTED_VALUE"""),"20210902NMALA")</f>
        <v>20210902NMALA</v>
      </c>
      <c r="B400" s="8" t="str">
        <f ca="1">IFERROR(__xludf.DUMMYFUNCTION("""COMPUTED_VALUE"""),"Multiple Handguns")</f>
        <v>Multiple Handguns</v>
      </c>
    </row>
    <row r="401" spans="1:2" ht="12.75">
      <c r="A401" s="8" t="str">
        <f ca="1">IFERROR(__xludf.DUMMYFUNCTION("""COMPUTED_VALUE"""),"20210902INWEG")</f>
        <v>20210902INWEG</v>
      </c>
      <c r="B401" s="8" t="str">
        <f ca="1">IFERROR(__xludf.DUMMYFUNCTION("""COMPUTED_VALUE"""),"Handgun")</f>
        <v>Handgun</v>
      </c>
    </row>
    <row r="402" spans="1:2" ht="12.75">
      <c r="A402" s="8" t="str">
        <f ca="1">IFERROR(__xludf.DUMMYFUNCTION("""COMPUTED_VALUE"""),"20210902GAWOS")</f>
        <v>20210902GAWOS</v>
      </c>
      <c r="B402" s="8" t="str">
        <f ca="1">IFERROR(__xludf.DUMMYFUNCTION("""COMPUTED_VALUE"""),"Handgun")</f>
        <v>Handgun</v>
      </c>
    </row>
    <row r="403" spans="1:2" ht="12.75">
      <c r="A403" s="8" t="str">
        <f ca="1">IFERROR(__xludf.DUMMYFUNCTION("""COMPUTED_VALUE"""),"20210902CASAL")</f>
        <v>20210902CASAL</v>
      </c>
      <c r="B403" s="8" t="str">
        <f ca="1">IFERROR(__xludf.DUMMYFUNCTION("""COMPUTED_VALUE"""),"Handgun")</f>
        <v>Handgun</v>
      </c>
    </row>
    <row r="404" spans="1:2" ht="12.75">
      <c r="A404" s="8" t="str">
        <f ca="1">IFERROR(__xludf.DUMMYFUNCTION("""COMPUTED_VALUE"""),"20210902CASAL")</f>
        <v>20210902CASAL</v>
      </c>
      <c r="B404" s="8" t="str">
        <f ca="1">IFERROR(__xludf.DUMMYFUNCTION("""COMPUTED_VALUE"""),"Handgun")</f>
        <v>Handgun</v>
      </c>
    </row>
    <row r="405" spans="1:2" ht="12.75">
      <c r="A405" s="8" t="str">
        <f ca="1">IFERROR(__xludf.DUMMYFUNCTION("""COMPUTED_VALUE"""),"20210902CASAL")</f>
        <v>20210902CASAL</v>
      </c>
      <c r="B405" s="8" t="str">
        <f ca="1">IFERROR(__xludf.DUMMYFUNCTION("""COMPUTED_VALUE"""),"Handgun")</f>
        <v>Handgun</v>
      </c>
    </row>
    <row r="406" spans="1:2" ht="12.75">
      <c r="A406" s="8" t="str">
        <f ca="1">IFERROR(__xludf.DUMMYFUNCTION("""COMPUTED_VALUE"""),"20210902CASAL")</f>
        <v>20210902CASAL</v>
      </c>
      <c r="B406" s="8" t="str">
        <f ca="1">IFERROR(__xludf.DUMMYFUNCTION("""COMPUTED_VALUE"""),"Handgun")</f>
        <v>Handgun</v>
      </c>
    </row>
    <row r="407" spans="1:2" ht="12.75">
      <c r="A407" s="8" t="str">
        <f ca="1">IFERROR(__xludf.DUMMYFUNCTION("""COMPUTED_VALUE"""),"20210902ARLIL")</f>
        <v>20210902ARLIL</v>
      </c>
      <c r="B407" s="8" t="str">
        <f ca="1">IFERROR(__xludf.DUMMYFUNCTION("""COMPUTED_VALUE"""),"Handgun")</f>
        <v>Handgun</v>
      </c>
    </row>
    <row r="408" spans="1:2" ht="12.75">
      <c r="A408" s="8" t="str">
        <f ca="1">IFERROR(__xludf.DUMMYFUNCTION("""COMPUTED_VALUE"""),"20210901NCMTW")</f>
        <v>20210901NCMTW</v>
      </c>
      <c r="B408" s="8" t="str">
        <f ca="1">IFERROR(__xludf.DUMMYFUNCTION("""COMPUTED_VALUE"""),"Handgun")</f>
        <v>Handgun</v>
      </c>
    </row>
    <row r="409" spans="1:2" ht="12.75">
      <c r="A409" s="8" t="str">
        <f ca="1">IFERROR(__xludf.DUMMYFUNCTION("""COMPUTED_VALUE"""),"20210901ILFRC")</f>
        <v>20210901ILFRC</v>
      </c>
      <c r="B409" s="8" t="str">
        <f ca="1">IFERROR(__xludf.DUMMYFUNCTION("""COMPUTED_VALUE"""),"Handgun")</f>
        <v>Handgun</v>
      </c>
    </row>
    <row r="410" spans="1:2" ht="12.75">
      <c r="A410" s="8" t="str">
        <f ca="1">IFERROR(__xludf.DUMMYFUNCTION("""COMPUTED_VALUE"""),"20210830NJWEN")</f>
        <v>20210830NJWEN</v>
      </c>
      <c r="B410" s="8" t="str">
        <f ca="1">IFERROR(__xludf.DUMMYFUNCTION("""COMPUTED_VALUE"""),"Handgun")</f>
        <v>Handgun</v>
      </c>
    </row>
    <row r="411" spans="1:2" ht="12.75">
      <c r="A411" s="8" t="str">
        <f ca="1">IFERROR(__xludf.DUMMYFUNCTION("""COMPUTED_VALUE"""),"20210830NCNEW")</f>
        <v>20210830NCNEW</v>
      </c>
      <c r="B411" s="8" t="str">
        <f ca="1">IFERROR(__xludf.DUMMYFUNCTION("""COMPUTED_VALUE"""),"Handgun")</f>
        <v>Handgun</v>
      </c>
    </row>
    <row r="412" spans="1:2" ht="12.75">
      <c r="A412" s="8" t="str">
        <f ca="1">IFERROR(__xludf.DUMMYFUNCTION("""COMPUTED_VALUE"""),"20210830MDNEO")</f>
        <v>20210830MDNEO</v>
      </c>
      <c r="B412" s="8" t="str">
        <f ca="1">IFERROR(__xludf.DUMMYFUNCTION("""COMPUTED_VALUE"""),"Handgun")</f>
        <v>Handgun</v>
      </c>
    </row>
    <row r="413" spans="1:2" ht="12.75">
      <c r="A413" s="8" t="str">
        <f ca="1">IFERROR(__xludf.DUMMYFUNCTION("""COMPUTED_VALUE"""),"20210830FLOKW")</f>
        <v>20210830FLOKW</v>
      </c>
      <c r="B413" s="8" t="str">
        <f ca="1">IFERROR(__xludf.DUMMYFUNCTION("""COMPUTED_VALUE"""),"Other")</f>
        <v>Other</v>
      </c>
    </row>
    <row r="414" spans="1:2" ht="12.75">
      <c r="A414" s="8" t="str">
        <f ca="1">IFERROR(__xludf.DUMMYFUNCTION("""COMPUTED_VALUE"""),"20210828CASAS")</f>
        <v>20210828CASAS</v>
      </c>
      <c r="B414" s="8" t="str">
        <f ca="1">IFERROR(__xludf.DUMMYFUNCTION("""COMPUTED_VALUE"""),"Handgun")</f>
        <v>Handgun</v>
      </c>
    </row>
    <row r="415" spans="1:2" ht="12.75">
      <c r="A415" s="8" t="str">
        <f ca="1">IFERROR(__xludf.DUMMYFUNCTION("""COMPUTED_VALUE"""),"20210827VAFRW")</f>
        <v>20210827VAFRW</v>
      </c>
      <c r="B415" s="8" t="str">
        <f ca="1">IFERROR(__xludf.DUMMYFUNCTION("""COMPUTED_VALUE"""),"Handgun")</f>
        <v>Handgun</v>
      </c>
    </row>
    <row r="416" spans="1:2" ht="12.75">
      <c r="A416" s="8" t="str">
        <f ca="1">IFERROR(__xludf.DUMMYFUNCTION("""COMPUTED_VALUE"""),"20210827KYAPO")</f>
        <v>20210827KYAPO</v>
      </c>
      <c r="B416" s="8" t="str">
        <f ca="1">IFERROR(__xludf.DUMMYFUNCTION("""COMPUTED_VALUE"""),"Handgun")</f>
        <v>Handgun</v>
      </c>
    </row>
    <row r="417" spans="1:2" ht="12.75">
      <c r="A417" s="8" t="str">
        <f ca="1">IFERROR(__xludf.DUMMYFUNCTION("""COMPUTED_VALUE"""),"20210827INHAH")</f>
        <v>20210827INHAH</v>
      </c>
      <c r="B417" s="8" t="str">
        <f ca="1">IFERROR(__xludf.DUMMYFUNCTION("""COMPUTED_VALUE"""),"Handgun")</f>
        <v>Handgun</v>
      </c>
    </row>
    <row r="418" spans="1:2" ht="12.75">
      <c r="A418" s="8" t="str">
        <f ca="1">IFERROR(__xludf.DUMMYFUNCTION("""COMPUTED_VALUE"""),"20210826WAAKS")</f>
        <v>20210826WAAKS</v>
      </c>
      <c r="B418" s="8" t="str">
        <f ca="1">IFERROR(__xludf.DUMMYFUNCTION("""COMPUTED_VALUE"""),"Multiple Handguns")</f>
        <v>Multiple Handguns</v>
      </c>
    </row>
    <row r="419" spans="1:2" ht="12.75">
      <c r="A419" s="8" t="str">
        <f ca="1">IFERROR(__xludf.DUMMYFUNCTION("""COMPUTED_VALUE"""),"20210826OHNOT")</f>
        <v>20210826OHNOT</v>
      </c>
      <c r="B419" s="8" t="str">
        <f ca="1">IFERROR(__xludf.DUMMYFUNCTION("""COMPUTED_VALUE"""),"Handgun")</f>
        <v>Handgun</v>
      </c>
    </row>
    <row r="420" spans="1:2" ht="12.75">
      <c r="A420" s="8" t="str">
        <f ca="1">IFERROR(__xludf.DUMMYFUNCTION("""COMPUTED_VALUE"""),"20210826NYHAH")</f>
        <v>20210826NYHAH</v>
      </c>
      <c r="B420" s="8" t="str">
        <f ca="1">IFERROR(__xludf.DUMMYFUNCTION("""COMPUTED_VALUE"""),"Handgun")</f>
        <v>Handgun</v>
      </c>
    </row>
    <row r="421" spans="1:2" ht="12.75">
      <c r="A421" s="8" t="str">
        <f ca="1">IFERROR(__xludf.DUMMYFUNCTION("""COMPUTED_VALUE"""),"20210822ILWER")</f>
        <v>20210822ILWER</v>
      </c>
      <c r="B421" s="8" t="str">
        <f ca="1">IFERROR(__xludf.DUMMYFUNCTION("""COMPUTED_VALUE"""),"Handgun")</f>
        <v>Handgun</v>
      </c>
    </row>
    <row r="422" spans="1:2" ht="12.75">
      <c r="A422" s="8" t="str">
        <f ca="1">IFERROR(__xludf.DUMMYFUNCTION("""COMPUTED_VALUE"""),"20210820NEMIO")</f>
        <v>20210820NEMIO</v>
      </c>
      <c r="B422" s="8"/>
    </row>
    <row r="423" spans="1:2" ht="12.75">
      <c r="A423" s="8" t="str">
        <f ca="1">IFERROR(__xludf.DUMMYFUNCTION("""COMPUTED_VALUE"""),"20210820CACEF")</f>
        <v>20210820CACEF</v>
      </c>
      <c r="B423" s="8" t="str">
        <f ca="1">IFERROR(__xludf.DUMMYFUNCTION("""COMPUTED_VALUE"""),"Handgun")</f>
        <v>Handgun</v>
      </c>
    </row>
    <row r="424" spans="1:2" ht="12.75">
      <c r="A424" s="8" t="str">
        <f ca="1">IFERROR(__xludf.DUMMYFUNCTION("""COMPUTED_VALUE"""),"20210818SCORO")</f>
        <v>20210818SCORO</v>
      </c>
      <c r="B424" s="8" t="str">
        <f ca="1">IFERROR(__xludf.DUMMYFUNCTION("""COMPUTED_VALUE"""),"Handgun")</f>
        <v>Handgun</v>
      </c>
    </row>
    <row r="425" spans="1:2" ht="12.75">
      <c r="A425" s="8" t="str">
        <f ca="1">IFERROR(__xludf.DUMMYFUNCTION("""COMPUTED_VALUE"""),"20210818SCORO")</f>
        <v>20210818SCORO</v>
      </c>
      <c r="B425" s="8" t="str">
        <f ca="1">IFERROR(__xludf.DUMMYFUNCTION("""COMPUTED_VALUE"""),"Handgun")</f>
        <v>Handgun</v>
      </c>
    </row>
    <row r="426" spans="1:2" ht="12.75">
      <c r="A426" s="8" t="str">
        <f ca="1">IFERROR(__xludf.DUMMYFUNCTION("""COMPUTED_VALUE"""),"20210815VAROD")</f>
        <v>20210815VAROD</v>
      </c>
      <c r="B426" s="8" t="str">
        <f ca="1">IFERROR(__xludf.DUMMYFUNCTION("""COMPUTED_VALUE"""),"Handgun")</f>
        <v>Handgun</v>
      </c>
    </row>
    <row r="427" spans="1:2" ht="12.75">
      <c r="A427" s="8" t="str">
        <f ca="1">IFERROR(__xludf.DUMMYFUNCTION("""COMPUTED_VALUE"""),"20210814SCDAH")</f>
        <v>20210814SCDAH</v>
      </c>
      <c r="B427" s="8" t="str">
        <f ca="1">IFERROR(__xludf.DUMMYFUNCTION("""COMPUTED_VALUE"""),"Other")</f>
        <v>Other</v>
      </c>
    </row>
    <row r="428" spans="1:2" ht="12.75">
      <c r="A428" s="8" t="str">
        <f ca="1">IFERROR(__xludf.DUMMYFUNCTION("""COMPUTED_VALUE"""),"20210814ILMAC")</f>
        <v>20210814ILMAC</v>
      </c>
      <c r="B428" s="8"/>
    </row>
    <row r="429" spans="1:2" ht="12.75">
      <c r="A429" s="8" t="str">
        <f ca="1">IFERROR(__xludf.DUMMYFUNCTION("""COMPUTED_VALUE"""),"20210813NMWAA")</f>
        <v>20210813NMWAA</v>
      </c>
      <c r="B429" s="8" t="str">
        <f ca="1">IFERROR(__xludf.DUMMYFUNCTION("""COMPUTED_VALUE"""),"Handgun")</f>
        <v>Handgun</v>
      </c>
    </row>
    <row r="430" spans="1:2" ht="12.75">
      <c r="A430" s="8" t="str">
        <f ca="1">IFERROR(__xludf.DUMMYFUNCTION("""COMPUTED_VALUE"""),"20210813GACAS")</f>
        <v>20210813GACAS</v>
      </c>
      <c r="B430" s="8" t="str">
        <f ca="1">IFERROR(__xludf.DUMMYFUNCTION("""COMPUTED_VALUE"""),"Handgun")</f>
        <v>Handgun</v>
      </c>
    </row>
    <row r="431" spans="1:2" ht="12.75">
      <c r="A431" s="8" t="str">
        <f ca="1">IFERROR(__xludf.DUMMYFUNCTION("""COMPUTED_VALUE"""),"20210812GALIL")</f>
        <v>20210812GALIL</v>
      </c>
      <c r="B431" s="8" t="str">
        <f ca="1">IFERROR(__xludf.DUMMYFUNCTION("""COMPUTED_VALUE"""),"Handgun")</f>
        <v>Handgun</v>
      </c>
    </row>
    <row r="432" spans="1:2" ht="12.75">
      <c r="A432" s="8" t="str">
        <f ca="1">IFERROR(__xludf.DUMMYFUNCTION("""COMPUTED_VALUE"""),"20210812CANOS")</f>
        <v>20210812CANOS</v>
      </c>
      <c r="B432" s="8" t="str">
        <f ca="1">IFERROR(__xludf.DUMMYFUNCTION("""COMPUTED_VALUE"""),"Handgun")</f>
        <v>Handgun</v>
      </c>
    </row>
    <row r="433" spans="1:2" ht="12.75">
      <c r="A433" s="8" t="str">
        <f ca="1">IFERROR(__xludf.DUMMYFUNCTION("""COMPUTED_VALUE"""),"20210811COMAC")</f>
        <v>20210811COMAC</v>
      </c>
      <c r="B433" s="8"/>
    </row>
    <row r="434" spans="1:2" ht="12.75">
      <c r="A434" s="8" t="str">
        <f ca="1">IFERROR(__xludf.DUMMYFUNCTION("""COMPUTED_VALUE"""),"20210811CAOAO")</f>
        <v>20210811CAOAO</v>
      </c>
      <c r="B434" s="8" t="str">
        <f ca="1">IFERROR(__xludf.DUMMYFUNCTION("""COMPUTED_VALUE"""),"Handgun")</f>
        <v>Handgun</v>
      </c>
    </row>
    <row r="435" spans="1:2" ht="12.75">
      <c r="A435" s="8" t="str">
        <f ca="1">IFERROR(__xludf.DUMMYFUNCTION("""COMPUTED_VALUE"""),"20210810OHEAC")</f>
        <v>20210810OHEAC</v>
      </c>
      <c r="B435" s="8" t="str">
        <f ca="1">IFERROR(__xludf.DUMMYFUNCTION("""COMPUTED_VALUE"""),"Handgun")</f>
        <v>Handgun</v>
      </c>
    </row>
    <row r="436" spans="1:2" ht="12.75">
      <c r="A436" s="8" t="str">
        <f ca="1">IFERROR(__xludf.DUMMYFUNCTION("""COMPUTED_VALUE"""),"20210807ORGIP")</f>
        <v>20210807ORGIP</v>
      </c>
      <c r="B436" s="8"/>
    </row>
    <row r="437" spans="1:2" ht="12.75">
      <c r="A437" s="8" t="str">
        <f ca="1">IFERROR(__xludf.DUMMYFUNCTION("""COMPUTED_VALUE"""),"20210806LASTH")</f>
        <v>20210806LASTH</v>
      </c>
      <c r="B437" s="8" t="str">
        <f ca="1">IFERROR(__xludf.DUMMYFUNCTION("""COMPUTED_VALUE"""),"Handgun")</f>
        <v>Handgun</v>
      </c>
    </row>
    <row r="438" spans="1:2" ht="12.75">
      <c r="A438" s="8" t="str">
        <f ca="1">IFERROR(__xludf.DUMMYFUNCTION("""COMPUTED_VALUE"""),"20210805GACHD")</f>
        <v>20210805GACHD</v>
      </c>
      <c r="B438" s="8"/>
    </row>
    <row r="439" spans="1:2" ht="12.75">
      <c r="A439" s="8" t="str">
        <f ca="1">IFERROR(__xludf.DUMMYFUNCTION("""COMPUTED_VALUE"""),"20210727WATYS")</f>
        <v>20210727WATYS</v>
      </c>
      <c r="B439" s="8" t="str">
        <f ca="1">IFERROR(__xludf.DUMMYFUNCTION("""COMPUTED_VALUE"""),"Handgun")</f>
        <v>Handgun</v>
      </c>
    </row>
    <row r="440" spans="1:2" ht="12.75">
      <c r="A440" s="8" t="str">
        <f ca="1">IFERROR(__xludf.DUMMYFUNCTION("""COMPUTED_VALUE"""),"20210721ILTHC")</f>
        <v>20210721ILTHC</v>
      </c>
      <c r="B440" s="8"/>
    </row>
    <row r="441" spans="1:2" ht="12.75">
      <c r="A441" s="8" t="str">
        <f ca="1">IFERROR(__xludf.DUMMYFUNCTION("""COMPUTED_VALUE"""),"20210719TXCAC")</f>
        <v>20210719TXCAC</v>
      </c>
      <c r="B441" s="8" t="str">
        <f ca="1">IFERROR(__xludf.DUMMYFUNCTION("""COMPUTED_VALUE"""),"Other")</f>
        <v>Other</v>
      </c>
    </row>
    <row r="442" spans="1:2" ht="12.75">
      <c r="A442" s="8" t="str">
        <f ca="1">IFERROR(__xludf.DUMMYFUNCTION("""COMPUTED_VALUE"""),"20210718ARFOL")</f>
        <v>20210718ARFOL</v>
      </c>
      <c r="B442" s="8" t="str">
        <f ca="1">IFERROR(__xludf.DUMMYFUNCTION("""COMPUTED_VALUE"""),"Handgun")</f>
        <v>Handgun</v>
      </c>
    </row>
    <row r="443" spans="1:2" ht="12.75">
      <c r="A443" s="8" t="str">
        <f ca="1">IFERROR(__xludf.DUMMYFUNCTION("""COMPUTED_VALUE"""),"20210709KSCAW")</f>
        <v>20210709KSCAW</v>
      </c>
      <c r="B443" s="8" t="str">
        <f ca="1">IFERROR(__xludf.DUMMYFUNCTION("""COMPUTED_VALUE"""),"Handgun")</f>
        <v>Handgun</v>
      </c>
    </row>
    <row r="444" spans="1:2" ht="12.75">
      <c r="A444" s="8" t="str">
        <f ca="1">IFERROR(__xludf.DUMMYFUNCTION("""COMPUTED_VALUE"""),"20210708ILBEC")</f>
        <v>20210708ILBEC</v>
      </c>
      <c r="B444" s="8" t="str">
        <f ca="1">IFERROR(__xludf.DUMMYFUNCTION("""COMPUTED_VALUE"""),"Handgun")</f>
        <v>Handgun</v>
      </c>
    </row>
    <row r="445" spans="1:2" ht="12.75">
      <c r="A445" s="8" t="str">
        <f ca="1">IFERROR(__xludf.DUMMYFUNCTION("""COMPUTED_VALUE"""),"20210704NYDRR")</f>
        <v>20210704NYDRR</v>
      </c>
      <c r="B445" s="8"/>
    </row>
    <row r="446" spans="1:2" ht="12.75">
      <c r="A446" s="8" t="str">
        <f ca="1">IFERROR(__xludf.DUMMYFUNCTION("""COMPUTED_VALUE"""),"20210628CASLF")</f>
        <v>20210628CASLF</v>
      </c>
      <c r="B446" s="8"/>
    </row>
    <row r="447" spans="1:2" ht="12.75">
      <c r="A447" s="8" t="str">
        <f ca="1">IFERROR(__xludf.DUMMYFUNCTION("""COMPUTED_VALUE"""),"20210624ILABR")</f>
        <v>20210624ILABR</v>
      </c>
      <c r="B447" s="8"/>
    </row>
    <row r="448" spans="1:2" ht="12.75">
      <c r="A448" s="8" t="str">
        <f ca="1">IFERROR(__xludf.DUMMYFUNCTION("""COMPUTED_VALUE"""),"20210620CAGRM")</f>
        <v>20210620CAGRM</v>
      </c>
      <c r="B448" s="8" t="str">
        <f ca="1">IFERROR(__xludf.DUMMYFUNCTION("""COMPUTED_VALUE"""),"Handgun")</f>
        <v>Handgun</v>
      </c>
    </row>
    <row r="449" spans="1:2" ht="12.75">
      <c r="A449" s="8" t="str">
        <f ca="1">IFERROR(__xludf.DUMMYFUNCTION("""COMPUTED_VALUE"""),"20210614TXEAF")</f>
        <v>20210614TXEAF</v>
      </c>
      <c r="B449" s="8" t="str">
        <f ca="1">IFERROR(__xludf.DUMMYFUNCTION("""COMPUTED_VALUE"""),"Handgun")</f>
        <v>Handgun</v>
      </c>
    </row>
    <row r="450" spans="1:2" ht="12.75">
      <c r="A450" s="8" t="str">
        <f ca="1">IFERROR(__xludf.DUMMYFUNCTION("""COMPUTED_VALUE"""),"20210614NCROR")</f>
        <v>20210614NCROR</v>
      </c>
      <c r="B450" s="8" t="str">
        <f ca="1">IFERROR(__xludf.DUMMYFUNCTION("""COMPUTED_VALUE"""),"Multiple Handguns")</f>
        <v>Multiple Handguns</v>
      </c>
    </row>
    <row r="451" spans="1:2" ht="12.75">
      <c r="A451" s="8" t="str">
        <f ca="1">IFERROR(__xludf.DUMMYFUNCTION("""COMPUTED_VALUE"""),"20210614NCRJW")</f>
        <v>20210614NCRJW</v>
      </c>
      <c r="B451" s="8" t="str">
        <f ca="1">IFERROR(__xludf.DUMMYFUNCTION("""COMPUTED_VALUE"""),"Handgun")</f>
        <v>Handgun</v>
      </c>
    </row>
    <row r="452" spans="1:2" ht="12.75">
      <c r="A452" s="8" t="str">
        <f ca="1">IFERROR(__xludf.DUMMYFUNCTION("""COMPUTED_VALUE"""),"20210614NCRJW")</f>
        <v>20210614NCRJW</v>
      </c>
      <c r="B452" s="8" t="str">
        <f ca="1">IFERROR(__xludf.DUMMYFUNCTION("""COMPUTED_VALUE"""),"Rifle")</f>
        <v>Rifle</v>
      </c>
    </row>
    <row r="453" spans="1:2" ht="12.75">
      <c r="A453" s="8" t="str">
        <f ca="1">IFERROR(__xludf.DUMMYFUNCTION("""COMPUTED_VALUE"""),"20210613PAWIP")</f>
        <v>20210613PAWIP</v>
      </c>
      <c r="B453" s="8" t="str">
        <f ca="1">IFERROR(__xludf.DUMMYFUNCTION("""COMPUTED_VALUE"""),"Handgun")</f>
        <v>Handgun</v>
      </c>
    </row>
    <row r="454" spans="1:2" ht="12.75">
      <c r="A454" s="8" t="str">
        <f ca="1">IFERROR(__xludf.DUMMYFUNCTION("""COMPUTED_VALUE"""),"20210613PAPAC")</f>
        <v>20210613PAPAC</v>
      </c>
      <c r="B454" s="8"/>
    </row>
    <row r="455" spans="1:2" ht="12.75">
      <c r="A455" s="8" t="str">
        <f ca="1">IFERROR(__xludf.DUMMYFUNCTION("""COMPUTED_VALUE"""),"20210612MOMCF")</f>
        <v>20210612MOMCF</v>
      </c>
      <c r="B455" s="8" t="str">
        <f ca="1">IFERROR(__xludf.DUMMYFUNCTION("""COMPUTED_VALUE"""),"Handgun")</f>
        <v>Handgun</v>
      </c>
    </row>
    <row r="456" spans="1:2" ht="12.75">
      <c r="A456" s="8" t="str">
        <f ca="1">IFERROR(__xludf.DUMMYFUNCTION("""COMPUTED_VALUE"""),"20210610CTHOW")</f>
        <v>20210610CTHOW</v>
      </c>
      <c r="B456" s="8" t="str">
        <f ca="1">IFERROR(__xludf.DUMMYFUNCTION("""COMPUTED_VALUE"""),"Multiple Handguns")</f>
        <v>Multiple Handguns</v>
      </c>
    </row>
    <row r="457" spans="1:2" ht="12.75">
      <c r="A457" s="8" t="str">
        <f ca="1">IFERROR(__xludf.DUMMYFUNCTION("""COMPUTED_VALUE"""),"20210609VAWIR")</f>
        <v>20210609VAWIR</v>
      </c>
      <c r="B457" s="8" t="str">
        <f ca="1">IFERROR(__xludf.DUMMYFUNCTION("""COMPUTED_VALUE"""),"Handgun")</f>
        <v>Handgun</v>
      </c>
    </row>
    <row r="458" spans="1:2" ht="12.75">
      <c r="A458" s="8" t="str">
        <f ca="1">IFERROR(__xludf.DUMMYFUNCTION("""COMPUTED_VALUE"""),"20210609TXNOH")</f>
        <v>20210609TXNOH</v>
      </c>
      <c r="B458" s="8" t="str">
        <f ca="1">IFERROR(__xludf.DUMMYFUNCTION("""COMPUTED_VALUE"""),"Handgun")</f>
        <v>Handgun</v>
      </c>
    </row>
    <row r="459" spans="1:2" ht="12.75">
      <c r="A459" s="8" t="str">
        <f ca="1">IFERROR(__xludf.DUMMYFUNCTION("""COMPUTED_VALUE"""),"20210608PAMUS")</f>
        <v>20210608PAMUS</v>
      </c>
      <c r="B459" s="8" t="str">
        <f ca="1">IFERROR(__xludf.DUMMYFUNCTION("""COMPUTED_VALUE"""),"Handgun")</f>
        <v>Handgun</v>
      </c>
    </row>
    <row r="460" spans="1:2" ht="12.75">
      <c r="A460" s="8" t="str">
        <f ca="1">IFERROR(__xludf.DUMMYFUNCTION("""COMPUTED_VALUE"""),"20210608KSHAK")</f>
        <v>20210608KSHAK</v>
      </c>
      <c r="B460" s="8"/>
    </row>
    <row r="461" spans="1:2" ht="12.75">
      <c r="A461" s="8" t="str">
        <f ca="1">IFERROR(__xludf.DUMMYFUNCTION("""COMPUTED_VALUE"""),"20210607TXEAF")</f>
        <v>20210607TXEAF</v>
      </c>
      <c r="B461" s="8" t="str">
        <f ca="1">IFERROR(__xludf.DUMMYFUNCTION("""COMPUTED_VALUE"""),"Handgun")</f>
        <v>Handgun</v>
      </c>
    </row>
    <row r="462" spans="1:2" ht="12.75">
      <c r="A462" s="8" t="str">
        <f ca="1">IFERROR(__xludf.DUMMYFUNCTION("""COMPUTED_VALUE"""),"20210606VADRA")</f>
        <v>20210606VADRA</v>
      </c>
      <c r="B462" s="8" t="str">
        <f ca="1">IFERROR(__xludf.DUMMYFUNCTION("""COMPUTED_VALUE"""),"Multiple Handguns")</f>
        <v>Multiple Handguns</v>
      </c>
    </row>
    <row r="463" spans="1:2" ht="12.75">
      <c r="A463" s="8" t="str">
        <f ca="1">IFERROR(__xludf.DUMMYFUNCTION("""COMPUTED_VALUE"""),"20210601ILLIC")</f>
        <v>20210601ILLIC</v>
      </c>
      <c r="B463" s="8" t="str">
        <f ca="1">IFERROR(__xludf.DUMMYFUNCTION("""COMPUTED_VALUE"""),"Handgun")</f>
        <v>Handgun</v>
      </c>
    </row>
    <row r="464" spans="1:2" ht="12.75">
      <c r="A464" s="8" t="str">
        <f ca="1">IFERROR(__xludf.DUMMYFUNCTION("""COMPUTED_VALUE"""),"20210525NJPAP")</f>
        <v>20210525NJPAP</v>
      </c>
      <c r="B464" s="8" t="str">
        <f ca="1">IFERROR(__xludf.DUMMYFUNCTION("""COMPUTED_VALUE"""),"Rifle")</f>
        <v>Rifle</v>
      </c>
    </row>
    <row r="465" spans="1:2" ht="12.75">
      <c r="A465" s="8" t="str">
        <f ca="1">IFERROR(__xludf.DUMMYFUNCTION("""COMPUTED_VALUE"""),"20210517TXBRE")</f>
        <v>20210517TXBRE</v>
      </c>
      <c r="B465" s="8" t="str">
        <f ca="1">IFERROR(__xludf.DUMMYFUNCTION("""COMPUTED_VALUE"""),"Other")</f>
        <v>Other</v>
      </c>
    </row>
    <row r="466" spans="1:2" ht="12.75">
      <c r="A466" s="8" t="str">
        <f ca="1">IFERROR(__xludf.DUMMYFUNCTION("""COMPUTED_VALUE"""),"20210517TNAUM")</f>
        <v>20210517TNAUM</v>
      </c>
      <c r="B466" s="8" t="str">
        <f ca="1">IFERROR(__xludf.DUMMYFUNCTION("""COMPUTED_VALUE"""),"Handgun")</f>
        <v>Handgun</v>
      </c>
    </row>
    <row r="467" spans="1:2" ht="12.75">
      <c r="A467" s="8" t="str">
        <f ca="1">IFERROR(__xludf.DUMMYFUNCTION("""COMPUTED_VALUE"""),"20210517MDLOC")</f>
        <v>20210517MDLOC</v>
      </c>
      <c r="B467" s="8" t="str">
        <f ca="1">IFERROR(__xludf.DUMMYFUNCTION("""COMPUTED_VALUE"""),"Multiple Handguns")</f>
        <v>Multiple Handguns</v>
      </c>
    </row>
    <row r="468" spans="1:2" ht="12.75">
      <c r="A468" s="8" t="str">
        <f ca="1">IFERROR(__xludf.DUMMYFUNCTION("""COMPUTED_VALUE"""),"20210514CASAS")</f>
        <v>20210514CASAS</v>
      </c>
      <c r="B468" s="8" t="str">
        <f ca="1">IFERROR(__xludf.DUMMYFUNCTION("""COMPUTED_VALUE"""),"Handgun")</f>
        <v>Handgun</v>
      </c>
    </row>
    <row r="469" spans="1:2" ht="12.75">
      <c r="A469" s="8" t="str">
        <f ca="1">IFERROR(__xludf.DUMMYFUNCTION("""COMPUTED_VALUE"""),"20210511NYPSB")</f>
        <v>20210511NYPSB</v>
      </c>
      <c r="B469" s="8" t="str">
        <f ca="1">IFERROR(__xludf.DUMMYFUNCTION("""COMPUTED_VALUE"""),"Handgun")</f>
        <v>Handgun</v>
      </c>
    </row>
    <row r="470" spans="1:2" ht="12.75">
      <c r="A470" s="8" t="str">
        <f ca="1">IFERROR(__xludf.DUMMYFUNCTION("""COMPUTED_VALUE"""),"20210511CAVEL")</f>
        <v>20210511CAVEL</v>
      </c>
      <c r="B470" s="8" t="str">
        <f ca="1">IFERROR(__xludf.DUMMYFUNCTION("""COMPUTED_VALUE"""),"Other")</f>
        <v>Other</v>
      </c>
    </row>
    <row r="471" spans="1:2" ht="12.75">
      <c r="A471" s="8" t="str">
        <f ca="1">IFERROR(__xludf.DUMMYFUNCTION("""COMPUTED_VALUE"""),"20210506SCFOC")</f>
        <v>20210506SCFOC</v>
      </c>
      <c r="B471" s="8" t="str">
        <f ca="1">IFERROR(__xludf.DUMMYFUNCTION("""COMPUTED_VALUE"""),"Rifle")</f>
        <v>Rifle</v>
      </c>
    </row>
    <row r="472" spans="1:2" ht="12.75">
      <c r="A472" s="8" t="str">
        <f ca="1">IFERROR(__xludf.DUMMYFUNCTION("""COMPUTED_VALUE"""),"20210506IDRIR")</f>
        <v>20210506IDRIR</v>
      </c>
      <c r="B472" s="8" t="str">
        <f ca="1">IFERROR(__xludf.DUMMYFUNCTION("""COMPUTED_VALUE"""),"Handgun")</f>
        <v>Handgun</v>
      </c>
    </row>
    <row r="473" spans="1:2" ht="12.75">
      <c r="A473" s="8" t="str">
        <f ca="1">IFERROR(__xludf.DUMMYFUNCTION("""COMPUTED_VALUE"""),"20210505SCWAW")</f>
        <v>20210505SCWAW</v>
      </c>
      <c r="B473" s="8" t="str">
        <f ca="1">IFERROR(__xludf.DUMMYFUNCTION("""COMPUTED_VALUE"""),"Handgun")</f>
        <v>Handgun</v>
      </c>
    </row>
    <row r="474" spans="1:2" ht="12.75">
      <c r="A474" s="8" t="str">
        <f ca="1">IFERROR(__xludf.DUMMYFUNCTION("""COMPUTED_VALUE"""),"20210505MICRC")</f>
        <v>20210505MICRC</v>
      </c>
      <c r="B474" s="8" t="str">
        <f ca="1">IFERROR(__xludf.DUMMYFUNCTION("""COMPUTED_VALUE"""),"Handgun")</f>
        <v>Handgun</v>
      </c>
    </row>
    <row r="475" spans="1:2" ht="12.75">
      <c r="A475" s="8" t="str">
        <f ca="1">IFERROR(__xludf.DUMMYFUNCTION("""COMPUTED_VALUE"""),"20210502ILCHC")</f>
        <v>20210502ILCHC</v>
      </c>
      <c r="B475" s="8" t="str">
        <f ca="1">IFERROR(__xludf.DUMMYFUNCTION("""COMPUTED_VALUE"""),"Multiple Handguns")</f>
        <v>Multiple Handguns</v>
      </c>
    </row>
    <row r="476" spans="1:2" ht="12.75">
      <c r="A476" s="8" t="str">
        <f ca="1">IFERROR(__xludf.DUMMYFUNCTION("""COMPUTED_VALUE"""),"20210501MNBES")</f>
        <v>20210501MNBES</v>
      </c>
      <c r="B476" s="8" t="str">
        <f ca="1">IFERROR(__xludf.DUMMYFUNCTION("""COMPUTED_VALUE"""),"Multiple Handguns")</f>
        <v>Multiple Handguns</v>
      </c>
    </row>
    <row r="477" spans="1:2" ht="12.75">
      <c r="A477" s="8" t="str">
        <f ca="1">IFERROR(__xludf.DUMMYFUNCTION("""COMPUTED_VALUE"""),"20210430INMAI")</f>
        <v>20210430INMAI</v>
      </c>
      <c r="B477" s="8" t="str">
        <f ca="1">IFERROR(__xludf.DUMMYFUNCTION("""COMPUTED_VALUE"""),"Handgun")</f>
        <v>Handgun</v>
      </c>
    </row>
    <row r="478" spans="1:2" ht="12.75">
      <c r="A478" s="8" t="str">
        <f ca="1">IFERROR(__xludf.DUMMYFUNCTION("""COMPUTED_VALUE"""),"20210429NYURB")</f>
        <v>20210429NYURB</v>
      </c>
      <c r="B478" s="8" t="str">
        <f ca="1">IFERROR(__xludf.DUMMYFUNCTION("""COMPUTED_VALUE"""),"Multiple Handguns")</f>
        <v>Multiple Handguns</v>
      </c>
    </row>
    <row r="479" spans="1:2" ht="12.75">
      <c r="A479" s="8" t="str">
        <f ca="1">IFERROR(__xludf.DUMMYFUNCTION("""COMPUTED_VALUE"""),"20210429CAVIV")</f>
        <v>20210429CAVIV</v>
      </c>
      <c r="B479" s="8" t="str">
        <f ca="1">IFERROR(__xludf.DUMMYFUNCTION("""COMPUTED_VALUE"""),"Handgun")</f>
        <v>Handgun</v>
      </c>
    </row>
    <row r="480" spans="1:2" ht="12.75">
      <c r="A480" s="8" t="str">
        <f ca="1">IFERROR(__xludf.DUMMYFUNCTION("""COMPUTED_VALUE"""),"20210427TNLAM")</f>
        <v>20210427TNLAM</v>
      </c>
      <c r="B480" s="8" t="str">
        <f ca="1">IFERROR(__xludf.DUMMYFUNCTION("""COMPUTED_VALUE"""),"Handgun")</f>
        <v>Handgun</v>
      </c>
    </row>
    <row r="481" spans="1:2" ht="12.75">
      <c r="A481" s="8" t="str">
        <f ca="1">IFERROR(__xludf.DUMMYFUNCTION("""COMPUTED_VALUE"""),"20210427DESMS")</f>
        <v>20210427DESMS</v>
      </c>
      <c r="B481" s="8" t="str">
        <f ca="1">IFERROR(__xludf.DUMMYFUNCTION("""COMPUTED_VALUE"""),"Handgun")</f>
        <v>Handgun</v>
      </c>
    </row>
    <row r="482" spans="1:2" ht="12.75">
      <c r="A482" s="8" t="str">
        <f ca="1">IFERROR(__xludf.DUMMYFUNCTION("""COMPUTED_VALUE"""),"20210426MNPLP")</f>
        <v>20210426MNPLP</v>
      </c>
      <c r="B482" s="8" t="str">
        <f ca="1">IFERROR(__xludf.DUMMYFUNCTION("""COMPUTED_VALUE"""),"Handgun")</f>
        <v>Handgun</v>
      </c>
    </row>
    <row r="483" spans="1:2" ht="12.75">
      <c r="A483" s="8" t="str">
        <f ca="1">IFERROR(__xludf.DUMMYFUNCTION("""COMPUTED_VALUE"""),"20210420TXHAH")</f>
        <v>20210420TXHAH</v>
      </c>
      <c r="B483" s="8" t="str">
        <f ca="1">IFERROR(__xludf.DUMMYFUNCTION("""COMPUTED_VALUE"""),"Handgun")</f>
        <v>Handgun</v>
      </c>
    </row>
    <row r="484" spans="1:2" ht="12.75">
      <c r="A484" s="8" t="str">
        <f ca="1">IFERROR(__xludf.DUMMYFUNCTION("""COMPUTED_VALUE"""),"20210418OHWED")</f>
        <v>20210418OHWED</v>
      </c>
      <c r="B484" s="8" t="str">
        <f ca="1">IFERROR(__xludf.DUMMYFUNCTION("""COMPUTED_VALUE"""),"Handgun")</f>
        <v>Handgun</v>
      </c>
    </row>
    <row r="485" spans="1:2" ht="12.75">
      <c r="A485" s="8" t="str">
        <f ca="1">IFERROR(__xludf.DUMMYFUNCTION("""COMPUTED_VALUE"""),"20210413TNMAC")</f>
        <v>20210413TNMAC</v>
      </c>
      <c r="B485" s="8" t="str">
        <f ca="1">IFERROR(__xludf.DUMMYFUNCTION("""COMPUTED_VALUE"""),"Handgun")</f>
        <v>Handgun</v>
      </c>
    </row>
    <row r="486" spans="1:2" ht="12.75">
      <c r="A486" s="8" t="str">
        <f ca="1">IFERROR(__xludf.DUMMYFUNCTION("""COMPUTED_VALUE"""),"20210412TNAUK")</f>
        <v>20210412TNAUK</v>
      </c>
      <c r="B486" s="8"/>
    </row>
    <row r="487" spans="1:2" ht="12.75">
      <c r="A487" s="8" t="str">
        <f ca="1">IFERROR(__xludf.DUMMYFUNCTION("""COMPUTED_VALUE"""),"20210412CASAS")</f>
        <v>20210412CASAS</v>
      </c>
      <c r="B487" s="8" t="str">
        <f ca="1">IFERROR(__xludf.DUMMYFUNCTION("""COMPUTED_VALUE"""),"Rifle")</f>
        <v>Rifle</v>
      </c>
    </row>
    <row r="488" spans="1:2" ht="12.75">
      <c r="A488" s="8" t="str">
        <f ca="1">IFERROR(__xludf.DUMMYFUNCTION("""COMPUTED_VALUE"""),"20210412CASAS")</f>
        <v>20210412CASAS</v>
      </c>
      <c r="B488" s="8" t="str">
        <f ca="1">IFERROR(__xludf.DUMMYFUNCTION("""COMPUTED_VALUE"""),"Handgun")</f>
        <v>Handgun</v>
      </c>
    </row>
    <row r="489" spans="1:2" ht="12.75">
      <c r="A489" s="8" t="str">
        <f ca="1">IFERROR(__xludf.DUMMYFUNCTION("""COMPUTED_VALUE"""),"20210411INBIH")</f>
        <v>20210411INBIH</v>
      </c>
      <c r="B489" s="8" t="str">
        <f ca="1">IFERROR(__xludf.DUMMYFUNCTION("""COMPUTED_VALUE"""),"Handgun")</f>
        <v>Handgun</v>
      </c>
    </row>
    <row r="490" spans="1:2" ht="12.75">
      <c r="A490" s="8" t="str">
        <f ca="1">IFERROR(__xludf.DUMMYFUNCTION("""COMPUTED_VALUE"""),"20210407ILPEP")</f>
        <v>20210407ILPEP</v>
      </c>
      <c r="B490" s="8" t="str">
        <f ca="1">IFERROR(__xludf.DUMMYFUNCTION("""COMPUTED_VALUE"""),"Handgun")</f>
        <v>Handgun</v>
      </c>
    </row>
    <row r="491" spans="1:2" ht="12.75">
      <c r="A491" s="8" t="str">
        <f ca="1">IFERROR(__xludf.DUMMYFUNCTION("""COMPUTED_VALUE"""),"20210406ILBAC")</f>
        <v>20210406ILBAC</v>
      </c>
      <c r="B491" s="8" t="str">
        <f ca="1">IFERROR(__xludf.DUMMYFUNCTION("""COMPUTED_VALUE"""),"Other")</f>
        <v>Other</v>
      </c>
    </row>
    <row r="492" spans="1:2" ht="12.75">
      <c r="A492" s="8" t="str">
        <f ca="1">IFERROR(__xludf.DUMMYFUNCTION("""COMPUTED_VALUE"""),"20210401OKCLC")</f>
        <v>20210401OKCLC</v>
      </c>
      <c r="B492" s="8" t="str">
        <f ca="1">IFERROR(__xludf.DUMMYFUNCTION("""COMPUTED_VALUE"""),"Other")</f>
        <v>Other</v>
      </c>
    </row>
    <row r="493" spans="1:2" ht="12.75">
      <c r="A493" s="8" t="str">
        <f ca="1">IFERROR(__xludf.DUMMYFUNCTION("""COMPUTED_VALUE"""),"20210401ALSES")</f>
        <v>20210401ALSES</v>
      </c>
      <c r="B493" s="8" t="str">
        <f ca="1">IFERROR(__xludf.DUMMYFUNCTION("""COMPUTED_VALUE"""),"Handgun")</f>
        <v>Handgun</v>
      </c>
    </row>
    <row r="494" spans="1:2" ht="12.75">
      <c r="A494" s="8" t="str">
        <f ca="1">IFERROR(__xludf.DUMMYFUNCTION("""COMPUTED_VALUE"""),"20210327MAPEC")</f>
        <v>20210327MAPEC</v>
      </c>
      <c r="B494" s="8"/>
    </row>
    <row r="495" spans="1:2" ht="12.75">
      <c r="A495" s="8" t="str">
        <f ca="1">IFERROR(__xludf.DUMMYFUNCTION("""COMPUTED_VALUE"""),"20210326MOCAS")</f>
        <v>20210326MOCAS</v>
      </c>
      <c r="B495" s="8" t="str">
        <f ca="1">IFERROR(__xludf.DUMMYFUNCTION("""COMPUTED_VALUE"""),"Handgun")</f>
        <v>Handgun</v>
      </c>
    </row>
    <row r="496" spans="1:2" ht="12.75">
      <c r="A496" s="8" t="str">
        <f ca="1">IFERROR(__xludf.DUMMYFUNCTION("""COMPUTED_VALUE"""),"20210324ORFOS")</f>
        <v>20210324ORFOS</v>
      </c>
      <c r="B496" s="8" t="str">
        <f ca="1">IFERROR(__xludf.DUMMYFUNCTION("""COMPUTED_VALUE"""),"Handgun")</f>
        <v>Handgun</v>
      </c>
    </row>
    <row r="497" spans="1:2" ht="12.75">
      <c r="A497" s="8" t="str">
        <f ca="1">IFERROR(__xludf.DUMMYFUNCTION("""COMPUTED_VALUE"""),"20210319WVSPM")</f>
        <v>20210319WVSPM</v>
      </c>
      <c r="B497" s="8" t="str">
        <f ca="1">IFERROR(__xludf.DUMMYFUNCTION("""COMPUTED_VALUE"""),"Other")</f>
        <v>Other</v>
      </c>
    </row>
    <row r="498" spans="1:2" ht="12.75">
      <c r="A498" s="8" t="str">
        <f ca="1">IFERROR(__xludf.DUMMYFUNCTION("""COMPUTED_VALUE"""),"20210318KYGRL")</f>
        <v>20210318KYGRL</v>
      </c>
      <c r="B498" s="8" t="str">
        <f ca="1">IFERROR(__xludf.DUMMYFUNCTION("""COMPUTED_VALUE"""),"Handgun")</f>
        <v>Handgun</v>
      </c>
    </row>
    <row r="499" spans="1:2" ht="12.75">
      <c r="A499" s="8" t="str">
        <f ca="1">IFERROR(__xludf.DUMMYFUNCTION("""COMPUTED_VALUE"""),"20210315INMEM")</f>
        <v>20210315INMEM</v>
      </c>
      <c r="B499" s="8" t="str">
        <f ca="1">IFERROR(__xludf.DUMMYFUNCTION("""COMPUTED_VALUE"""),"Multiple Handguns")</f>
        <v>Multiple Handguns</v>
      </c>
    </row>
    <row r="500" spans="1:2" ht="12.75">
      <c r="A500" s="8" t="str">
        <f ca="1">IFERROR(__xludf.DUMMYFUNCTION("""COMPUTED_VALUE"""),"20210313TXLEA")</f>
        <v>20210313TXLEA</v>
      </c>
      <c r="B500" s="8" t="str">
        <f ca="1">IFERROR(__xludf.DUMMYFUNCTION("""COMPUTED_VALUE"""),"Handgun")</f>
        <v>Handgun</v>
      </c>
    </row>
    <row r="501" spans="1:2" ht="12.75">
      <c r="A501" s="8" t="str">
        <f ca="1">IFERROR(__xludf.DUMMYFUNCTION("""COMPUTED_VALUE"""),"20210311OHCIC")</f>
        <v>20210311OHCIC</v>
      </c>
      <c r="B501" s="8"/>
    </row>
    <row r="502" spans="1:2" ht="12.75">
      <c r="A502" s="8" t="str">
        <f ca="1">IFERROR(__xludf.DUMMYFUNCTION("""COMPUTED_VALUE"""),"20210309TNSAK")</f>
        <v>20210309TNSAK</v>
      </c>
      <c r="B502" s="8" t="str">
        <f ca="1">IFERROR(__xludf.DUMMYFUNCTION("""COMPUTED_VALUE"""),"Handgun")</f>
        <v>Handgun</v>
      </c>
    </row>
    <row r="503" spans="1:2" ht="12.75">
      <c r="A503" s="8" t="str">
        <f ca="1">IFERROR(__xludf.DUMMYFUNCTION("""COMPUTED_VALUE"""),"20210309OHBIC")</f>
        <v>20210309OHBIC</v>
      </c>
      <c r="B503" s="8"/>
    </row>
    <row r="504" spans="1:2" ht="12.75">
      <c r="A504" s="8" t="str">
        <f ca="1">IFERROR(__xludf.DUMMYFUNCTION("""COMPUTED_VALUE"""),"20210308SCEDC")</f>
        <v>20210308SCEDC</v>
      </c>
      <c r="B504" s="8" t="str">
        <f ca="1">IFERROR(__xludf.DUMMYFUNCTION("""COMPUTED_VALUE"""),"Handgun")</f>
        <v>Handgun</v>
      </c>
    </row>
    <row r="505" spans="1:2" ht="12.75">
      <c r="A505" s="8" t="str">
        <f ca="1">IFERROR(__xludf.DUMMYFUNCTION("""COMPUTED_VALUE"""),"20210301ARWAP")</f>
        <v>20210301ARWAP</v>
      </c>
      <c r="B505" s="8" t="str">
        <f ca="1">IFERROR(__xludf.DUMMYFUNCTION("""COMPUTED_VALUE"""),"Handgun")</f>
        <v>Handgun</v>
      </c>
    </row>
    <row r="506" spans="1:2" ht="12.75">
      <c r="A506" s="8" t="str">
        <f ca="1">IFERROR(__xludf.DUMMYFUNCTION("""COMPUTED_VALUE"""),"20210226LAGEN")</f>
        <v>20210226LAGEN</v>
      </c>
      <c r="B506" s="8" t="str">
        <f ca="1">IFERROR(__xludf.DUMMYFUNCTION("""COMPUTED_VALUE"""),"Handgun")</f>
        <v>Handgun</v>
      </c>
    </row>
    <row r="507" spans="1:2" ht="12.75">
      <c r="A507" s="8" t="str">
        <f ca="1">IFERROR(__xludf.DUMMYFUNCTION("""COMPUTED_VALUE"""),"20210224WAGAY")</f>
        <v>20210224WAGAY</v>
      </c>
      <c r="B507" s="8" t="str">
        <f ca="1">IFERROR(__xludf.DUMMYFUNCTION("""COMPUTED_VALUE"""),"Handgun")</f>
        <v>Handgun</v>
      </c>
    </row>
    <row r="508" spans="1:2" ht="12.75">
      <c r="A508" s="8" t="str">
        <f ca="1">IFERROR(__xludf.DUMMYFUNCTION("""COMPUTED_VALUE"""),"20210222CAHOV")</f>
        <v>20210222CAHOV</v>
      </c>
      <c r="B508" s="8"/>
    </row>
    <row r="509" spans="1:2" ht="12.75">
      <c r="A509" s="8" t="str">
        <f ca="1">IFERROR(__xludf.DUMMYFUNCTION("""COMPUTED_VALUE"""),"20210219ILLIR")</f>
        <v>20210219ILLIR</v>
      </c>
      <c r="B509" s="8"/>
    </row>
    <row r="510" spans="1:2" ht="12.75">
      <c r="A510" s="8" t="str">
        <f ca="1">IFERROR(__xludf.DUMMYFUNCTION("""COMPUTED_VALUE"""),"20210217TNKNK")</f>
        <v>20210217TNKNK</v>
      </c>
      <c r="B510" s="8"/>
    </row>
    <row r="511" spans="1:2" ht="12.75">
      <c r="A511" s="8" t="str">
        <f ca="1">IFERROR(__xludf.DUMMYFUNCTION("""COMPUTED_VALUE"""),"20210216NCTHS")</f>
        <v>20210216NCTHS</v>
      </c>
      <c r="B511" s="8" t="str">
        <f ca="1">IFERROR(__xludf.DUMMYFUNCTION("""COMPUTED_VALUE"""),"Other")</f>
        <v>Other</v>
      </c>
    </row>
    <row r="512" spans="1:2" ht="12.75">
      <c r="A512" s="8" t="str">
        <f ca="1">IFERROR(__xludf.DUMMYFUNCTION("""COMPUTED_VALUE"""),"20210214MNROM")</f>
        <v>20210214MNROM</v>
      </c>
      <c r="B512" s="8"/>
    </row>
    <row r="513" spans="1:2" ht="12.75">
      <c r="A513" s="8" t="str">
        <f ca="1">IFERROR(__xludf.DUMMYFUNCTION("""COMPUTED_VALUE"""),"20210210TXFOF")</f>
        <v>20210210TXFOF</v>
      </c>
      <c r="B513" s="8"/>
    </row>
    <row r="514" spans="1:2" ht="12.75">
      <c r="A514" s="8" t="str">
        <f ca="1">IFERROR(__xludf.DUMMYFUNCTION("""COMPUTED_VALUE"""),"20210210NJSCP")</f>
        <v>20210210NJSCP</v>
      </c>
      <c r="B514" s="8"/>
    </row>
    <row r="515" spans="1:2" ht="12.75">
      <c r="A515" s="8" t="str">
        <f ca="1">IFERROR(__xludf.DUMMYFUNCTION("""COMPUTED_VALUE"""),"20210210LASTS")</f>
        <v>20210210LASTS</v>
      </c>
      <c r="B515" s="8"/>
    </row>
    <row r="516" spans="1:2" ht="12.75">
      <c r="A516" s="8" t="str">
        <f ca="1">IFERROR(__xludf.DUMMYFUNCTION("""COMPUTED_VALUE"""),"20210208MISCG")</f>
        <v>20210208MISCG</v>
      </c>
      <c r="B516" s="8"/>
    </row>
    <row r="517" spans="1:2" ht="12.75">
      <c r="A517" s="8" t="str">
        <f ca="1">IFERROR(__xludf.DUMMYFUNCTION("""COMPUTED_VALUE"""),"20210205MDBEM")</f>
        <v>20210205MDBEM</v>
      </c>
      <c r="B517" s="8"/>
    </row>
    <row r="518" spans="1:2" ht="12.75">
      <c r="A518" s="8" t="str">
        <f ca="1">IFERROR(__xludf.DUMMYFUNCTION("""COMPUTED_VALUE"""),"20210201MIMUD")</f>
        <v>20210201MIMUD</v>
      </c>
      <c r="B518" s="8" t="str">
        <f ca="1">IFERROR(__xludf.DUMMYFUNCTION("""COMPUTED_VALUE"""),"Handgun")</f>
        <v>Handgun</v>
      </c>
    </row>
    <row r="519" spans="1:2" ht="12.75">
      <c r="A519" s="8" t="str">
        <f ca="1">IFERROR(__xludf.DUMMYFUNCTION("""COMPUTED_VALUE"""),"20210127MSHAH")</f>
        <v>20210127MSHAH</v>
      </c>
      <c r="B519" s="8" t="str">
        <f ca="1">IFERROR(__xludf.DUMMYFUNCTION("""COMPUTED_VALUE"""),"Handgun")</f>
        <v>Handgun</v>
      </c>
    </row>
    <row r="520" spans="1:2" ht="12.75">
      <c r="A520" s="8" t="str">
        <f ca="1">IFERROR(__xludf.DUMMYFUNCTION("""COMPUTED_VALUE"""),"20210127FLHOH")</f>
        <v>20210127FLHOH</v>
      </c>
      <c r="B520" s="8" t="str">
        <f ca="1">IFERROR(__xludf.DUMMYFUNCTION("""COMPUTED_VALUE"""),"Other")</f>
        <v>Other</v>
      </c>
    </row>
    <row r="521" spans="1:2" ht="12.75">
      <c r="A521" s="8" t="str">
        <f ca="1">IFERROR(__xludf.DUMMYFUNCTION("""COMPUTED_VALUE"""),"20210121OKLOG")</f>
        <v>20210121OKLOG</v>
      </c>
      <c r="B521" s="8" t="str">
        <f ca="1">IFERROR(__xludf.DUMMYFUNCTION("""COMPUTED_VALUE"""),"Handgun")</f>
        <v>Handgun</v>
      </c>
    </row>
    <row r="522" spans="1:2" ht="12.75">
      <c r="A522" s="8" t="str">
        <f ca="1">IFERROR(__xludf.DUMMYFUNCTION("""COMPUTED_VALUE"""),"20210121OHEAC")</f>
        <v>20210121OHEAC</v>
      </c>
      <c r="B522" s="8" t="str">
        <f ca="1">IFERROR(__xludf.DUMMYFUNCTION("""COMPUTED_VALUE"""),"Handgun")</f>
        <v>Handgun</v>
      </c>
    </row>
    <row r="523" spans="1:2" ht="12.75">
      <c r="A523" s="8" t="str">
        <f ca="1">IFERROR(__xludf.DUMMYFUNCTION("""COMPUTED_VALUE"""),"20210114MDHIW")</f>
        <v>20210114MDHIW</v>
      </c>
      <c r="B523" s="8"/>
    </row>
    <row r="524" spans="1:2" ht="12.75">
      <c r="A524" s="8" t="str">
        <f ca="1">IFERROR(__xludf.DUMMYFUNCTION("""COMPUTED_VALUE"""),"20210110ILSOS")</f>
        <v>20210110ILSOS</v>
      </c>
      <c r="B524" s="8"/>
    </row>
    <row r="525" spans="1:2" ht="12.75">
      <c r="A525" s="8" t="str">
        <f ca="1">IFERROR(__xludf.DUMMYFUNCTION("""COMPUTED_VALUE"""),"20210104NYPEJ")</f>
        <v>20210104NYPEJ</v>
      </c>
      <c r="B525" s="8" t="str">
        <f ca="1">IFERROR(__xludf.DUMMYFUNCTION("""COMPUTED_VALUE"""),"Handgun")</f>
        <v>Handgun</v>
      </c>
    </row>
    <row r="526" spans="1:2" ht="12.75">
      <c r="A526" s="8" t="str">
        <f ca="1">IFERROR(__xludf.DUMMYFUNCTION("""COMPUTED_VALUE"""),"20201229WAROS")</f>
        <v>20201229WAROS</v>
      </c>
      <c r="B526" s="8" t="str">
        <f ca="1">IFERROR(__xludf.DUMMYFUNCTION("""COMPUTED_VALUE"""),"Handgun")</f>
        <v>Handgun</v>
      </c>
    </row>
    <row r="527" spans="1:2" ht="12.75">
      <c r="A527" s="8" t="str">
        <f ca="1">IFERROR(__xludf.DUMMYFUNCTION("""COMPUTED_VALUE"""),"20201225FLYOP")</f>
        <v>20201225FLYOP</v>
      </c>
      <c r="B527" s="8" t="str">
        <f ca="1">IFERROR(__xludf.DUMMYFUNCTION("""COMPUTED_VALUE"""),"Handgun")</f>
        <v>Handgun</v>
      </c>
    </row>
    <row r="528" spans="1:2" ht="12.75">
      <c r="A528" s="8" t="str">
        <f ca="1">IFERROR(__xludf.DUMMYFUNCTION("""COMPUTED_VALUE"""),"20201211VATAY")</f>
        <v>20201211VATAY</v>
      </c>
      <c r="B528" s="8" t="str">
        <f ca="1">IFERROR(__xludf.DUMMYFUNCTION("""COMPUTED_VALUE"""),"Handgun")</f>
        <v>Handgun</v>
      </c>
    </row>
    <row r="529" spans="1:2" ht="12.75">
      <c r="A529" s="8" t="str">
        <f ca="1">IFERROR(__xludf.DUMMYFUNCTION("""COMPUTED_VALUE"""),"20201125KSABG")</f>
        <v>20201125KSABG</v>
      </c>
      <c r="B529" s="8" t="str">
        <f ca="1">IFERROR(__xludf.DUMMYFUNCTION("""COMPUTED_VALUE"""),"Handgun")</f>
        <v>Handgun</v>
      </c>
    </row>
    <row r="530" spans="1:2" ht="12.75">
      <c r="A530" s="8" t="str">
        <f ca="1">IFERROR(__xludf.DUMMYFUNCTION("""COMPUTED_VALUE"""),"20201124NCHEH")</f>
        <v>20201124NCHEH</v>
      </c>
      <c r="B530" s="8" t="str">
        <f ca="1">IFERROR(__xludf.DUMMYFUNCTION("""COMPUTED_VALUE"""),"Handgun")</f>
        <v>Handgun</v>
      </c>
    </row>
    <row r="531" spans="1:2" ht="12.75">
      <c r="A531" s="8" t="str">
        <f ca="1">IFERROR(__xludf.DUMMYFUNCTION("""COMPUTED_VALUE"""),"20201117TXWEW")</f>
        <v>20201117TXWEW</v>
      </c>
      <c r="B531" s="8" t="str">
        <f ca="1">IFERROR(__xludf.DUMMYFUNCTION("""COMPUTED_VALUE"""),"Handgun")</f>
        <v>Handgun</v>
      </c>
    </row>
    <row r="532" spans="1:2" ht="12.75">
      <c r="A532" s="8" t="str">
        <f ca="1">IFERROR(__xludf.DUMMYFUNCTION("""COMPUTED_VALUE"""),"20201117MTGRG")</f>
        <v>20201117MTGRG</v>
      </c>
      <c r="B532" s="8" t="str">
        <f ca="1">IFERROR(__xludf.DUMMYFUNCTION("""COMPUTED_VALUE"""),"Other")</f>
        <v>Other</v>
      </c>
    </row>
    <row r="533" spans="1:2" ht="12.75">
      <c r="A533" s="8" t="str">
        <f ca="1">IFERROR(__xludf.DUMMYFUNCTION("""COMPUTED_VALUE"""),"20201116TNWIM")</f>
        <v>20201116TNWIM</v>
      </c>
      <c r="B533" s="8" t="str">
        <f ca="1">IFERROR(__xludf.DUMMYFUNCTION("""COMPUTED_VALUE"""),"Handgun")</f>
        <v>Handgun</v>
      </c>
    </row>
    <row r="534" spans="1:2" ht="12.75">
      <c r="A534" s="8" t="str">
        <f ca="1">IFERROR(__xludf.DUMMYFUNCTION("""COMPUTED_VALUE"""),"20201113NCLIL")</f>
        <v>20201113NCLIL</v>
      </c>
      <c r="B534" s="8" t="str">
        <f ca="1">IFERROR(__xludf.DUMMYFUNCTION("""COMPUTED_VALUE"""),"Handgun")</f>
        <v>Handgun</v>
      </c>
    </row>
    <row r="535" spans="1:2" ht="12.75">
      <c r="A535" s="8" t="str">
        <f ca="1">IFERROR(__xludf.DUMMYFUNCTION("""COMPUTED_VALUE"""),"20201026GARIR")</f>
        <v>20201026GARIR</v>
      </c>
      <c r="B535" s="8" t="str">
        <f ca="1">IFERROR(__xludf.DUMMYFUNCTION("""COMPUTED_VALUE"""),"Handgun")</f>
        <v>Handgun</v>
      </c>
    </row>
    <row r="536" spans="1:2" ht="12.75">
      <c r="A536" s="8" t="str">
        <f ca="1">IFERROR(__xludf.DUMMYFUNCTION("""COMPUTED_VALUE"""),"20201020ARJAP")</f>
        <v>20201020ARJAP</v>
      </c>
      <c r="B536" s="8" t="str">
        <f ca="1">IFERROR(__xludf.DUMMYFUNCTION("""COMPUTED_VALUE"""),"Handgun")</f>
        <v>Handgun</v>
      </c>
    </row>
    <row r="537" spans="1:2" ht="12.75">
      <c r="A537" s="8" t="str">
        <f ca="1">IFERROR(__xludf.DUMMYFUNCTION("""COMPUTED_VALUE"""),"20201014WAWAS")</f>
        <v>20201014WAWAS</v>
      </c>
      <c r="B537" s="8" t="str">
        <f ca="1">IFERROR(__xludf.DUMMYFUNCTION("""COMPUTED_VALUE"""),"Multiple Handguns")</f>
        <v>Multiple Handguns</v>
      </c>
    </row>
    <row r="538" spans="1:2" ht="12.75">
      <c r="A538" s="8" t="str">
        <f ca="1">IFERROR(__xludf.DUMMYFUNCTION("""COMPUTED_VALUE"""),"20201014PABRB")</f>
        <v>20201014PABRB</v>
      </c>
      <c r="B538" s="8" t="str">
        <f ca="1">IFERROR(__xludf.DUMMYFUNCTION("""COMPUTED_VALUE"""),"Other")</f>
        <v>Other</v>
      </c>
    </row>
    <row r="539" spans="1:2" ht="12.75">
      <c r="A539" s="8" t="str">
        <f ca="1">IFERROR(__xludf.DUMMYFUNCTION("""COMPUTED_VALUE"""),"20201012TXNOD")</f>
        <v>20201012TXNOD</v>
      </c>
      <c r="B539" s="8" t="str">
        <f ca="1">IFERROR(__xludf.DUMMYFUNCTION("""COMPUTED_VALUE"""),"Handgun")</f>
        <v>Handgun</v>
      </c>
    </row>
    <row r="540" spans="1:2" ht="12.75">
      <c r="A540" s="8" t="str">
        <f ca="1">IFERROR(__xludf.DUMMYFUNCTION("""COMPUTED_VALUE"""),"20201012MNSHS")</f>
        <v>20201012MNSHS</v>
      </c>
      <c r="B540" s="8" t="str">
        <f ca="1">IFERROR(__xludf.DUMMYFUNCTION("""COMPUTED_VALUE"""),"Shotgun")</f>
        <v>Shotgun</v>
      </c>
    </row>
    <row r="541" spans="1:2" ht="12.75">
      <c r="A541" s="8" t="str">
        <f ca="1">IFERROR(__xludf.DUMMYFUNCTION("""COMPUTED_VALUE"""),"20201009FLJEJ")</f>
        <v>20201009FLJEJ</v>
      </c>
      <c r="B541" s="8" t="str">
        <f ca="1">IFERROR(__xludf.DUMMYFUNCTION("""COMPUTED_VALUE"""),"Handgun")</f>
        <v>Handgun</v>
      </c>
    </row>
    <row r="542" spans="1:2" ht="12.75">
      <c r="A542" s="8" t="str">
        <f ca="1">IFERROR(__xludf.DUMMYFUNCTION("""COMPUTED_VALUE"""),"20201005OKSOM")</f>
        <v>20201005OKSOM</v>
      </c>
      <c r="B542" s="8" t="str">
        <f ca="1">IFERROR(__xludf.DUMMYFUNCTION("""COMPUTED_VALUE"""),"Other")</f>
        <v>Other</v>
      </c>
    </row>
    <row r="543" spans="1:2" ht="12.75">
      <c r="A543" s="8" t="str">
        <f ca="1">IFERROR(__xludf.DUMMYFUNCTION("""COMPUTED_VALUE"""),"20201005ARKIH")</f>
        <v>20201005ARKIH</v>
      </c>
      <c r="B543" s="8" t="str">
        <f ca="1">IFERROR(__xludf.DUMMYFUNCTION("""COMPUTED_VALUE"""),"Handgun")</f>
        <v>Handgun</v>
      </c>
    </row>
    <row r="544" spans="1:2" ht="12.75">
      <c r="A544" s="8" t="str">
        <f ca="1">IFERROR(__xludf.DUMMYFUNCTION("""COMPUTED_VALUE"""),"20201002PAMAE")</f>
        <v>20201002PAMAE</v>
      </c>
      <c r="B544" s="8" t="str">
        <f ca="1">IFERROR(__xludf.DUMMYFUNCTION("""COMPUTED_VALUE"""),"Other")</f>
        <v>Other</v>
      </c>
    </row>
    <row r="545" spans="1:2" ht="12.75">
      <c r="A545" s="8" t="str">
        <f ca="1">IFERROR(__xludf.DUMMYFUNCTION("""COMPUTED_VALUE"""),"20200925ILROR")</f>
        <v>20200925ILROR</v>
      </c>
      <c r="B545" s="8" t="str">
        <f ca="1">IFERROR(__xludf.DUMMYFUNCTION("""COMPUTED_VALUE"""),"Handgun")</f>
        <v>Handgun</v>
      </c>
    </row>
    <row r="546" spans="1:2" ht="12.75">
      <c r="A546" s="8" t="str">
        <f ca="1">IFERROR(__xludf.DUMMYFUNCTION("""COMPUTED_VALUE"""),"20200924ILMCS")</f>
        <v>20200924ILMCS</v>
      </c>
      <c r="B546" s="8" t="str">
        <f ca="1">IFERROR(__xludf.DUMMYFUNCTION("""COMPUTED_VALUE"""),"Other")</f>
        <v>Other</v>
      </c>
    </row>
    <row r="547" spans="1:2" ht="12.75">
      <c r="A547" s="8" t="str">
        <f ca="1">IFERROR(__xludf.DUMMYFUNCTION("""COMPUTED_VALUE"""),"20200924CAWAC")</f>
        <v>20200924CAWAC</v>
      </c>
      <c r="B547" s="8" t="str">
        <f ca="1">IFERROR(__xludf.DUMMYFUNCTION("""COMPUTED_VALUE"""),"Multiple Handguns")</f>
        <v>Multiple Handguns</v>
      </c>
    </row>
    <row r="548" spans="1:2" ht="12.75">
      <c r="A548" s="8" t="str">
        <f ca="1">IFERROR(__xludf.DUMMYFUNCTION("""COMPUTED_VALUE"""),"20200924CAWAC")</f>
        <v>20200924CAWAC</v>
      </c>
      <c r="B548" s="8" t="str">
        <f ca="1">IFERROR(__xludf.DUMMYFUNCTION("""COMPUTED_VALUE"""),"Multiple Rifles")</f>
        <v>Multiple Rifles</v>
      </c>
    </row>
    <row r="549" spans="1:2" ht="12.75">
      <c r="A549" s="8" t="str">
        <f ca="1">IFERROR(__xludf.DUMMYFUNCTION("""COMPUTED_VALUE"""),"20200923PAWIW")</f>
        <v>20200923PAWIW</v>
      </c>
      <c r="B549" s="8" t="str">
        <f ca="1">IFERROR(__xludf.DUMMYFUNCTION("""COMPUTED_VALUE"""),"Handgun")</f>
        <v>Handgun</v>
      </c>
    </row>
    <row r="550" spans="1:2" ht="12.75">
      <c r="A550" s="8" t="str">
        <f ca="1">IFERROR(__xludf.DUMMYFUNCTION("""COMPUTED_VALUE"""),"20200923FLHIJ")</f>
        <v>20200923FLHIJ</v>
      </c>
      <c r="B550" s="8" t="str">
        <f ca="1">IFERROR(__xludf.DUMMYFUNCTION("""COMPUTED_VALUE"""),"Other")</f>
        <v>Other</v>
      </c>
    </row>
    <row r="551" spans="1:2" ht="12.75">
      <c r="A551" s="8" t="str">
        <f ca="1">IFERROR(__xludf.DUMMYFUNCTION("""COMPUTED_VALUE"""),"20200921CAPLP")</f>
        <v>20200921CAPLP</v>
      </c>
      <c r="B551" s="8" t="str">
        <f ca="1">IFERROR(__xludf.DUMMYFUNCTION("""COMPUTED_VALUE"""),"Rifle")</f>
        <v>Rifle</v>
      </c>
    </row>
    <row r="552" spans="1:2" ht="12.75">
      <c r="A552" s="8" t="str">
        <f ca="1">IFERROR(__xludf.DUMMYFUNCTION("""COMPUTED_VALUE"""),"20200915UTVIB")</f>
        <v>20200915UTVIB</v>
      </c>
      <c r="B552" s="8" t="str">
        <f ca="1">IFERROR(__xludf.DUMMYFUNCTION("""COMPUTED_VALUE"""),"Shotgun")</f>
        <v>Shotgun</v>
      </c>
    </row>
    <row r="553" spans="1:2" ht="12.75">
      <c r="A553" s="8" t="str">
        <f ca="1">IFERROR(__xludf.DUMMYFUNCTION("""COMPUTED_VALUE"""),"20200915SCYOR")</f>
        <v>20200915SCYOR</v>
      </c>
      <c r="B553" s="8" t="str">
        <f ca="1">IFERROR(__xludf.DUMMYFUNCTION("""COMPUTED_VALUE"""),"Other")</f>
        <v>Other</v>
      </c>
    </row>
    <row r="554" spans="1:2" ht="12.75">
      <c r="A554" s="8" t="str">
        <f ca="1">IFERROR(__xludf.DUMMYFUNCTION("""COMPUTED_VALUE"""),"20200909PAWEW")</f>
        <v>20200909PAWEW</v>
      </c>
      <c r="B554" s="8" t="str">
        <f ca="1">IFERROR(__xludf.DUMMYFUNCTION("""COMPUTED_VALUE"""),"Handgun")</f>
        <v>Handgun</v>
      </c>
    </row>
    <row r="555" spans="1:2" ht="12.75">
      <c r="A555" s="8" t="str">
        <f ca="1">IFERROR(__xludf.DUMMYFUNCTION("""COMPUTED_VALUE"""),"20200830TXLOD")</f>
        <v>20200830TXLOD</v>
      </c>
      <c r="B555" s="8" t="str">
        <f ca="1">IFERROR(__xludf.DUMMYFUNCTION("""COMPUTED_VALUE"""),"Handgun")</f>
        <v>Handgun</v>
      </c>
    </row>
    <row r="556" spans="1:2" ht="12.75">
      <c r="A556" s="8" t="str">
        <f ca="1">IFERROR(__xludf.DUMMYFUNCTION("""COMPUTED_VALUE"""),"20200825MOWEC")</f>
        <v>20200825MOWEC</v>
      </c>
      <c r="B556" s="8" t="str">
        <f ca="1">IFERROR(__xludf.DUMMYFUNCTION("""COMPUTED_VALUE"""),"Handgun")</f>
        <v>Handgun</v>
      </c>
    </row>
    <row r="557" spans="1:2" ht="12.75">
      <c r="A557" s="8" t="str">
        <f ca="1">IFERROR(__xludf.DUMMYFUNCTION("""COMPUTED_VALUE"""),"20200817MIABG")</f>
        <v>20200817MIABG</v>
      </c>
      <c r="B557" s="8" t="str">
        <f ca="1">IFERROR(__xludf.DUMMYFUNCTION("""COMPUTED_VALUE"""),"Handgun")</f>
        <v>Handgun</v>
      </c>
    </row>
    <row r="558" spans="1:2" ht="12.75">
      <c r="A558" s="8" t="str">
        <f ca="1">IFERROR(__xludf.DUMMYFUNCTION("""COMPUTED_VALUE"""),"20200804PAKEP")</f>
        <v>20200804PAKEP</v>
      </c>
      <c r="B558" s="8" t="str">
        <f ca="1">IFERROR(__xludf.DUMMYFUNCTION("""COMPUTED_VALUE"""),"Handgun")</f>
        <v>Handgun</v>
      </c>
    </row>
    <row r="559" spans="1:2" ht="12.75">
      <c r="A559" s="8" t="str">
        <f ca="1">IFERROR(__xludf.DUMMYFUNCTION("""COMPUTED_VALUE"""),"20200729ILCOC")</f>
        <v>20200729ILCOC</v>
      </c>
      <c r="B559" s="8" t="str">
        <f ca="1">IFERROR(__xludf.DUMMYFUNCTION("""COMPUTED_VALUE"""),"Handgun")</f>
        <v>Handgun</v>
      </c>
    </row>
    <row r="560" spans="1:2" ht="12.75">
      <c r="A560" s="8" t="str">
        <f ca="1">IFERROR(__xludf.DUMMYFUNCTION("""COMPUTED_VALUE"""),"20200727AZCAO")</f>
        <v>20200727AZCAO</v>
      </c>
      <c r="B560" s="8" t="str">
        <f ca="1">IFERROR(__xludf.DUMMYFUNCTION("""COMPUTED_VALUE"""),"Handgun")</f>
        <v>Handgun</v>
      </c>
    </row>
    <row r="561" spans="1:2" ht="12.75">
      <c r="A561" s="8" t="str">
        <f ca="1">IFERROR(__xludf.DUMMYFUNCTION("""COMPUTED_VALUE"""),"20200721SCBRO")</f>
        <v>20200721SCBRO</v>
      </c>
      <c r="B561" s="8" t="str">
        <f ca="1">IFERROR(__xludf.DUMMYFUNCTION("""COMPUTED_VALUE"""),"Handgun")</f>
        <v>Handgun</v>
      </c>
    </row>
    <row r="562" spans="1:2" ht="12.75">
      <c r="A562" s="8" t="str">
        <f ca="1">IFERROR(__xludf.DUMMYFUNCTION("""COMPUTED_VALUE"""),"20200714MIWID")</f>
        <v>20200714MIWID</v>
      </c>
      <c r="B562" s="8" t="str">
        <f ca="1">IFERROR(__xludf.DUMMYFUNCTION("""COMPUTED_VALUE"""),"Handgun")</f>
        <v>Handgun</v>
      </c>
    </row>
    <row r="563" spans="1:2" ht="12.75">
      <c r="A563" s="8" t="str">
        <f ca="1">IFERROR(__xludf.DUMMYFUNCTION("""COMPUTED_VALUE"""),"20200704INLAM")</f>
        <v>20200704INLAM</v>
      </c>
      <c r="B563" s="8" t="str">
        <f ca="1">IFERROR(__xludf.DUMMYFUNCTION("""COMPUTED_VALUE"""),"Handgun")</f>
        <v>Handgun</v>
      </c>
    </row>
    <row r="564" spans="1:2" ht="12.75">
      <c r="A564" s="8" t="str">
        <f ca="1">IFERROR(__xludf.DUMMYFUNCTION("""COMPUTED_VALUE"""),"20200701ILFRP")</f>
        <v>20200701ILFRP</v>
      </c>
      <c r="B564" s="8" t="str">
        <f ca="1">IFERROR(__xludf.DUMMYFUNCTION("""COMPUTED_VALUE"""),"Handgun")</f>
        <v>Handgun</v>
      </c>
    </row>
    <row r="565" spans="1:2" ht="12.75">
      <c r="A565" s="8" t="str">
        <f ca="1">IFERROR(__xludf.DUMMYFUNCTION("""COMPUTED_VALUE"""),"20200630OHLAW")</f>
        <v>20200630OHLAW</v>
      </c>
      <c r="B565" s="8" t="str">
        <f ca="1">IFERROR(__xludf.DUMMYFUNCTION("""COMPUTED_VALUE"""),"Rifle")</f>
        <v>Rifle</v>
      </c>
    </row>
    <row r="566" spans="1:2" ht="12.75">
      <c r="A566" s="8" t="str">
        <f ca="1">IFERROR(__xludf.DUMMYFUNCTION("""COMPUTED_VALUE"""),"20200616FLTOM")</f>
        <v>20200616FLTOM</v>
      </c>
      <c r="B566" s="8" t="str">
        <f ca="1">IFERROR(__xludf.DUMMYFUNCTION("""COMPUTED_VALUE"""),"Multiple Unknown")</f>
        <v>Multiple Unknown</v>
      </c>
    </row>
    <row r="567" spans="1:2" ht="12.75">
      <c r="A567" s="8" t="str">
        <f ca="1">IFERROR(__xludf.DUMMYFUNCTION("""COMPUTED_VALUE"""),"20200603IAGAD")</f>
        <v>20200603IAGAD</v>
      </c>
      <c r="B567" s="8" t="str">
        <f ca="1">IFERROR(__xludf.DUMMYFUNCTION("""COMPUTED_VALUE"""),"No Data")</f>
        <v>No Data</v>
      </c>
    </row>
    <row r="568" spans="1:2" ht="12.75">
      <c r="A568" s="8" t="str">
        <f ca="1">IFERROR(__xludf.DUMMYFUNCTION("""COMPUTED_VALUE"""),"20200527OHLUC")</f>
        <v>20200527OHLUC</v>
      </c>
      <c r="B568" s="8" t="str">
        <f ca="1">IFERROR(__xludf.DUMMYFUNCTION("""COMPUTED_VALUE"""),"Handgun")</f>
        <v>Handgun</v>
      </c>
    </row>
    <row r="569" spans="1:2" ht="12.75">
      <c r="A569" s="8" t="str">
        <f ca="1">IFERROR(__xludf.DUMMYFUNCTION("""COMPUTED_VALUE"""),"20200525ALORM")</f>
        <v>20200525ALORM</v>
      </c>
      <c r="B569" s="8" t="str">
        <f ca="1">IFERROR(__xludf.DUMMYFUNCTION("""COMPUTED_VALUE"""),"Handgun")</f>
        <v>Handgun</v>
      </c>
    </row>
    <row r="570" spans="1:2" ht="12.75">
      <c r="A570" s="8" t="str">
        <f ca="1">IFERROR(__xludf.DUMMYFUNCTION("""COMPUTED_VALUE"""),"20200522OHMIC")</f>
        <v>20200522OHMIC</v>
      </c>
      <c r="B570" s="8" t="str">
        <f ca="1">IFERROR(__xludf.DUMMYFUNCTION("""COMPUTED_VALUE"""),"No Data")</f>
        <v>No Data</v>
      </c>
    </row>
    <row r="571" spans="1:2" ht="12.75">
      <c r="A571" s="8" t="str">
        <f ca="1">IFERROR(__xludf.DUMMYFUNCTION("""COMPUTED_VALUE"""),"20200519VAWEM")</f>
        <v>20200519VAWEM</v>
      </c>
      <c r="B571" s="8" t="str">
        <f ca="1">IFERROR(__xludf.DUMMYFUNCTION("""COMPUTED_VALUE"""),"Handgun")</f>
        <v>Handgun</v>
      </c>
    </row>
    <row r="572" spans="1:2" ht="12.75">
      <c r="A572" s="8" t="str">
        <f ca="1">IFERROR(__xludf.DUMMYFUNCTION("""COMPUTED_VALUE"""),"20200515NCSTC")</f>
        <v>20200515NCSTC</v>
      </c>
      <c r="B572" s="8" t="str">
        <f ca="1">IFERROR(__xludf.DUMMYFUNCTION("""COMPUTED_VALUE"""),"Handgun")</f>
        <v>Handgun</v>
      </c>
    </row>
    <row r="573" spans="1:2" ht="12.75">
      <c r="A573" s="8" t="str">
        <f ca="1">IFERROR(__xludf.DUMMYFUNCTION("""COMPUTED_VALUE"""),"20200505CAGOV")</f>
        <v>20200505CAGOV</v>
      </c>
      <c r="B573" s="8" t="str">
        <f ca="1">IFERROR(__xludf.DUMMYFUNCTION("""COMPUTED_VALUE"""),"No Data")</f>
        <v>No Data</v>
      </c>
    </row>
    <row r="574" spans="1:2" ht="12.75">
      <c r="A574" s="8" t="str">
        <f ca="1">IFERROR(__xludf.DUMMYFUNCTION("""COMPUTED_VALUE"""),"20200419NCABR")</f>
        <v>20200419NCABR</v>
      </c>
      <c r="B574" s="8" t="str">
        <f ca="1">IFERROR(__xludf.DUMMYFUNCTION("""COMPUTED_VALUE"""),"Handgun")</f>
        <v>Handgun</v>
      </c>
    </row>
    <row r="575" spans="1:2" ht="12.75">
      <c r="A575" s="8" t="str">
        <f ca="1">IFERROR(__xludf.DUMMYFUNCTION("""COMPUTED_VALUE"""),"20200413NEMOO")</f>
        <v>20200413NEMOO</v>
      </c>
      <c r="B575" s="8" t="str">
        <f ca="1">IFERROR(__xludf.DUMMYFUNCTION("""COMPUTED_VALUE"""),"Handgun")</f>
        <v>Handgun</v>
      </c>
    </row>
    <row r="576" spans="1:2" ht="12.75">
      <c r="A576" s="8" t="str">
        <f ca="1">IFERROR(__xludf.DUMMYFUNCTION("""COMPUTED_VALUE"""),"20200330GANAS")</f>
        <v>20200330GANAS</v>
      </c>
      <c r="B576" s="8" t="str">
        <f ca="1">IFERROR(__xludf.DUMMYFUNCTION("""COMPUTED_VALUE"""),"Handgun")</f>
        <v>Handgun</v>
      </c>
    </row>
    <row r="577" spans="1:2" ht="12.75">
      <c r="A577" s="8" t="str">
        <f ca="1">IFERROR(__xludf.DUMMYFUNCTION("""COMPUTED_VALUE"""),"20200324LAROM")</f>
        <v>20200324LAROM</v>
      </c>
      <c r="B577" s="8" t="str">
        <f ca="1">IFERROR(__xludf.DUMMYFUNCTION("""COMPUTED_VALUE"""),"Handgun")</f>
        <v>Handgun</v>
      </c>
    </row>
    <row r="578" spans="1:2" ht="12.75">
      <c r="A578" s="8" t="str">
        <f ca="1">IFERROR(__xludf.DUMMYFUNCTION("""COMPUTED_VALUE"""),"20200318LABOS")</f>
        <v>20200318LABOS</v>
      </c>
      <c r="B578" s="8" t="str">
        <f ca="1">IFERROR(__xludf.DUMMYFUNCTION("""COMPUTED_VALUE"""),"Handgun")</f>
        <v>Handgun</v>
      </c>
    </row>
    <row r="579" spans="1:2" ht="12.75">
      <c r="A579" s="8" t="str">
        <f ca="1">IFERROR(__xludf.DUMMYFUNCTION("""COMPUTED_VALUE"""),"20200315TXATH")</f>
        <v>20200315TXATH</v>
      </c>
      <c r="B579" s="8" t="str">
        <f ca="1">IFERROR(__xludf.DUMMYFUNCTION("""COMPUTED_VALUE"""),"Handgun")</f>
        <v>Handgun</v>
      </c>
    </row>
    <row r="580" spans="1:2" ht="12.75">
      <c r="A580" s="8" t="str">
        <f ca="1">IFERROR(__xludf.DUMMYFUNCTION("""COMPUTED_VALUE"""),"20200313TNPIR")</f>
        <v>20200313TNPIR</v>
      </c>
      <c r="B580" s="8" t="str">
        <f ca="1">IFERROR(__xludf.DUMMYFUNCTION("""COMPUTED_VALUE"""),"Handgun")</f>
        <v>Handgun</v>
      </c>
    </row>
    <row r="581" spans="1:2" ht="12.75">
      <c r="A581" s="8" t="str">
        <f ca="1">IFERROR(__xludf.DUMMYFUNCTION("""COMPUTED_VALUE"""),"20200310PASHN")</f>
        <v>20200310PASHN</v>
      </c>
      <c r="B581" s="8" t="str">
        <f ca="1">IFERROR(__xludf.DUMMYFUNCTION("""COMPUTED_VALUE"""),"Multiple Unknown")</f>
        <v>Multiple Unknown</v>
      </c>
    </row>
    <row r="582" spans="1:2" ht="12.75">
      <c r="A582" s="8" t="str">
        <f ca="1">IFERROR(__xludf.DUMMYFUNCTION("""COMPUTED_VALUE"""),"20200305FLSAW")</f>
        <v>20200305FLSAW</v>
      </c>
      <c r="B582" s="8" t="str">
        <f ca="1">IFERROR(__xludf.DUMMYFUNCTION("""COMPUTED_VALUE"""),"Handgun")</f>
        <v>Handgun</v>
      </c>
    </row>
    <row r="583" spans="1:2" ht="12.75">
      <c r="A583" s="8" t="str">
        <f ca="1">IFERROR(__xludf.DUMMYFUNCTION("""COMPUTED_VALUE"""),"20200302TXNOF")</f>
        <v>20200302TXNOF</v>
      </c>
      <c r="B583" s="8" t="str">
        <f ca="1">IFERROR(__xludf.DUMMYFUNCTION("""COMPUTED_VALUE"""),"Handgun")</f>
        <v>Handgun</v>
      </c>
    </row>
    <row r="584" spans="1:2" ht="12.75">
      <c r="A584" s="8" t="str">
        <f ca="1">IFERROR(__xludf.DUMMYFUNCTION("""COMPUTED_VALUE"""),"20200221NMCEA")</f>
        <v>20200221NMCEA</v>
      </c>
      <c r="B584" s="8" t="str">
        <f ca="1">IFERROR(__xludf.DUMMYFUNCTION("""COMPUTED_VALUE"""),"Unknown")</f>
        <v>Unknown</v>
      </c>
    </row>
    <row r="585" spans="1:2" ht="12.75">
      <c r="A585" s="8" t="str">
        <f ca="1">IFERROR(__xludf.DUMMYFUNCTION("""COMPUTED_VALUE"""),"20200215DCDUW")</f>
        <v>20200215DCDUW</v>
      </c>
      <c r="B585" s="8" t="str">
        <f ca="1">IFERROR(__xludf.DUMMYFUNCTION("""COMPUTED_VALUE"""),"Unknown")</f>
        <v>Unknown</v>
      </c>
    </row>
    <row r="586" spans="1:2" ht="12.75">
      <c r="A586" s="8" t="str">
        <f ca="1">IFERROR(__xludf.DUMMYFUNCTION("""COMPUTED_VALUE"""),"20200212MOJOF")</f>
        <v>20200212MOJOF</v>
      </c>
      <c r="B586" s="8" t="str">
        <f ca="1">IFERROR(__xludf.DUMMYFUNCTION("""COMPUTED_VALUE"""),"Handgun")</f>
        <v>Handgun</v>
      </c>
    </row>
    <row r="587" spans="1:2" ht="12.75">
      <c r="A587" s="8" t="str">
        <f ca="1">IFERROR(__xludf.DUMMYFUNCTION("""COMPUTED_VALUE"""),"20200205NHSEC")</f>
        <v>20200205NHSEC</v>
      </c>
      <c r="B587" s="8" t="str">
        <f ca="1">IFERROR(__xludf.DUMMYFUNCTION("""COMPUTED_VALUE"""),"Handgun")</f>
        <v>Handgun</v>
      </c>
    </row>
    <row r="588" spans="1:2" ht="12.75">
      <c r="A588" s="8" t="str">
        <f ca="1">IFERROR(__xludf.DUMMYFUNCTION("""COMPUTED_VALUE"""),"20200204LABEA")</f>
        <v>20200204LABEA</v>
      </c>
      <c r="B588" s="8" t="str">
        <f ca="1">IFERROR(__xludf.DUMMYFUNCTION("""COMPUTED_VALUE"""),"Rifle")</f>
        <v>Rifle</v>
      </c>
    </row>
    <row r="589" spans="1:2" ht="12.75">
      <c r="A589" s="8" t="str">
        <f ca="1">IFERROR(__xludf.DUMMYFUNCTION("""COMPUTED_VALUE"""),"20200203FLGEJ")</f>
        <v>20200203FLGEJ</v>
      </c>
      <c r="B589" s="8" t="str">
        <f ca="1">IFERROR(__xludf.DUMMYFUNCTION("""COMPUTED_VALUE"""),"Handgun")</f>
        <v>Handgun</v>
      </c>
    </row>
    <row r="590" spans="1:2" ht="12.75">
      <c r="A590" s="8" t="str">
        <f ca="1">IFERROR(__xludf.DUMMYFUNCTION("""COMPUTED_VALUE"""),"20200201TXHIH")</f>
        <v>20200201TXHIH</v>
      </c>
      <c r="B590" s="8" t="str">
        <f ca="1">IFERROR(__xludf.DUMMYFUNCTION("""COMPUTED_VALUE"""),"Handgun")</f>
        <v>Handgun</v>
      </c>
    </row>
    <row r="591" spans="1:2" ht="12.75">
      <c r="A591" s="8" t="str">
        <f ca="1">IFERROR(__xludf.DUMMYFUNCTION("""COMPUTED_VALUE"""),"20200131CADEA")</f>
        <v>20200131CADEA</v>
      </c>
      <c r="B591" s="8" t="str">
        <f ca="1">IFERROR(__xludf.DUMMYFUNCTION("""COMPUTED_VALUE"""),"Handgun")</f>
        <v>Handgun</v>
      </c>
    </row>
    <row r="592" spans="1:2" ht="12.75">
      <c r="A592" s="8" t="str">
        <f ca="1">IFERROR(__xludf.DUMMYFUNCTION("""COMPUTED_VALUE"""),"20200128TXLUL")</f>
        <v>20200128TXLUL</v>
      </c>
      <c r="B592" s="8" t="str">
        <f ca="1">IFERROR(__xludf.DUMMYFUNCTION("""COMPUTED_VALUE"""),"Handgun")</f>
        <v>Handgun</v>
      </c>
    </row>
    <row r="593" spans="1:2" ht="12.75">
      <c r="A593" s="8" t="str">
        <f ca="1">IFERROR(__xludf.DUMMYFUNCTION("""COMPUTED_VALUE"""),"20200128TNWHM")</f>
        <v>20200128TNWHM</v>
      </c>
      <c r="B593" s="8" t="str">
        <f ca="1">IFERROR(__xludf.DUMMYFUNCTION("""COMPUTED_VALUE"""),"Handgun")</f>
        <v>Handgun</v>
      </c>
    </row>
    <row r="594" spans="1:2" ht="12.75">
      <c r="A594" s="8" t="str">
        <f ca="1">IFERROR(__xludf.DUMMYFUNCTION("""COMPUTED_VALUE"""),"20200128NYMAQ")</f>
        <v>20200128NYMAQ</v>
      </c>
      <c r="B594" s="8" t="str">
        <f ca="1">IFERROR(__xludf.DUMMYFUNCTION("""COMPUTED_VALUE"""),"Handgun")</f>
        <v>Handgun</v>
      </c>
    </row>
    <row r="595" spans="1:2" ht="12.75">
      <c r="A595" s="8" t="str">
        <f ca="1">IFERROR(__xludf.DUMMYFUNCTION("""COMPUTED_VALUE"""),"20200127WAROY")</f>
        <v>20200127WAROY</v>
      </c>
      <c r="B595" s="8" t="str">
        <f ca="1">IFERROR(__xludf.DUMMYFUNCTION("""COMPUTED_VALUE"""),"Handgun")</f>
        <v>Handgun</v>
      </c>
    </row>
    <row r="596" spans="1:2" ht="12.75">
      <c r="A596" s="8" t="str">
        <f ca="1">IFERROR(__xludf.DUMMYFUNCTION("""COMPUTED_VALUE"""),"20200123CAOXO")</f>
        <v>20200123CAOXO</v>
      </c>
      <c r="B596" s="8" t="str">
        <f ca="1">IFERROR(__xludf.DUMMYFUNCTION("""COMPUTED_VALUE"""),"Handgun")</f>
        <v>Handgun</v>
      </c>
    </row>
    <row r="597" spans="1:2" ht="12.75">
      <c r="A597" s="8" t="str">
        <f ca="1">IFERROR(__xludf.DUMMYFUNCTION("""COMPUTED_VALUE"""),"20200121NEPAL")</f>
        <v>20200121NEPAL</v>
      </c>
      <c r="B597" s="8" t="str">
        <f ca="1">IFERROR(__xludf.DUMMYFUNCTION("""COMPUTED_VALUE"""),"Other")</f>
        <v>Other</v>
      </c>
    </row>
    <row r="598" spans="1:2" ht="12.75">
      <c r="A598" s="8" t="str">
        <f ca="1">IFERROR(__xludf.DUMMYFUNCTION("""COMPUTED_VALUE"""),"20200121ILLIC")</f>
        <v>20200121ILLIC</v>
      </c>
      <c r="B598" s="8" t="str">
        <f ca="1">IFERROR(__xludf.DUMMYFUNCTION("""COMPUTED_VALUE"""),"Handgun")</f>
        <v>Handgun</v>
      </c>
    </row>
    <row r="599" spans="1:2" ht="12.75">
      <c r="A599" s="8" t="str">
        <f ca="1">IFERROR(__xludf.DUMMYFUNCTION("""COMPUTED_VALUE"""),"20200119TXNOF")</f>
        <v>20200119TXNOF</v>
      </c>
      <c r="B599" s="8" t="str">
        <f ca="1">IFERROR(__xludf.DUMMYFUNCTION("""COMPUTED_VALUE"""),"Multiple Handguns")</f>
        <v>Multiple Handguns</v>
      </c>
    </row>
    <row r="600" spans="1:2" ht="12.75">
      <c r="A600" s="8" t="str">
        <f ca="1">IFERROR(__xludf.DUMMYFUNCTION("""COMPUTED_VALUE"""),"20200117SCCAS")</f>
        <v>20200117SCCAS</v>
      </c>
      <c r="B600" s="8" t="str">
        <f ca="1">IFERROR(__xludf.DUMMYFUNCTION("""COMPUTED_VALUE"""),"No Data")</f>
        <v>No Data</v>
      </c>
    </row>
    <row r="601" spans="1:2" ht="12.75">
      <c r="A601" s="8" t="str">
        <f ca="1">IFERROR(__xludf.DUMMYFUNCTION("""COMPUTED_VALUE"""),"20200117MITHH")</f>
        <v>20200117MITHH</v>
      </c>
      <c r="B601" s="8" t="str">
        <f ca="1">IFERROR(__xludf.DUMMYFUNCTION("""COMPUTED_VALUE"""),"Handgun")</f>
        <v>Handgun</v>
      </c>
    </row>
    <row r="602" spans="1:2" ht="12.75">
      <c r="A602" s="8" t="str">
        <f ca="1">IFERROR(__xludf.DUMMYFUNCTION("""COMPUTED_VALUE"""),"20200114TXPOM")</f>
        <v>20200114TXPOM</v>
      </c>
      <c r="B602" s="8" t="str">
        <f ca="1">IFERROR(__xludf.DUMMYFUNCTION("""COMPUTED_VALUE"""),"Handgun")</f>
        <v>Handgun</v>
      </c>
    </row>
    <row r="603" spans="1:2" ht="12.75">
      <c r="A603" s="8" t="str">
        <f ca="1">IFERROR(__xludf.DUMMYFUNCTION("""COMPUTED_VALUE"""),"20200114TXBEH")</f>
        <v>20200114TXBEH</v>
      </c>
      <c r="B603" s="8" t="str">
        <f ca="1">IFERROR(__xludf.DUMMYFUNCTION("""COMPUTED_VALUE"""),"Handgun")</f>
        <v>Handgun</v>
      </c>
    </row>
    <row r="604" spans="1:2" ht="12.75">
      <c r="A604" s="8" t="str">
        <f ca="1">IFERROR(__xludf.DUMMYFUNCTION("""COMPUTED_VALUE"""),"20200111TXELD")</f>
        <v>20200111TXELD</v>
      </c>
      <c r="B604" s="8" t="str">
        <f ca="1">IFERROR(__xludf.DUMMYFUNCTION("""COMPUTED_VALUE"""),"Handgun")</f>
        <v>Handgun</v>
      </c>
    </row>
    <row r="605" spans="1:2" ht="12.75">
      <c r="A605" s="8" t="str">
        <f ca="1">IFERROR(__xludf.DUMMYFUNCTION("""COMPUTED_VALUE"""),"20200110MSMCJ")</f>
        <v>20200110MSMCJ</v>
      </c>
      <c r="B605" s="8" t="str">
        <f ca="1">IFERROR(__xludf.DUMMYFUNCTION("""COMPUTED_VALUE"""),"Other")</f>
        <v>Other</v>
      </c>
    </row>
    <row r="606" spans="1:2" ht="12.75">
      <c r="A606" s="8" t="str">
        <f ca="1">IFERROR(__xludf.DUMMYFUNCTION("""COMPUTED_VALUE"""),"20200108FLGLB")</f>
        <v>20200108FLGLB</v>
      </c>
      <c r="B606" s="8" t="str">
        <f ca="1">IFERROR(__xludf.DUMMYFUNCTION("""COMPUTED_VALUE"""),"Handgun")</f>
        <v>Handgun</v>
      </c>
    </row>
    <row r="607" spans="1:2" ht="12.75">
      <c r="A607" s="8" t="str">
        <f ca="1">IFERROR(__xludf.DUMMYFUNCTION("""COMPUTED_VALUE"""),"20200107WASOK")</f>
        <v>20200107WASOK</v>
      </c>
      <c r="B607" s="8" t="str">
        <f ca="1">IFERROR(__xludf.DUMMYFUNCTION("""COMPUTED_VALUE"""),"Other")</f>
        <v>Other</v>
      </c>
    </row>
    <row r="608" spans="1:2" ht="12.75">
      <c r="A608" s="8" t="str">
        <f ca="1">IFERROR(__xludf.DUMMYFUNCTION("""COMPUTED_VALUE"""),"20191228MOMAS")</f>
        <v>20191228MOMAS</v>
      </c>
      <c r="B608" s="8" t="str">
        <f ca="1">IFERROR(__xludf.DUMMYFUNCTION("""COMPUTED_VALUE"""),"No Data")</f>
        <v>No Data</v>
      </c>
    </row>
    <row r="609" spans="1:2" ht="12.75">
      <c r="A609" s="8" t="str">
        <f ca="1">IFERROR(__xludf.DUMMYFUNCTION("""COMPUTED_VALUE"""),"20191221LAWES")</f>
        <v>20191221LAWES</v>
      </c>
      <c r="B609" s="8" t="str">
        <f ca="1">IFERROR(__xludf.DUMMYFUNCTION("""COMPUTED_VALUE"""),"Handgun")</f>
        <v>Handgun</v>
      </c>
    </row>
    <row r="610" spans="1:2" ht="12.75">
      <c r="A610" s="8" t="str">
        <f ca="1">IFERROR(__xludf.DUMMYFUNCTION("""COMPUTED_VALUE"""),"20191219FLLEN")</f>
        <v>20191219FLLEN</v>
      </c>
      <c r="B610" s="8" t="str">
        <f ca="1">IFERROR(__xludf.DUMMYFUNCTION("""COMPUTED_VALUE"""),"No Data")</f>
        <v>No Data</v>
      </c>
    </row>
    <row r="611" spans="1:2" ht="12.75">
      <c r="A611" s="8" t="str">
        <f ca="1">IFERROR(__xludf.DUMMYFUNCTION("""COMPUTED_VALUE"""),"20191216CTCAN")</f>
        <v>20191216CTCAN</v>
      </c>
      <c r="B611" s="8" t="str">
        <f ca="1">IFERROR(__xludf.DUMMYFUNCTION("""COMPUTED_VALUE"""),"Handgun")</f>
        <v>Handgun</v>
      </c>
    </row>
    <row r="612" spans="1:2" ht="12.75">
      <c r="A612" s="8" t="str">
        <f ca="1">IFERROR(__xludf.DUMMYFUNCTION("""COMPUTED_VALUE"""),"20191213VAMAN")</f>
        <v>20191213VAMAN</v>
      </c>
      <c r="B612" s="8" t="str">
        <f ca="1">IFERROR(__xludf.DUMMYFUNCTION("""COMPUTED_VALUE"""),"Handgun")</f>
        <v>Handgun</v>
      </c>
    </row>
    <row r="613" spans="1:2" ht="12.75">
      <c r="A613" s="8" t="str">
        <f ca="1">IFERROR(__xludf.DUMMYFUNCTION("""COMPUTED_VALUE"""),"20191211KSCHT")</f>
        <v>20191211KSCHT</v>
      </c>
      <c r="B613" s="8" t="str">
        <f ca="1">IFERROR(__xludf.DUMMYFUNCTION("""COMPUTED_VALUE"""),"Other")</f>
        <v>Other</v>
      </c>
    </row>
    <row r="614" spans="1:2" ht="12.75">
      <c r="A614" s="8" t="str">
        <f ca="1">IFERROR(__xludf.DUMMYFUNCTION("""COMPUTED_VALUE"""),"20191211INEVE")</f>
        <v>20191211INEVE</v>
      </c>
      <c r="B614" s="8" t="str">
        <f ca="1">IFERROR(__xludf.DUMMYFUNCTION("""COMPUTED_VALUE"""),"Other")</f>
        <v>Other</v>
      </c>
    </row>
    <row r="615" spans="1:2" ht="12.75">
      <c r="A615" s="8" t="str">
        <f ca="1">IFERROR(__xludf.DUMMYFUNCTION("""COMPUTED_VALUE"""),"20191210NJSAJ")</f>
        <v>20191210NJSAJ</v>
      </c>
      <c r="B615" s="8" t="str">
        <f ca="1">IFERROR(__xludf.DUMMYFUNCTION("""COMPUTED_VALUE"""),"Multiple Unknown")</f>
        <v>Multiple Unknown</v>
      </c>
    </row>
    <row r="616" spans="1:2" ht="12.75">
      <c r="A616" s="8" t="str">
        <f ca="1">IFERROR(__xludf.DUMMYFUNCTION("""COMPUTED_VALUE"""),"20191210KSJCK")</f>
        <v>20191210KSJCK</v>
      </c>
      <c r="B616" s="8" t="str">
        <f ca="1">IFERROR(__xludf.DUMMYFUNCTION("""COMPUTED_VALUE"""),"No Data")</f>
        <v>No Data</v>
      </c>
    </row>
    <row r="617" spans="1:2" ht="12.75">
      <c r="A617" s="8" t="str">
        <f ca="1">IFERROR(__xludf.DUMMYFUNCTION("""COMPUTED_VALUE"""),"20191210ALDED")</f>
        <v>20191210ALDED</v>
      </c>
      <c r="B617" s="8" t="str">
        <f ca="1">IFERROR(__xludf.DUMMYFUNCTION("""COMPUTED_VALUE"""),"Handgun")</f>
        <v>Handgun</v>
      </c>
    </row>
    <row r="618" spans="1:2" ht="12.75">
      <c r="A618" s="8" t="str">
        <f ca="1">IFERROR(__xludf.DUMMYFUNCTION("""COMPUTED_VALUE"""),"20191204NMPIL")</f>
        <v>20191204NMPIL</v>
      </c>
      <c r="B618" s="8" t="str">
        <f ca="1">IFERROR(__xludf.DUMMYFUNCTION("""COMPUTED_VALUE"""),"Handgun")</f>
        <v>Handgun</v>
      </c>
    </row>
    <row r="619" spans="1:2" ht="12.75">
      <c r="A619" s="8" t="str">
        <f ca="1">IFERROR(__xludf.DUMMYFUNCTION("""COMPUTED_VALUE"""),"20191203WITHM")</f>
        <v>20191203WITHM</v>
      </c>
      <c r="B619" s="8" t="str">
        <f ca="1">IFERROR(__xludf.DUMMYFUNCTION("""COMPUTED_VALUE"""),"Other")</f>
        <v>Other</v>
      </c>
    </row>
    <row r="620" spans="1:2" ht="12.75">
      <c r="A620" s="8" t="str">
        <f ca="1">IFERROR(__xludf.DUMMYFUNCTION("""COMPUTED_VALUE"""),"20191203WIOSO")</f>
        <v>20191203WIOSO</v>
      </c>
      <c r="B620" s="8" t="str">
        <f ca="1">IFERROR(__xludf.DUMMYFUNCTION("""COMPUTED_VALUE"""),"Handgun")</f>
        <v>Handgun</v>
      </c>
    </row>
    <row r="621" spans="1:2" ht="12.75">
      <c r="A621" s="8" t="str">
        <f ca="1">IFERROR(__xludf.DUMMYFUNCTION("""COMPUTED_VALUE"""),"20191202WIWAW")</f>
        <v>20191202WIWAW</v>
      </c>
      <c r="B621" s="8" t="str">
        <f ca="1">IFERROR(__xludf.DUMMYFUNCTION("""COMPUTED_VALUE"""),"Handgun")</f>
        <v>Handgun</v>
      </c>
    </row>
    <row r="622" spans="1:2" ht="12.75">
      <c r="A622" s="8" t="str">
        <f ca="1">IFERROR(__xludf.DUMMYFUNCTION("""COMPUTED_VALUE"""),"20191201ALMOM")</f>
        <v>20191201ALMOM</v>
      </c>
      <c r="B622" s="8" t="str">
        <f ca="1">IFERROR(__xludf.DUMMYFUNCTION("""COMPUTED_VALUE"""),"Handgun")</f>
        <v>Handgun</v>
      </c>
    </row>
    <row r="623" spans="1:2" ht="12.75">
      <c r="A623" s="8" t="str">
        <f ca="1">IFERROR(__xludf.DUMMYFUNCTION("""COMPUTED_VALUE"""),"20191126WASAV")</f>
        <v>20191126WASAV</v>
      </c>
      <c r="B623" s="8" t="str">
        <f ca="1">IFERROR(__xludf.DUMMYFUNCTION("""COMPUTED_VALUE"""),"Handgun")</f>
        <v>Handgun</v>
      </c>
    </row>
    <row r="624" spans="1:2" ht="12.75">
      <c r="A624" s="8" t="str">
        <f ca="1">IFERROR(__xludf.DUMMYFUNCTION("""COMPUTED_VALUE"""),"20191125ILCAC")</f>
        <v>20191125ILCAC</v>
      </c>
      <c r="B624" s="8" t="str">
        <f ca="1">IFERROR(__xludf.DUMMYFUNCTION("""COMPUTED_VALUE"""),"Handgun")</f>
        <v>Handgun</v>
      </c>
    </row>
    <row r="625" spans="1:2" ht="12.75">
      <c r="A625" s="8" t="str">
        <f ca="1">IFERROR(__xludf.DUMMYFUNCTION("""COMPUTED_VALUE"""),"20191124CASEU")</f>
        <v>20191124CASEU</v>
      </c>
      <c r="B625" s="8" t="str">
        <f ca="1">IFERROR(__xludf.DUMMYFUNCTION("""COMPUTED_VALUE"""),"Multiple Unknown")</f>
        <v>Multiple Unknown</v>
      </c>
    </row>
    <row r="626" spans="1:2" ht="12.75">
      <c r="A626" s="8" t="str">
        <f ca="1">IFERROR(__xludf.DUMMYFUNCTION("""COMPUTED_VALUE"""),"20191121ILRIO")</f>
        <v>20191121ILRIO</v>
      </c>
      <c r="B626" s="8" t="str">
        <f ca="1">IFERROR(__xludf.DUMMYFUNCTION("""COMPUTED_VALUE"""),"Other")</f>
        <v>Other</v>
      </c>
    </row>
    <row r="627" spans="1:2" ht="12.75">
      <c r="A627" s="8" t="str">
        <f ca="1">IFERROR(__xludf.DUMMYFUNCTION("""COMPUTED_VALUE"""),"20191115NJPLP")</f>
        <v>20191115NJPLP</v>
      </c>
      <c r="B627" s="8" t="str">
        <f ca="1">IFERROR(__xludf.DUMMYFUNCTION("""COMPUTED_VALUE"""),"Handgun")</f>
        <v>Handgun</v>
      </c>
    </row>
    <row r="628" spans="1:2" ht="12.75">
      <c r="A628" s="8" t="str">
        <f ca="1">IFERROR(__xludf.DUMMYFUNCTION("""COMPUTED_VALUE"""),"20191114CASAS")</f>
        <v>20191114CASAS</v>
      </c>
      <c r="B628" s="8" t="str">
        <f ca="1">IFERROR(__xludf.DUMMYFUNCTION("""COMPUTED_VALUE"""),"Handgun")</f>
        <v>Handgun</v>
      </c>
    </row>
    <row r="629" spans="1:2" ht="12.75">
      <c r="A629" s="8" t="str">
        <f ca="1">IFERROR(__xludf.DUMMYFUNCTION("""COMPUTED_VALUE"""),"20191113CAESL")</f>
        <v>20191113CAESL</v>
      </c>
      <c r="B629" s="8" t="str">
        <f ca="1">IFERROR(__xludf.DUMMYFUNCTION("""COMPUTED_VALUE"""),"Unknown")</f>
        <v>Unknown</v>
      </c>
    </row>
    <row r="630" spans="1:2" ht="12.75">
      <c r="A630" s="8" t="str">
        <f ca="1">IFERROR(__xludf.DUMMYFUNCTION("""COMPUTED_VALUE"""),"20191111MDACB")</f>
        <v>20191111MDACB</v>
      </c>
      <c r="B630" s="8" t="str">
        <f ca="1">IFERROR(__xludf.DUMMYFUNCTION("""COMPUTED_VALUE"""),"Handgun")</f>
        <v>Handgun</v>
      </c>
    </row>
    <row r="631" spans="1:2" ht="12.75">
      <c r="A631" s="8" t="str">
        <f ca="1">IFERROR(__xludf.DUMMYFUNCTION("""COMPUTED_VALUE"""),"20191108TXROD")</f>
        <v>20191108TXROD</v>
      </c>
      <c r="B631" s="8" t="str">
        <f ca="1">IFERROR(__xludf.DUMMYFUNCTION("""COMPUTED_VALUE"""),"No Data")</f>
        <v>No Data</v>
      </c>
    </row>
    <row r="632" spans="1:2" ht="12.75">
      <c r="A632" s="8" t="str">
        <f ca="1">IFERROR(__xludf.DUMMYFUNCTION("""COMPUTED_VALUE"""),"20191108CAEDS")</f>
        <v>20191108CAEDS</v>
      </c>
      <c r="B632" s="8" t="str">
        <f ca="1">IFERROR(__xludf.DUMMYFUNCTION("""COMPUTED_VALUE"""),"No Data")</f>
        <v>No Data</v>
      </c>
    </row>
    <row r="633" spans="1:2" ht="12.75">
      <c r="A633" s="8" t="str">
        <f ca="1">IFERROR(__xludf.DUMMYFUNCTION("""COMPUTED_VALUE"""),"20191029NYNEN")</f>
        <v>20191029NYNEN</v>
      </c>
      <c r="B633" s="8" t="str">
        <f ca="1">IFERROR(__xludf.DUMMYFUNCTION("""COMPUTED_VALUE"""),"Handgun")</f>
        <v>Handgun</v>
      </c>
    </row>
    <row r="634" spans="1:2" ht="12.75">
      <c r="A634" s="8" t="str">
        <f ca="1">IFERROR(__xludf.DUMMYFUNCTION("""COMPUTED_VALUE"""),"20191027MDLAL")</f>
        <v>20191027MDLAL</v>
      </c>
      <c r="B634" s="8" t="str">
        <f ca="1">IFERROR(__xludf.DUMMYFUNCTION("""COMPUTED_VALUE"""),"Handgun")</f>
        <v>Handgun</v>
      </c>
    </row>
    <row r="635" spans="1:2" ht="12.75">
      <c r="A635" s="8" t="str">
        <f ca="1">IFERROR(__xludf.DUMMYFUNCTION("""COMPUTED_VALUE"""),"20191022CARIS")</f>
        <v>20191022CARIS</v>
      </c>
      <c r="B635" s="8" t="str">
        <f ca="1">IFERROR(__xludf.DUMMYFUNCTION("""COMPUTED_VALUE"""),"Handgun")</f>
        <v>Handgun</v>
      </c>
    </row>
    <row r="636" spans="1:2" ht="12.75">
      <c r="A636" s="8" t="str">
        <f ca="1">IFERROR(__xludf.DUMMYFUNCTION("""COMPUTED_VALUE"""),"20191018OHWOT")</f>
        <v>20191018OHWOT</v>
      </c>
      <c r="B636" s="8" t="str">
        <f ca="1">IFERROR(__xludf.DUMMYFUNCTION("""COMPUTED_VALUE"""),"No Data")</f>
        <v>No Data</v>
      </c>
    </row>
    <row r="637" spans="1:2" ht="12.75">
      <c r="A637" s="8" t="str">
        <f ca="1">IFERROR(__xludf.DUMMYFUNCTION("""COMPUTED_VALUE"""),"20191018GACRS")</f>
        <v>20191018GACRS</v>
      </c>
      <c r="B637" s="8" t="str">
        <f ca="1">IFERROR(__xludf.DUMMYFUNCTION("""COMPUTED_VALUE"""),"Handgun")</f>
        <v>Handgun</v>
      </c>
    </row>
    <row r="638" spans="1:2" ht="12.75">
      <c r="A638" s="8" t="str">
        <f ca="1">IFERROR(__xludf.DUMMYFUNCTION("""COMPUTED_VALUE"""),"20191015LAGEN")</f>
        <v>20191015LAGEN</v>
      </c>
      <c r="B638" s="8" t="str">
        <f ca="1">IFERROR(__xludf.DUMMYFUNCTION("""COMPUTED_VALUE"""),"Handgun")</f>
        <v>Handgun</v>
      </c>
    </row>
    <row r="639" spans="1:2" ht="12.75">
      <c r="A639" s="8" t="str">
        <f ca="1">IFERROR(__xludf.DUMMYFUNCTION("""COMPUTED_VALUE"""),"20191011LARAR")</f>
        <v>20191011LARAR</v>
      </c>
      <c r="B639" s="8" t="str">
        <f ca="1">IFERROR(__xludf.DUMMYFUNCTION("""COMPUTED_VALUE"""),"Handgun")</f>
        <v>Handgun</v>
      </c>
    </row>
    <row r="640" spans="1:2" ht="12.75">
      <c r="A640" s="8" t="str">
        <f ca="1">IFERROR(__xludf.DUMMYFUNCTION("""COMPUTED_VALUE"""),"20191009MAGRL")</f>
        <v>20191009MAGRL</v>
      </c>
      <c r="B640" s="8" t="str">
        <f ca="1">IFERROR(__xludf.DUMMYFUNCTION("""COMPUTED_VALUE"""),"Other")</f>
        <v>Other</v>
      </c>
    </row>
    <row r="641" spans="1:2" ht="12.75">
      <c r="A641" s="8" t="str">
        <f ca="1">IFERROR(__xludf.DUMMYFUNCTION("""COMPUTED_VALUE"""),"20191008TXWEH")</f>
        <v>20191008TXWEH</v>
      </c>
      <c r="B641" s="8" t="str">
        <f ca="1">IFERROR(__xludf.DUMMYFUNCTION("""COMPUTED_VALUE"""),"No Data")</f>
        <v>No Data</v>
      </c>
    </row>
    <row r="642" spans="1:2" ht="12.75">
      <c r="A642" s="8" t="str">
        <f ca="1">IFERROR(__xludf.DUMMYFUNCTION("""COMPUTED_VALUE"""),"20191008COSHS")</f>
        <v>20191008COSHS</v>
      </c>
      <c r="B642" s="8" t="str">
        <f ca="1">IFERROR(__xludf.DUMMYFUNCTION("""COMPUTED_VALUE"""),"Handgun")</f>
        <v>Handgun</v>
      </c>
    </row>
    <row r="643" spans="1:2" ht="12.75">
      <c r="A643" s="8" t="str">
        <f ca="1">IFERROR(__xludf.DUMMYFUNCTION("""COMPUTED_VALUE"""),"20191002GASOA")</f>
        <v>20191002GASOA</v>
      </c>
      <c r="B643" s="8" t="str">
        <f ca="1">IFERROR(__xludf.DUMMYFUNCTION("""COMPUTED_VALUE"""),"Handgun")</f>
        <v>Handgun</v>
      </c>
    </row>
    <row r="644" spans="1:2" ht="12.75">
      <c r="A644" s="8" t="str">
        <f ca="1">IFERROR(__xludf.DUMMYFUNCTION("""COMPUTED_VALUE"""),"20190927NCZEC")</f>
        <v>20190927NCZEC</v>
      </c>
      <c r="B644" s="8" t="str">
        <f ca="1">IFERROR(__xludf.DUMMYFUNCTION("""COMPUTED_VALUE"""),"Handgun")</f>
        <v>Handgun</v>
      </c>
    </row>
    <row r="645" spans="1:2" ht="12.75">
      <c r="A645" s="8" t="str">
        <f ca="1">IFERROR(__xludf.DUMMYFUNCTION("""COMPUTED_VALUE"""),"20190927CADER")</f>
        <v>20190927CADER</v>
      </c>
      <c r="B645" s="8" t="str">
        <f ca="1">IFERROR(__xludf.DUMMYFUNCTION("""COMPUTED_VALUE"""),"Multiple Handguns")</f>
        <v>Multiple Handguns</v>
      </c>
    </row>
    <row r="646" spans="1:2" ht="12.75">
      <c r="A646" s="8" t="str">
        <f ca="1">IFERROR(__xludf.DUMMYFUNCTION("""COMPUTED_VALUE"""),"20190920PASIP")</f>
        <v>20190920PASIP</v>
      </c>
      <c r="B646" s="8" t="str">
        <f ca="1">IFERROR(__xludf.DUMMYFUNCTION("""COMPUTED_VALUE"""),"Handgun")</f>
        <v>Handgun</v>
      </c>
    </row>
    <row r="647" spans="1:2" ht="12.75">
      <c r="A647" s="8" t="str">
        <f ca="1">IFERROR(__xludf.DUMMYFUNCTION("""COMPUTED_VALUE"""),"20190918MNFOC")</f>
        <v>20190918MNFOC</v>
      </c>
      <c r="B647" s="8" t="str">
        <f ca="1">IFERROR(__xludf.DUMMYFUNCTION("""COMPUTED_VALUE"""),"Handgun")</f>
        <v>Handgun</v>
      </c>
    </row>
    <row r="648" spans="1:2" ht="12.75">
      <c r="A648" s="8" t="str">
        <f ca="1">IFERROR(__xludf.DUMMYFUNCTION("""COMPUTED_VALUE"""),"20190916VAPHH")</f>
        <v>20190916VAPHH</v>
      </c>
      <c r="B648" s="8" t="str">
        <f ca="1">IFERROR(__xludf.DUMMYFUNCTION("""COMPUTED_VALUE"""),"Handgun")</f>
        <v>Handgun</v>
      </c>
    </row>
    <row r="649" spans="1:2" ht="12.75">
      <c r="A649" s="8" t="str">
        <f ca="1">IFERROR(__xludf.DUMMYFUNCTION("""COMPUTED_VALUE"""),"20190916ILILK")</f>
        <v>20190916ILILK</v>
      </c>
      <c r="B649" s="8" t="str">
        <f ca="1">IFERROR(__xludf.DUMMYFUNCTION("""COMPUTED_VALUE"""),"No Data")</f>
        <v>No Data</v>
      </c>
    </row>
    <row r="650" spans="1:2" ht="12.75">
      <c r="A650" s="8" t="str">
        <f ca="1">IFERROR(__xludf.DUMMYFUNCTION("""COMPUTED_VALUE"""),"20190914TXEAF")</f>
        <v>20190914TXEAF</v>
      </c>
      <c r="B650" s="8" t="str">
        <f ca="1">IFERROR(__xludf.DUMMYFUNCTION("""COMPUTED_VALUE"""),"Handgun")</f>
        <v>Handgun</v>
      </c>
    </row>
    <row r="651" spans="1:2" ht="12.75">
      <c r="A651" s="8" t="str">
        <f ca="1">IFERROR(__xludf.DUMMYFUNCTION("""COMPUTED_VALUE"""),"20190913VAETN")</f>
        <v>20190913VAETN</v>
      </c>
      <c r="B651" s="8" t="str">
        <f ca="1">IFERROR(__xludf.DUMMYFUNCTION("""COMPUTED_VALUE"""),"Handgun")</f>
        <v>Handgun</v>
      </c>
    </row>
    <row r="652" spans="1:2" ht="12.75">
      <c r="A652" s="8" t="str">
        <f ca="1">IFERROR(__xludf.DUMMYFUNCTION("""COMPUTED_VALUE"""),"20190913UTGRW")</f>
        <v>20190913UTGRW</v>
      </c>
      <c r="B652" s="8" t="str">
        <f ca="1">IFERROR(__xludf.DUMMYFUNCTION("""COMPUTED_VALUE"""),"Handgun")</f>
        <v>Handgun</v>
      </c>
    </row>
    <row r="653" spans="1:2" ht="12.75">
      <c r="A653" s="8" t="str">
        <f ca="1">IFERROR(__xludf.DUMMYFUNCTION("""COMPUTED_VALUE"""),"20190912KSMAM")</f>
        <v>20190912KSMAM</v>
      </c>
      <c r="B653" s="8" t="str">
        <f ca="1">IFERROR(__xludf.DUMMYFUNCTION("""COMPUTED_VALUE"""),"No Data")</f>
        <v>No Data</v>
      </c>
    </row>
    <row r="654" spans="1:2" ht="12.75">
      <c r="A654" s="8" t="str">
        <f ca="1">IFERROR(__xludf.DUMMYFUNCTION("""COMPUTED_VALUE"""),"20190910SCSOA")</f>
        <v>20190910SCSOA</v>
      </c>
      <c r="B654" s="8" t="str">
        <f ca="1">IFERROR(__xludf.DUMMYFUNCTION("""COMPUTED_VALUE"""),"Handgun")</f>
        <v>Handgun</v>
      </c>
    </row>
    <row r="655" spans="1:2" ht="12.75">
      <c r="A655" s="8" t="str">
        <f ca="1">IFERROR(__xludf.DUMMYFUNCTION("""COMPUTED_VALUE"""),"20190906PAWEM")</f>
        <v>20190906PAWEM</v>
      </c>
      <c r="B655" s="8" t="str">
        <f ca="1">IFERROR(__xludf.DUMMYFUNCTION("""COMPUTED_VALUE"""),"No Data")</f>
        <v>No Data</v>
      </c>
    </row>
    <row r="656" spans="1:2" ht="12.75">
      <c r="A656" s="8" t="str">
        <f ca="1">IFERROR(__xludf.DUMMYFUNCTION("""COMPUTED_VALUE"""),"20190906PAMCJ")</f>
        <v>20190906PAMCJ</v>
      </c>
      <c r="B656" s="8" t="str">
        <f ca="1">IFERROR(__xludf.DUMMYFUNCTION("""COMPUTED_VALUE"""),"Handgun")</f>
        <v>Handgun</v>
      </c>
    </row>
    <row r="657" spans="1:2" ht="12.75">
      <c r="A657" s="8" t="str">
        <f ca="1">IFERROR(__xludf.DUMMYFUNCTION("""COMPUTED_VALUE"""),"20190906ALCEC")</f>
        <v>20190906ALCEC</v>
      </c>
      <c r="B657" s="8" t="str">
        <f ca="1">IFERROR(__xludf.DUMMYFUNCTION("""COMPUTED_VALUE"""),"No Data")</f>
        <v>No Data</v>
      </c>
    </row>
    <row r="658" spans="1:2" ht="12.75">
      <c r="A658" s="8" t="str">
        <f ca="1">IFERROR(__xludf.DUMMYFUNCTION("""COMPUTED_VALUE"""),"20190902MDNOB")</f>
        <v>20190902MDNOB</v>
      </c>
      <c r="B658" s="8" t="str">
        <f ca="1">IFERROR(__xludf.DUMMYFUNCTION("""COMPUTED_VALUE"""),"No Data")</f>
        <v>No Data</v>
      </c>
    </row>
    <row r="659" spans="1:2" ht="12.75">
      <c r="A659" s="8" t="str">
        <f ca="1">IFERROR(__xludf.DUMMYFUNCTION("""COMPUTED_VALUE"""),"20190830OHCET")</f>
        <v>20190830OHCET</v>
      </c>
      <c r="B659" s="8" t="str">
        <f ca="1">IFERROR(__xludf.DUMMYFUNCTION("""COMPUTED_VALUE"""),"Handgun")</f>
        <v>Handgun</v>
      </c>
    </row>
    <row r="660" spans="1:2" ht="12.75">
      <c r="A660" s="8" t="str">
        <f ca="1">IFERROR(__xludf.DUMMYFUNCTION("""COMPUTED_VALUE"""),"20190830NCKIK")</f>
        <v>20190830NCKIK</v>
      </c>
      <c r="B660" s="8" t="str">
        <f ca="1">IFERROR(__xludf.DUMMYFUNCTION("""COMPUTED_VALUE"""),"Handgun")</f>
        <v>Handgun</v>
      </c>
    </row>
    <row r="661" spans="1:2" ht="12.75">
      <c r="A661" s="8" t="str">
        <f ca="1">IFERROR(__xludf.DUMMYFUNCTION("""COMPUTED_VALUE"""),"20190830ALLAM")</f>
        <v>20190830ALLAM</v>
      </c>
      <c r="B661" s="8" t="str">
        <f ca="1">IFERROR(__xludf.DUMMYFUNCTION("""COMPUTED_VALUE"""),"Handgun")</f>
        <v>Handgun</v>
      </c>
    </row>
    <row r="662" spans="1:2" ht="12.75">
      <c r="A662" s="8" t="str">
        <f ca="1">IFERROR(__xludf.DUMMYFUNCTION("""COMPUTED_VALUE"""),"20190827NYROR")</f>
        <v>20190827NYROR</v>
      </c>
      <c r="B662" s="8" t="str">
        <f ca="1">IFERROR(__xludf.DUMMYFUNCTION("""COMPUTED_VALUE"""),"Handgun")</f>
        <v>Handgun</v>
      </c>
    </row>
    <row r="663" spans="1:2" ht="12.75">
      <c r="A663" s="8" t="str">
        <f ca="1">IFERROR(__xludf.DUMMYFUNCTION("""COMPUTED_VALUE"""),"20190827CAHOL")</f>
        <v>20190827CAHOL</v>
      </c>
      <c r="B663" s="8" t="str">
        <f ca="1">IFERROR(__xludf.DUMMYFUNCTION("""COMPUTED_VALUE"""),"No Data")</f>
        <v>No Data</v>
      </c>
    </row>
    <row r="664" spans="1:2" ht="12.75">
      <c r="A664" s="8" t="str">
        <f ca="1">IFERROR(__xludf.DUMMYFUNCTION("""COMPUTED_VALUE"""),"20190824PAWIP")</f>
        <v>20190824PAWIP</v>
      </c>
      <c r="B664" s="8" t="str">
        <f ca="1">IFERROR(__xludf.DUMMYFUNCTION("""COMPUTED_VALUE"""),"Handgun")</f>
        <v>Handgun</v>
      </c>
    </row>
    <row r="665" spans="1:2" ht="12.75">
      <c r="A665" s="8" t="str">
        <f ca="1">IFERROR(__xludf.DUMMYFUNCTION("""COMPUTED_VALUE"""),"20190823MOROS")</f>
        <v>20190823MOROS</v>
      </c>
      <c r="B665" s="8" t="str">
        <f ca="1">IFERROR(__xludf.DUMMYFUNCTION("""COMPUTED_VALUE"""),"No Data")</f>
        <v>No Data</v>
      </c>
    </row>
    <row r="666" spans="1:2" ht="12.75">
      <c r="A666" s="8" t="str">
        <f ca="1">IFERROR(__xludf.DUMMYFUNCTION("""COMPUTED_VALUE"""),"20190823MOPAS")</f>
        <v>20190823MOPAS</v>
      </c>
      <c r="B666" s="8" t="str">
        <f ca="1">IFERROR(__xludf.DUMMYFUNCTION("""COMPUTED_VALUE"""),"Handgun")</f>
        <v>Handgun</v>
      </c>
    </row>
    <row r="667" spans="1:2" ht="12.75">
      <c r="A667" s="8" t="str">
        <f ca="1">IFERROR(__xludf.DUMMYFUNCTION("""COMPUTED_VALUE"""),"20190823GAPEC")</f>
        <v>20190823GAPEC</v>
      </c>
      <c r="B667" s="8" t="str">
        <f ca="1">IFERROR(__xludf.DUMMYFUNCTION("""COMPUTED_VALUE"""),"No Data")</f>
        <v>No Data</v>
      </c>
    </row>
    <row r="668" spans="1:2" ht="12.75">
      <c r="A668" s="8" t="str">
        <f ca="1">IFERROR(__xludf.DUMMYFUNCTION("""COMPUTED_VALUE"""),"20190820PASAC")</f>
        <v>20190820PASAC</v>
      </c>
      <c r="B668" s="8" t="str">
        <f ca="1">IFERROR(__xludf.DUMMYFUNCTION("""COMPUTED_VALUE"""),"Handgun")</f>
        <v>Handgun</v>
      </c>
    </row>
    <row r="669" spans="1:2" ht="12.75">
      <c r="A669" s="8" t="str">
        <f ca="1">IFERROR(__xludf.DUMMYFUNCTION("""COMPUTED_VALUE"""),"20190817GALAA")</f>
        <v>20190817GALAA</v>
      </c>
      <c r="B669" s="8" t="str">
        <f ca="1">IFERROR(__xludf.DUMMYFUNCTION("""COMPUTED_VALUE"""),"Handgun")</f>
        <v>Handgun</v>
      </c>
    </row>
    <row r="670" spans="1:2" ht="12.75">
      <c r="A670" s="8" t="str">
        <f ca="1">IFERROR(__xludf.DUMMYFUNCTION("""COMPUTED_VALUE"""),"20190815TNEAN")</f>
        <v>20190815TNEAN</v>
      </c>
      <c r="B670" s="8" t="str">
        <f ca="1">IFERROR(__xludf.DUMMYFUNCTION("""COMPUTED_VALUE"""),"Handgun")</f>
        <v>Handgun</v>
      </c>
    </row>
    <row r="671" spans="1:2" ht="12.75">
      <c r="A671" s="8" t="str">
        <f ca="1">IFERROR(__xludf.DUMMYFUNCTION("""COMPUTED_VALUE"""),"20190809NJWEN")</f>
        <v>20190809NJWEN</v>
      </c>
      <c r="B671" s="8" t="str">
        <f ca="1">IFERROR(__xludf.DUMMYFUNCTION("""COMPUTED_VALUE"""),"Handgun")</f>
        <v>Handgun</v>
      </c>
    </row>
    <row r="672" spans="1:2" ht="12.75">
      <c r="A672" s="8" t="str">
        <f ca="1">IFERROR(__xludf.DUMMYFUNCTION("""COMPUTED_VALUE"""),"20190808ALBLM")</f>
        <v>20190808ALBLM</v>
      </c>
      <c r="B672" s="8" t="str">
        <f ca="1">IFERROR(__xludf.DUMMYFUNCTION("""COMPUTED_VALUE"""),"Handgun")</f>
        <v>Handgun</v>
      </c>
    </row>
    <row r="673" spans="1:2" ht="12.75">
      <c r="A673" s="8" t="str">
        <f ca="1">IFERROR(__xludf.DUMMYFUNCTION("""COMPUTED_VALUE"""),"20190719CAMOS")</f>
        <v>20190719CAMOS</v>
      </c>
      <c r="B673" s="8" t="str">
        <f ca="1">IFERROR(__xludf.DUMMYFUNCTION("""COMPUTED_VALUE"""),"Other")</f>
        <v>Other</v>
      </c>
    </row>
    <row r="674" spans="1:2" ht="12.75">
      <c r="A674" s="8" t="str">
        <f ca="1">IFERROR(__xludf.DUMMYFUNCTION("""COMPUTED_VALUE"""),"20190711CTBUH")</f>
        <v>20190711CTBUH</v>
      </c>
      <c r="B674" s="8" t="str">
        <f ca="1">IFERROR(__xludf.DUMMYFUNCTION("""COMPUTED_VALUE"""),"No Data")</f>
        <v>No Data</v>
      </c>
    </row>
    <row r="675" spans="1:2" ht="12.75">
      <c r="A675" s="8" t="str">
        <f ca="1">IFERROR(__xludf.DUMMYFUNCTION("""COMPUTED_VALUE"""),"20190702AKWIA")</f>
        <v>20190702AKWIA</v>
      </c>
      <c r="B675" s="8" t="str">
        <f ca="1">IFERROR(__xludf.DUMMYFUNCTION("""COMPUTED_VALUE"""),"Handgun")</f>
        <v>Handgun</v>
      </c>
    </row>
    <row r="676" spans="1:2" ht="12.75">
      <c r="A676" s="8" t="str">
        <f ca="1">IFERROR(__xludf.DUMMYFUNCTION("""COMPUTED_VALUE"""),"20190701NYSCN")</f>
        <v>20190701NYSCN</v>
      </c>
      <c r="B676" s="8" t="str">
        <f ca="1">IFERROR(__xludf.DUMMYFUNCTION("""COMPUTED_VALUE"""),"Handgun")</f>
        <v>Handgun</v>
      </c>
    </row>
    <row r="677" spans="1:2" ht="12.75">
      <c r="A677" s="8" t="str">
        <f ca="1">IFERROR(__xludf.DUMMYFUNCTION("""COMPUTED_VALUE"""),"20190629COJAC")</f>
        <v>20190629COJAC</v>
      </c>
      <c r="B677" s="8" t="str">
        <f ca="1">IFERROR(__xludf.DUMMYFUNCTION("""COMPUTED_VALUE"""),"Handgun")</f>
        <v>Handgun</v>
      </c>
    </row>
    <row r="678" spans="1:2" ht="12.75">
      <c r="A678" s="8" t="str">
        <f ca="1">IFERROR(__xludf.DUMMYFUNCTION("""COMPUTED_VALUE"""),"20190621MICAF")</f>
        <v>20190621MICAF</v>
      </c>
      <c r="B678" s="8" t="str">
        <f ca="1">IFERROR(__xludf.DUMMYFUNCTION("""COMPUTED_VALUE"""),"Handgun")</f>
        <v>Handgun</v>
      </c>
    </row>
    <row r="679" spans="1:2" ht="12.75">
      <c r="A679" s="8" t="str">
        <f ca="1">IFERROR(__xludf.DUMMYFUNCTION("""COMPUTED_VALUE"""),"20190613NJTAW")</f>
        <v>20190613NJTAW</v>
      </c>
      <c r="B679" s="8" t="str">
        <f ca="1">IFERROR(__xludf.DUMMYFUNCTION("""COMPUTED_VALUE"""),"Handgun")</f>
        <v>Handgun</v>
      </c>
    </row>
    <row r="680" spans="1:2" ht="12.75">
      <c r="A680" s="8" t="str">
        <f ca="1">IFERROR(__xludf.DUMMYFUNCTION("""COMPUTED_VALUE"""),"20190612PAJEE")</f>
        <v>20190612PAJEE</v>
      </c>
      <c r="B680" s="8" t="str">
        <f ca="1">IFERROR(__xludf.DUMMYFUNCTION("""COMPUTED_VALUE"""),"Handgun")</f>
        <v>Handgun</v>
      </c>
    </row>
    <row r="681" spans="1:2" ht="12.75">
      <c r="A681" s="8" t="str">
        <f ca="1">IFERROR(__xludf.DUMMYFUNCTION("""COMPUTED_VALUE"""),"20190612DCHEW")</f>
        <v>20190612DCHEW</v>
      </c>
      <c r="B681" s="8" t="str">
        <f ca="1">IFERROR(__xludf.DUMMYFUNCTION("""COMPUTED_VALUE"""),"Handgun")</f>
        <v>Handgun</v>
      </c>
    </row>
    <row r="682" spans="1:2" ht="12.75">
      <c r="A682" s="8" t="str">
        <f ca="1">IFERROR(__xludf.DUMMYFUNCTION("""COMPUTED_VALUE"""),"20190610ILMEW")</f>
        <v>20190610ILMEW</v>
      </c>
      <c r="B682" s="8" t="str">
        <f ca="1">IFERROR(__xludf.DUMMYFUNCTION("""COMPUTED_VALUE"""),"Handgun")</f>
        <v>Handgun</v>
      </c>
    </row>
    <row r="683" spans="1:2" ht="12.75">
      <c r="A683" s="8" t="str">
        <f ca="1">IFERROR(__xludf.DUMMYFUNCTION("""COMPUTED_VALUE"""),"20190606ILGEC")</f>
        <v>20190606ILGEC</v>
      </c>
      <c r="B683" s="8" t="str">
        <f ca="1">IFERROR(__xludf.DUMMYFUNCTION("""COMPUTED_VALUE"""),"Handgun")</f>
        <v>Handgun</v>
      </c>
    </row>
    <row r="684" spans="1:2" ht="12.75">
      <c r="A684" s="8" t="str">
        <f ca="1">IFERROR(__xludf.DUMMYFUNCTION("""COMPUTED_VALUE"""),"20190530DCHEW")</f>
        <v>20190530DCHEW</v>
      </c>
      <c r="B684" s="8" t="str">
        <f ca="1">IFERROR(__xludf.DUMMYFUNCTION("""COMPUTED_VALUE"""),"Handgun")</f>
        <v>Handgun</v>
      </c>
    </row>
    <row r="685" spans="1:2" ht="12.75">
      <c r="A685" s="8" t="str">
        <f ca="1">IFERROR(__xludf.DUMMYFUNCTION("""COMPUTED_VALUE"""),"20190522OHSAC")</f>
        <v>20190522OHSAC</v>
      </c>
      <c r="B685" s="8" t="str">
        <f ca="1">IFERROR(__xludf.DUMMYFUNCTION("""COMPUTED_VALUE"""),"Handgun")</f>
        <v>Handgun</v>
      </c>
    </row>
    <row r="686" spans="1:2" ht="12.75">
      <c r="A686" s="8" t="str">
        <f ca="1">IFERROR(__xludf.DUMMYFUNCTION("""COMPUTED_VALUE"""),"20190517ORPAP")</f>
        <v>20190517ORPAP</v>
      </c>
      <c r="B686" s="8" t="str">
        <f ca="1">IFERROR(__xludf.DUMMYFUNCTION("""COMPUTED_VALUE"""),"Shotgun")</f>
        <v>Shotgun</v>
      </c>
    </row>
    <row r="687" spans="1:2" ht="12.75">
      <c r="A687" s="8" t="str">
        <f ca="1">IFERROR(__xludf.DUMMYFUNCTION("""COMPUTED_VALUE"""),"20190517FLTEJ")</f>
        <v>20190517FLTEJ</v>
      </c>
      <c r="B687" s="8" t="str">
        <f ca="1">IFERROR(__xludf.DUMMYFUNCTION("""COMPUTED_VALUE"""),"Handgun")</f>
        <v>Handgun</v>
      </c>
    </row>
    <row r="688" spans="1:2" ht="12.75">
      <c r="A688" s="8" t="str">
        <f ca="1">IFERROR(__xludf.DUMMYFUNCTION("""COMPUTED_VALUE"""),"20190508ILSEC")</f>
        <v>20190508ILSEC</v>
      </c>
      <c r="B688" s="8" t="str">
        <f ca="1">IFERROR(__xludf.DUMMYFUNCTION("""COMPUTED_VALUE"""),"Handgun")</f>
        <v>Handgun</v>
      </c>
    </row>
    <row r="689" spans="1:2" ht="12.75">
      <c r="A689" s="8" t="str">
        <f ca="1">IFERROR(__xludf.DUMMYFUNCTION("""COMPUTED_VALUE"""),"20190507COSTH")</f>
        <v>20190507COSTH</v>
      </c>
      <c r="B689" s="8" t="str">
        <f ca="1">IFERROR(__xludf.DUMMYFUNCTION("""COMPUTED_VALUE"""),"Multiple Handguns")</f>
        <v>Multiple Handguns</v>
      </c>
    </row>
    <row r="690" spans="1:2" ht="12.75">
      <c r="A690" s="8" t="str">
        <f ca="1">IFERROR(__xludf.DUMMYFUNCTION("""COMPUTED_VALUE"""),"20190430VACDW")</f>
        <v>20190430VACDW</v>
      </c>
      <c r="B690" s="8" t="str">
        <f ca="1">IFERROR(__xludf.DUMMYFUNCTION("""COMPUTED_VALUE"""),"Handgun")</f>
        <v>Handgun</v>
      </c>
    </row>
    <row r="691" spans="1:2" ht="12.75">
      <c r="A691" s="8" t="str">
        <f ca="1">IFERROR(__xludf.DUMMYFUNCTION("""COMPUTED_VALUE"""),"20190430FLWEW")</f>
        <v>20190430FLWEW</v>
      </c>
      <c r="B691" s="8" t="str">
        <f ca="1">IFERROR(__xludf.DUMMYFUNCTION("""COMPUTED_VALUE"""),"Handgun")</f>
        <v>Handgun</v>
      </c>
    </row>
    <row r="692" spans="1:2" ht="12.75">
      <c r="A692" s="8" t="str">
        <f ca="1">IFERROR(__xludf.DUMMYFUNCTION("""COMPUTED_VALUE"""),"20190426GACRF")</f>
        <v>20190426GACRF</v>
      </c>
      <c r="B692" s="8" t="str">
        <f ca="1">IFERROR(__xludf.DUMMYFUNCTION("""COMPUTED_VALUE"""),"Handgun")</f>
        <v>Handgun</v>
      </c>
    </row>
    <row r="693" spans="1:2" ht="12.75">
      <c r="A693" s="8" t="str">
        <f ca="1">IFERROR(__xludf.DUMMYFUNCTION("""COMPUTED_VALUE"""),"20190425GAWYS")</f>
        <v>20190425GAWYS</v>
      </c>
      <c r="B693" s="8" t="str">
        <f ca="1">IFERROR(__xludf.DUMMYFUNCTION("""COMPUTED_VALUE"""),"Handgun")</f>
        <v>Handgun</v>
      </c>
    </row>
    <row r="694" spans="1:2" ht="12.75">
      <c r="A694" s="8" t="str">
        <f ca="1">IFERROR(__xludf.DUMMYFUNCTION("""COMPUTED_VALUE"""),"20190424ARCOC")</f>
        <v>20190424ARCOC</v>
      </c>
      <c r="B694" s="8" t="str">
        <f ca="1">IFERROR(__xludf.DUMMYFUNCTION("""COMPUTED_VALUE"""),"Handgun")</f>
        <v>Handgun</v>
      </c>
    </row>
    <row r="695" spans="1:2" ht="12.75">
      <c r="A695" s="8" t="str">
        <f ca="1">IFERROR(__xludf.DUMMYFUNCTION("""COMPUTED_VALUE"""),"20190417ILWAL")</f>
        <v>20190417ILWAL</v>
      </c>
      <c r="B695" s="8" t="str">
        <f ca="1">IFERROR(__xludf.DUMMYFUNCTION("""COMPUTED_VALUE"""),"Handgun")</f>
        <v>Handgun</v>
      </c>
    </row>
    <row r="696" spans="1:2" ht="12.75">
      <c r="A696" s="8" t="str">
        <f ca="1">IFERROR(__xludf.DUMMYFUNCTION("""COMPUTED_VALUE"""),"20190410TXROH")</f>
        <v>20190410TXROH</v>
      </c>
      <c r="B696" s="8" t="str">
        <f ca="1">IFERROR(__xludf.DUMMYFUNCTION("""COMPUTED_VALUE"""),"Multiple Unknown")</f>
        <v>Multiple Unknown</v>
      </c>
    </row>
    <row r="697" spans="1:2" ht="12.75">
      <c r="A697" s="8" t="str">
        <f ca="1">IFERROR(__xludf.DUMMYFUNCTION("""COMPUTED_VALUE"""),"20190407MAHOL")</f>
        <v>20190407MAHOL</v>
      </c>
      <c r="B697" s="8" t="str">
        <f ca="1">IFERROR(__xludf.DUMMYFUNCTION("""COMPUTED_VALUE"""),"No Data")</f>
        <v>No Data</v>
      </c>
    </row>
    <row r="698" spans="1:2" ht="12.75">
      <c r="A698" s="8" t="str">
        <f ca="1">IFERROR(__xludf.DUMMYFUNCTION("""COMPUTED_VALUE"""),"20190405WISTM")</f>
        <v>20190405WISTM</v>
      </c>
      <c r="B698" s="8" t="str">
        <f ca="1">IFERROR(__xludf.DUMMYFUNCTION("""COMPUTED_VALUE"""),"Handgun")</f>
        <v>Handgun</v>
      </c>
    </row>
    <row r="699" spans="1:2" ht="12.75">
      <c r="A699" s="8" t="str">
        <f ca="1">IFERROR(__xludf.DUMMYFUNCTION("""COMPUTED_VALUE"""),"20190403FLSAJ")</f>
        <v>20190403FLSAJ</v>
      </c>
      <c r="B699" s="8" t="str">
        <f ca="1">IFERROR(__xludf.DUMMYFUNCTION("""COMPUTED_VALUE"""),"No Data")</f>
        <v>No Data</v>
      </c>
    </row>
    <row r="700" spans="1:2" ht="12.75">
      <c r="A700" s="8" t="str">
        <f ca="1">IFERROR(__xludf.DUMMYFUNCTION("""COMPUTED_VALUE"""),"20190403COAUA")</f>
        <v>20190403COAUA</v>
      </c>
      <c r="B700" s="8" t="str">
        <f ca="1">IFERROR(__xludf.DUMMYFUNCTION("""COMPUTED_VALUE"""),"Handgun")</f>
        <v>Handgun</v>
      </c>
    </row>
    <row r="701" spans="1:2" ht="12.75">
      <c r="A701" s="8" t="str">
        <f ca="1">IFERROR(__xludf.DUMMYFUNCTION("""COMPUTED_VALUE"""),"20190401ARPRP")</f>
        <v>20190401ARPRP</v>
      </c>
      <c r="B701" s="8" t="str">
        <f ca="1">IFERROR(__xludf.DUMMYFUNCTION("""COMPUTED_VALUE"""),"Handgun")</f>
        <v>Handgun</v>
      </c>
    </row>
    <row r="702" spans="1:2" ht="12.75">
      <c r="A702" s="8" t="str">
        <f ca="1">IFERROR(__xludf.DUMMYFUNCTION("""COMPUTED_VALUE"""),"20190327MSSVH")</f>
        <v>20190327MSSVH</v>
      </c>
      <c r="B702" s="8" t="str">
        <f ca="1">IFERROR(__xludf.DUMMYFUNCTION("""COMPUTED_VALUE"""),"Handgun")</f>
        <v>Handgun</v>
      </c>
    </row>
    <row r="703" spans="1:2" ht="12.75">
      <c r="A703" s="8" t="str">
        <f ca="1">IFERROR(__xludf.DUMMYFUNCTION("""COMPUTED_VALUE"""),"20190327FLMAJ")</f>
        <v>20190327FLMAJ</v>
      </c>
      <c r="B703" s="8" t="str">
        <f ca="1">IFERROR(__xludf.DUMMYFUNCTION("""COMPUTED_VALUE"""),"Other")</f>
        <v>Other</v>
      </c>
    </row>
    <row r="704" spans="1:2" ht="12.75">
      <c r="A704" s="8" t="str">
        <f ca="1">IFERROR(__xludf.DUMMYFUNCTION("""COMPUTED_VALUE"""),"20190322ALBLB")</f>
        <v>20190322ALBLB</v>
      </c>
      <c r="B704" s="8" t="str">
        <f ca="1">IFERROR(__xludf.DUMMYFUNCTION("""COMPUTED_VALUE"""),"Handgun")</f>
        <v>Handgun</v>
      </c>
    </row>
    <row r="705" spans="1:2" ht="12.75">
      <c r="A705" s="8" t="str">
        <f ca="1">IFERROR(__xludf.DUMMYFUNCTION("""COMPUTED_VALUE"""),"20190313FLLAO")</f>
        <v>20190313FLLAO</v>
      </c>
      <c r="B705" s="8" t="str">
        <f ca="1">IFERROR(__xludf.DUMMYFUNCTION("""COMPUTED_VALUE"""),"Handgun")</f>
        <v>Handgun</v>
      </c>
    </row>
    <row r="706" spans="1:2" ht="12.75">
      <c r="A706" s="8" t="str">
        <f ca="1">IFERROR(__xludf.DUMMYFUNCTION("""COMPUTED_VALUE"""),"20190301KSHIM")</f>
        <v>20190301KSHIM</v>
      </c>
      <c r="B706" s="8" t="str">
        <f ca="1">IFERROR(__xludf.DUMMYFUNCTION("""COMPUTED_VALUE"""),"Handgun")</f>
        <v>Handgun</v>
      </c>
    </row>
    <row r="707" spans="1:2" ht="12.75">
      <c r="A707" s="8" t="str">
        <f ca="1">IFERROR(__xludf.DUMMYFUNCTION("""COMPUTED_VALUE"""),"20190226ALROM")</f>
        <v>20190226ALROM</v>
      </c>
      <c r="B707" s="8" t="str">
        <f ca="1">IFERROR(__xludf.DUMMYFUNCTION("""COMPUTED_VALUE"""),"Handgun")</f>
        <v>Handgun</v>
      </c>
    </row>
    <row r="708" spans="1:2" ht="12.75">
      <c r="A708" s="8" t="str">
        <f ca="1">IFERROR(__xludf.DUMMYFUNCTION("""COMPUTED_VALUE"""),"20190217COEAA")</f>
        <v>20190217COEAA</v>
      </c>
      <c r="B708" s="8" t="str">
        <f ca="1">IFERROR(__xludf.DUMMYFUNCTION("""COMPUTED_VALUE"""),"Handgun")</f>
        <v>Handgun</v>
      </c>
    </row>
    <row r="709" spans="1:2" ht="12.75">
      <c r="A709" s="8" t="str">
        <f ca="1">IFERROR(__xludf.DUMMYFUNCTION("""COMPUTED_VALUE"""),"20190214NMV.R")</f>
        <v>20190214NMV.R</v>
      </c>
      <c r="B709" s="8" t="str">
        <f ca="1">IFERROR(__xludf.DUMMYFUNCTION("""COMPUTED_VALUE"""),"Handgun")</f>
        <v>Handgun</v>
      </c>
    </row>
    <row r="710" spans="1:2" ht="12.75">
      <c r="A710" s="8" t="str">
        <f ca="1">IFERROR(__xludf.DUMMYFUNCTION("""COMPUTED_VALUE"""),"20190212MOCEK")</f>
        <v>20190212MOCEK</v>
      </c>
      <c r="B710" s="8" t="str">
        <f ca="1">IFERROR(__xludf.DUMMYFUNCTION("""COMPUTED_VALUE"""),"Handgun")</f>
        <v>Handgun</v>
      </c>
    </row>
    <row r="711" spans="1:2" ht="12.75">
      <c r="A711" s="8" t="str">
        <f ca="1">IFERROR(__xludf.DUMMYFUNCTION("""COMPUTED_VALUE"""),"20190208MDFRB")</f>
        <v>20190208MDFRB</v>
      </c>
      <c r="B711" s="8" t="str">
        <f ca="1">IFERROR(__xludf.DUMMYFUNCTION("""COMPUTED_VALUE"""),"Handgun")</f>
        <v>Handgun</v>
      </c>
    </row>
    <row r="712" spans="1:2" ht="12.75">
      <c r="A712" s="8" t="str">
        <f ca="1">IFERROR(__xludf.DUMMYFUNCTION("""COMPUTED_VALUE"""),"20190205MNMIM")</f>
        <v>20190205MNMIM</v>
      </c>
      <c r="B712" s="8" t="str">
        <f ca="1">IFERROR(__xludf.DUMMYFUNCTION("""COMPUTED_VALUE"""),"Handgun")</f>
        <v>Handgun</v>
      </c>
    </row>
    <row r="713" spans="1:2" ht="12.75">
      <c r="A713" s="8" t="str">
        <f ca="1">IFERROR(__xludf.DUMMYFUNCTION("""COMPUTED_VALUE"""),"20190131TXATA")</f>
        <v>20190131TXATA</v>
      </c>
      <c r="B713" s="8" t="str">
        <f ca="1">IFERROR(__xludf.DUMMYFUNCTION("""COMPUTED_VALUE"""),"Handgun")</f>
        <v>Handgun</v>
      </c>
    </row>
    <row r="714" spans="1:2" ht="12.75">
      <c r="A714" s="8" t="str">
        <f ca="1">IFERROR(__xludf.DUMMYFUNCTION("""COMPUTED_VALUE"""),"20190131TNMAM")</f>
        <v>20190131TNMAM</v>
      </c>
      <c r="B714" s="8" t="str">
        <f ca="1">IFERROR(__xludf.DUMMYFUNCTION("""COMPUTED_VALUE"""),"Other")</f>
        <v>Other</v>
      </c>
    </row>
    <row r="715" spans="1:2" ht="12.75">
      <c r="A715" s="8" t="str">
        <f ca="1">IFERROR(__xludf.DUMMYFUNCTION("""COMPUTED_VALUE"""),"20190130GAMIL")</f>
        <v>20190130GAMIL</v>
      </c>
      <c r="B715" s="8" t="str">
        <f ca="1">IFERROR(__xludf.DUMMYFUNCTION("""COMPUTED_VALUE"""),"Handgun")</f>
        <v>Handgun</v>
      </c>
    </row>
    <row r="716" spans="1:2" ht="12.75">
      <c r="A716" s="8" t="str">
        <f ca="1">IFERROR(__xludf.DUMMYFUNCTION("""COMPUTED_VALUE"""),"20190127NVRER")</f>
        <v>20190127NVRER</v>
      </c>
      <c r="B716" s="8" t="str">
        <f ca="1">IFERROR(__xludf.DUMMYFUNCTION("""COMPUTED_VALUE"""),"Handgun")</f>
        <v>Handgun</v>
      </c>
    </row>
    <row r="717" spans="1:2" ht="12.75">
      <c r="A717" s="8" t="str">
        <f ca="1">IFERROR(__xludf.DUMMYFUNCTION("""COMPUTED_VALUE"""),"20190125TNMAM")</f>
        <v>20190125TNMAM</v>
      </c>
      <c r="B717" s="8" t="str">
        <f ca="1">IFERROR(__xludf.DUMMYFUNCTION("""COMPUTED_VALUE"""),"Other")</f>
        <v>Other</v>
      </c>
    </row>
    <row r="718" spans="1:2" ht="12.75">
      <c r="A718" s="8" t="str">
        <f ca="1">IFERROR(__xludf.DUMMYFUNCTION("""COMPUTED_VALUE"""),"20190125ALDAM")</f>
        <v>20190125ALDAM</v>
      </c>
      <c r="B718" s="8" t="str">
        <f ca="1">IFERROR(__xludf.DUMMYFUNCTION("""COMPUTED_VALUE"""),"Handgun")</f>
        <v>Handgun</v>
      </c>
    </row>
    <row r="719" spans="1:2" ht="12.75">
      <c r="A719" s="8" t="str">
        <f ca="1">IFERROR(__xludf.DUMMYFUNCTION("""COMPUTED_VALUE"""),"20190123LASOS")</f>
        <v>20190123LASOS</v>
      </c>
      <c r="B719" s="8" t="str">
        <f ca="1">IFERROR(__xludf.DUMMYFUNCTION("""COMPUTED_VALUE"""),"No Data")</f>
        <v>No Data</v>
      </c>
    </row>
    <row r="720" spans="1:2" ht="12.75">
      <c r="A720" s="8" t="str">
        <f ca="1">IFERROR(__xludf.DUMMYFUNCTION("""COMPUTED_VALUE"""),"20190119KSLAO")</f>
        <v>20190119KSLAO</v>
      </c>
      <c r="B720" s="8" t="str">
        <f ca="1">IFERROR(__xludf.DUMMYFUNCTION("""COMPUTED_VALUE"""),"Shotgun")</f>
        <v>Shotgun</v>
      </c>
    </row>
    <row r="721" spans="1:2" ht="12.75">
      <c r="A721" s="8" t="str">
        <f ca="1">IFERROR(__xludf.DUMMYFUNCTION("""COMPUTED_VALUE"""),"20190118NCSHD")</f>
        <v>20190118NCSHD</v>
      </c>
      <c r="B721" s="8" t="str">
        <f ca="1">IFERROR(__xludf.DUMMYFUNCTION("""COMPUTED_VALUE"""),"No Data")</f>
        <v>No Data</v>
      </c>
    </row>
    <row r="722" spans="1:2" ht="12.75">
      <c r="A722" s="8" t="str">
        <f ca="1">IFERROR(__xludf.DUMMYFUNCTION("""COMPUTED_VALUE"""),"20190118MOHAS")</f>
        <v>20190118MOHAS</v>
      </c>
      <c r="B722" s="8" t="str">
        <f ca="1">IFERROR(__xludf.DUMMYFUNCTION("""COMPUTED_VALUE"""),"Handgun")</f>
        <v>Handgun</v>
      </c>
    </row>
    <row r="723" spans="1:2" ht="12.75">
      <c r="A723" s="8" t="str">
        <f ca="1">IFERROR(__xludf.DUMMYFUNCTION("""COMPUTED_VALUE"""),"20190118ALCET")</f>
        <v>20190118ALCET</v>
      </c>
      <c r="B723" s="8" t="str">
        <f ca="1">IFERROR(__xludf.DUMMYFUNCTION("""COMPUTED_VALUE"""),"Handgun")</f>
        <v>Handgun</v>
      </c>
    </row>
    <row r="724" spans="1:2" ht="12.75">
      <c r="A724" s="8" t="str">
        <f ca="1">IFERROR(__xludf.DUMMYFUNCTION("""COMPUTED_VALUE"""),"20190111ORCAE")</f>
        <v>20190111ORCAE</v>
      </c>
      <c r="B724" s="8" t="str">
        <f ca="1">IFERROR(__xludf.DUMMYFUNCTION("""COMPUTED_VALUE"""),"Handgun")</f>
        <v>Handgun</v>
      </c>
    </row>
    <row r="725" spans="1:2" ht="12.75">
      <c r="A725" s="8" t="str">
        <f ca="1">IFERROR(__xludf.DUMMYFUNCTION("""COMPUTED_VALUE"""),"20190107CACEB")</f>
        <v>20190107CACEB</v>
      </c>
      <c r="B725" s="8" t="str">
        <f ca="1">IFERROR(__xludf.DUMMYFUNCTION("""COMPUTED_VALUE"""),"No Data")</f>
        <v>No Data</v>
      </c>
    </row>
    <row r="726" spans="1:2" ht="12.75">
      <c r="A726" s="8" t="str">
        <f ca="1">IFERROR(__xludf.DUMMYFUNCTION("""COMPUTED_VALUE"""),"20181218DEAIG")</f>
        <v>20181218DEAIG</v>
      </c>
      <c r="B726" s="8" t="str">
        <f ca="1">IFERROR(__xludf.DUMMYFUNCTION("""COMPUTED_VALUE"""),"Handgun")</f>
        <v>Handgun</v>
      </c>
    </row>
    <row r="727" spans="1:2" ht="12.75">
      <c r="A727" s="8" t="str">
        <f ca="1">IFERROR(__xludf.DUMMYFUNCTION("""COMPUTED_VALUE"""),"20181214MOWIK")</f>
        <v>20181214MOWIK</v>
      </c>
      <c r="B727" s="8" t="str">
        <f ca="1">IFERROR(__xludf.DUMMYFUNCTION("""COMPUTED_VALUE"""),"Handgun")</f>
        <v>Handgun</v>
      </c>
    </row>
    <row r="728" spans="1:2" ht="12.75">
      <c r="A728" s="8" t="str">
        <f ca="1">IFERROR(__xludf.DUMMYFUNCTION("""COMPUTED_VALUE"""),"20181213INDER")</f>
        <v>20181213INDER</v>
      </c>
      <c r="B728" s="8" t="str">
        <f ca="1">IFERROR(__xludf.DUMMYFUNCTION("""COMPUTED_VALUE"""),"Handgun")</f>
        <v>Handgun</v>
      </c>
    </row>
    <row r="729" spans="1:2" ht="12.75">
      <c r="A729" s="8" t="str">
        <f ca="1">IFERROR(__xludf.DUMMYFUNCTION("""COMPUTED_VALUE"""),"20181213INDER")</f>
        <v>20181213INDER</v>
      </c>
      <c r="B729" s="8" t="str">
        <f ca="1">IFERROR(__xludf.DUMMYFUNCTION("""COMPUTED_VALUE"""),"Rifle")</f>
        <v>Rifle</v>
      </c>
    </row>
    <row r="730" spans="1:2" ht="12.75">
      <c r="A730" s="8" t="str">
        <f ca="1">IFERROR(__xludf.DUMMYFUNCTION("""COMPUTED_VALUE"""),"20181211KYCAC")</f>
        <v>20181211KYCAC</v>
      </c>
      <c r="B730" s="8" t="str">
        <f ca="1">IFERROR(__xludf.DUMMYFUNCTION("""COMPUTED_VALUE"""),"Other")</f>
        <v>Other</v>
      </c>
    </row>
    <row r="731" spans="1:2" ht="12.75">
      <c r="A731" s="8" t="str">
        <f ca="1">IFERROR(__xludf.DUMMYFUNCTION("""COMPUTED_VALUE"""),"20181210NYJEJ")</f>
        <v>20181210NYJEJ</v>
      </c>
      <c r="B731" s="8" t="str">
        <f ca="1">IFERROR(__xludf.DUMMYFUNCTION("""COMPUTED_VALUE"""),"Handgun")</f>
        <v>Handgun</v>
      </c>
    </row>
    <row r="732" spans="1:2" ht="12.75">
      <c r="A732" s="8" t="str">
        <f ca="1">IFERROR(__xludf.DUMMYFUNCTION("""COMPUTED_VALUE"""),"20181128PASTP")</f>
        <v>20181128PASTP</v>
      </c>
      <c r="B732" s="8" t="str">
        <f ca="1">IFERROR(__xludf.DUMMYFUNCTION("""COMPUTED_VALUE"""),"No Data")</f>
        <v>No Data</v>
      </c>
    </row>
    <row r="733" spans="1:2" ht="12.75">
      <c r="A733" s="8" t="str">
        <f ca="1">IFERROR(__xludf.DUMMYFUNCTION("""COMPUTED_VALUE"""),"20181124OHAFC")</f>
        <v>20181124OHAFC</v>
      </c>
      <c r="B733" s="8" t="str">
        <f ca="1">IFERROR(__xludf.DUMMYFUNCTION("""COMPUTED_VALUE"""),"Handgun")</f>
        <v>Handgun</v>
      </c>
    </row>
    <row r="734" spans="1:2" ht="12.75">
      <c r="A734" s="8" t="str">
        <f ca="1">IFERROR(__xludf.DUMMYFUNCTION("""COMPUTED_VALUE"""),"20181122WAMOD")</f>
        <v>20181122WAMOD</v>
      </c>
      <c r="B734" s="8" t="str">
        <f ca="1">IFERROR(__xludf.DUMMYFUNCTION("""COMPUTED_VALUE"""),"Handgun")</f>
        <v>Handgun</v>
      </c>
    </row>
    <row r="735" spans="1:2" ht="12.75">
      <c r="A735" s="8" t="str">
        <f ca="1">IFERROR(__xludf.DUMMYFUNCTION("""COMPUTED_VALUE"""),"20181122TXSKD")</f>
        <v>20181122TXSKD</v>
      </c>
      <c r="B735" s="8" t="str">
        <f ca="1">IFERROR(__xludf.DUMMYFUNCTION("""COMPUTED_VALUE"""),"Handgun")</f>
        <v>Handgun</v>
      </c>
    </row>
    <row r="736" spans="1:2" ht="12.75">
      <c r="A736" s="8" t="str">
        <f ca="1">IFERROR(__xludf.DUMMYFUNCTION("""COMPUTED_VALUE"""),"20181121MIPEP")</f>
        <v>20181121MIPEP</v>
      </c>
      <c r="B736" s="8" t="str">
        <f ca="1">IFERROR(__xludf.DUMMYFUNCTION("""COMPUTED_VALUE"""),"Other")</f>
        <v>Other</v>
      </c>
    </row>
    <row r="737" spans="1:2" ht="12.75">
      <c r="A737" s="8" t="str">
        <f ca="1">IFERROR(__xludf.DUMMYFUNCTION("""COMPUTED_VALUE"""),"20181120VASIP")</f>
        <v>20181120VASIP</v>
      </c>
      <c r="B737" s="8" t="str">
        <f ca="1">IFERROR(__xludf.DUMMYFUNCTION("""COMPUTED_VALUE"""),"Handgun")</f>
        <v>Handgun</v>
      </c>
    </row>
    <row r="738" spans="1:2" ht="12.75">
      <c r="A738" s="8" t="str">
        <f ca="1">IFERROR(__xludf.DUMMYFUNCTION("""COMPUTED_VALUE"""),"20181112MDEAE")</f>
        <v>20181112MDEAE</v>
      </c>
      <c r="B738" s="8" t="str">
        <f ca="1">IFERROR(__xludf.DUMMYFUNCTION("""COMPUTED_VALUE"""),"Handgun")</f>
        <v>Handgun</v>
      </c>
    </row>
    <row r="739" spans="1:2" ht="12.75">
      <c r="A739" s="8" t="str">
        <f ca="1">IFERROR(__xludf.DUMMYFUNCTION("""COMPUTED_VALUE"""),"20181109GAGAM")</f>
        <v>20181109GAGAM</v>
      </c>
      <c r="B739" s="8" t="str">
        <f ca="1">IFERROR(__xludf.DUMMYFUNCTION("""COMPUTED_VALUE"""),"Handgun")</f>
        <v>Handgun</v>
      </c>
    </row>
    <row r="740" spans="1:2" ht="12.75">
      <c r="A740" s="8" t="str">
        <f ca="1">IFERROR(__xludf.DUMMYFUNCTION("""COMPUTED_VALUE"""),"20181108CACLS")</f>
        <v>20181108CACLS</v>
      </c>
      <c r="B740" s="8" t="str">
        <f ca="1">IFERROR(__xludf.DUMMYFUNCTION("""COMPUTED_VALUE"""),"No Data")</f>
        <v>No Data</v>
      </c>
    </row>
    <row r="741" spans="1:2" ht="12.75">
      <c r="A741" s="8" t="str">
        <f ca="1">IFERROR(__xludf.DUMMYFUNCTION("""COMPUTED_VALUE"""),"20181105SCACC")</f>
        <v>20181105SCACC</v>
      </c>
      <c r="B741" s="8" t="str">
        <f ca="1">IFERROR(__xludf.DUMMYFUNCTION("""COMPUTED_VALUE"""),"Other")</f>
        <v>Other</v>
      </c>
    </row>
    <row r="742" spans="1:2" ht="12.75">
      <c r="A742" s="8" t="str">
        <f ca="1">IFERROR(__xludf.DUMMYFUNCTION("""COMPUTED_VALUE"""),"20181104KYCRL")</f>
        <v>20181104KYCRL</v>
      </c>
      <c r="B742" s="8" t="str">
        <f ca="1">IFERROR(__xludf.DUMMYFUNCTION("""COMPUTED_VALUE"""),"Handgun")</f>
        <v>Handgun</v>
      </c>
    </row>
    <row r="743" spans="1:2" ht="12.75">
      <c r="A743" s="8" t="str">
        <f ca="1">IFERROR(__xludf.DUMMYFUNCTION("""COMPUTED_VALUE"""),"20181029NCBUM")</f>
        <v>20181029NCBUM</v>
      </c>
      <c r="B743" s="8" t="str">
        <f ca="1">IFERROR(__xludf.DUMMYFUNCTION("""COMPUTED_VALUE"""),"Handgun")</f>
        <v>Handgun</v>
      </c>
    </row>
    <row r="744" spans="1:2" ht="12.75">
      <c r="A744" s="8" t="str">
        <f ca="1">IFERROR(__xludf.DUMMYFUNCTION("""COMPUTED_VALUE"""),"20181026FLSAO")</f>
        <v>20181026FLSAO</v>
      </c>
      <c r="B744" s="8" t="str">
        <f ca="1">IFERROR(__xludf.DUMMYFUNCTION("""COMPUTED_VALUE"""),"Handgun")</f>
        <v>Handgun</v>
      </c>
    </row>
    <row r="745" spans="1:2" ht="12.75">
      <c r="A745" s="8" t="str">
        <f ca="1">IFERROR(__xludf.DUMMYFUNCTION("""COMPUTED_VALUE"""),"20181025MICOD")</f>
        <v>20181025MICOD</v>
      </c>
      <c r="B745" s="8" t="str">
        <f ca="1">IFERROR(__xludf.DUMMYFUNCTION("""COMPUTED_VALUE"""),"No Data")</f>
        <v>No Data</v>
      </c>
    </row>
    <row r="746" spans="1:2" ht="12.75">
      <c r="A746" s="8" t="str">
        <f ca="1">IFERROR(__xludf.DUMMYFUNCTION("""COMPUTED_VALUE"""),"20181023NHGOM")</f>
        <v>20181023NHGOM</v>
      </c>
      <c r="B746" s="8" t="str">
        <f ca="1">IFERROR(__xludf.DUMMYFUNCTION("""COMPUTED_VALUE"""),"Other")</f>
        <v>Other</v>
      </c>
    </row>
    <row r="747" spans="1:2" ht="12.75">
      <c r="A747" s="8" t="str">
        <f ca="1">IFERROR(__xludf.DUMMYFUNCTION("""COMPUTED_VALUE"""),"20181022CTDUB")</f>
        <v>20181022CTDUB</v>
      </c>
      <c r="B747" s="8" t="str">
        <f ca="1">IFERROR(__xludf.DUMMYFUNCTION("""COMPUTED_VALUE"""),"Handgun")</f>
        <v>Handgun</v>
      </c>
    </row>
    <row r="748" spans="1:2" ht="12.75">
      <c r="A748" s="8" t="str">
        <f ca="1">IFERROR(__xludf.DUMMYFUNCTION("""COMPUTED_VALUE"""),"20181020GASHS")</f>
        <v>20181020GASHS</v>
      </c>
      <c r="B748" s="8" t="str">
        <f ca="1">IFERROR(__xludf.DUMMYFUNCTION("""COMPUTED_VALUE"""),"Handgun")</f>
        <v>Handgun</v>
      </c>
    </row>
    <row r="749" spans="1:2" ht="12.75">
      <c r="A749" s="8" t="str">
        <f ca="1">IFERROR(__xludf.DUMMYFUNCTION("""COMPUTED_VALUE"""),"20181013TNMCN")</f>
        <v>20181013TNMCN</v>
      </c>
      <c r="B749" s="8" t="str">
        <f ca="1">IFERROR(__xludf.DUMMYFUNCTION("""COMPUTED_VALUE"""),"No Data")</f>
        <v>No Data</v>
      </c>
    </row>
    <row r="750" spans="1:2" ht="12.75">
      <c r="A750" s="8" t="str">
        <f ca="1">IFERROR(__xludf.DUMMYFUNCTION("""COMPUTED_VALUE"""),"20181012MIBAB")</f>
        <v>20181012MIBAB</v>
      </c>
      <c r="B750" s="8" t="str">
        <f ca="1">IFERROR(__xludf.DUMMYFUNCTION("""COMPUTED_VALUE"""),"No Data")</f>
        <v>No Data</v>
      </c>
    </row>
    <row r="751" spans="1:2" ht="12.75">
      <c r="A751" s="8" t="str">
        <f ca="1">IFERROR(__xludf.DUMMYFUNCTION("""COMPUTED_VALUE"""),"20181007VAVAH")</f>
        <v>20181007VAVAH</v>
      </c>
      <c r="B751" s="8" t="str">
        <f ca="1">IFERROR(__xludf.DUMMYFUNCTION("""COMPUTED_VALUE"""),"Handgun")</f>
        <v>Handgun</v>
      </c>
    </row>
    <row r="752" spans="1:2" ht="12.75">
      <c r="A752" s="8" t="str">
        <f ca="1">IFERROR(__xludf.DUMMYFUNCTION("""COMPUTED_VALUE"""),"20181005VALAN")</f>
        <v>20181005VALAN</v>
      </c>
      <c r="B752" s="8" t="str">
        <f ca="1">IFERROR(__xludf.DUMMYFUNCTION("""COMPUTED_VALUE"""),"Handgun")</f>
        <v>Handgun</v>
      </c>
    </row>
    <row r="753" spans="1:2" ht="12.75">
      <c r="A753" s="8" t="str">
        <f ca="1">IFERROR(__xludf.DUMMYFUNCTION("""COMPUTED_VALUE"""),"20181005TNHAB")</f>
        <v>20181005TNHAB</v>
      </c>
      <c r="B753" s="8" t="str">
        <f ca="1">IFERROR(__xludf.DUMMYFUNCTION("""COMPUTED_VALUE"""),"Handgun")</f>
        <v>Handgun</v>
      </c>
    </row>
    <row r="754" spans="1:2" ht="12.75">
      <c r="A754" s="8" t="str">
        <f ca="1">IFERROR(__xludf.DUMMYFUNCTION("""COMPUTED_VALUE"""),"20181004ORJAP")</f>
        <v>20181004ORJAP</v>
      </c>
      <c r="B754" s="8" t="str">
        <f ca="1">IFERROR(__xludf.DUMMYFUNCTION("""COMPUTED_VALUE"""),"Handgun")</f>
        <v>Handgun</v>
      </c>
    </row>
    <row r="755" spans="1:2" ht="12.75">
      <c r="A755" s="8" t="str">
        <f ca="1">IFERROR(__xludf.DUMMYFUNCTION("""COMPUTED_VALUE"""),"20181003AKDEA")</f>
        <v>20181003AKDEA</v>
      </c>
      <c r="B755" s="8" t="str">
        <f ca="1">IFERROR(__xludf.DUMMYFUNCTION("""COMPUTED_VALUE"""),"Handgun")</f>
        <v>Handgun</v>
      </c>
    </row>
    <row r="756" spans="1:2" ht="12.75">
      <c r="A756" s="8" t="str">
        <f ca="1">IFERROR(__xludf.DUMMYFUNCTION("""COMPUTED_VALUE"""),"20181002ARCHL")</f>
        <v>20181002ARCHL</v>
      </c>
      <c r="B756" s="8" t="str">
        <f ca="1">IFERROR(__xludf.DUMMYFUNCTION("""COMPUTED_VALUE"""),"Handgun")</f>
        <v>Handgun</v>
      </c>
    </row>
    <row r="757" spans="1:2" ht="12.75">
      <c r="A757" s="8" t="str">
        <f ca="1">IFERROR(__xludf.DUMMYFUNCTION("""COMPUTED_VALUE"""),"20180928SDCHC")</f>
        <v>20180928SDCHC</v>
      </c>
      <c r="B757" s="8" t="str">
        <f ca="1">IFERROR(__xludf.DUMMYFUNCTION("""COMPUTED_VALUE"""),"Handgun")</f>
        <v>Handgun</v>
      </c>
    </row>
    <row r="758" spans="1:2" ht="12.75">
      <c r="A758" s="8" t="str">
        <f ca="1">IFERROR(__xludf.DUMMYFUNCTION("""COMPUTED_VALUE"""),"20180927TXHEC")</f>
        <v>20180927TXHEC</v>
      </c>
      <c r="B758" s="8" t="str">
        <f ca="1">IFERROR(__xludf.DUMMYFUNCTION("""COMPUTED_VALUE"""),"Handgun")</f>
        <v>Handgun</v>
      </c>
    </row>
    <row r="759" spans="1:2" ht="12.75">
      <c r="A759" s="8" t="str">
        <f ca="1">IFERROR(__xludf.DUMMYFUNCTION("""COMPUTED_VALUE"""),"20180926MDMAB")</f>
        <v>20180926MDMAB</v>
      </c>
      <c r="B759" s="8" t="str">
        <f ca="1">IFERROR(__xludf.DUMMYFUNCTION("""COMPUTED_VALUE"""),"Handgun")</f>
        <v>Handgun</v>
      </c>
    </row>
    <row r="760" spans="1:2" ht="12.75">
      <c r="A760" s="8" t="str">
        <f ca="1">IFERROR(__xludf.DUMMYFUNCTION("""COMPUTED_VALUE"""),"20180924PACEP")</f>
        <v>20180924PACEP</v>
      </c>
      <c r="B760" s="8" t="str">
        <f ca="1">IFERROR(__xludf.DUMMYFUNCTION("""COMPUTED_VALUE"""),"Handgun")</f>
        <v>Handgun</v>
      </c>
    </row>
    <row r="761" spans="1:2" ht="12.75">
      <c r="A761" s="8" t="str">
        <f ca="1">IFERROR(__xludf.DUMMYFUNCTION("""COMPUTED_VALUE"""),"20180924NCLAC")</f>
        <v>20180924NCLAC</v>
      </c>
      <c r="B761" s="8" t="str">
        <f ca="1">IFERROR(__xludf.DUMMYFUNCTION("""COMPUTED_VALUE"""),"Handgun")</f>
        <v>Handgun</v>
      </c>
    </row>
    <row r="762" spans="1:2" ht="12.75">
      <c r="A762" s="8" t="str">
        <f ca="1">IFERROR(__xludf.DUMMYFUNCTION("""COMPUTED_VALUE"""),"20180924GAAPB")</f>
        <v>20180924GAAPB</v>
      </c>
      <c r="B762" s="8" t="str">
        <f ca="1">IFERROR(__xludf.DUMMYFUNCTION("""COMPUTED_VALUE"""),"Handgun")</f>
        <v>Handgun</v>
      </c>
    </row>
    <row r="763" spans="1:2" ht="12.75">
      <c r="A763" s="8" t="str">
        <f ca="1">IFERROR(__xludf.DUMMYFUNCTION("""COMPUTED_VALUE"""),"20180920CAPOP")</f>
        <v>20180920CAPOP</v>
      </c>
      <c r="B763" s="8" t="str">
        <f ca="1">IFERROR(__xludf.DUMMYFUNCTION("""COMPUTED_VALUE"""),"No Data")</f>
        <v>No Data</v>
      </c>
    </row>
    <row r="764" spans="1:2" ht="12.75">
      <c r="A764" s="8" t="str">
        <f ca="1">IFERROR(__xludf.DUMMYFUNCTION("""COMPUTED_VALUE"""),"20180920CACHL")</f>
        <v>20180920CACHL</v>
      </c>
      <c r="B764" s="8" t="str">
        <f ca="1">IFERROR(__xludf.DUMMYFUNCTION("""COMPUTED_VALUE"""),"Handgun")</f>
        <v>Handgun</v>
      </c>
    </row>
    <row r="765" spans="1:2" ht="12.75">
      <c r="A765" s="8" t="str">
        <f ca="1">IFERROR(__xludf.DUMMYFUNCTION("""COMPUTED_VALUE"""),"20180917ALBLH")</f>
        <v>20180917ALBLH</v>
      </c>
      <c r="B765" s="8" t="str">
        <f ca="1">IFERROR(__xludf.DUMMYFUNCTION("""COMPUTED_VALUE"""),"Handgun")</f>
        <v>Handgun</v>
      </c>
    </row>
    <row r="766" spans="1:2" ht="12.75">
      <c r="A766" s="8" t="str">
        <f ca="1">IFERROR(__xludf.DUMMYFUNCTION("""COMPUTED_VALUE"""),"20180914WAMAE")</f>
        <v>20180914WAMAE</v>
      </c>
      <c r="B766" s="8" t="str">
        <f ca="1">IFERROR(__xludf.DUMMYFUNCTION("""COMPUTED_VALUE"""),"Handgun")</f>
        <v>Handgun</v>
      </c>
    </row>
    <row r="767" spans="1:2" ht="12.75">
      <c r="A767" s="8" t="str">
        <f ca="1">IFERROR(__xludf.DUMMYFUNCTION("""COMPUTED_VALUE"""),"20180914FLBOB")</f>
        <v>20180914FLBOB</v>
      </c>
      <c r="B767" s="8" t="str">
        <f ca="1">IFERROR(__xludf.DUMMYFUNCTION("""COMPUTED_VALUE"""),"Handgun")</f>
        <v>Handgun</v>
      </c>
    </row>
    <row r="768" spans="1:2" ht="12.75">
      <c r="A768" s="8" t="str">
        <f ca="1">IFERROR(__xludf.DUMMYFUNCTION("""COMPUTED_VALUE"""),"20180911NVCAL")</f>
        <v>20180911NVCAL</v>
      </c>
      <c r="B768" s="8" t="str">
        <f ca="1">IFERROR(__xludf.DUMMYFUNCTION("""COMPUTED_VALUE"""),"Handgun")</f>
        <v>Handgun</v>
      </c>
    </row>
    <row r="769" spans="1:2" ht="12.75">
      <c r="A769" s="8" t="str">
        <f ca="1">IFERROR(__xludf.DUMMYFUNCTION("""COMPUTED_VALUE"""),"20180910TNFAM")</f>
        <v>20180910TNFAM</v>
      </c>
      <c r="B769" s="8" t="str">
        <f ca="1">IFERROR(__xludf.DUMMYFUNCTION("""COMPUTED_VALUE"""),"No Data")</f>
        <v>No Data</v>
      </c>
    </row>
    <row r="770" spans="1:2" ht="12.75">
      <c r="A770" s="8" t="str">
        <f ca="1">IFERROR(__xludf.DUMMYFUNCTION("""COMPUTED_VALUE"""),"20180910ILCHC")</f>
        <v>20180910ILCHC</v>
      </c>
      <c r="B770" s="8" t="str">
        <f ca="1">IFERROR(__xludf.DUMMYFUNCTION("""COMPUTED_VALUE"""),"Handgun")</f>
        <v>Handgun</v>
      </c>
    </row>
    <row r="771" spans="1:2" ht="12.75">
      <c r="A771" s="8" t="str">
        <f ca="1">IFERROR(__xludf.DUMMYFUNCTION("""COMPUTED_VALUE"""),"20180909CAGIG")</f>
        <v>20180909CAGIG</v>
      </c>
      <c r="B771" s="8" t="str">
        <f ca="1">IFERROR(__xludf.DUMMYFUNCTION("""COMPUTED_VALUE"""),"Handgun")</f>
        <v>Handgun</v>
      </c>
    </row>
    <row r="772" spans="1:2" ht="12.75">
      <c r="A772" s="8" t="str">
        <f ca="1">IFERROR(__xludf.DUMMYFUNCTION("""COMPUTED_VALUE"""),"20180907IAHED")</f>
        <v>20180907IAHED</v>
      </c>
      <c r="B772" s="8" t="str">
        <f ca="1">IFERROR(__xludf.DUMMYFUNCTION("""COMPUTED_VALUE"""),"No Data")</f>
        <v>No Data</v>
      </c>
    </row>
    <row r="773" spans="1:2" ht="12.75">
      <c r="A773" s="8" t="str">
        <f ca="1">IFERROR(__xludf.DUMMYFUNCTION("""COMPUTED_VALUE"""),"20180905RIPRP")</f>
        <v>20180905RIPRP</v>
      </c>
      <c r="B773" s="8" t="str">
        <f ca="1">IFERROR(__xludf.DUMMYFUNCTION("""COMPUTED_VALUE"""),"Handgun")</f>
        <v>Handgun</v>
      </c>
    </row>
    <row r="774" spans="1:2" ht="12.75">
      <c r="A774" s="8" t="str">
        <f ca="1">IFERROR(__xludf.DUMMYFUNCTION("""COMPUTED_VALUE"""),"20180903NYLUN")</f>
        <v>20180903NYLUN</v>
      </c>
      <c r="B774" s="8" t="str">
        <f ca="1">IFERROR(__xludf.DUMMYFUNCTION("""COMPUTED_VALUE"""),"Handgun")</f>
        <v>Handgun</v>
      </c>
    </row>
    <row r="775" spans="1:2" ht="12.75">
      <c r="A775" s="8" t="str">
        <f ca="1">IFERROR(__xludf.DUMMYFUNCTION("""COMPUTED_VALUE"""),"20180831IANOE")</f>
        <v>20180831IANOE</v>
      </c>
      <c r="B775" s="8" t="str">
        <f ca="1">IFERROR(__xludf.DUMMYFUNCTION("""COMPUTED_VALUE"""),"Handgun")</f>
        <v>Handgun</v>
      </c>
    </row>
    <row r="776" spans="1:2" ht="12.75">
      <c r="A776" s="8" t="str">
        <f ca="1">IFERROR(__xludf.DUMMYFUNCTION("""COMPUTED_VALUE"""),"20180831CABAS")</f>
        <v>20180831CABAS</v>
      </c>
      <c r="B776" s="8" t="str">
        <f ca="1">IFERROR(__xludf.DUMMYFUNCTION("""COMPUTED_VALUE"""),"Handgun")</f>
        <v>Handgun</v>
      </c>
    </row>
    <row r="777" spans="1:2" ht="12.75">
      <c r="A777" s="8" t="str">
        <f ca="1">IFERROR(__xludf.DUMMYFUNCTION("""COMPUTED_VALUE"""),"20180830NCVIC")</f>
        <v>20180830NCVIC</v>
      </c>
      <c r="B777" s="8" t="str">
        <f ca="1">IFERROR(__xludf.DUMMYFUNCTION("""COMPUTED_VALUE"""),"Handgun")</f>
        <v>Handgun</v>
      </c>
    </row>
    <row r="778" spans="1:2" ht="12.75">
      <c r="A778" s="8" t="str">
        <f ca="1">IFERROR(__xludf.DUMMYFUNCTION("""COMPUTED_VALUE"""),"20180830MIOTG")</f>
        <v>20180830MIOTG</v>
      </c>
      <c r="B778" s="8"/>
    </row>
    <row r="779" spans="1:2" ht="12.75">
      <c r="A779" s="8" t="str">
        <f ca="1">IFERROR(__xludf.DUMMYFUNCTION("""COMPUTED_VALUE"""),"20180829DETOD")</f>
        <v>20180829DETOD</v>
      </c>
      <c r="B779" s="8" t="str">
        <f ca="1">IFERROR(__xludf.DUMMYFUNCTION("""COMPUTED_VALUE"""),"Unknown")</f>
        <v>Unknown</v>
      </c>
    </row>
    <row r="780" spans="1:2" ht="12.75">
      <c r="A780" s="8" t="str">
        <f ca="1">IFERROR(__xludf.DUMMYFUNCTION("""COMPUTED_VALUE"""),"20180828COCOD")</f>
        <v>20180828COCOD</v>
      </c>
      <c r="B780" s="8" t="str">
        <f ca="1">IFERROR(__xludf.DUMMYFUNCTION("""COMPUTED_VALUE"""),"Handgun")</f>
        <v>Handgun</v>
      </c>
    </row>
    <row r="781" spans="1:2" ht="12.75">
      <c r="A781" s="8" t="str">
        <f ca="1">IFERROR(__xludf.DUMMYFUNCTION("""COMPUTED_VALUE"""),"20180824ILMEC")</f>
        <v>20180824ILMEC</v>
      </c>
      <c r="B781" s="8" t="str">
        <f ca="1">IFERROR(__xludf.DUMMYFUNCTION("""COMPUTED_VALUE"""),"Multiple Unknown")</f>
        <v>Multiple Unknown</v>
      </c>
    </row>
    <row r="782" spans="1:2" ht="12.75">
      <c r="A782" s="8" t="str">
        <f ca="1">IFERROR(__xludf.DUMMYFUNCTION("""COMPUTED_VALUE"""),"20180824FLRAJ")</f>
        <v>20180824FLRAJ</v>
      </c>
      <c r="B782" s="8" t="str">
        <f ca="1">IFERROR(__xludf.DUMMYFUNCTION("""COMPUTED_VALUE"""),"Handgun")</f>
        <v>Handgun</v>
      </c>
    </row>
    <row r="783" spans="1:2" ht="12.75">
      <c r="A783" s="8" t="str">
        <f ca="1">IFERROR(__xludf.DUMMYFUNCTION("""COMPUTED_VALUE"""),"20180823ALALM")</f>
        <v>20180823ALALM</v>
      </c>
      <c r="B783" s="8" t="str">
        <f ca="1">IFERROR(__xludf.DUMMYFUNCTION("""COMPUTED_VALUE"""),"Handgun")</f>
        <v>Handgun</v>
      </c>
    </row>
    <row r="784" spans="1:2" ht="12.75">
      <c r="A784" s="8" t="str">
        <f ca="1">IFERROR(__xludf.DUMMYFUNCTION("""COMPUTED_VALUE"""),"20180817FLPAW")</f>
        <v>20180817FLPAW</v>
      </c>
      <c r="B784" s="8" t="str">
        <f ca="1">IFERROR(__xludf.DUMMYFUNCTION("""COMPUTED_VALUE"""),"Handgun")</f>
        <v>Handgun</v>
      </c>
    </row>
    <row r="785" spans="1:2" ht="12.75">
      <c r="A785" s="8" t="str">
        <f ca="1">IFERROR(__xludf.DUMMYFUNCTION("""COMPUTED_VALUE"""),"20180811TNANN")</f>
        <v>20180811TNANN</v>
      </c>
      <c r="B785" s="8" t="str">
        <f ca="1">IFERROR(__xludf.DUMMYFUNCTION("""COMPUTED_VALUE"""),"Handgun")</f>
        <v>Handgun</v>
      </c>
    </row>
    <row r="786" spans="1:2" ht="12.75">
      <c r="A786" s="8" t="str">
        <f ca="1">IFERROR(__xludf.DUMMYFUNCTION("""COMPUTED_VALUE"""),"20180809NJLAM")</f>
        <v>20180809NJLAM</v>
      </c>
      <c r="B786" s="8" t="str">
        <f ca="1">IFERROR(__xludf.DUMMYFUNCTION("""COMPUTED_VALUE"""),"No Data")</f>
        <v>No Data</v>
      </c>
    </row>
    <row r="787" spans="1:2" ht="12.75">
      <c r="A787" s="8" t="str">
        <f ca="1">IFERROR(__xludf.DUMMYFUNCTION("""COMPUTED_VALUE"""),"20180804MDEDE")</f>
        <v>20180804MDEDE</v>
      </c>
      <c r="B787" s="8" t="str">
        <f ca="1">IFERROR(__xludf.DUMMYFUNCTION("""COMPUTED_VALUE"""),"No Data")</f>
        <v>No Data</v>
      </c>
    </row>
    <row r="788" spans="1:2" ht="12.75">
      <c r="A788" s="8" t="str">
        <f ca="1">IFERROR(__xludf.DUMMYFUNCTION("""COMPUTED_VALUE"""),"20180803IALIO")</f>
        <v>20180803IALIO</v>
      </c>
      <c r="B788" s="8" t="str">
        <f ca="1">IFERROR(__xludf.DUMMYFUNCTION("""COMPUTED_VALUE"""),"Handgun")</f>
        <v>Handgun</v>
      </c>
    </row>
    <row r="789" spans="1:2" ht="12.75">
      <c r="A789" s="8" t="str">
        <f ca="1">IFERROR(__xludf.DUMMYFUNCTION("""COMPUTED_VALUE"""),"20180719WAWEY")</f>
        <v>20180719WAWEY</v>
      </c>
      <c r="B789" s="8" t="str">
        <f ca="1">IFERROR(__xludf.DUMMYFUNCTION("""COMPUTED_VALUE"""),"No Data")</f>
        <v>No Data</v>
      </c>
    </row>
    <row r="790" spans="1:2" ht="12.75">
      <c r="A790" s="8" t="str">
        <f ca="1">IFERROR(__xludf.DUMMYFUNCTION("""COMPUTED_VALUE"""),"20180717WVHUH")</f>
        <v>20180717WVHUH</v>
      </c>
      <c r="B790" s="8" t="str">
        <f ca="1">IFERROR(__xludf.DUMMYFUNCTION("""COMPUTED_VALUE"""),"Handgun")</f>
        <v>Handgun</v>
      </c>
    </row>
    <row r="791" spans="1:2" ht="12.75">
      <c r="A791" s="8" t="str">
        <f ca="1">IFERROR(__xludf.DUMMYFUNCTION("""COMPUTED_VALUE"""),"20180711OHMIM")</f>
        <v>20180711OHMIM</v>
      </c>
      <c r="B791" s="8" t="str">
        <f ca="1">IFERROR(__xludf.DUMMYFUNCTION("""COMPUTED_VALUE"""),"No Data")</f>
        <v>No Data</v>
      </c>
    </row>
    <row r="792" spans="1:2" ht="12.75">
      <c r="A792" s="8" t="str">
        <f ca="1">IFERROR(__xludf.DUMMYFUNCTION("""COMPUTED_VALUE"""),"20180703KSSUO")</f>
        <v>20180703KSSUO</v>
      </c>
      <c r="B792" s="8" t="str">
        <f ca="1">IFERROR(__xludf.DUMMYFUNCTION("""COMPUTED_VALUE"""),"Handgun")</f>
        <v>Handgun</v>
      </c>
    </row>
    <row r="793" spans="1:2" ht="12.75">
      <c r="A793" s="8" t="str">
        <f ca="1">IFERROR(__xludf.DUMMYFUNCTION("""COMPUTED_VALUE"""),"20180701TNRAM")</f>
        <v>20180701TNRAM</v>
      </c>
      <c r="B793" s="8" t="str">
        <f ca="1">IFERROR(__xludf.DUMMYFUNCTION("""COMPUTED_VALUE"""),"No Data")</f>
        <v>No Data</v>
      </c>
    </row>
    <row r="794" spans="1:2" ht="12.75">
      <c r="A794" s="8" t="str">
        <f ca="1">IFERROR(__xludf.DUMMYFUNCTION("""COMPUTED_VALUE"""),"20180625OHFUS")</f>
        <v>20180625OHFUS</v>
      </c>
      <c r="B794" s="8" t="str">
        <f ca="1">IFERROR(__xludf.DUMMYFUNCTION("""COMPUTED_VALUE"""),"Handgun")</f>
        <v>Handgun</v>
      </c>
    </row>
    <row r="795" spans="1:2" ht="12.75">
      <c r="A795" s="8" t="str">
        <f ca="1">IFERROR(__xludf.DUMMYFUNCTION("""COMPUTED_VALUE"""),"20180624MTSEM")</f>
        <v>20180624MTSEM</v>
      </c>
      <c r="B795" s="8" t="str">
        <f ca="1">IFERROR(__xludf.DUMMYFUNCTION("""COMPUTED_VALUE"""),"Handgun")</f>
        <v>Handgun</v>
      </c>
    </row>
    <row r="796" spans="1:2" ht="12.75">
      <c r="A796" s="8" t="str">
        <f ca="1">IFERROR(__xludf.DUMMYFUNCTION("""COMPUTED_VALUE"""),"20180621TXSKD")</f>
        <v>20180621TXSKD</v>
      </c>
      <c r="B796" s="8" t="str">
        <f ca="1">IFERROR(__xludf.DUMMYFUNCTION("""COMPUTED_VALUE"""),"No Data")</f>
        <v>No Data</v>
      </c>
    </row>
    <row r="797" spans="1:2" ht="12.75">
      <c r="A797" s="8" t="str">
        <f ca="1">IFERROR(__xludf.DUMMYFUNCTION("""COMPUTED_VALUE"""),"20180617ORGRP")</f>
        <v>20180617ORGRP</v>
      </c>
      <c r="B797" s="8" t="str">
        <f ca="1">IFERROR(__xludf.DUMMYFUNCTION("""COMPUTED_VALUE"""),"No Data")</f>
        <v>No Data</v>
      </c>
    </row>
    <row r="798" spans="1:2" ht="12.75">
      <c r="A798" s="8" t="str">
        <f ca="1">IFERROR(__xludf.DUMMYFUNCTION("""COMPUTED_VALUE"""),"20180615OHVAB")</f>
        <v>20180615OHVAB</v>
      </c>
      <c r="B798" s="8" t="str">
        <f ca="1">IFERROR(__xludf.DUMMYFUNCTION("""COMPUTED_VALUE"""),"No Data")</f>
        <v>No Data</v>
      </c>
    </row>
    <row r="799" spans="1:2" ht="12.75">
      <c r="A799" s="8" t="str">
        <f ca="1">IFERROR(__xludf.DUMMYFUNCTION("""COMPUTED_VALUE"""),"20180601TXMCM")</f>
        <v>20180601TXMCM</v>
      </c>
      <c r="B799" s="8" t="str">
        <f ca="1">IFERROR(__xludf.DUMMYFUNCTION("""COMPUTED_VALUE"""),"No Data")</f>
        <v>No Data</v>
      </c>
    </row>
    <row r="800" spans="1:2" ht="12.75">
      <c r="A800" s="8" t="str">
        <f ca="1">IFERROR(__xludf.DUMMYFUNCTION("""COMPUTED_VALUE"""),"20180525INNON")</f>
        <v>20180525INNON</v>
      </c>
      <c r="B800" s="8" t="str">
        <f ca="1">IFERROR(__xludf.DUMMYFUNCTION("""COMPUTED_VALUE"""),"Handgun")</f>
        <v>Handgun</v>
      </c>
    </row>
    <row r="801" spans="1:2" ht="12.75">
      <c r="A801" s="8" t="str">
        <f ca="1">IFERROR(__xludf.DUMMYFUNCTION("""COMPUTED_VALUE"""),"20180525INNON")</f>
        <v>20180525INNON</v>
      </c>
      <c r="B801" s="8" t="str">
        <f ca="1">IFERROR(__xludf.DUMMYFUNCTION("""COMPUTED_VALUE"""),"Handgun")</f>
        <v>Handgun</v>
      </c>
    </row>
    <row r="802" spans="1:2" ht="12.75">
      <c r="A802" s="8" t="str">
        <f ca="1">IFERROR(__xludf.DUMMYFUNCTION("""COMPUTED_VALUE"""),"20180521GABEG")</f>
        <v>20180521GABEG</v>
      </c>
      <c r="B802" s="8" t="str">
        <f ca="1">IFERROR(__xludf.DUMMYFUNCTION("""COMPUTED_VALUE"""),"No Data")</f>
        <v>No Data</v>
      </c>
    </row>
    <row r="803" spans="1:2" ht="12.75">
      <c r="A803" s="8" t="str">
        <f ca="1">IFERROR(__xludf.DUMMYFUNCTION("""COMPUTED_VALUE"""),"20180518TXSAS")</f>
        <v>20180518TXSAS</v>
      </c>
      <c r="B803" s="8" t="str">
        <f ca="1">IFERROR(__xludf.DUMMYFUNCTION("""COMPUTED_VALUE"""),"Handgun")</f>
        <v>Handgun</v>
      </c>
    </row>
    <row r="804" spans="1:2" ht="12.75">
      <c r="A804" s="8" t="str">
        <f ca="1">IFERROR(__xludf.DUMMYFUNCTION("""COMPUTED_VALUE"""),"20180518TXSAS")</f>
        <v>20180518TXSAS</v>
      </c>
      <c r="B804" s="8" t="str">
        <f ca="1">IFERROR(__xludf.DUMMYFUNCTION("""COMPUTED_VALUE"""),"Shotgun")</f>
        <v>Shotgun</v>
      </c>
    </row>
    <row r="805" spans="1:2" ht="12.75">
      <c r="A805" s="8" t="str">
        <f ca="1">IFERROR(__xludf.DUMMYFUNCTION("""COMPUTED_VALUE"""),"20180518GAMOA")</f>
        <v>20180518GAMOA</v>
      </c>
      <c r="B805" s="8" t="str">
        <f ca="1">IFERROR(__xludf.DUMMYFUNCTION("""COMPUTED_VALUE"""),"Handgun")</f>
        <v>Handgun</v>
      </c>
    </row>
    <row r="806" spans="1:2" ht="12.75">
      <c r="A806" s="8" t="str">
        <f ca="1">IFERROR(__xludf.DUMMYFUNCTION("""COMPUTED_VALUE"""),"20180517MOCEK")</f>
        <v>20180517MOCEK</v>
      </c>
      <c r="B806" s="8" t="str">
        <f ca="1">IFERROR(__xludf.DUMMYFUNCTION("""COMPUTED_VALUE"""),"Handgun")</f>
        <v>Handgun</v>
      </c>
    </row>
    <row r="807" spans="1:2" ht="12.75">
      <c r="A807" s="8" t="str">
        <f ca="1">IFERROR(__xludf.DUMMYFUNCTION("""COMPUTED_VALUE"""),"20180516ILDID")</f>
        <v>20180516ILDID</v>
      </c>
      <c r="B807" s="8" t="str">
        <f ca="1">IFERROR(__xludf.DUMMYFUNCTION("""COMPUTED_VALUE"""),"Rifle")</f>
        <v>Rifle</v>
      </c>
    </row>
    <row r="808" spans="1:2" ht="12.75">
      <c r="A808" s="8" t="str">
        <f ca="1">IFERROR(__xludf.DUMMYFUNCTION("""COMPUTED_VALUE"""),"20180511CAHIP")</f>
        <v>20180511CAHIP</v>
      </c>
      <c r="B808" s="8" t="str">
        <f ca="1">IFERROR(__xludf.DUMMYFUNCTION("""COMPUTED_VALUE"""),"Rifle")</f>
        <v>Rifle</v>
      </c>
    </row>
    <row r="809" spans="1:2" ht="12.75">
      <c r="A809" s="8" t="str">
        <f ca="1">IFERROR(__xludf.DUMMYFUNCTION("""COMPUTED_VALUE"""),"20180505MIFOF")</f>
        <v>20180505MIFOF</v>
      </c>
      <c r="B809" s="8" t="str">
        <f ca="1">IFERROR(__xludf.DUMMYFUNCTION("""COMPUTED_VALUE"""),"Handgun")</f>
        <v>Handgun</v>
      </c>
    </row>
    <row r="810" spans="1:2" ht="12.75">
      <c r="A810" s="8" t="str">
        <f ca="1">IFERROR(__xludf.DUMMYFUNCTION("""COMPUTED_VALUE"""),"20180503TNWAW")</f>
        <v>20180503TNWAW</v>
      </c>
      <c r="B810" s="8" t="str">
        <f ca="1">IFERROR(__xludf.DUMMYFUNCTION("""COMPUTED_VALUE"""),"No Data")</f>
        <v>No Data</v>
      </c>
    </row>
    <row r="811" spans="1:2" ht="12.75">
      <c r="A811" s="8" t="str">
        <f ca="1">IFERROR(__xludf.DUMMYFUNCTION("""COMPUTED_VALUE"""),"20180503SDENW")</f>
        <v>20180503SDENW</v>
      </c>
      <c r="B811" s="8" t="str">
        <f ca="1">IFERROR(__xludf.DUMMYFUNCTION("""COMPUTED_VALUE"""),"No Data")</f>
        <v>No Data</v>
      </c>
    </row>
    <row r="812" spans="1:2" ht="12.75">
      <c r="A812" s="8" t="str">
        <f ca="1">IFERROR(__xludf.DUMMYFUNCTION("""COMPUTED_VALUE"""),"20180425NMHIA")</f>
        <v>20180425NMHIA</v>
      </c>
      <c r="B812" s="8" t="str">
        <f ca="1">IFERROR(__xludf.DUMMYFUNCTION("""COMPUTED_VALUE"""),"Handgun")</f>
        <v>Handgun</v>
      </c>
    </row>
    <row r="813" spans="1:2" ht="12.75">
      <c r="A813" s="8" t="str">
        <f ca="1">IFERROR(__xludf.DUMMYFUNCTION("""COMPUTED_VALUE"""),"20180423GABEA")</f>
        <v>20180423GABEA</v>
      </c>
      <c r="B813" s="8" t="str">
        <f ca="1">IFERROR(__xludf.DUMMYFUNCTION("""COMPUTED_VALUE"""),"Handgun")</f>
        <v>Handgun</v>
      </c>
    </row>
    <row r="814" spans="1:2" ht="12.75">
      <c r="A814" s="8" t="str">
        <f ca="1">IFERROR(__xludf.DUMMYFUNCTION("""COMPUTED_VALUE"""),"20180420FLFOO")</f>
        <v>20180420FLFOO</v>
      </c>
      <c r="B814" s="8" t="str">
        <f ca="1">IFERROR(__xludf.DUMMYFUNCTION("""COMPUTED_VALUE"""),"Shotgun")</f>
        <v>Shotgun</v>
      </c>
    </row>
    <row r="815" spans="1:2" ht="12.75">
      <c r="A815" s="8" t="str">
        <f ca="1">IFERROR(__xludf.DUMMYFUNCTION("""COMPUTED_VALUE"""),"20180419MIJAJ")</f>
        <v>20180419MIJAJ</v>
      </c>
      <c r="B815" s="8" t="str">
        <f ca="1">IFERROR(__xludf.DUMMYFUNCTION("""COMPUTED_VALUE"""),"Handgun")</f>
        <v>Handgun</v>
      </c>
    </row>
    <row r="816" spans="1:2" ht="12.75">
      <c r="A816" s="8" t="str">
        <f ca="1">IFERROR(__xludf.DUMMYFUNCTION("""COMPUTED_VALUE"""),"20180412MORAR")</f>
        <v>20180412MORAR</v>
      </c>
      <c r="B816" s="8" t="str">
        <f ca="1">IFERROR(__xludf.DUMMYFUNCTION("""COMPUTED_VALUE"""),"Handgun")</f>
        <v>Handgun</v>
      </c>
    </row>
    <row r="817" spans="1:2" ht="12.75">
      <c r="A817" s="8" t="str">
        <f ca="1">IFERROR(__xludf.DUMMYFUNCTION("""COMPUTED_VALUE"""),"20180409NYGLG")</f>
        <v>20180409NYGLG</v>
      </c>
      <c r="B817" s="8" t="str">
        <f ca="1">IFERROR(__xludf.DUMMYFUNCTION("""COMPUTED_VALUE"""),"Handgun")</f>
        <v>Handgun</v>
      </c>
    </row>
    <row r="818" spans="1:2" ht="12.75">
      <c r="A818" s="8" t="str">
        <f ca="1">IFERROR(__xludf.DUMMYFUNCTION("""COMPUTED_VALUE"""),"20180329KYJOE")</f>
        <v>20180329KYJOE</v>
      </c>
      <c r="B818" s="8" t="str">
        <f ca="1">IFERROR(__xludf.DUMMYFUNCTION("""COMPUTED_VALUE"""),"Handgun")</f>
        <v>Handgun</v>
      </c>
    </row>
    <row r="819" spans="1:2" ht="12.75">
      <c r="A819" s="8" t="str">
        <f ca="1">IFERROR(__xludf.DUMMYFUNCTION("""COMPUTED_VALUE"""),"20180328MSEUE")</f>
        <v>20180328MSEUE</v>
      </c>
      <c r="B819" s="8" t="str">
        <f ca="1">IFERROR(__xludf.DUMMYFUNCTION("""COMPUTED_VALUE"""),"Handgun")</f>
        <v>Handgun</v>
      </c>
    </row>
    <row r="820" spans="1:2" ht="12.75">
      <c r="A820" s="8" t="str">
        <f ca="1">IFERROR(__xludf.DUMMYFUNCTION("""COMPUTED_VALUE"""),"20180320MDGRG")</f>
        <v>20180320MDGRG</v>
      </c>
      <c r="B820" s="8" t="str">
        <f ca="1">IFERROR(__xludf.DUMMYFUNCTION("""COMPUTED_VALUE"""),"Handgun")</f>
        <v>Handgun</v>
      </c>
    </row>
    <row r="821" spans="1:2" ht="12.75">
      <c r="A821" s="8" t="str">
        <f ca="1">IFERROR(__xludf.DUMMYFUNCTION("""COMPUTED_VALUE"""),"20180319VADOP")</f>
        <v>20180319VADOP</v>
      </c>
      <c r="B821" s="8" t="str">
        <f ca="1">IFERROR(__xludf.DUMMYFUNCTION("""COMPUTED_VALUE"""),"No Data")</f>
        <v>No Data</v>
      </c>
    </row>
    <row r="822" spans="1:2" ht="12.75">
      <c r="A822" s="8" t="str">
        <f ca="1">IFERROR(__xludf.DUMMYFUNCTION("""COMPUTED_VALUE"""),"20180316MTBIM")</f>
        <v>20180316MTBIM</v>
      </c>
      <c r="B822" s="8" t="str">
        <f ca="1">IFERROR(__xludf.DUMMYFUNCTION("""COMPUTED_VALUE"""),"Handgun")</f>
        <v>Handgun</v>
      </c>
    </row>
    <row r="823" spans="1:2" ht="12.75">
      <c r="A823" s="8" t="str">
        <f ca="1">IFERROR(__xludf.DUMMYFUNCTION("""COMPUTED_VALUE"""),"20180313VAGEA")</f>
        <v>20180313VAGEA</v>
      </c>
      <c r="B823" s="8" t="str">
        <f ca="1">IFERROR(__xludf.DUMMYFUNCTION("""COMPUTED_VALUE"""),"Handgun")</f>
        <v>Handgun</v>
      </c>
    </row>
    <row r="824" spans="1:2" ht="12.75">
      <c r="A824" s="8" t="str">
        <f ca="1">IFERROR(__xludf.DUMMYFUNCTION("""COMPUTED_VALUE"""),"20180313CASES")</f>
        <v>20180313CASES</v>
      </c>
      <c r="B824" s="8" t="str">
        <f ca="1">IFERROR(__xludf.DUMMYFUNCTION("""COMPUTED_VALUE"""),"Handgun")</f>
        <v>Handgun</v>
      </c>
    </row>
    <row r="825" spans="1:2" ht="12.75">
      <c r="A825" s="8" t="str">
        <f ca="1">IFERROR(__xludf.DUMMYFUNCTION("""COMPUTED_VALUE"""),"20180309KYFRL")</f>
        <v>20180309KYFRL</v>
      </c>
      <c r="B825" s="8" t="str">
        <f ca="1">IFERROR(__xludf.DUMMYFUNCTION("""COMPUTED_VALUE"""),"Handgun")</f>
        <v>Handgun</v>
      </c>
    </row>
    <row r="826" spans="1:2" ht="12.75">
      <c r="A826" s="8" t="str">
        <f ca="1">IFERROR(__xludf.DUMMYFUNCTION("""COMPUTED_VALUE"""),"20180307ALHUB")</f>
        <v>20180307ALHUB</v>
      </c>
      <c r="B826" s="8" t="str">
        <f ca="1">IFERROR(__xludf.DUMMYFUNCTION("""COMPUTED_VALUE"""),"Handgun")</f>
        <v>Handgun</v>
      </c>
    </row>
    <row r="827" spans="1:2" ht="12.75">
      <c r="A827" s="8" t="str">
        <f ca="1">IFERROR(__xludf.DUMMYFUNCTION("""COMPUTED_VALUE"""),"20180305MOKIC")</f>
        <v>20180305MOKIC</v>
      </c>
      <c r="B827" s="8" t="str">
        <f ca="1">IFERROR(__xludf.DUMMYFUNCTION("""COMPUTED_VALUE"""),"No Data")</f>
        <v>No Data</v>
      </c>
    </row>
    <row r="828" spans="1:2" ht="12.75">
      <c r="A828" s="8" t="str">
        <f ca="1">IFERROR(__xludf.DUMMYFUNCTION("""COMPUTED_VALUE"""),"20180228GADAD")</f>
        <v>20180228GADAD</v>
      </c>
      <c r="B828" s="8" t="str">
        <f ca="1">IFERROR(__xludf.DUMMYFUNCTION("""COMPUTED_VALUE"""),"Handgun")</f>
        <v>Handgun</v>
      </c>
    </row>
    <row r="829" spans="1:2" ht="12.75">
      <c r="A829" s="8" t="str">
        <f ca="1">IFERROR(__xludf.DUMMYFUNCTION("""COMPUTED_VALUE"""),"20180226WAOAT")</f>
        <v>20180226WAOAT</v>
      </c>
      <c r="B829" s="8" t="str">
        <f ca="1">IFERROR(__xludf.DUMMYFUNCTION("""COMPUTED_VALUE"""),"Handgun")</f>
        <v>Handgun</v>
      </c>
    </row>
    <row r="830" spans="1:2" ht="12.75">
      <c r="A830" s="8" t="str">
        <f ca="1">IFERROR(__xludf.DUMMYFUNCTION("""COMPUTED_VALUE"""),"20180220OHJAM")</f>
        <v>20180220OHJAM</v>
      </c>
      <c r="B830" s="8" t="str">
        <f ca="1">IFERROR(__xludf.DUMMYFUNCTION("""COMPUTED_VALUE"""),"Rifle")</f>
        <v>Rifle</v>
      </c>
    </row>
    <row r="831" spans="1:2" ht="12.75">
      <c r="A831" s="8" t="str">
        <f ca="1">IFERROR(__xludf.DUMMYFUNCTION("""COMPUTED_VALUE"""),"20180215FLNOC")</f>
        <v>20180215FLNOC</v>
      </c>
      <c r="B831" s="8" t="str">
        <f ca="1">IFERROR(__xludf.DUMMYFUNCTION("""COMPUTED_VALUE"""),"Handgun")</f>
        <v>Handgun</v>
      </c>
    </row>
    <row r="832" spans="1:2" ht="12.75">
      <c r="A832" s="8" t="str">
        <f ca="1">IFERROR(__xludf.DUMMYFUNCTION("""COMPUTED_VALUE"""),"20180214FLMAP")</f>
        <v>20180214FLMAP</v>
      </c>
      <c r="B832" s="8" t="str">
        <f ca="1">IFERROR(__xludf.DUMMYFUNCTION("""COMPUTED_VALUE"""),"Rifle")</f>
        <v>Rifle</v>
      </c>
    </row>
    <row r="833" spans="1:2" ht="12.75">
      <c r="A833" s="8" t="str">
        <f ca="1">IFERROR(__xludf.DUMMYFUNCTION("""COMPUTED_VALUE"""),"20180209TNPEN")</f>
        <v>20180209TNPEN</v>
      </c>
      <c r="B833" s="8" t="str">
        <f ca="1">IFERROR(__xludf.DUMMYFUNCTION("""COMPUTED_VALUE"""),"Handgun")</f>
        <v>Handgun</v>
      </c>
    </row>
    <row r="834" spans="1:2" ht="12.75">
      <c r="A834" s="8" t="str">
        <f ca="1">IFERROR(__xludf.DUMMYFUNCTION("""COMPUTED_VALUE"""),"20180208NYTHN")</f>
        <v>20180208NYTHN</v>
      </c>
      <c r="B834" s="8" t="str">
        <f ca="1">IFERROR(__xludf.DUMMYFUNCTION("""COMPUTED_VALUE"""),"Handgun")</f>
        <v>Handgun</v>
      </c>
    </row>
    <row r="835" spans="1:2" ht="12.75">
      <c r="A835" s="8" t="str">
        <f ca="1">IFERROR(__xludf.DUMMYFUNCTION("""COMPUTED_VALUE"""),"20180205MNHAM")</f>
        <v>20180205MNHAM</v>
      </c>
      <c r="B835" s="8" t="str">
        <f ca="1">IFERROR(__xludf.DUMMYFUNCTION("""COMPUTED_VALUE"""),"Handgun")</f>
        <v>Handgun</v>
      </c>
    </row>
    <row r="836" spans="1:2" ht="12.75">
      <c r="A836" s="8" t="str">
        <f ca="1">IFERROR(__xludf.DUMMYFUNCTION("""COMPUTED_VALUE"""),"20180205MDOXO")</f>
        <v>20180205MDOXO</v>
      </c>
      <c r="B836" s="8" t="str">
        <f ca="1">IFERROR(__xludf.DUMMYFUNCTION("""COMPUTED_VALUE"""),"Handgun")</f>
        <v>Handgun</v>
      </c>
    </row>
    <row r="837" spans="1:2" ht="12.75">
      <c r="A837" s="8" t="str">
        <f ca="1">IFERROR(__xludf.DUMMYFUNCTION("""COMPUTED_VALUE"""),"20180201CASAL")</f>
        <v>20180201CASAL</v>
      </c>
      <c r="B837" s="8" t="str">
        <f ca="1">IFERROR(__xludf.DUMMYFUNCTION("""COMPUTED_VALUE"""),"Handgun")</f>
        <v>Handgun</v>
      </c>
    </row>
    <row r="838" spans="1:2" ht="12.75">
      <c r="A838" s="8" t="str">
        <f ca="1">IFERROR(__xludf.DUMMYFUNCTION("""COMPUTED_VALUE"""),"20180131PALIP")</f>
        <v>20180131PALIP</v>
      </c>
      <c r="B838" s="8" t="str">
        <f ca="1">IFERROR(__xludf.DUMMYFUNCTION("""COMPUTED_VALUE"""),"Multiple Unknown")</f>
        <v>Multiple Unknown</v>
      </c>
    </row>
    <row r="839" spans="1:2" ht="12.75">
      <c r="A839" s="8" t="str">
        <f ca="1">IFERROR(__xludf.DUMMYFUNCTION("""COMPUTED_VALUE"""),"20180126MIDED")</f>
        <v>20180126MIDED</v>
      </c>
      <c r="B839" s="8" t="str">
        <f ca="1">IFERROR(__xludf.DUMMYFUNCTION("""COMPUTED_VALUE"""),"No Data")</f>
        <v>No Data</v>
      </c>
    </row>
    <row r="840" spans="1:2" ht="12.75">
      <c r="A840" s="8" t="str">
        <f ca="1">IFERROR(__xludf.DUMMYFUNCTION("""COMPUTED_VALUE"""),"20180125ALMUM")</f>
        <v>20180125ALMUM</v>
      </c>
      <c r="B840" s="8" t="str">
        <f ca="1">IFERROR(__xludf.DUMMYFUNCTION("""COMPUTED_VALUE"""),"Handgun")</f>
        <v>Handgun</v>
      </c>
    </row>
    <row r="841" spans="1:2" ht="12.75">
      <c r="A841" s="8" t="str">
        <f ca="1">IFERROR(__xludf.DUMMYFUNCTION("""COMPUTED_VALUE"""),"20180123KYMAB")</f>
        <v>20180123KYMAB</v>
      </c>
      <c r="B841" s="8" t="str">
        <f ca="1">IFERROR(__xludf.DUMMYFUNCTION("""COMPUTED_VALUE"""),"Handgun")</f>
        <v>Handgun</v>
      </c>
    </row>
    <row r="842" spans="1:2" ht="12.75">
      <c r="A842" s="8" t="str">
        <f ca="1">IFERROR(__xludf.DUMMYFUNCTION("""COMPUTED_VALUE"""),"20180122TXITI")</f>
        <v>20180122TXITI</v>
      </c>
      <c r="B842" s="8" t="str">
        <f ca="1">IFERROR(__xludf.DUMMYFUNCTION("""COMPUTED_VALUE"""),"Handgun")</f>
        <v>Handgun</v>
      </c>
    </row>
    <row r="843" spans="1:2" ht="12.75">
      <c r="A843" s="8" t="str">
        <f ca="1">IFERROR(__xludf.DUMMYFUNCTION("""COMPUTED_VALUE"""),"20180122LANEN")</f>
        <v>20180122LANEN</v>
      </c>
      <c r="B843" s="8" t="str">
        <f ca="1">IFERROR(__xludf.DUMMYFUNCTION("""COMPUTED_VALUE"""),"No Data")</f>
        <v>No Data</v>
      </c>
    </row>
    <row r="844" spans="1:2" ht="12.75">
      <c r="A844" s="8" t="str">
        <f ca="1">IFERROR(__xludf.DUMMYFUNCTION("""COMPUTED_VALUE"""),"20180116VTMOM")</f>
        <v>20180116VTMOM</v>
      </c>
      <c r="B844" s="8" t="str">
        <f ca="1">IFERROR(__xludf.DUMMYFUNCTION("""COMPUTED_VALUE"""),"Handgun")</f>
        <v>Handgun</v>
      </c>
    </row>
    <row r="845" spans="1:2" ht="12.75">
      <c r="A845" s="8" t="str">
        <f ca="1">IFERROR(__xludf.DUMMYFUNCTION("""COMPUTED_VALUE"""),"20180109AZCOS")</f>
        <v>20180109AZCOS</v>
      </c>
      <c r="B845" s="8" t="str">
        <f ca="1">IFERROR(__xludf.DUMMYFUNCTION("""COMPUTED_VALUE"""),"Handgun")</f>
        <v>Handgun</v>
      </c>
    </row>
    <row r="846" spans="1:2" ht="12.75">
      <c r="A846" s="8" t="str">
        <f ca="1">IFERROR(__xludf.DUMMYFUNCTION("""COMPUTED_VALUE"""),"20180105IAFOF")</f>
        <v>20180105IAFOF</v>
      </c>
      <c r="B846" s="8" t="str">
        <f ca="1">IFERROR(__xludf.DUMMYFUNCTION("""COMPUTED_VALUE"""),"Other")</f>
        <v>Other</v>
      </c>
    </row>
    <row r="847" spans="1:2" ht="12.75">
      <c r="A847" s="8" t="str">
        <f ca="1">IFERROR(__xludf.DUMMYFUNCTION("""COMPUTED_VALUE"""),"20180104WANES")</f>
        <v>20180104WANES</v>
      </c>
      <c r="B847" s="8" t="str">
        <f ca="1">IFERROR(__xludf.DUMMYFUNCTION("""COMPUTED_VALUE"""),"No Data")</f>
        <v>No Data</v>
      </c>
    </row>
    <row r="848" spans="1:2" ht="12.75">
      <c r="A848" s="8" t="str">
        <f ca="1">IFERROR(__xludf.DUMMYFUNCTION("""COMPUTED_VALUE"""),"20171231WAPIM")</f>
        <v>20171231WAPIM</v>
      </c>
      <c r="B848" s="8" t="str">
        <f ca="1">IFERROR(__xludf.DUMMYFUNCTION("""COMPUTED_VALUE"""),"No Data")</f>
        <v>No Data</v>
      </c>
    </row>
    <row r="849" spans="1:2" ht="12.75">
      <c r="A849" s="8" t="str">
        <f ca="1">IFERROR(__xludf.DUMMYFUNCTION("""COMPUTED_VALUE"""),"20171231LAEDA")</f>
        <v>20171231LAEDA</v>
      </c>
      <c r="B849" s="8" t="str">
        <f ca="1">IFERROR(__xludf.DUMMYFUNCTION("""COMPUTED_VALUE"""),"Multiple Unknown")</f>
        <v>Multiple Unknown</v>
      </c>
    </row>
    <row r="850" spans="1:2" ht="12.75">
      <c r="A850" s="8" t="str">
        <f ca="1">IFERROR(__xludf.DUMMYFUNCTION("""COMPUTED_VALUE"""),"20171227CALIL")</f>
        <v>20171227CALIL</v>
      </c>
      <c r="B850" s="8" t="str">
        <f ca="1">IFERROR(__xludf.DUMMYFUNCTION("""COMPUTED_VALUE"""),"Handgun")</f>
        <v>Handgun</v>
      </c>
    </row>
    <row r="851" spans="1:2" ht="12.75">
      <c r="A851" s="8" t="str">
        <f ca="1">IFERROR(__xludf.DUMMYFUNCTION("""COMPUTED_VALUE"""),"20171219MIBEB")</f>
        <v>20171219MIBEB</v>
      </c>
      <c r="B851" s="8" t="str">
        <f ca="1">IFERROR(__xludf.DUMMYFUNCTION("""COMPUTED_VALUE"""),"Handgun")</f>
        <v>Handgun</v>
      </c>
    </row>
    <row r="852" spans="1:2" ht="12.75">
      <c r="A852" s="8" t="str">
        <f ca="1">IFERROR(__xludf.DUMMYFUNCTION("""COMPUTED_VALUE"""),"20171214TXELD")</f>
        <v>20171214TXELD</v>
      </c>
      <c r="B852" s="8" t="str">
        <f ca="1">IFERROR(__xludf.DUMMYFUNCTION("""COMPUTED_VALUE"""),"Handgun")</f>
        <v>Handgun</v>
      </c>
    </row>
    <row r="853" spans="1:2" ht="12.75">
      <c r="A853" s="8" t="str">
        <f ca="1">IFERROR(__xludf.DUMMYFUNCTION("""COMPUTED_VALUE"""),"20171212TXSAP")</f>
        <v>20171212TXSAP</v>
      </c>
      <c r="B853" s="8" t="str">
        <f ca="1">IFERROR(__xludf.DUMMYFUNCTION("""COMPUTED_VALUE"""),"No Data")</f>
        <v>No Data</v>
      </c>
    </row>
    <row r="854" spans="1:2" ht="12.75">
      <c r="A854" s="8" t="str">
        <f ca="1">IFERROR(__xludf.DUMMYFUNCTION("""COMPUTED_VALUE"""),"20171211NCHIH")</f>
        <v>20171211NCHIH</v>
      </c>
      <c r="B854" s="8" t="str">
        <f ca="1">IFERROR(__xludf.DUMMYFUNCTION("""COMPUTED_VALUE"""),"Handgun")</f>
        <v>Handgun</v>
      </c>
    </row>
    <row r="855" spans="1:2" ht="12.75">
      <c r="A855" s="8" t="str">
        <f ca="1">IFERROR(__xludf.DUMMYFUNCTION("""COMPUTED_VALUE"""),"20171209ILCHC")</f>
        <v>20171209ILCHC</v>
      </c>
      <c r="B855" s="8" t="str">
        <f ca="1">IFERROR(__xludf.DUMMYFUNCTION("""COMPUTED_VALUE"""),"Handgun")</f>
        <v>Handgun</v>
      </c>
    </row>
    <row r="856" spans="1:2" ht="12.75">
      <c r="A856" s="8" t="str">
        <f ca="1">IFERROR(__xludf.DUMMYFUNCTION("""COMPUTED_VALUE"""),"20171207NMAZA")</f>
        <v>20171207NMAZA</v>
      </c>
      <c r="B856" s="8" t="str">
        <f ca="1">IFERROR(__xludf.DUMMYFUNCTION("""COMPUTED_VALUE"""),"Handgun")</f>
        <v>Handgun</v>
      </c>
    </row>
    <row r="857" spans="1:2" ht="12.75">
      <c r="A857" s="8" t="str">
        <f ca="1">IFERROR(__xludf.DUMMYFUNCTION("""COMPUTED_VALUE"""),"20171130VASAV")</f>
        <v>20171130VASAV</v>
      </c>
      <c r="B857" s="8" t="str">
        <f ca="1">IFERROR(__xludf.DUMMYFUNCTION("""COMPUTED_VALUE"""),"No Data")</f>
        <v>No Data</v>
      </c>
    </row>
    <row r="858" spans="1:2" ht="12.75">
      <c r="A858" s="8" t="str">
        <f ca="1">IFERROR(__xludf.DUMMYFUNCTION("""COMPUTED_VALUE"""),"20171129OHBAL")</f>
        <v>20171129OHBAL</v>
      </c>
      <c r="B858" s="8" t="str">
        <f ca="1">IFERROR(__xludf.DUMMYFUNCTION("""COMPUTED_VALUE"""),"Handgun")</f>
        <v>Handgun</v>
      </c>
    </row>
    <row r="859" spans="1:2" ht="12.75">
      <c r="A859" s="8" t="str">
        <f ca="1">IFERROR(__xludf.DUMMYFUNCTION("""COMPUTED_VALUE"""),"20171128CABOS")</f>
        <v>20171128CABOS</v>
      </c>
      <c r="B859" s="8" t="str">
        <f ca="1">IFERROR(__xludf.DUMMYFUNCTION("""COMPUTED_VALUE"""),"Shotgun")</f>
        <v>Shotgun</v>
      </c>
    </row>
    <row r="860" spans="1:2" ht="12.75">
      <c r="A860" s="8" t="str">
        <f ca="1">IFERROR(__xludf.DUMMYFUNCTION("""COMPUTED_VALUE"""),"20171123COMAD")</f>
        <v>20171123COMAD</v>
      </c>
      <c r="B860" s="8" t="str">
        <f ca="1">IFERROR(__xludf.DUMMYFUNCTION("""COMPUTED_VALUE"""),"No Data")</f>
        <v>No Data</v>
      </c>
    </row>
    <row r="861" spans="1:2" ht="12.75">
      <c r="A861" s="8" t="str">
        <f ca="1">IFERROR(__xludf.DUMMYFUNCTION("""COMPUTED_VALUE"""),"20171117TNNOJ")</f>
        <v>20171117TNNOJ</v>
      </c>
      <c r="B861" s="8" t="str">
        <f ca="1">IFERROR(__xludf.DUMMYFUNCTION("""COMPUTED_VALUE"""),"No Data")</f>
        <v>No Data</v>
      </c>
    </row>
    <row r="862" spans="1:2" ht="12.75">
      <c r="A862" s="8" t="str">
        <f ca="1">IFERROR(__xludf.DUMMYFUNCTION("""COMPUTED_VALUE"""),"20171114FLLAM")</f>
        <v>20171114FLLAM</v>
      </c>
      <c r="B862" s="8" t="str">
        <f ca="1">IFERROR(__xludf.DUMMYFUNCTION("""COMPUTED_VALUE"""),"Handgun")</f>
        <v>Handgun</v>
      </c>
    </row>
    <row r="863" spans="1:2" ht="12.75">
      <c r="A863" s="8" t="str">
        <f ca="1">IFERROR(__xludf.DUMMYFUNCTION("""COMPUTED_VALUE"""),"20171114CARAR")</f>
        <v>20171114CARAR</v>
      </c>
      <c r="B863" s="8" t="str">
        <f ca="1">IFERROR(__xludf.DUMMYFUNCTION("""COMPUTED_VALUE"""),"Handgun")</f>
        <v>Handgun</v>
      </c>
    </row>
    <row r="864" spans="1:2" ht="12.75">
      <c r="A864" s="8" t="str">
        <f ca="1">IFERROR(__xludf.DUMMYFUNCTION("""COMPUTED_VALUE"""),"20171114CARAR")</f>
        <v>20171114CARAR</v>
      </c>
      <c r="B864" s="8" t="str">
        <f ca="1">IFERROR(__xludf.DUMMYFUNCTION("""COMPUTED_VALUE"""),"Handgun")</f>
        <v>Handgun</v>
      </c>
    </row>
    <row r="865" spans="1:2" ht="12.75">
      <c r="A865" s="8" t="str">
        <f ca="1">IFERROR(__xludf.DUMMYFUNCTION("""COMPUTED_VALUE"""),"20171114CARAR")</f>
        <v>20171114CARAR</v>
      </c>
      <c r="B865" s="8" t="str">
        <f ca="1">IFERROR(__xludf.DUMMYFUNCTION("""COMPUTED_VALUE"""),"Rifle")</f>
        <v>Rifle</v>
      </c>
    </row>
    <row r="866" spans="1:2" ht="12.75">
      <c r="A866" s="8" t="str">
        <f ca="1">IFERROR(__xludf.DUMMYFUNCTION("""COMPUTED_VALUE"""),"20171114CARAR")</f>
        <v>20171114CARAR</v>
      </c>
      <c r="B866" s="8" t="str">
        <f ca="1">IFERROR(__xludf.DUMMYFUNCTION("""COMPUTED_VALUE"""),"Rifle")</f>
        <v>Rifle</v>
      </c>
    </row>
    <row r="867" spans="1:2" ht="12.75">
      <c r="A867" s="8" t="str">
        <f ca="1">IFERROR(__xludf.DUMMYFUNCTION("""COMPUTED_VALUE"""),"20171110GALAM")</f>
        <v>20171110GALAM</v>
      </c>
      <c r="B867" s="8" t="str">
        <f ca="1">IFERROR(__xludf.DUMMYFUNCTION("""COMPUTED_VALUE"""),"Handgun")</f>
        <v>Handgun</v>
      </c>
    </row>
    <row r="868" spans="1:2" ht="12.75">
      <c r="A868" s="8" t="str">
        <f ca="1">IFERROR(__xludf.DUMMYFUNCTION("""COMPUTED_VALUE"""),"20171109GABEC")</f>
        <v>20171109GABEC</v>
      </c>
      <c r="B868" s="8" t="str">
        <f ca="1">IFERROR(__xludf.DUMMYFUNCTION("""COMPUTED_VALUE"""),"Handgun")</f>
        <v>Handgun</v>
      </c>
    </row>
    <row r="869" spans="1:2" ht="12.75">
      <c r="A869" s="8" t="str">
        <f ca="1">IFERROR(__xludf.DUMMYFUNCTION("""COMPUTED_VALUE"""),"20171103MIPAL")</f>
        <v>20171103MIPAL</v>
      </c>
      <c r="B869" s="8" t="str">
        <f ca="1">IFERROR(__xludf.DUMMYFUNCTION("""COMPUTED_VALUE"""),"Handgun")</f>
        <v>Handgun</v>
      </c>
    </row>
    <row r="870" spans="1:2" ht="12.75">
      <c r="A870" s="8" t="str">
        <f ca="1">IFERROR(__xludf.DUMMYFUNCTION("""COMPUTED_VALUE"""),"20171027NYPRU")</f>
        <v>20171027NYPRU</v>
      </c>
      <c r="B870" s="8" t="str">
        <f ca="1">IFERROR(__xludf.DUMMYFUNCTION("""COMPUTED_VALUE"""),"No Data")</f>
        <v>No Data</v>
      </c>
    </row>
    <row r="871" spans="1:2" ht="12.75">
      <c r="A871" s="8" t="str">
        <f ca="1">IFERROR(__xludf.DUMMYFUNCTION("""COMPUTED_VALUE"""),"20171020OHSTT")</f>
        <v>20171020OHSTT</v>
      </c>
      <c r="B871" s="8" t="str">
        <f ca="1">IFERROR(__xludf.DUMMYFUNCTION("""COMPUTED_VALUE"""),"Handgun")</f>
        <v>Handgun</v>
      </c>
    </row>
    <row r="872" spans="1:2" ht="12.75">
      <c r="A872" s="8" t="str">
        <f ca="1">IFERROR(__xludf.DUMMYFUNCTION("""COMPUTED_VALUE"""),"20171014NCKEK")</f>
        <v>20171014NCKEK</v>
      </c>
      <c r="B872" s="8" t="str">
        <f ca="1">IFERROR(__xludf.DUMMYFUNCTION("""COMPUTED_VALUE"""),"Handgun")</f>
        <v>Handgun</v>
      </c>
    </row>
    <row r="873" spans="1:2" ht="12.75">
      <c r="A873" s="8" t="str">
        <f ca="1">IFERROR(__xludf.DUMMYFUNCTION("""COMPUTED_VALUE"""),"20171012NCCHC")</f>
        <v>20171012NCCHC</v>
      </c>
      <c r="B873" s="8" t="str">
        <f ca="1">IFERROR(__xludf.DUMMYFUNCTION("""COMPUTED_VALUE"""),"Handgun")</f>
        <v>Handgun</v>
      </c>
    </row>
    <row r="874" spans="1:2" ht="12.75">
      <c r="A874" s="8" t="str">
        <f ca="1">IFERROR(__xludf.DUMMYFUNCTION("""COMPUTED_VALUE"""),"20170930PAPUC")</f>
        <v>20170930PAPUC</v>
      </c>
      <c r="B874" s="8" t="str">
        <f ca="1">IFERROR(__xludf.DUMMYFUNCTION("""COMPUTED_VALUE"""),"Handgun")</f>
        <v>Handgun</v>
      </c>
    </row>
    <row r="875" spans="1:2" ht="12.75">
      <c r="A875" s="8" t="str">
        <f ca="1">IFERROR(__xludf.DUMMYFUNCTION("""COMPUTED_VALUE"""),"20170929MOLEL")</f>
        <v>20170929MOLEL</v>
      </c>
      <c r="B875" s="8" t="str">
        <f ca="1">IFERROR(__xludf.DUMMYFUNCTION("""COMPUTED_VALUE"""),"No Data")</f>
        <v>No Data</v>
      </c>
    </row>
    <row r="876" spans="1:2" ht="12.75">
      <c r="A876" s="8" t="str">
        <f ca="1">IFERROR(__xludf.DUMMYFUNCTION("""COMPUTED_VALUE"""),"20170929CASUL")</f>
        <v>20170929CASUL</v>
      </c>
      <c r="B876" s="8" t="str">
        <f ca="1">IFERROR(__xludf.DUMMYFUNCTION("""COMPUTED_VALUE"""),"Other")</f>
        <v>Other</v>
      </c>
    </row>
    <row r="877" spans="1:2" ht="12.75">
      <c r="A877" s="8" t="str">
        <f ca="1">IFERROR(__xludf.DUMMYFUNCTION("""COMPUTED_VALUE"""),"20170928KYSOL")</f>
        <v>20170928KYSOL</v>
      </c>
      <c r="B877" s="8" t="str">
        <f ca="1">IFERROR(__xludf.DUMMYFUNCTION("""COMPUTED_VALUE"""),"No Data")</f>
        <v>No Data</v>
      </c>
    </row>
    <row r="878" spans="1:2" ht="12.75">
      <c r="A878" s="8" t="str">
        <f ca="1">IFERROR(__xludf.DUMMYFUNCTION("""COMPUTED_VALUE"""),"20170920ILMAM")</f>
        <v>20170920ILMAM</v>
      </c>
      <c r="B878" s="8" t="str">
        <f ca="1">IFERROR(__xludf.DUMMYFUNCTION("""COMPUTED_VALUE"""),"Handgun")</f>
        <v>Handgun</v>
      </c>
    </row>
    <row r="879" spans="1:2" ht="12.75">
      <c r="A879" s="8" t="str">
        <f ca="1">IFERROR(__xludf.DUMMYFUNCTION("""COMPUTED_VALUE"""),"20170913WAFRR")</f>
        <v>20170913WAFRR</v>
      </c>
      <c r="B879" s="8" t="str">
        <f ca="1">IFERROR(__xludf.DUMMYFUNCTION("""COMPUTED_VALUE"""),"Handgun")</f>
        <v>Handgun</v>
      </c>
    </row>
    <row r="880" spans="1:2" ht="12.75">
      <c r="A880" s="8" t="str">
        <f ca="1">IFERROR(__xludf.DUMMYFUNCTION("""COMPUTED_VALUE"""),"20170913WAFRR")</f>
        <v>20170913WAFRR</v>
      </c>
      <c r="B880" s="8" t="str">
        <f ca="1">IFERROR(__xludf.DUMMYFUNCTION("""COMPUTED_VALUE"""),"Rifle")</f>
        <v>Rifle</v>
      </c>
    </row>
    <row r="881" spans="1:2" ht="12.75">
      <c r="A881" s="8" t="str">
        <f ca="1">IFERROR(__xludf.DUMMYFUNCTION("""COMPUTED_VALUE"""),"20170908OHCOC")</f>
        <v>20170908OHCOC</v>
      </c>
      <c r="B881" s="8" t="str">
        <f ca="1">IFERROR(__xludf.DUMMYFUNCTION("""COMPUTED_VALUE"""),"Handgun")</f>
        <v>Handgun</v>
      </c>
    </row>
    <row r="882" spans="1:2" ht="12.75">
      <c r="A882" s="8" t="str">
        <f ca="1">IFERROR(__xludf.DUMMYFUNCTION("""COMPUTED_VALUE"""),"20170908ARNON")</f>
        <v>20170908ARNON</v>
      </c>
      <c r="B882" s="8" t="str">
        <f ca="1">IFERROR(__xludf.DUMMYFUNCTION("""COMPUTED_VALUE"""),"No Data")</f>
        <v>No Data</v>
      </c>
    </row>
    <row r="883" spans="1:2" ht="12.75">
      <c r="A883" s="8" t="str">
        <f ca="1">IFERROR(__xludf.DUMMYFUNCTION("""COMPUTED_VALUE"""),"20170831CAARS")</f>
        <v>20170831CAARS</v>
      </c>
      <c r="B883" s="8" t="str">
        <f ca="1">IFERROR(__xludf.DUMMYFUNCTION("""COMPUTED_VALUE"""),"Handgun")</f>
        <v>Handgun</v>
      </c>
    </row>
    <row r="884" spans="1:2" ht="12.75">
      <c r="A884" s="8" t="str">
        <f ca="1">IFERROR(__xludf.DUMMYFUNCTION("""COMPUTED_VALUE"""),"20170817GALIL")</f>
        <v>20170817GALIL</v>
      </c>
      <c r="B884" s="8" t="str">
        <f ca="1">IFERROR(__xludf.DUMMYFUNCTION("""COMPUTED_VALUE"""),"No Data")</f>
        <v>No Data</v>
      </c>
    </row>
    <row r="885" spans="1:2" ht="12.75">
      <c r="A885" s="8" t="str">
        <f ca="1">IFERROR(__xludf.DUMMYFUNCTION("""COMPUTED_VALUE"""),"20170813NYHUH")</f>
        <v>20170813NYHUH</v>
      </c>
      <c r="B885" s="8"/>
    </row>
    <row r="886" spans="1:2" ht="12.75">
      <c r="A886" s="8" t="str">
        <f ca="1">IFERROR(__xludf.DUMMYFUNCTION("""COMPUTED_VALUE"""),"20170801GABAV")</f>
        <v>20170801GABAV</v>
      </c>
      <c r="B886" s="8" t="str">
        <f ca="1">IFERROR(__xludf.DUMMYFUNCTION("""COMPUTED_VALUE"""),"Handgun")</f>
        <v>Handgun</v>
      </c>
    </row>
    <row r="887" spans="1:2" ht="12.75">
      <c r="A887" s="8" t="str">
        <f ca="1">IFERROR(__xludf.DUMMYFUNCTION("""COMPUTED_VALUE"""),"20170721UTSPS")</f>
        <v>20170721UTSPS</v>
      </c>
      <c r="B887" s="8" t="str">
        <f ca="1">IFERROR(__xludf.DUMMYFUNCTION("""COMPUTED_VALUE"""),"Handgun")</f>
        <v>Handgun</v>
      </c>
    </row>
    <row r="888" spans="1:2" ht="12.75">
      <c r="A888" s="8" t="str">
        <f ca="1">IFERROR(__xludf.DUMMYFUNCTION("""COMPUTED_VALUE"""),"20170719WIHIM")</f>
        <v>20170719WIHIM</v>
      </c>
      <c r="B888" s="8" t="str">
        <f ca="1">IFERROR(__xludf.DUMMYFUNCTION("""COMPUTED_VALUE"""),"Handgun")</f>
        <v>Handgun</v>
      </c>
    </row>
    <row r="889" spans="1:2" ht="12.75">
      <c r="A889" s="8" t="str">
        <f ca="1">IFERROR(__xludf.DUMMYFUNCTION("""COMPUTED_VALUE"""),"20170622SCWIF")</f>
        <v>20170622SCWIF</v>
      </c>
      <c r="B889" s="8" t="str">
        <f ca="1">IFERROR(__xludf.DUMMYFUNCTION("""COMPUTED_VALUE"""),"Handgun")</f>
        <v>Handgun</v>
      </c>
    </row>
    <row r="890" spans="1:2" ht="12.75">
      <c r="A890" s="8" t="str">
        <f ca="1">IFERROR(__xludf.DUMMYFUNCTION("""COMPUTED_VALUE"""),"20170616ILWAC")</f>
        <v>20170616ILWAC</v>
      </c>
      <c r="B890" s="8" t="str">
        <f ca="1">IFERROR(__xludf.DUMMYFUNCTION("""COMPUTED_VALUE"""),"Handgun")</f>
        <v>Handgun</v>
      </c>
    </row>
    <row r="891" spans="1:2" ht="12.75">
      <c r="A891" s="8" t="str">
        <f ca="1">IFERROR(__xludf.DUMMYFUNCTION("""COMPUTED_VALUE"""),"20170526OKMCT")</f>
        <v>20170526OKMCT</v>
      </c>
      <c r="B891" s="8" t="str">
        <f ca="1">IFERROR(__xludf.DUMMYFUNCTION("""COMPUTED_VALUE"""),"Handgun")</f>
        <v>Handgun</v>
      </c>
    </row>
    <row r="892" spans="1:2" ht="12.75">
      <c r="A892" s="8" t="str">
        <f ca="1">IFERROR(__xludf.DUMMYFUNCTION("""COMPUTED_VALUE"""),"20170524NEMCO")</f>
        <v>20170524NEMCO</v>
      </c>
      <c r="B892" s="8" t="str">
        <f ca="1">IFERROR(__xludf.DUMMYFUNCTION("""COMPUTED_VALUE"""),"No Data")</f>
        <v>No Data</v>
      </c>
    </row>
    <row r="893" spans="1:2" ht="12.75">
      <c r="A893" s="8" t="str">
        <f ca="1">IFERROR(__xludf.DUMMYFUNCTION("""COMPUTED_VALUE"""),"20170524ALGRG")</f>
        <v>20170524ALGRG</v>
      </c>
      <c r="B893" s="8" t="str">
        <f ca="1">IFERROR(__xludf.DUMMYFUNCTION("""COMPUTED_VALUE"""),"Handgun")</f>
        <v>Handgun</v>
      </c>
    </row>
    <row r="894" spans="1:2" ht="12.75">
      <c r="A894" s="8" t="str">
        <f ca="1">IFERROR(__xludf.DUMMYFUNCTION("""COMPUTED_VALUE"""),"20170523TXKEK")</f>
        <v>20170523TXKEK</v>
      </c>
      <c r="B894" s="8" t="str">
        <f ca="1">IFERROR(__xludf.DUMMYFUNCTION("""COMPUTED_VALUE"""),"Handgun")</f>
        <v>Handgun</v>
      </c>
    </row>
    <row r="895" spans="1:2" ht="12.75">
      <c r="A895" s="8" t="str">
        <f ca="1">IFERROR(__xludf.DUMMYFUNCTION("""COMPUTED_VALUE"""),"20170515LAMOL")</f>
        <v>20170515LAMOL</v>
      </c>
      <c r="B895" s="8" t="str">
        <f ca="1">IFERROR(__xludf.DUMMYFUNCTION("""COMPUTED_VALUE"""),"Handgun")</f>
        <v>Handgun</v>
      </c>
    </row>
    <row r="896" spans="1:2" ht="12.75">
      <c r="A896" s="8" t="str">
        <f ca="1">IFERROR(__xludf.DUMMYFUNCTION("""COMPUTED_VALUE"""),"20170415ORMEP")</f>
        <v>20170415ORMEP</v>
      </c>
      <c r="B896" s="8" t="str">
        <f ca="1">IFERROR(__xludf.DUMMYFUNCTION("""COMPUTED_VALUE"""),"Handgun")</f>
        <v>Handgun</v>
      </c>
    </row>
    <row r="897" spans="1:2" ht="12.75">
      <c r="A897" s="8" t="str">
        <f ca="1">IFERROR(__xludf.DUMMYFUNCTION("""COMPUTED_VALUE"""),"20170415OKBOT")</f>
        <v>20170415OKBOT</v>
      </c>
      <c r="B897" s="8" t="str">
        <f ca="1">IFERROR(__xludf.DUMMYFUNCTION("""COMPUTED_VALUE"""),"No Data")</f>
        <v>No Data</v>
      </c>
    </row>
    <row r="898" spans="1:2" ht="12.75">
      <c r="A898" s="8" t="str">
        <f ca="1">IFERROR(__xludf.DUMMYFUNCTION("""COMPUTED_VALUE"""),"20170410CANOS")</f>
        <v>20170410CANOS</v>
      </c>
      <c r="B898" s="8" t="str">
        <f ca="1">IFERROR(__xludf.DUMMYFUNCTION("""COMPUTED_VALUE"""),"Handgun")</f>
        <v>Handgun</v>
      </c>
    </row>
    <row r="899" spans="1:2" ht="12.75">
      <c r="A899" s="8" t="str">
        <f ca="1">IFERROR(__xludf.DUMMYFUNCTION("""COMPUTED_VALUE"""),"20170328PALIP")</f>
        <v>20170328PALIP</v>
      </c>
      <c r="B899" s="8" t="str">
        <f ca="1">IFERROR(__xludf.DUMMYFUNCTION("""COMPUTED_VALUE"""),"Handgun")</f>
        <v>Handgun</v>
      </c>
    </row>
    <row r="900" spans="1:2" ht="12.75">
      <c r="A900" s="8" t="str">
        <f ca="1">IFERROR(__xludf.DUMMYFUNCTION("""COMPUTED_VALUE"""),"20170321CAKIK")</f>
        <v>20170321CAKIK</v>
      </c>
      <c r="B900" s="8" t="str">
        <f ca="1">IFERROR(__xludf.DUMMYFUNCTION("""COMPUTED_VALUE"""),"Handgun")</f>
        <v>Handgun</v>
      </c>
    </row>
    <row r="901" spans="1:2" ht="12.75">
      <c r="A901" s="8" t="str">
        <f ca="1">IFERROR(__xludf.DUMMYFUNCTION("""COMPUTED_VALUE"""),"20170316ALROM")</f>
        <v>20170316ALROM</v>
      </c>
      <c r="B901" s="8" t="str">
        <f ca="1">IFERROR(__xludf.DUMMYFUNCTION("""COMPUTED_VALUE"""),"Handgun")</f>
        <v>Handgun</v>
      </c>
    </row>
    <row r="902" spans="1:2" ht="12.75">
      <c r="A902" s="8" t="str">
        <f ca="1">IFERROR(__xludf.DUMMYFUNCTION("""COMPUTED_VALUE"""),"20170218MNMAM")</f>
        <v>20170218MNMAM</v>
      </c>
      <c r="B902" s="8" t="str">
        <f ca="1">IFERROR(__xludf.DUMMYFUNCTION("""COMPUTED_VALUE"""),"Handgun")</f>
        <v>Handgun</v>
      </c>
    </row>
    <row r="903" spans="1:2" ht="12.75">
      <c r="A903" s="8" t="str">
        <f ca="1">IFERROR(__xludf.DUMMYFUNCTION("""COMPUTED_VALUE"""),"20170206LASCB")</f>
        <v>20170206LASCB</v>
      </c>
      <c r="B903" s="8" t="str">
        <f ca="1">IFERROR(__xludf.DUMMYFUNCTION("""COMPUTED_VALUE"""),"Handgun")</f>
        <v>Handgun</v>
      </c>
    </row>
    <row r="904" spans="1:2" ht="12.75">
      <c r="A904" s="8" t="str">
        <f ca="1">IFERROR(__xludf.DUMMYFUNCTION("""COMPUTED_VALUE"""),"20170127SCSOA")</f>
        <v>20170127SCSOA</v>
      </c>
      <c r="B904" s="8" t="str">
        <f ca="1">IFERROR(__xludf.DUMMYFUNCTION("""COMPUTED_VALUE"""),"Handgun")</f>
        <v>Handgun</v>
      </c>
    </row>
    <row r="905" spans="1:2" ht="12.75">
      <c r="A905" s="8" t="str">
        <f ca="1">IFERROR(__xludf.DUMMYFUNCTION("""COMPUTED_VALUE"""),"20170127ILSCN")</f>
        <v>20170127ILSCN</v>
      </c>
      <c r="B905" s="8" t="str">
        <f ca="1">IFERROR(__xludf.DUMMYFUNCTION("""COMPUTED_VALUE"""),"Handgun")</f>
        <v>Handgun</v>
      </c>
    </row>
    <row r="906" spans="1:2" ht="12.75">
      <c r="A906" s="8" t="str">
        <f ca="1">IFERROR(__xludf.DUMMYFUNCTION("""COMPUTED_VALUE"""),"20170120OHWEW")</f>
        <v>20170120OHWEW</v>
      </c>
      <c r="B906" s="8" t="str">
        <f ca="1">IFERROR(__xludf.DUMMYFUNCTION("""COMPUTED_VALUE"""),"Shotgun")</f>
        <v>Shotgun</v>
      </c>
    </row>
    <row r="907" spans="1:2" ht="12.75">
      <c r="A907" s="8" t="str">
        <f ca="1">IFERROR(__xludf.DUMMYFUNCTION("""COMPUTED_VALUE"""),"20170117FLFRE")</f>
        <v>20170117FLFRE</v>
      </c>
      <c r="B907" s="8" t="str">
        <f ca="1">IFERROR(__xludf.DUMMYFUNCTION("""COMPUTED_VALUE"""),"No Data")</f>
        <v>No Data</v>
      </c>
    </row>
    <row r="908" spans="1:2" ht="12.75">
      <c r="A908" s="8" t="str">
        <f ca="1">IFERROR(__xludf.DUMMYFUNCTION("""COMPUTED_VALUE"""),"20170110ALALA")</f>
        <v>20170110ALALA</v>
      </c>
      <c r="B908" s="8" t="str">
        <f ca="1">IFERROR(__xludf.DUMMYFUNCTION("""COMPUTED_VALUE"""),"Handgun")</f>
        <v>Handgun</v>
      </c>
    </row>
    <row r="909" spans="1:2" ht="12.75">
      <c r="A909" s="8" t="str">
        <f ca="1">IFERROR(__xludf.DUMMYFUNCTION("""COMPUTED_VALUE"""),"20170101DELAH")</f>
        <v>20170101DELAH</v>
      </c>
      <c r="B909" s="8" t="str">
        <f ca="1">IFERROR(__xludf.DUMMYFUNCTION("""COMPUTED_VALUE"""),"Handgun")</f>
        <v>Handgun</v>
      </c>
    </row>
    <row r="910" spans="1:2" ht="12.75">
      <c r="A910" s="8" t="str">
        <f ca="1">IFERROR(__xludf.DUMMYFUNCTION("""COMPUTED_VALUE"""),"20161216FLSAJ")</f>
        <v>20161216FLSAJ</v>
      </c>
      <c r="B910" s="8" t="str">
        <f ca="1">IFERROR(__xludf.DUMMYFUNCTION("""COMPUTED_VALUE"""),"Other")</f>
        <v>Other</v>
      </c>
    </row>
    <row r="911" spans="1:2" ht="12.75">
      <c r="A911" s="8" t="str">
        <f ca="1">IFERROR(__xludf.DUMMYFUNCTION("""COMPUTED_VALUE"""),"20161209NVHUR")</f>
        <v>20161209NVHUR</v>
      </c>
      <c r="B911" s="8" t="str">
        <f ca="1">IFERROR(__xludf.DUMMYFUNCTION("""COMPUTED_VALUE"""),"Handgun")</f>
        <v>Handgun</v>
      </c>
    </row>
    <row r="912" spans="1:2" ht="12.75">
      <c r="A912" s="8" t="str">
        <f ca="1">IFERROR(__xludf.DUMMYFUNCTION("""COMPUTED_VALUE"""),"20161209MOBAS")</f>
        <v>20161209MOBAS</v>
      </c>
      <c r="B912" s="8" t="str">
        <f ca="1">IFERROR(__xludf.DUMMYFUNCTION("""COMPUTED_VALUE"""),"Handgun")</f>
        <v>Handgun</v>
      </c>
    </row>
    <row r="913" spans="1:2" ht="12.75">
      <c r="A913" s="8" t="str">
        <f ca="1">IFERROR(__xludf.DUMMYFUNCTION("""COMPUTED_VALUE"""),"20161201UTMUB")</f>
        <v>20161201UTMUB</v>
      </c>
      <c r="B913" s="8" t="str">
        <f ca="1">IFERROR(__xludf.DUMMYFUNCTION("""COMPUTED_VALUE"""),"Shotgun")</f>
        <v>Shotgun</v>
      </c>
    </row>
    <row r="914" spans="1:2" ht="12.75">
      <c r="A914" s="8" t="str">
        <f ca="1">IFERROR(__xludf.DUMMYFUNCTION("""COMPUTED_VALUE"""),"20161117MNCRS")</f>
        <v>20161117MNCRS</v>
      </c>
      <c r="B914" s="8" t="str">
        <f ca="1">IFERROR(__xludf.DUMMYFUNCTION("""COMPUTED_VALUE"""),"Handgun")</f>
        <v>Handgun</v>
      </c>
    </row>
    <row r="915" spans="1:2" ht="12.75">
      <c r="A915" s="8" t="str">
        <f ca="1">IFERROR(__xludf.DUMMYFUNCTION("""COMPUTED_VALUE"""),"20161111MIBAA")</f>
        <v>20161111MIBAA</v>
      </c>
      <c r="B915" s="8" t="str">
        <f ca="1">IFERROR(__xludf.DUMMYFUNCTION("""COMPUTED_VALUE"""),"Handgun")</f>
        <v>Handgun</v>
      </c>
    </row>
    <row r="916" spans="1:2" ht="12.75">
      <c r="A916" s="8" t="str">
        <f ca="1">IFERROR(__xludf.DUMMYFUNCTION("""COMPUTED_VALUE"""),"20161103COBEB")</f>
        <v>20161103COBEB</v>
      </c>
      <c r="B916" s="8" t="str">
        <f ca="1">IFERROR(__xludf.DUMMYFUNCTION("""COMPUTED_VALUE"""),"No Data")</f>
        <v>No Data</v>
      </c>
    </row>
    <row r="917" spans="1:2" ht="12.75">
      <c r="A917" s="8" t="str">
        <f ca="1">IFERROR(__xludf.DUMMYFUNCTION("""COMPUTED_VALUE"""),"20161102COGRG")</f>
        <v>20161102COGRG</v>
      </c>
      <c r="B917" s="8" t="str">
        <f ca="1">IFERROR(__xludf.DUMMYFUNCTION("""COMPUTED_VALUE"""),"No Data")</f>
        <v>No Data</v>
      </c>
    </row>
    <row r="918" spans="1:2" ht="12.75">
      <c r="A918" s="8" t="str">
        <f ca="1">IFERROR(__xludf.DUMMYFUNCTION("""COMPUTED_VALUE"""),"20161025UTUNS")</f>
        <v>20161025UTUNS</v>
      </c>
      <c r="B918" s="8" t="str">
        <f ca="1">IFERROR(__xludf.DUMMYFUNCTION("""COMPUTED_VALUE"""),"Handgun")</f>
        <v>Handgun</v>
      </c>
    </row>
    <row r="919" spans="1:2" ht="12.75">
      <c r="A919" s="8" t="str">
        <f ca="1">IFERROR(__xludf.DUMMYFUNCTION("""COMPUTED_VALUE"""),"20161018CAJUS")</f>
        <v>20161018CAJUS</v>
      </c>
      <c r="B919" s="8" t="str">
        <f ca="1">IFERROR(__xludf.DUMMYFUNCTION("""COMPUTED_VALUE"""),"Multiple Unknown")</f>
        <v>Multiple Unknown</v>
      </c>
    </row>
    <row r="920" spans="1:2" ht="12.75">
      <c r="A920" s="8" t="str">
        <f ca="1">IFERROR(__xludf.DUMMYFUNCTION("""COMPUTED_VALUE"""),"20161015GABEA")</f>
        <v>20161015GABEA</v>
      </c>
      <c r="B920" s="8" t="str">
        <f ca="1">IFERROR(__xludf.DUMMYFUNCTION("""COMPUTED_VALUE"""),"No Data")</f>
        <v>No Data</v>
      </c>
    </row>
    <row r="921" spans="1:2" ht="12.75">
      <c r="A921" s="8" t="str">
        <f ca="1">IFERROR(__xludf.DUMMYFUNCTION("""COMPUTED_VALUE"""),"20161013OHLIC")</f>
        <v>20161013OHLIC</v>
      </c>
      <c r="B921" s="8" t="str">
        <f ca="1">IFERROR(__xludf.DUMMYFUNCTION("""COMPUTED_VALUE"""),"Multiple Handguns")</f>
        <v>Multiple Handguns</v>
      </c>
    </row>
    <row r="922" spans="1:2" ht="12.75">
      <c r="A922" s="8" t="str">
        <f ca="1">IFERROR(__xludf.DUMMYFUNCTION("""COMPUTED_VALUE"""),"20161011ALVIM")</f>
        <v>20161011ALVIM</v>
      </c>
      <c r="B922" s="8" t="str">
        <f ca="1">IFERROR(__xludf.DUMMYFUNCTION("""COMPUTED_VALUE"""),"No Data")</f>
        <v>No Data</v>
      </c>
    </row>
    <row r="923" spans="1:2" ht="12.75">
      <c r="A923" s="8" t="str">
        <f ca="1">IFERROR(__xludf.DUMMYFUNCTION("""COMPUTED_VALUE"""),"20161006TXDUF")</f>
        <v>20161006TXDUF</v>
      </c>
      <c r="B923" s="8" t="str">
        <f ca="1">IFERROR(__xludf.DUMMYFUNCTION("""COMPUTED_VALUE"""),"No Data")</f>
        <v>No Data</v>
      </c>
    </row>
    <row r="924" spans="1:2" ht="12.75">
      <c r="A924" s="8" t="str">
        <f ca="1">IFERROR(__xludf.DUMMYFUNCTION("""COMPUTED_VALUE"""),"20160930ILCHC")</f>
        <v>20160930ILCHC</v>
      </c>
      <c r="B924" s="8" t="str">
        <f ca="1">IFERROR(__xludf.DUMMYFUNCTION("""COMPUTED_VALUE"""),"No Data")</f>
        <v>No Data</v>
      </c>
    </row>
    <row r="925" spans="1:2" ht="12.75">
      <c r="A925" s="8" t="str">
        <f ca="1">IFERROR(__xludf.DUMMYFUNCTION("""COMPUTED_VALUE"""),"20160928TNSYP")</f>
        <v>20160928TNSYP</v>
      </c>
      <c r="B925" s="8" t="str">
        <f ca="1">IFERROR(__xludf.DUMMYFUNCTION("""COMPUTED_VALUE"""),"Handgun")</f>
        <v>Handgun</v>
      </c>
    </row>
    <row r="926" spans="1:2" ht="12.75">
      <c r="A926" s="8" t="str">
        <f ca="1">IFERROR(__xludf.DUMMYFUNCTION("""COMPUTED_VALUE"""),"20160928SCTOT")</f>
        <v>20160928SCTOT</v>
      </c>
      <c r="B926" s="8" t="str">
        <f ca="1">IFERROR(__xludf.DUMMYFUNCTION("""COMPUTED_VALUE"""),"Handgun")</f>
        <v>Handgun</v>
      </c>
    </row>
    <row r="927" spans="1:2" ht="12.75">
      <c r="A927" s="8" t="str">
        <f ca="1">IFERROR(__xludf.DUMMYFUNCTION("""COMPUTED_VALUE"""),"20160927OHELC")</f>
        <v>20160927OHELC</v>
      </c>
      <c r="B927" s="8" t="str">
        <f ca="1">IFERROR(__xludf.DUMMYFUNCTION("""COMPUTED_VALUE"""),"Rifle")</f>
        <v>Rifle</v>
      </c>
    </row>
    <row r="928" spans="1:2" ht="12.75">
      <c r="A928" s="8" t="str">
        <f ca="1">IFERROR(__xludf.DUMMYFUNCTION("""COMPUTED_VALUE"""),"20160926MSTAJ")</f>
        <v>20160926MSTAJ</v>
      </c>
      <c r="B928" s="8" t="str">
        <f ca="1">IFERROR(__xludf.DUMMYFUNCTION("""COMPUTED_VALUE"""),"Handgun")</f>
        <v>Handgun</v>
      </c>
    </row>
    <row r="929" spans="1:2" ht="12.75">
      <c r="A929" s="8" t="str">
        <f ca="1">IFERROR(__xludf.DUMMYFUNCTION("""COMPUTED_VALUE"""),"20160909PASMY")</f>
        <v>20160909PASMY</v>
      </c>
      <c r="B929" s="8" t="str">
        <f ca="1">IFERROR(__xludf.DUMMYFUNCTION("""COMPUTED_VALUE"""),"Handgun")</f>
        <v>Handgun</v>
      </c>
    </row>
    <row r="930" spans="1:2" ht="12.75">
      <c r="A930" s="8" t="str">
        <f ca="1">IFERROR(__xludf.DUMMYFUNCTION("""COMPUTED_VALUE"""),"20160909IACEC")</f>
        <v>20160909IACEC</v>
      </c>
      <c r="B930" s="8" t="str">
        <f ca="1">IFERROR(__xludf.DUMMYFUNCTION("""COMPUTED_VALUE"""),"Handgun")</f>
        <v>Handgun</v>
      </c>
    </row>
    <row r="931" spans="1:2" ht="12.75">
      <c r="A931" s="8" t="str">
        <f ca="1">IFERROR(__xludf.DUMMYFUNCTION("""COMPUTED_VALUE"""),"20160908TXALA")</f>
        <v>20160908TXALA</v>
      </c>
      <c r="B931" s="8" t="str">
        <f ca="1">IFERROR(__xludf.DUMMYFUNCTION("""COMPUTED_VALUE"""),"Handgun")</f>
        <v>Handgun</v>
      </c>
    </row>
    <row r="932" spans="1:2" ht="12.75">
      <c r="A932" s="8" t="str">
        <f ca="1">IFERROR(__xludf.DUMMYFUNCTION("""COMPUTED_VALUE"""),"20160907MIDED")</f>
        <v>20160907MIDED</v>
      </c>
      <c r="B932" s="8" t="str">
        <f ca="1">IFERROR(__xludf.DUMMYFUNCTION("""COMPUTED_VALUE"""),"No Data")</f>
        <v>No Data</v>
      </c>
    </row>
    <row r="933" spans="1:2" ht="12.75">
      <c r="A933" s="8" t="str">
        <f ca="1">IFERROR(__xludf.DUMMYFUNCTION("""COMPUTED_VALUE"""),"20160902OKMCT")</f>
        <v>20160902OKMCT</v>
      </c>
      <c r="B933" s="8" t="str">
        <f ca="1">IFERROR(__xludf.DUMMYFUNCTION("""COMPUTED_VALUE"""),"Handgun")</f>
        <v>Handgun</v>
      </c>
    </row>
    <row r="934" spans="1:2" ht="12.75">
      <c r="A934" s="8" t="str">
        <f ca="1">IFERROR(__xludf.DUMMYFUNCTION("""COMPUTED_VALUE"""),"20160819FLSOM")</f>
        <v>20160819FLSOM</v>
      </c>
      <c r="B934" s="8" t="str">
        <f ca="1">IFERROR(__xludf.DUMMYFUNCTION("""COMPUTED_VALUE"""),"Handgun")</f>
        <v>Handgun</v>
      </c>
    </row>
    <row r="935" spans="1:2" ht="12.75">
      <c r="A935" s="8" t="str">
        <f ca="1">IFERROR(__xludf.DUMMYFUNCTION("""COMPUTED_VALUE"""),"20160817OHWEC")</f>
        <v>20160817OHWEC</v>
      </c>
      <c r="B935" s="8" t="str">
        <f ca="1">IFERROR(__xludf.DUMMYFUNCTION("""COMPUTED_VALUE"""),"Handgun")</f>
        <v>Handgun</v>
      </c>
    </row>
    <row r="936" spans="1:2" ht="12.75">
      <c r="A936" s="8" t="str">
        <f ca="1">IFERROR(__xludf.DUMMYFUNCTION("""COMPUTED_VALUE"""),"20160725MOAVA")</f>
        <v>20160725MOAVA</v>
      </c>
      <c r="B936" s="8" t="str">
        <f ca="1">IFERROR(__xludf.DUMMYFUNCTION("""COMPUTED_VALUE"""),"Handgun")</f>
        <v>Handgun</v>
      </c>
    </row>
    <row r="937" spans="1:2" ht="12.75">
      <c r="A937" s="8" t="str">
        <f ca="1">IFERROR(__xludf.DUMMYFUNCTION("""COMPUTED_VALUE"""),"20160630CAWOH")</f>
        <v>20160630CAWOH</v>
      </c>
      <c r="B937" s="8" t="str">
        <f ca="1">IFERROR(__xludf.DUMMYFUNCTION("""COMPUTED_VALUE"""),"No Data")</f>
        <v>No Data</v>
      </c>
    </row>
    <row r="938" spans="1:2" ht="12.75">
      <c r="A938" s="8" t="str">
        <f ca="1">IFERROR(__xludf.DUMMYFUNCTION("""COMPUTED_VALUE"""),"20160616ILMCC")</f>
        <v>20160616ILMCC</v>
      </c>
      <c r="B938" s="8" t="str">
        <f ca="1">IFERROR(__xludf.DUMMYFUNCTION("""COMPUTED_VALUE"""),"No Data")</f>
        <v>No Data</v>
      </c>
    </row>
    <row r="939" spans="1:2" ht="12.75">
      <c r="A939" s="8" t="str">
        <f ca="1">IFERROR(__xludf.DUMMYFUNCTION("""COMPUTED_VALUE"""),"20160608MAJED")</f>
        <v>20160608MAJED</v>
      </c>
      <c r="B939" s="8" t="str">
        <f ca="1">IFERROR(__xludf.DUMMYFUNCTION("""COMPUTED_VALUE"""),"Unknown")</f>
        <v>Unknown</v>
      </c>
    </row>
    <row r="940" spans="1:2" ht="12.75">
      <c r="A940" s="8" t="str">
        <f ca="1">IFERROR(__xludf.DUMMYFUNCTION("""COMPUTED_VALUE"""),"20160515KSAUA")</f>
        <v>20160515KSAUA</v>
      </c>
      <c r="B940" s="8" t="str">
        <f ca="1">IFERROR(__xludf.DUMMYFUNCTION("""COMPUTED_VALUE"""),"Handgun")</f>
        <v>Handgun</v>
      </c>
    </row>
    <row r="941" spans="1:2" ht="12.75">
      <c r="A941" s="8" t="str">
        <f ca="1">IFERROR(__xludf.DUMMYFUNCTION("""COMPUTED_VALUE"""),"20160513SCSOG")</f>
        <v>20160513SCSOG</v>
      </c>
      <c r="B941" s="8" t="str">
        <f ca="1">IFERROR(__xludf.DUMMYFUNCTION("""COMPUTED_VALUE"""),"Handgun")</f>
        <v>Handgun</v>
      </c>
    </row>
    <row r="942" spans="1:2" ht="12.75">
      <c r="A942" s="8" t="str">
        <f ca="1">IFERROR(__xludf.DUMMYFUNCTION("""COMPUTED_VALUE"""),"20160506IDROT")</f>
        <v>20160506IDROT</v>
      </c>
      <c r="B942" s="8" t="str">
        <f ca="1">IFERROR(__xludf.DUMMYFUNCTION("""COMPUTED_VALUE"""),"Handgun")</f>
        <v>Handgun</v>
      </c>
    </row>
    <row r="943" spans="1:2" ht="12.75">
      <c r="A943" s="8" t="str">
        <f ca="1">IFERROR(__xludf.DUMMYFUNCTION("""COMPUTED_VALUE"""),"20160506FLOSP")</f>
        <v>20160506FLOSP</v>
      </c>
      <c r="B943" s="8" t="str">
        <f ca="1">IFERROR(__xludf.DUMMYFUNCTION("""COMPUTED_VALUE"""),"Handgun")</f>
        <v>Handgun</v>
      </c>
    </row>
    <row r="944" spans="1:2" ht="12.75">
      <c r="A944" s="8" t="str">
        <f ca="1">IFERROR(__xludf.DUMMYFUNCTION("""COMPUTED_VALUE"""),"20160505MDHIB")</f>
        <v>20160505MDHIB</v>
      </c>
      <c r="B944" s="8" t="str">
        <f ca="1">IFERROR(__xludf.DUMMYFUNCTION("""COMPUTED_VALUE"""),"Handgun")</f>
        <v>Handgun</v>
      </c>
    </row>
    <row r="945" spans="1:2" ht="12.75">
      <c r="A945" s="8" t="str">
        <f ca="1">IFERROR(__xludf.DUMMYFUNCTION("""COMPUTED_VALUE"""),"20160504COEAP")</f>
        <v>20160504COEAP</v>
      </c>
      <c r="B945" s="8" t="str">
        <f ca="1">IFERROR(__xludf.DUMMYFUNCTION("""COMPUTED_VALUE"""),"Handgun")</f>
        <v>Handgun</v>
      </c>
    </row>
    <row r="946" spans="1:2" ht="12.75">
      <c r="A946" s="8" t="str">
        <f ca="1">IFERROR(__xludf.DUMMYFUNCTION("""COMPUTED_VALUE"""),"20160502TXKID")</f>
        <v>20160502TXKID</v>
      </c>
      <c r="B946" s="8" t="str">
        <f ca="1">IFERROR(__xludf.DUMMYFUNCTION("""COMPUTED_VALUE"""),"Handgun")</f>
        <v>Handgun</v>
      </c>
    </row>
    <row r="947" spans="1:2" ht="12.75">
      <c r="A947" s="8" t="str">
        <f ca="1">IFERROR(__xludf.DUMMYFUNCTION("""COMPUTED_VALUE"""),"20160423WIANA")</f>
        <v>20160423WIANA</v>
      </c>
      <c r="B947" s="8" t="str">
        <f ca="1">IFERROR(__xludf.DUMMYFUNCTION("""COMPUTED_VALUE"""),"Rifle")</f>
        <v>Rifle</v>
      </c>
    </row>
    <row r="948" spans="1:2" ht="12.75">
      <c r="A948" s="8" t="str">
        <f ca="1">IFERROR(__xludf.DUMMYFUNCTION("""COMPUTED_VALUE"""),"20160315ALHUB")</f>
        <v>20160315ALHUB</v>
      </c>
      <c r="B948" s="8" t="str">
        <f ca="1">IFERROR(__xludf.DUMMYFUNCTION("""COMPUTED_VALUE"""),"Handgun")</f>
        <v>Handgun</v>
      </c>
    </row>
    <row r="949" spans="1:2" ht="12.75">
      <c r="A949" s="8" t="str">
        <f ca="1">IFERROR(__xludf.DUMMYFUNCTION("""COMPUTED_VALUE"""),"20160229OHMAM")</f>
        <v>20160229OHMAM</v>
      </c>
      <c r="B949" s="8" t="str">
        <f ca="1">IFERROR(__xludf.DUMMYFUNCTION("""COMPUTED_VALUE"""),"Handgun")</f>
        <v>Handgun</v>
      </c>
    </row>
    <row r="950" spans="1:2" ht="12.75">
      <c r="A950" s="8" t="str">
        <f ca="1">IFERROR(__xludf.DUMMYFUNCTION("""COMPUTED_VALUE"""),"20160226TXPAP")</f>
        <v>20160226TXPAP</v>
      </c>
      <c r="B950" s="8" t="str">
        <f ca="1">IFERROR(__xludf.DUMMYFUNCTION("""COMPUTED_VALUE"""),"Handgun")</f>
        <v>Handgun</v>
      </c>
    </row>
    <row r="951" spans="1:2" ht="12.75">
      <c r="A951" s="8" t="str">
        <f ca="1">IFERROR(__xludf.DUMMYFUNCTION("""COMPUTED_VALUE"""),"20160217PACHC")</f>
        <v>20160217PACHC</v>
      </c>
      <c r="B951" s="8" t="str">
        <f ca="1">IFERROR(__xludf.DUMMYFUNCTION("""COMPUTED_VALUE"""),"Handgun")</f>
        <v>Handgun</v>
      </c>
    </row>
    <row r="952" spans="1:2" ht="12.75">
      <c r="A952" s="8" t="str">
        <f ca="1">IFERROR(__xludf.DUMMYFUNCTION("""COMPUTED_VALUE"""),"20160217FLROH")</f>
        <v>20160217FLROH</v>
      </c>
      <c r="B952" s="8" t="str">
        <f ca="1">IFERROR(__xludf.DUMMYFUNCTION("""COMPUTED_VALUE"""),"Handgun")</f>
        <v>Handgun</v>
      </c>
    </row>
    <row r="953" spans="1:2" ht="12.75">
      <c r="A953" s="8" t="str">
        <f ca="1">IFERROR(__xludf.DUMMYFUNCTION("""COMPUTED_VALUE"""),"20160212AZING")</f>
        <v>20160212AZING</v>
      </c>
      <c r="B953" s="8" t="str">
        <f ca="1">IFERROR(__xludf.DUMMYFUNCTION("""COMPUTED_VALUE"""),"Handgun")</f>
        <v>Handgun</v>
      </c>
    </row>
    <row r="954" spans="1:2" ht="12.75">
      <c r="A954" s="8" t="str">
        <f ca="1">IFERROR(__xludf.DUMMYFUNCTION("""COMPUTED_VALUE"""),"20160209MIMUM")</f>
        <v>20160209MIMUM</v>
      </c>
      <c r="B954" s="8" t="str">
        <f ca="1">IFERROR(__xludf.DUMMYFUNCTION("""COMPUTED_VALUE"""),"Handgun")</f>
        <v>Handgun</v>
      </c>
    </row>
    <row r="955" spans="1:2" ht="12.75">
      <c r="A955" s="8" t="str">
        <f ca="1">IFERROR(__xludf.DUMMYFUNCTION("""COMPUTED_VALUE"""),"20160129PABEP")</f>
        <v>20160129PABEP</v>
      </c>
      <c r="B955" s="8" t="str">
        <f ca="1">IFERROR(__xludf.DUMMYFUNCTION("""COMPUTED_VALUE"""),"Handgun")</f>
        <v>Handgun</v>
      </c>
    </row>
    <row r="956" spans="1:2" ht="12.75">
      <c r="A956" s="8" t="str">
        <f ca="1">IFERROR(__xludf.DUMMYFUNCTION("""COMPUTED_VALUE"""),"20160122INLAI")</f>
        <v>20160122INLAI</v>
      </c>
      <c r="B956" s="8" t="str">
        <f ca="1">IFERROR(__xludf.DUMMYFUNCTION("""COMPUTED_VALUE"""),"Handgun")</f>
        <v>Handgun</v>
      </c>
    </row>
    <row r="957" spans="1:2" ht="12.75">
      <c r="A957" s="8" t="str">
        <f ca="1">IFERROR(__xludf.DUMMYFUNCTION("""COMPUTED_VALUE"""),"20160120INNOI")</f>
        <v>20160120INNOI</v>
      </c>
      <c r="B957" s="8" t="str">
        <f ca="1">IFERROR(__xludf.DUMMYFUNCTION("""COMPUTED_VALUE"""),"Handgun")</f>
        <v>Handgun</v>
      </c>
    </row>
    <row r="958" spans="1:2" ht="12.75">
      <c r="A958" s="8" t="str">
        <f ca="1">IFERROR(__xludf.DUMMYFUNCTION("""COMPUTED_VALUE"""),"20160113ARHAB")</f>
        <v>20160113ARHAB</v>
      </c>
      <c r="B958" s="8" t="str">
        <f ca="1">IFERROR(__xludf.DUMMYFUNCTION("""COMPUTED_VALUE"""),"Handgun")</f>
        <v>Handgun</v>
      </c>
    </row>
    <row r="959" spans="1:2" ht="12.75">
      <c r="A959" s="8" t="str">
        <f ca="1">IFERROR(__xludf.DUMMYFUNCTION("""COMPUTED_VALUE"""),"20160112DECED")</f>
        <v>20160112DECED</v>
      </c>
      <c r="B959" s="8" t="str">
        <f ca="1">IFERROR(__xludf.DUMMYFUNCTION("""COMPUTED_VALUE"""),"Handgun")</f>
        <v>Handgun</v>
      </c>
    </row>
    <row r="960" spans="1:2" ht="12.75">
      <c r="A960" s="8" t="str">
        <f ca="1">IFERROR(__xludf.DUMMYFUNCTION("""COMPUTED_VALUE"""),"20151204KSWEW")</f>
        <v>20151204KSWEW</v>
      </c>
      <c r="B960" s="8" t="str">
        <f ca="1">IFERROR(__xludf.DUMMYFUNCTION("""COMPUTED_VALUE"""),"Handgun")</f>
        <v>Handgun</v>
      </c>
    </row>
    <row r="961" spans="1:2" ht="12.75">
      <c r="A961" s="8" t="str">
        <f ca="1">IFERROR(__xludf.DUMMYFUNCTION("""COMPUTED_VALUE"""),"20151120FLNAM")</f>
        <v>20151120FLNAM</v>
      </c>
      <c r="B961" s="8" t="str">
        <f ca="1">IFERROR(__xludf.DUMMYFUNCTION("""COMPUTED_VALUE"""),"Handgun")</f>
        <v>Handgun</v>
      </c>
    </row>
    <row r="962" spans="1:2" ht="12.75">
      <c r="A962" s="8" t="str">
        <f ca="1">IFERROR(__xludf.DUMMYFUNCTION("""COMPUTED_VALUE"""),"20151111ARSUS")</f>
        <v>20151111ARSUS</v>
      </c>
      <c r="B962" s="8" t="str">
        <f ca="1">IFERROR(__xludf.DUMMYFUNCTION("""COMPUTED_VALUE"""),"Handgun")</f>
        <v>Handgun</v>
      </c>
    </row>
    <row r="963" spans="1:2" ht="12.75">
      <c r="A963" s="8" t="str">
        <f ca="1">IFERROR(__xludf.DUMMYFUNCTION("""COMPUTED_VALUE"""),"20151105GAVEM")</f>
        <v>20151105GAVEM</v>
      </c>
      <c r="B963" s="8" t="str">
        <f ca="1">IFERROR(__xludf.DUMMYFUNCTION("""COMPUTED_VALUE"""),"Handgun")</f>
        <v>Handgun</v>
      </c>
    </row>
    <row r="964" spans="1:2" ht="12.75">
      <c r="A964" s="8" t="str">
        <f ca="1">IFERROR(__xludf.DUMMYFUNCTION("""COMPUTED_VALUE"""),"20151024TXEDS")</f>
        <v>20151024TXEDS</v>
      </c>
      <c r="B964" s="8" t="str">
        <f ca="1">IFERROR(__xludf.DUMMYFUNCTION("""COMPUTED_VALUE"""),"No Data")</f>
        <v>No Data</v>
      </c>
    </row>
    <row r="965" spans="1:2" ht="12.75">
      <c r="A965" s="8" t="str">
        <f ca="1">IFERROR(__xludf.DUMMYFUNCTION("""COMPUTED_VALUE"""),"20151015TXKAS")</f>
        <v>20151015TXKAS</v>
      </c>
      <c r="B965" s="8" t="str">
        <f ca="1">IFERROR(__xludf.DUMMYFUNCTION("""COMPUTED_VALUE"""),"Handgun")</f>
        <v>Handgun</v>
      </c>
    </row>
    <row r="966" spans="1:2" ht="12.75">
      <c r="A966" s="8" t="str">
        <f ca="1">IFERROR(__xludf.DUMMYFUNCTION("""COMPUTED_VALUE"""),"20150930SDHAH")</f>
        <v>20150930SDHAH</v>
      </c>
      <c r="B966" s="8" t="str">
        <f ca="1">IFERROR(__xludf.DUMMYFUNCTION("""COMPUTED_VALUE"""),"Handgun")</f>
        <v>Handgun</v>
      </c>
    </row>
    <row r="967" spans="1:2" ht="12.75">
      <c r="A967" s="8" t="str">
        <f ca="1">IFERROR(__xludf.DUMMYFUNCTION("""COMPUTED_VALUE"""),"20150922NCCES")</f>
        <v>20150922NCCES</v>
      </c>
      <c r="B967" s="8" t="str">
        <f ca="1">IFERROR(__xludf.DUMMYFUNCTION("""COMPUTED_VALUE"""),"Handgun")</f>
        <v>Handgun</v>
      </c>
    </row>
    <row r="968" spans="1:2" ht="12.75">
      <c r="A968" s="8" t="str">
        <f ca="1">IFERROR(__xludf.DUMMYFUNCTION("""COMPUTED_VALUE"""),"20150911LANOL")</f>
        <v>20150911LANOL</v>
      </c>
      <c r="B968" s="8" t="str">
        <f ca="1">IFERROR(__xludf.DUMMYFUNCTION("""COMPUTED_VALUE"""),"No Data")</f>
        <v>No Data</v>
      </c>
    </row>
    <row r="969" spans="1:2" ht="12.75">
      <c r="A969" s="8" t="str">
        <f ca="1">IFERROR(__xludf.DUMMYFUNCTION("""COMPUTED_VALUE"""),"20150903ORNEN")</f>
        <v>20150903ORNEN</v>
      </c>
      <c r="B969" s="8" t="str">
        <f ca="1">IFERROR(__xludf.DUMMYFUNCTION("""COMPUTED_VALUE"""),"No Data")</f>
        <v>No Data</v>
      </c>
    </row>
    <row r="970" spans="1:2" ht="12.75">
      <c r="A970" s="8" t="str">
        <f ca="1">IFERROR(__xludf.DUMMYFUNCTION("""COMPUTED_VALUE"""),"20150825GAWSA")</f>
        <v>20150825GAWSA</v>
      </c>
      <c r="B970" s="8" t="str">
        <f ca="1">IFERROR(__xludf.DUMMYFUNCTION("""COMPUTED_VALUE"""),"Handgun")</f>
        <v>Handgun</v>
      </c>
    </row>
    <row r="971" spans="1:2" ht="12.75">
      <c r="A971" s="8" t="str">
        <f ca="1">IFERROR(__xludf.DUMMYFUNCTION("""COMPUTED_VALUE"""),"20150823TXWIR")</f>
        <v>20150823TXWIR</v>
      </c>
      <c r="B971" s="8" t="str">
        <f ca="1">IFERROR(__xludf.DUMMYFUNCTION("""COMPUTED_VALUE"""),"Handgun")</f>
        <v>Handgun</v>
      </c>
    </row>
    <row r="972" spans="1:2" ht="12.75">
      <c r="A972" s="8" t="str">
        <f ca="1">IFERROR(__xludf.DUMMYFUNCTION("""COMPUTED_VALUE"""),"20150808TXPAP")</f>
        <v>20150808TXPAP</v>
      </c>
      <c r="B972" s="8" t="str">
        <f ca="1">IFERROR(__xludf.DUMMYFUNCTION("""COMPUTED_VALUE"""),"Handgun")</f>
        <v>Handgun</v>
      </c>
    </row>
    <row r="973" spans="1:2" ht="12.75">
      <c r="A973" s="8" t="str">
        <f ca="1">IFERROR(__xludf.DUMMYFUNCTION("""COMPUTED_VALUE"""),"20150724TXELC")</f>
        <v>20150724TXELC</v>
      </c>
      <c r="B973" s="8" t="str">
        <f ca="1">IFERROR(__xludf.DUMMYFUNCTION("""COMPUTED_VALUE"""),"Handgun")</f>
        <v>Handgun</v>
      </c>
    </row>
    <row r="974" spans="1:2" ht="12.75">
      <c r="A974" s="8" t="str">
        <f ca="1">IFERROR(__xludf.DUMMYFUNCTION("""COMPUTED_VALUE"""),"20150705TXCOD")</f>
        <v>20150705TXCOD</v>
      </c>
      <c r="B974" s="8" t="str">
        <f ca="1">IFERROR(__xludf.DUMMYFUNCTION("""COMPUTED_VALUE"""),"Handgun")</f>
        <v>Handgun</v>
      </c>
    </row>
    <row r="975" spans="1:2" ht="12.75">
      <c r="A975" s="8" t="str">
        <f ca="1">IFERROR(__xludf.DUMMYFUNCTION("""COMPUTED_VALUE"""),"20150629TXJOS")</f>
        <v>20150629TXJOS</v>
      </c>
      <c r="B975" s="8" t="str">
        <f ca="1">IFERROR(__xludf.DUMMYFUNCTION("""COMPUTED_VALUE"""),"Handgun")</f>
        <v>Handgun</v>
      </c>
    </row>
    <row r="976" spans="1:2" ht="12.75">
      <c r="A976" s="8" t="str">
        <f ca="1">IFERROR(__xludf.DUMMYFUNCTION("""COMPUTED_VALUE"""),"20150627CTSAH")</f>
        <v>20150627CTSAH</v>
      </c>
      <c r="B976" s="8" t="str">
        <f ca="1">IFERROR(__xludf.DUMMYFUNCTION("""COMPUTED_VALUE"""),"No Data")</f>
        <v>No Data</v>
      </c>
    </row>
    <row r="977" spans="1:2" ht="12.75">
      <c r="A977" s="8" t="str">
        <f ca="1">IFERROR(__xludf.DUMMYFUNCTION("""COMPUTED_VALUE"""),"20150623NEFOF")</f>
        <v>20150623NEFOF</v>
      </c>
      <c r="B977" s="8" t="str">
        <f ca="1">IFERROR(__xludf.DUMMYFUNCTION("""COMPUTED_VALUE"""),"Handgun")</f>
        <v>Handgun</v>
      </c>
    </row>
    <row r="978" spans="1:2" ht="12.75">
      <c r="A978" s="8" t="str">
        <f ca="1">IFERROR(__xludf.DUMMYFUNCTION("""COMPUTED_VALUE"""),"20150604NCSOF")</f>
        <v>20150604NCSOF</v>
      </c>
      <c r="B978" s="8" t="str">
        <f ca="1">IFERROR(__xludf.DUMMYFUNCTION("""COMPUTED_VALUE"""),"Multiple Handguns")</f>
        <v>Multiple Handguns</v>
      </c>
    </row>
    <row r="979" spans="1:2" ht="12.75">
      <c r="A979" s="8" t="str">
        <f ca="1">IFERROR(__xludf.DUMMYFUNCTION("""COMPUTED_VALUE"""),"20150527FLEVE")</f>
        <v>20150527FLEVE</v>
      </c>
      <c r="B979" s="8" t="str">
        <f ca="1">IFERROR(__xludf.DUMMYFUNCTION("""COMPUTED_VALUE"""),"Handgun")</f>
        <v>Handgun</v>
      </c>
    </row>
    <row r="980" spans="1:2" ht="12.75">
      <c r="A980" s="8" t="str">
        <f ca="1">IFERROR(__xludf.DUMMYFUNCTION("""COMPUTED_VALUE"""),"20150524MISOF")</f>
        <v>20150524MISOF</v>
      </c>
      <c r="B980" s="8" t="str">
        <f ca="1">IFERROR(__xludf.DUMMYFUNCTION("""COMPUTED_VALUE"""),"No Data")</f>
        <v>No Data</v>
      </c>
    </row>
    <row r="981" spans="1:2" ht="12.75">
      <c r="A981" s="8" t="str">
        <f ca="1">IFERROR(__xludf.DUMMYFUNCTION("""COMPUTED_VALUE"""),"20150521FLDUJ")</f>
        <v>20150521FLDUJ</v>
      </c>
      <c r="B981" s="8" t="str">
        <f ca="1">IFERROR(__xludf.DUMMYFUNCTION("""COMPUTED_VALUE"""),"Handgun")</f>
        <v>Handgun</v>
      </c>
    </row>
    <row r="982" spans="1:2" ht="12.75">
      <c r="A982" s="8" t="str">
        <f ca="1">IFERROR(__xludf.DUMMYFUNCTION("""COMPUTED_VALUE"""),"20150520TXROR")</f>
        <v>20150520TXROR</v>
      </c>
      <c r="B982" s="8" t="str">
        <f ca="1">IFERROR(__xludf.DUMMYFUNCTION("""COMPUTED_VALUE"""),"No Data")</f>
        <v>No Data</v>
      </c>
    </row>
    <row r="983" spans="1:2" ht="12.75">
      <c r="A983" s="8" t="str">
        <f ca="1">IFERROR(__xludf.DUMMYFUNCTION("""COMPUTED_VALUE"""),"20150512FLUNJ")</f>
        <v>20150512FLUNJ</v>
      </c>
      <c r="B983" s="8" t="str">
        <f ca="1">IFERROR(__xludf.DUMMYFUNCTION("""COMPUTED_VALUE"""),"Handgun")</f>
        <v>Handgun</v>
      </c>
    </row>
    <row r="984" spans="1:2" ht="12.75">
      <c r="A984" s="8" t="str">
        <f ca="1">IFERROR(__xludf.DUMMYFUNCTION("""COMPUTED_VALUE"""),"20150512AZCOT")</f>
        <v>20150512AZCOT</v>
      </c>
      <c r="B984" s="8" t="str">
        <f ca="1">IFERROR(__xludf.DUMMYFUNCTION("""COMPUTED_VALUE"""),"Handgun")</f>
        <v>Handgun</v>
      </c>
    </row>
    <row r="985" spans="1:2" ht="12.75">
      <c r="A985" s="8" t="str">
        <f ca="1">IFERROR(__xludf.DUMMYFUNCTION("""COMPUTED_VALUE"""),"20150505GACOC")</f>
        <v>20150505GACOC</v>
      </c>
      <c r="B985" s="8" t="str">
        <f ca="1">IFERROR(__xludf.DUMMYFUNCTION("""COMPUTED_VALUE"""),"Handgun")</f>
        <v>Handgun</v>
      </c>
    </row>
    <row r="986" spans="1:2" ht="12.75">
      <c r="A986" s="8" t="str">
        <f ca="1">IFERROR(__xludf.DUMMYFUNCTION("""COMPUTED_VALUE"""),"20150504OHWIC")</f>
        <v>20150504OHWIC</v>
      </c>
      <c r="B986" s="8" t="str">
        <f ca="1">IFERROR(__xludf.DUMMYFUNCTION("""COMPUTED_VALUE"""),"No Data")</f>
        <v>No Data</v>
      </c>
    </row>
    <row r="987" spans="1:2" ht="12.75">
      <c r="A987" s="8" t="str">
        <f ca="1">IFERROR(__xludf.DUMMYFUNCTION("""COMPUTED_VALUE"""),"20150428MDDRW")</f>
        <v>20150428MDDRW</v>
      </c>
      <c r="B987" s="8" t="str">
        <f ca="1">IFERROR(__xludf.DUMMYFUNCTION("""COMPUTED_VALUE"""),"Handgun")</f>
        <v>Handgun</v>
      </c>
    </row>
    <row r="988" spans="1:2" ht="12.75">
      <c r="A988" s="8" t="str">
        <f ca="1">IFERROR(__xludf.DUMMYFUNCTION("""COMPUTED_VALUE"""),"20150427WANOL")</f>
        <v>20150427WANOL</v>
      </c>
      <c r="B988" s="8" t="str">
        <f ca="1">IFERROR(__xludf.DUMMYFUNCTION("""COMPUTED_VALUE"""),"Handgun")</f>
        <v>Handgun</v>
      </c>
    </row>
    <row r="989" spans="1:2" ht="12.75">
      <c r="A989" s="8" t="str">
        <f ca="1">IFERROR(__xludf.DUMMYFUNCTION("""COMPUTED_VALUE"""),"20150422NVRUL")</f>
        <v>20150422NVRUL</v>
      </c>
      <c r="B989" s="8" t="str">
        <f ca="1">IFERROR(__xludf.DUMMYFUNCTION("""COMPUTED_VALUE"""),"Handgun")</f>
        <v>Handgun</v>
      </c>
    </row>
    <row r="990" spans="1:2" ht="12.75">
      <c r="A990" s="8" t="str">
        <f ca="1">IFERROR(__xludf.DUMMYFUNCTION("""COMPUTED_VALUE"""),"20150417TXSES")</f>
        <v>20150417TXSES</v>
      </c>
      <c r="B990" s="8" t="str">
        <f ca="1">IFERROR(__xludf.DUMMYFUNCTION("""COMPUTED_VALUE"""),"No Data")</f>
        <v>No Data</v>
      </c>
    </row>
    <row r="991" spans="1:2" ht="12.75">
      <c r="A991" s="8" t="str">
        <f ca="1">IFERROR(__xludf.DUMMYFUNCTION("""COMPUTED_VALUE"""),"20150330MOPEU")</f>
        <v>20150330MOPEU</v>
      </c>
      <c r="B991" s="8" t="str">
        <f ca="1">IFERROR(__xludf.DUMMYFUNCTION("""COMPUTED_VALUE"""),"No Data")</f>
        <v>No Data</v>
      </c>
    </row>
    <row r="992" spans="1:2" ht="12.75">
      <c r="A992" s="8" t="str">
        <f ca="1">IFERROR(__xludf.DUMMYFUNCTION("""COMPUTED_VALUE"""),"20150215CATEM")</f>
        <v>20150215CATEM</v>
      </c>
      <c r="B992" s="8" t="str">
        <f ca="1">IFERROR(__xludf.DUMMYFUNCTION("""COMPUTED_VALUE"""),"Unknown")</f>
        <v>Unknown</v>
      </c>
    </row>
    <row r="993" spans="1:2" ht="12.75">
      <c r="A993" s="8" t="str">
        <f ca="1">IFERROR(__xludf.DUMMYFUNCTION("""COMPUTED_VALUE"""),"20150215ARLAL")</f>
        <v>20150215ARLAL</v>
      </c>
      <c r="B993" s="8" t="str">
        <f ca="1">IFERROR(__xludf.DUMMYFUNCTION("""COMPUTED_VALUE"""),"No Data")</f>
        <v>No Data</v>
      </c>
    </row>
    <row r="994" spans="1:2" ht="12.75">
      <c r="A994" s="8" t="str">
        <f ca="1">IFERROR(__xludf.DUMMYFUNCTION("""COMPUTED_VALUE"""),"20150204MDFRF")</f>
        <v>20150204MDFRF</v>
      </c>
      <c r="B994" s="8" t="str">
        <f ca="1">IFERROR(__xludf.DUMMYFUNCTION("""COMPUTED_VALUE"""),"Handgun")</f>
        <v>Handgun</v>
      </c>
    </row>
    <row r="995" spans="1:2" ht="12.75">
      <c r="A995" s="8" t="str">
        <f ca="1">IFERROR(__xludf.DUMMYFUNCTION("""COMPUTED_VALUE"""),"20150126MNHAR")</f>
        <v>20150126MNHAR</v>
      </c>
      <c r="B995" s="8" t="str">
        <f ca="1">IFERROR(__xludf.DUMMYFUNCTION("""COMPUTED_VALUE"""),"Handgun")</f>
        <v>Handgun</v>
      </c>
    </row>
    <row r="996" spans="1:2" ht="12.75">
      <c r="A996" s="8" t="str">
        <f ca="1">IFERROR(__xludf.DUMMYFUNCTION("""COMPUTED_VALUE"""),"20150122SCROH")</f>
        <v>20150122SCROH</v>
      </c>
      <c r="B996" s="8" t="str">
        <f ca="1">IFERROR(__xludf.DUMMYFUNCTION("""COMPUTED_VALUE"""),"Handgun")</f>
        <v>Handgun</v>
      </c>
    </row>
    <row r="997" spans="1:2" ht="12.75">
      <c r="A997" s="8" t="str">
        <f ca="1">IFERROR(__xludf.DUMMYFUNCTION("""COMPUTED_VALUE"""),"20150120ALWIM")</f>
        <v>20150120ALWIM</v>
      </c>
      <c r="B997" s="8" t="str">
        <f ca="1">IFERROR(__xludf.DUMMYFUNCTION("""COMPUTED_VALUE"""),"Handgun")</f>
        <v>Handgun</v>
      </c>
    </row>
    <row r="998" spans="1:2" ht="12.75">
      <c r="A998" s="8" t="str">
        <f ca="1">IFERROR(__xludf.DUMMYFUNCTION("""COMPUTED_VALUE"""),"20150116FLVAO")</f>
        <v>20150116FLVAO</v>
      </c>
      <c r="B998" s="8" t="str">
        <f ca="1">IFERROR(__xludf.DUMMYFUNCTION("""COMPUTED_VALUE"""),"Handgun")</f>
        <v>Handgun</v>
      </c>
    </row>
    <row r="999" spans="1:2" ht="12.75">
      <c r="A999" s="8" t="str">
        <f ca="1">IFERROR(__xludf.DUMMYFUNCTION("""COMPUTED_VALUE"""),"20150115WIWIM")</f>
        <v>20150115WIWIM</v>
      </c>
      <c r="B999" s="8" t="str">
        <f ca="1">IFERROR(__xludf.DUMMYFUNCTION("""COMPUTED_VALUE"""),"Handgun")</f>
        <v>Handgun</v>
      </c>
    </row>
    <row r="1000" spans="1:2" ht="12.75">
      <c r="A1000" s="8" t="str">
        <f ca="1">IFERROR(__xludf.DUMMYFUNCTION("""COMPUTED_VALUE"""),"20141217MIGOW")</f>
        <v>20141217MIGOW</v>
      </c>
      <c r="B1000" s="8" t="str">
        <f ca="1">IFERROR(__xludf.DUMMYFUNCTION("""COMPUTED_VALUE"""),"Handgun")</f>
        <v>Handgun</v>
      </c>
    </row>
    <row r="1001" spans="1:2" ht="12.75">
      <c r="A1001" s="8" t="str">
        <f ca="1">IFERROR(__xludf.DUMMYFUNCTION("""COMPUTED_VALUE"""),"20141217MEBEW")</f>
        <v>20141217MEBEW</v>
      </c>
      <c r="B1001" s="8" t="str">
        <f ca="1">IFERROR(__xludf.DUMMYFUNCTION("""COMPUTED_VALUE"""),"Handgun")</f>
        <v>Handgun</v>
      </c>
    </row>
    <row r="1002" spans="1:2" ht="12.75">
      <c r="A1002" s="8" t="str">
        <f ca="1">IFERROR(__xludf.DUMMYFUNCTION("""COMPUTED_VALUE"""),"20141216PASUP")</f>
        <v>20141216PASUP</v>
      </c>
      <c r="B1002" s="8" t="str">
        <f ca="1">IFERROR(__xludf.DUMMYFUNCTION("""COMPUTED_VALUE"""),"No Data")</f>
        <v>No Data</v>
      </c>
    </row>
    <row r="1003" spans="1:2" ht="12.75">
      <c r="A1003" s="8" t="str">
        <f ca="1">IFERROR(__xludf.DUMMYFUNCTION("""COMPUTED_VALUE"""),"20141212ORROP")</f>
        <v>20141212ORROP</v>
      </c>
      <c r="B1003" s="8" t="str">
        <f ca="1">IFERROR(__xludf.DUMMYFUNCTION("""COMPUTED_VALUE"""),"Handgun")</f>
        <v>Handgun</v>
      </c>
    </row>
    <row r="1004" spans="1:2" ht="12.75">
      <c r="A1004" s="8" t="str">
        <f ca="1">IFERROR(__xludf.DUMMYFUNCTION("""COMPUTED_VALUE"""),"20141120FLMIM")</f>
        <v>20141120FLMIM</v>
      </c>
      <c r="B1004" s="8" t="str">
        <f ca="1">IFERROR(__xludf.DUMMYFUNCTION("""COMPUTED_VALUE"""),"Handgun")</f>
        <v>Handgun</v>
      </c>
    </row>
    <row r="1005" spans="1:2" ht="12.75">
      <c r="A1005" s="8" t="str">
        <f ca="1">IFERROR(__xludf.DUMMYFUNCTION("""COMPUTED_VALUE"""),"20141024WAMAM")</f>
        <v>20141024WAMAM</v>
      </c>
      <c r="B1005" s="8" t="str">
        <f ca="1">IFERROR(__xludf.DUMMYFUNCTION("""COMPUTED_VALUE"""),"Handgun")</f>
        <v>Handgun</v>
      </c>
    </row>
    <row r="1006" spans="1:2" ht="12.75">
      <c r="A1006" s="8" t="str">
        <f ca="1">IFERROR(__xludf.DUMMYFUNCTION("""COMPUTED_VALUE"""),"20141024GALAA")</f>
        <v>20141024GALAA</v>
      </c>
      <c r="B1006" s="8" t="str">
        <f ca="1">IFERROR(__xludf.DUMMYFUNCTION("""COMPUTED_VALUE"""),"Handgun")</f>
        <v>Handgun</v>
      </c>
    </row>
    <row r="1007" spans="1:2" ht="12.75">
      <c r="A1007" s="8" t="str">
        <f ca="1">IFERROR(__xludf.DUMMYFUNCTION("""COMPUTED_VALUE"""),"20141021TNAMM")</f>
        <v>20141021TNAMM</v>
      </c>
      <c r="B1007" s="8" t="str">
        <f ca="1">IFERROR(__xludf.DUMMYFUNCTION("""COMPUTED_VALUE"""),"Handgun")</f>
        <v>Handgun</v>
      </c>
    </row>
    <row r="1008" spans="1:2" ht="12.75">
      <c r="A1008" s="8" t="str">
        <f ca="1">IFERROR(__xludf.DUMMYFUNCTION("""COMPUTED_VALUE"""),"20141003GALAF")</f>
        <v>20141003GALAF</v>
      </c>
      <c r="B1008" s="8" t="str">
        <f ca="1">IFERROR(__xludf.DUMMYFUNCTION("""COMPUTED_VALUE"""),"Handgun")</f>
        <v>Handgun</v>
      </c>
    </row>
    <row r="1009" spans="1:2" ht="12.75">
      <c r="A1009" s="8" t="str">
        <f ca="1">IFERROR(__xludf.DUMMYFUNCTION("""COMPUTED_VALUE"""),"20140930NCALA")</f>
        <v>20140930NCALA</v>
      </c>
      <c r="B1009" s="8" t="str">
        <f ca="1">IFERROR(__xludf.DUMMYFUNCTION("""COMPUTED_VALUE"""),"Handgun")</f>
        <v>Handgun</v>
      </c>
    </row>
    <row r="1010" spans="1:2" ht="12.75">
      <c r="A1010" s="8" t="str">
        <f ca="1">IFERROR(__xludf.DUMMYFUNCTION("""COMPUTED_VALUE"""),"20140930KYFEL")</f>
        <v>20140930KYFEL</v>
      </c>
      <c r="B1010" s="8" t="str">
        <f ca="1">IFERROR(__xludf.DUMMYFUNCTION("""COMPUTED_VALUE"""),"Handgun")</f>
        <v>Handgun</v>
      </c>
    </row>
    <row r="1011" spans="1:2" ht="12.75">
      <c r="A1011" s="8" t="str">
        <f ca="1">IFERROR(__xludf.DUMMYFUNCTION("""COMPUTED_VALUE"""),"20140925NHWEM")</f>
        <v>20140925NHWEM</v>
      </c>
      <c r="B1011" s="8" t="str">
        <f ca="1">IFERROR(__xludf.DUMMYFUNCTION("""COMPUTED_VALUE"""),"Other")</f>
        <v>Other</v>
      </c>
    </row>
    <row r="1012" spans="1:2" ht="12.75">
      <c r="A1012" s="8" t="str">
        <f ca="1">IFERROR(__xludf.DUMMYFUNCTION("""COMPUTED_VALUE"""),"20140919IANOD")</f>
        <v>20140919IANOD</v>
      </c>
      <c r="B1012" s="8" t="str">
        <f ca="1">IFERROR(__xludf.DUMMYFUNCTION("""COMPUTED_VALUE"""),"Shotgun")</f>
        <v>Shotgun</v>
      </c>
    </row>
    <row r="1013" spans="1:2" ht="12.75">
      <c r="A1013" s="8" t="str">
        <f ca="1">IFERROR(__xludf.DUMMYFUNCTION("""COMPUTED_VALUE"""),"20140911UTWET")</f>
        <v>20140911UTWET</v>
      </c>
      <c r="B1013" s="8" t="str">
        <f ca="1">IFERROR(__xludf.DUMMYFUNCTION("""COMPUTED_VALUE"""),"Handgun")</f>
        <v>Handgun</v>
      </c>
    </row>
    <row r="1014" spans="1:2" ht="12.75">
      <c r="A1014" s="8" t="str">
        <f ca="1">IFERROR(__xludf.DUMMYFUNCTION("""COMPUTED_VALUE"""),"20140910FLGRL")</f>
        <v>20140910FLGRL</v>
      </c>
      <c r="B1014" s="8" t="str">
        <f ca="1">IFERROR(__xludf.DUMMYFUNCTION("""COMPUTED_VALUE"""),"Handgun")</f>
        <v>Handgun</v>
      </c>
    </row>
    <row r="1015" spans="1:2" ht="12.75">
      <c r="A1015" s="8" t="str">
        <f ca="1">IFERROR(__xludf.DUMMYFUNCTION("""COMPUTED_VALUE"""),"20140909FLSTM")</f>
        <v>20140909FLSTM</v>
      </c>
      <c r="B1015" s="8" t="str">
        <f ca="1">IFERROR(__xludf.DUMMYFUNCTION("""COMPUTED_VALUE"""),"Multiple Unknown")</f>
        <v>Multiple Unknown</v>
      </c>
    </row>
    <row r="1016" spans="1:2" ht="12.75">
      <c r="A1016" s="8" t="str">
        <f ca="1">IFERROR(__xludf.DUMMYFUNCTION("""COMPUTED_VALUE"""),"20140814VASAN")</f>
        <v>20140814VASAN</v>
      </c>
      <c r="B1016" s="8" t="str">
        <f ca="1">IFERROR(__xludf.DUMMYFUNCTION("""COMPUTED_VALUE"""),"Shotgun")</f>
        <v>Shotgun</v>
      </c>
    </row>
    <row r="1017" spans="1:2" ht="12.75">
      <c r="A1017" s="8" t="str">
        <f ca="1">IFERROR(__xludf.DUMMYFUNCTION("""COMPUTED_VALUE"""),"20140813MDHEF")</f>
        <v>20140813MDHEF</v>
      </c>
      <c r="B1017" s="8" t="str">
        <f ca="1">IFERROR(__xludf.DUMMYFUNCTION("""COMPUTED_VALUE"""),"No Data")</f>
        <v>No Data</v>
      </c>
    </row>
    <row r="1018" spans="1:2" ht="12.75">
      <c r="A1018" s="8" t="str">
        <f ca="1">IFERROR(__xludf.DUMMYFUNCTION("""COMPUTED_VALUE"""),"20140623MOKEB")</f>
        <v>20140623MOKEB</v>
      </c>
      <c r="B1018" s="8" t="str">
        <f ca="1">IFERROR(__xludf.DUMMYFUNCTION("""COMPUTED_VALUE"""),"Handgun")</f>
        <v>Handgun</v>
      </c>
    </row>
    <row r="1019" spans="1:2" ht="12.75">
      <c r="A1019" s="8" t="str">
        <f ca="1">IFERROR(__xludf.DUMMYFUNCTION("""COMPUTED_VALUE"""),"20140610ORRET")</f>
        <v>20140610ORRET</v>
      </c>
      <c r="B1019" s="8" t="str">
        <f ca="1">IFERROR(__xludf.DUMMYFUNCTION("""COMPUTED_VALUE"""),"Handgun")</f>
        <v>Handgun</v>
      </c>
    </row>
    <row r="1020" spans="1:2" ht="12.75">
      <c r="A1020" s="8" t="str">
        <f ca="1">IFERROR(__xludf.DUMMYFUNCTION("""COMPUTED_VALUE"""),"20140610ORRET")</f>
        <v>20140610ORRET</v>
      </c>
      <c r="B1020" s="8" t="str">
        <f ca="1">IFERROR(__xludf.DUMMYFUNCTION("""COMPUTED_VALUE"""),"Rifle")</f>
        <v>Rifle</v>
      </c>
    </row>
    <row r="1021" spans="1:2" ht="12.75">
      <c r="A1021" s="8" t="str">
        <f ca="1">IFERROR(__xludf.DUMMYFUNCTION("""COMPUTED_VALUE"""),"20140521WICLM")</f>
        <v>20140521WICLM</v>
      </c>
      <c r="B1021" s="8" t="str">
        <f ca="1">IFERROR(__xludf.DUMMYFUNCTION("""COMPUTED_VALUE"""),"Handgun")</f>
        <v>Handgun</v>
      </c>
    </row>
    <row r="1022" spans="1:2" ht="12.75">
      <c r="A1022" s="8" t="str">
        <f ca="1">IFERROR(__xludf.DUMMYFUNCTION("""COMPUTED_VALUE"""),"20140514CAJOR")</f>
        <v>20140514CAJOR</v>
      </c>
      <c r="B1022" s="8" t="str">
        <f ca="1">IFERROR(__xludf.DUMMYFUNCTION("""COMPUTED_VALUE"""),"Unknown")</f>
        <v>Unknown</v>
      </c>
    </row>
    <row r="1023" spans="1:2" ht="12.75">
      <c r="A1023" s="8" t="str">
        <f ca="1">IFERROR(__xludf.DUMMYFUNCTION("""COMPUTED_VALUE"""),"20140503WAHOE")</f>
        <v>20140503WAHOE</v>
      </c>
      <c r="B1023" s="8" t="str">
        <f ca="1">IFERROR(__xludf.DUMMYFUNCTION("""COMPUTED_VALUE"""),"No Data")</f>
        <v>No Data</v>
      </c>
    </row>
    <row r="1024" spans="1:2" ht="12.75">
      <c r="A1024" s="8" t="str">
        <f ca="1">IFERROR(__xludf.DUMMYFUNCTION("""COMPUTED_VALUE"""),"20140421UTPRP")</f>
        <v>20140421UTPRP</v>
      </c>
      <c r="B1024" s="8" t="str">
        <f ca="1">IFERROR(__xludf.DUMMYFUNCTION("""COMPUTED_VALUE"""),"Handgun")</f>
        <v>Handgun</v>
      </c>
    </row>
    <row r="1025" spans="1:2" ht="12.75">
      <c r="A1025" s="8" t="str">
        <f ca="1">IFERROR(__xludf.DUMMYFUNCTION("""COMPUTED_VALUE"""),"20140421INSTG")</f>
        <v>20140421INSTG</v>
      </c>
      <c r="B1025" s="8" t="str">
        <f ca="1">IFERROR(__xludf.DUMMYFUNCTION("""COMPUTED_VALUE"""),"No Data")</f>
        <v>No Data</v>
      </c>
    </row>
    <row r="1026" spans="1:2" ht="12.75">
      <c r="A1026" s="8" t="str">
        <f ca="1">IFERROR(__xludf.DUMMYFUNCTION("""COMPUTED_VALUE"""),"20140411MIEAD")</f>
        <v>20140411MIEAD</v>
      </c>
      <c r="B1026" s="8" t="str">
        <f ca="1">IFERROR(__xludf.DUMMYFUNCTION("""COMPUTED_VALUE"""),"Unknown")</f>
        <v>Unknown</v>
      </c>
    </row>
    <row r="1027" spans="1:2" ht="12.75">
      <c r="A1027" s="8" t="str">
        <f ca="1">IFERROR(__xludf.DUMMYFUNCTION("""COMPUTED_VALUE"""),"20140410OHLIC")</f>
        <v>20140410OHLIC</v>
      </c>
      <c r="B1027" s="8" t="str">
        <f ca="1">IFERROR(__xludf.DUMMYFUNCTION("""COMPUTED_VALUE"""),"Handgun")</f>
        <v>Handgun</v>
      </c>
    </row>
    <row r="1028" spans="1:2" ht="12.75">
      <c r="A1028" s="8" t="str">
        <f ca="1">IFERROR(__xludf.DUMMYFUNCTION("""COMPUTED_VALUE"""),"20140409NCDHG")</f>
        <v>20140409NCDHG</v>
      </c>
      <c r="B1028" s="8" t="str">
        <f ca="1">IFERROR(__xludf.DUMMYFUNCTION("""COMPUTED_VALUE"""),"Handgun")</f>
        <v>Handgun</v>
      </c>
    </row>
    <row r="1029" spans="1:2" ht="12.75">
      <c r="A1029" s="8" t="str">
        <f ca="1">IFERROR(__xludf.DUMMYFUNCTION("""COMPUTED_VALUE"""),"20140403NJUNN")</f>
        <v>20140403NJUNN</v>
      </c>
      <c r="B1029" s="8" t="str">
        <f ca="1">IFERROR(__xludf.DUMMYFUNCTION("""COMPUTED_VALUE"""),"No Data")</f>
        <v>No Data</v>
      </c>
    </row>
    <row r="1030" spans="1:2" ht="12.75">
      <c r="A1030" s="8" t="str">
        <f ca="1">IFERROR(__xludf.DUMMYFUNCTION("""COMPUTED_VALUE"""),"20140325GABEC")</f>
        <v>20140325GABEC</v>
      </c>
      <c r="B1030" s="8" t="str">
        <f ca="1">IFERROR(__xludf.DUMMYFUNCTION("""COMPUTED_VALUE"""),"Handgun")</f>
        <v>Handgun</v>
      </c>
    </row>
    <row r="1031" spans="1:2" ht="12.75">
      <c r="A1031" s="8" t="str">
        <f ca="1">IFERROR(__xludf.DUMMYFUNCTION("""COMPUTED_VALUE"""),"20140312FLACM")</f>
        <v>20140312FLACM</v>
      </c>
      <c r="B1031" s="8" t="str">
        <f ca="1">IFERROR(__xludf.DUMMYFUNCTION("""COMPUTED_VALUE"""),"Handgun")</f>
        <v>Handgun</v>
      </c>
    </row>
    <row r="1032" spans="1:2" ht="12.75">
      <c r="A1032" s="8" t="str">
        <f ca="1">IFERROR(__xludf.DUMMYFUNCTION("""COMPUTED_VALUE"""),"20140307LAMAT")</f>
        <v>20140307LAMAT</v>
      </c>
      <c r="B1032" s="8" t="str">
        <f ca="1">IFERROR(__xludf.DUMMYFUNCTION("""COMPUTED_VALUE"""),"Handgun")</f>
        <v>Handgun</v>
      </c>
    </row>
    <row r="1033" spans="1:2" ht="12.75">
      <c r="A1033" s="8" t="str">
        <f ca="1">IFERROR(__xludf.DUMMYFUNCTION("""COMPUTED_VALUE"""),"20140220MIRAR")</f>
        <v>20140220MIRAR</v>
      </c>
      <c r="B1033" s="8" t="str">
        <f ca="1">IFERROR(__xludf.DUMMYFUNCTION("""COMPUTED_VALUE"""),"Handgun")</f>
        <v>Handgun</v>
      </c>
    </row>
    <row r="1034" spans="1:2" ht="12.75">
      <c r="A1034" s="8" t="str">
        <f ca="1">IFERROR(__xludf.DUMMYFUNCTION("""COMPUTED_VALUE"""),"20140211OHCHL")</f>
        <v>20140211OHCHL</v>
      </c>
      <c r="B1034" s="8" t="str">
        <f ca="1">IFERROR(__xludf.DUMMYFUNCTION("""COMPUTED_VALUE"""),"Handgun")</f>
        <v>Handgun</v>
      </c>
    </row>
    <row r="1035" spans="1:2" ht="12.75">
      <c r="A1035" s="8" t="str">
        <f ca="1">IFERROR(__xludf.DUMMYFUNCTION("""COMPUTED_VALUE"""),"20140210NCSAS")</f>
        <v>20140210NCSAS</v>
      </c>
      <c r="B1035" s="8" t="str">
        <f ca="1">IFERROR(__xludf.DUMMYFUNCTION("""COMPUTED_VALUE"""),"Handgun")</f>
        <v>Handgun</v>
      </c>
    </row>
    <row r="1036" spans="1:2" ht="12.75">
      <c r="A1036" s="8" t="str">
        <f ca="1">IFERROR(__xludf.DUMMYFUNCTION("""COMPUTED_VALUE"""),"20140207ORBEB")</f>
        <v>20140207ORBEB</v>
      </c>
      <c r="B1036" s="8" t="str">
        <f ca="1">IFERROR(__xludf.DUMMYFUNCTION("""COMPUTED_VALUE"""),"Rifle")</f>
        <v>Rifle</v>
      </c>
    </row>
    <row r="1037" spans="1:2" ht="12.75">
      <c r="A1037" s="8" t="str">
        <f ca="1">IFERROR(__xludf.DUMMYFUNCTION("""COMPUTED_VALUE"""),"20140131IANOD")</f>
        <v>20140131IANOD</v>
      </c>
      <c r="B1037" s="8" t="str">
        <f ca="1">IFERROR(__xludf.DUMMYFUNCTION("""COMPUTED_VALUE"""),"Unknown")</f>
        <v>Unknown</v>
      </c>
    </row>
    <row r="1038" spans="1:2" ht="12.75">
      <c r="A1038" s="8" t="str">
        <f ca="1">IFERROR(__xludf.DUMMYFUNCTION("""COMPUTED_VALUE"""),"20140131AZCEP")</f>
        <v>20140131AZCEP</v>
      </c>
      <c r="B1038" s="8" t="str">
        <f ca="1">IFERROR(__xludf.DUMMYFUNCTION("""COMPUTED_VALUE"""),"Unknown")</f>
        <v>Unknown</v>
      </c>
    </row>
    <row r="1039" spans="1:2" ht="12.75">
      <c r="A1039" s="8" t="str">
        <f ca="1">IFERROR(__xludf.DUMMYFUNCTION("""COMPUTED_VALUE"""),"20140128HIPRH")</f>
        <v>20140128HIPRH</v>
      </c>
      <c r="B1039" s="8" t="str">
        <f ca="1">IFERROR(__xludf.DUMMYFUNCTION("""COMPUTED_VALUE"""),"Handgun")</f>
        <v>Handgun</v>
      </c>
    </row>
    <row r="1040" spans="1:2" ht="12.75">
      <c r="A1040" s="8" t="str">
        <f ca="1">IFERROR(__xludf.DUMMYFUNCTION("""COMPUTED_VALUE"""),"20140127ILREC")</f>
        <v>20140127ILREC</v>
      </c>
      <c r="B1040" s="8" t="str">
        <f ca="1">IFERROR(__xludf.DUMMYFUNCTION("""COMPUTED_VALUE"""),"Handgun")</f>
        <v>Handgun</v>
      </c>
    </row>
    <row r="1041" spans="1:2" ht="12.75">
      <c r="A1041" s="8" t="str">
        <f ca="1">IFERROR(__xludf.DUMMYFUNCTION("""COMPUTED_VALUE"""),"20140117PADEP")</f>
        <v>20140117PADEP</v>
      </c>
      <c r="B1041" s="8" t="str">
        <f ca="1">IFERROR(__xludf.DUMMYFUNCTION("""COMPUTED_VALUE"""),"Handgun")</f>
        <v>Handgun</v>
      </c>
    </row>
    <row r="1042" spans="1:2" ht="12.75">
      <c r="A1042" s="8" t="str">
        <f ca="1">IFERROR(__xludf.DUMMYFUNCTION("""COMPUTED_VALUE"""),"20140114PAKIL")</f>
        <v>20140114PAKIL</v>
      </c>
      <c r="B1042" s="8" t="str">
        <f ca="1">IFERROR(__xludf.DUMMYFUNCTION("""COMPUTED_VALUE"""),"Handgun")</f>
        <v>Handgun</v>
      </c>
    </row>
    <row r="1043" spans="1:2" ht="12.75">
      <c r="A1043" s="8" t="str">
        <f ca="1">IFERROR(__xludf.DUMMYFUNCTION("""COMPUTED_VALUE"""),"20140114NMBER")</f>
        <v>20140114NMBER</v>
      </c>
      <c r="B1043" s="8" t="str">
        <f ca="1">IFERROR(__xludf.DUMMYFUNCTION("""COMPUTED_VALUE"""),"Shotgun")</f>
        <v>Shotgun</v>
      </c>
    </row>
    <row r="1044" spans="1:2" ht="12.75">
      <c r="A1044" s="8" t="str">
        <f ca="1">IFERROR(__xludf.DUMMYFUNCTION("""COMPUTED_VALUE"""),"20140114LASTB")</f>
        <v>20140114LASTB</v>
      </c>
      <c r="B1044" s="8" t="str">
        <f ca="1">IFERROR(__xludf.DUMMYFUNCTION("""COMPUTED_VALUE"""),"Handgun")</f>
        <v>Handgun</v>
      </c>
    </row>
    <row r="1045" spans="1:2" ht="12.75">
      <c r="A1045" s="8" t="str">
        <f ca="1">IFERROR(__xludf.DUMMYFUNCTION("""COMPUTED_VALUE"""),"20140113CTHIN")</f>
        <v>20140113CTHIN</v>
      </c>
      <c r="B1045" s="8" t="str">
        <f ca="1">IFERROR(__xludf.DUMMYFUNCTION("""COMPUTED_VALUE"""),"Handgun")</f>
        <v>Handgun</v>
      </c>
    </row>
    <row r="1046" spans="1:2" ht="12.75">
      <c r="A1046" s="8" t="str">
        <f ca="1">IFERROR(__xludf.DUMMYFUNCTION("""COMPUTED_VALUE"""),"20140109TNLIJ")</f>
        <v>20140109TNLIJ</v>
      </c>
      <c r="B1046" s="8" t="str">
        <f ca="1">IFERROR(__xludf.DUMMYFUNCTION("""COMPUTED_VALUE"""),"Handgun")</f>
        <v>Handgun</v>
      </c>
    </row>
    <row r="1047" spans="1:2" ht="12.75">
      <c r="A1047" s="8" t="str">
        <f ca="1">IFERROR(__xludf.DUMMYFUNCTION("""COMPUTED_VALUE"""),"20131219CAEDF")</f>
        <v>20131219CAEDF</v>
      </c>
      <c r="B1047" s="8" t="str">
        <f ca="1">IFERROR(__xludf.DUMMYFUNCTION("""COMPUTED_VALUE"""),"Handgun")</f>
        <v>Handgun</v>
      </c>
    </row>
    <row r="1048" spans="1:2" ht="12.75">
      <c r="A1048" s="8" t="str">
        <f ca="1">IFERROR(__xludf.DUMMYFUNCTION("""COMPUTED_VALUE"""),"20131213COARC")</f>
        <v>20131213COARC</v>
      </c>
      <c r="B1048" s="8" t="str">
        <f ca="1">IFERROR(__xludf.DUMMYFUNCTION("""COMPUTED_VALUE"""),"Shotgun")</f>
        <v>Shotgun</v>
      </c>
    </row>
    <row r="1049" spans="1:2" ht="12.75">
      <c r="A1049" s="8" t="str">
        <f ca="1">IFERROR(__xludf.DUMMYFUNCTION("""COMPUTED_VALUE"""),"20131204FLWEW")</f>
        <v>20131204FLWEW</v>
      </c>
      <c r="B1049" s="8" t="str">
        <f ca="1">IFERROR(__xludf.DUMMYFUNCTION("""COMPUTED_VALUE"""),"Handgun")</f>
        <v>Handgun</v>
      </c>
    </row>
    <row r="1050" spans="1:2" ht="12.75">
      <c r="A1050" s="8" t="str">
        <f ca="1">IFERROR(__xludf.DUMMYFUNCTION("""COMPUTED_VALUE"""),"20131113PABRP")</f>
        <v>20131113PABRP</v>
      </c>
      <c r="B1050" s="8" t="str">
        <f ca="1">IFERROR(__xludf.DUMMYFUNCTION("""COMPUTED_VALUE"""),"Handgun")</f>
        <v>Handgun</v>
      </c>
    </row>
    <row r="1051" spans="1:2" ht="12.75">
      <c r="A1051" s="8" t="str">
        <f ca="1">IFERROR(__xludf.DUMMYFUNCTION("""COMPUTED_VALUE"""),"20131103GASTL")</f>
        <v>20131103GASTL</v>
      </c>
      <c r="B1051" s="8" t="str">
        <f ca="1">IFERROR(__xludf.DUMMYFUNCTION("""COMPUTED_VALUE"""),"Unknown")</f>
        <v>Unknown</v>
      </c>
    </row>
    <row r="1052" spans="1:2" ht="12.75">
      <c r="A1052" s="8" t="str">
        <f ca="1">IFERROR(__xludf.DUMMYFUNCTION("""COMPUTED_VALUE"""),"20131101IAALA")</f>
        <v>20131101IAALA</v>
      </c>
      <c r="B1052" s="8" t="str">
        <f ca="1">IFERROR(__xludf.DUMMYFUNCTION("""COMPUTED_VALUE"""),"Unknown")</f>
        <v>Unknown</v>
      </c>
    </row>
    <row r="1053" spans="1:2" ht="12.75">
      <c r="A1053" s="8" t="str">
        <f ca="1">IFERROR(__xludf.DUMMYFUNCTION("""COMPUTED_VALUE"""),"20131023CANEC")</f>
        <v>20131023CANEC</v>
      </c>
      <c r="B1053" s="8" t="str">
        <f ca="1">IFERROR(__xludf.DUMMYFUNCTION("""COMPUTED_VALUE"""),"Rifle")</f>
        <v>Rifle</v>
      </c>
    </row>
    <row r="1054" spans="1:2" ht="12.75">
      <c r="A1054" s="8" t="str">
        <f ca="1">IFERROR(__xludf.DUMMYFUNCTION("""COMPUTED_VALUE"""),"20131021NVSPS")</f>
        <v>20131021NVSPS</v>
      </c>
      <c r="B1054" s="8" t="str">
        <f ca="1">IFERROR(__xludf.DUMMYFUNCTION("""COMPUTED_VALUE"""),"Handgun")</f>
        <v>Handgun</v>
      </c>
    </row>
    <row r="1055" spans="1:2" ht="12.75">
      <c r="A1055" s="8" t="str">
        <f ca="1">IFERROR(__xludf.DUMMYFUNCTION("""COMPUTED_VALUE"""),"20131015TXLAA")</f>
        <v>20131015TXLAA</v>
      </c>
      <c r="B1055" s="8" t="str">
        <f ca="1">IFERROR(__xludf.DUMMYFUNCTION("""COMPUTED_VALUE"""),"Handgun")</f>
        <v>Handgun</v>
      </c>
    </row>
    <row r="1056" spans="1:2" ht="12.75">
      <c r="A1056" s="8" t="str">
        <f ca="1">IFERROR(__xludf.DUMMYFUNCTION("""COMPUTED_VALUE"""),"20131004FLAGP")</f>
        <v>20131004FLAGP</v>
      </c>
      <c r="B1056" s="8" t="str">
        <f ca="1">IFERROR(__xludf.DUMMYFUNCTION("""COMPUTED_VALUE"""),"Unknown")</f>
        <v>Unknown</v>
      </c>
    </row>
    <row r="1057" spans="1:2" ht="12.75">
      <c r="A1057" s="8" t="str">
        <f ca="1">IFERROR(__xludf.DUMMYFUNCTION("""COMPUTED_VALUE"""),"20131002NHWIS")</f>
        <v>20131002NHWIS</v>
      </c>
      <c r="B1057" s="8" t="str">
        <f ca="1">IFERROR(__xludf.DUMMYFUNCTION("""COMPUTED_VALUE"""),"Other")</f>
        <v>Other</v>
      </c>
    </row>
    <row r="1058" spans="1:2" ht="12.75">
      <c r="A1058" s="8" t="str">
        <f ca="1">IFERROR(__xludf.DUMMYFUNCTION("""COMPUTED_VALUE"""),"20130928MENEG")</f>
        <v>20130928MENEG</v>
      </c>
      <c r="B1058" s="8" t="str">
        <f ca="1">IFERROR(__xludf.DUMMYFUNCTION("""COMPUTED_VALUE"""),"Unknown")</f>
        <v>Unknown</v>
      </c>
    </row>
    <row r="1059" spans="1:2" ht="12.75">
      <c r="A1059" s="8" t="str">
        <f ca="1">IFERROR(__xludf.DUMMYFUNCTION("""COMPUTED_VALUE"""),"20130927ILROC")</f>
        <v>20130927ILROC</v>
      </c>
      <c r="B1059" s="8" t="str">
        <f ca="1">IFERROR(__xludf.DUMMYFUNCTION("""COMPUTED_VALUE"""),"Handgun")</f>
        <v>Handgun</v>
      </c>
    </row>
    <row r="1060" spans="1:2" ht="12.75">
      <c r="A1060" s="8" t="str">
        <f ca="1">IFERROR(__xludf.DUMMYFUNCTION("""COMPUTED_VALUE"""),"20130830NCCAW")</f>
        <v>20130830NCCAW</v>
      </c>
      <c r="B1060" s="8" t="str">
        <f ca="1">IFERROR(__xludf.DUMMYFUNCTION("""COMPUTED_VALUE"""),"Handgun")</f>
        <v>Handgun</v>
      </c>
    </row>
    <row r="1061" spans="1:2" ht="12.75">
      <c r="A1061" s="8" t="str">
        <f ca="1">IFERROR(__xludf.DUMMYFUNCTION("""COMPUTED_VALUE"""),"20130823MSNOS")</f>
        <v>20130823MSNOS</v>
      </c>
      <c r="B1061" s="8" t="str">
        <f ca="1">IFERROR(__xludf.DUMMYFUNCTION("""COMPUTED_VALUE"""),"Unknown")</f>
        <v>Unknown</v>
      </c>
    </row>
    <row r="1062" spans="1:2" ht="12.75">
      <c r="A1062" s="8" t="str">
        <f ca="1">IFERROR(__xludf.DUMMYFUNCTION("""COMPUTED_VALUE"""),"20130822TNWEM")</f>
        <v>20130822TNWEM</v>
      </c>
      <c r="B1062" s="8" t="str">
        <f ca="1">IFERROR(__xludf.DUMMYFUNCTION("""COMPUTED_VALUE"""),"Handgun")</f>
        <v>Handgun</v>
      </c>
    </row>
    <row r="1063" spans="1:2" ht="12.75">
      <c r="A1063" s="8" t="str">
        <f ca="1">IFERROR(__xludf.DUMMYFUNCTION("""COMPUTED_VALUE"""),"20130820GAROD")</f>
        <v>20130820GAROD</v>
      </c>
      <c r="B1063" s="8" t="str">
        <f ca="1">IFERROR(__xludf.DUMMYFUNCTION("""COMPUTED_VALUE"""),"Rifle")</f>
        <v>Rifle</v>
      </c>
    </row>
    <row r="1064" spans="1:2" ht="12.75">
      <c r="A1064" s="8" t="str">
        <f ca="1">IFERROR(__xludf.DUMMYFUNCTION("""COMPUTED_VALUE"""),"20130815TNNOC")</f>
        <v>20130815TNNOC</v>
      </c>
      <c r="B1064" s="8" t="str">
        <f ca="1">IFERROR(__xludf.DUMMYFUNCTION("""COMPUTED_VALUE"""),"Handgun")</f>
        <v>Handgun</v>
      </c>
    </row>
    <row r="1065" spans="1:2" ht="12.75">
      <c r="A1065" s="8" t="str">
        <f ca="1">IFERROR(__xludf.DUMMYFUNCTION("""COMPUTED_VALUE"""),"20130619FLALW")</f>
        <v>20130619FLALW</v>
      </c>
      <c r="B1065" s="8" t="str">
        <f ca="1">IFERROR(__xludf.DUMMYFUNCTION("""COMPUTED_VALUE"""),"Handgun")</f>
        <v>Handgun</v>
      </c>
    </row>
    <row r="1066" spans="1:2" ht="12.75">
      <c r="A1066" s="8" t="str">
        <f ca="1">IFERROR(__xludf.DUMMYFUNCTION("""COMPUTED_VALUE"""),"20130618NCHIC")</f>
        <v>20130618NCHIC</v>
      </c>
      <c r="B1066" s="8" t="str">
        <f ca="1">IFERROR(__xludf.DUMMYFUNCTION("""COMPUTED_VALUE"""),"Multiple Handguns")</f>
        <v>Multiple Handguns</v>
      </c>
    </row>
    <row r="1067" spans="1:2" ht="12.75">
      <c r="A1067" s="8" t="str">
        <f ca="1">IFERROR(__xludf.DUMMYFUNCTION("""COMPUTED_VALUE"""),"20130523FLREH")</f>
        <v>20130523FLREH</v>
      </c>
      <c r="B1067" s="8" t="str">
        <f ca="1">IFERROR(__xludf.DUMMYFUNCTION("""COMPUTED_VALUE"""),"Handgun")</f>
        <v>Handgun</v>
      </c>
    </row>
    <row r="1068" spans="1:2" ht="12.75">
      <c r="A1068" s="8" t="str">
        <f ca="1">IFERROR(__xludf.DUMMYFUNCTION("""COMPUTED_VALUE"""),"20130513ALOSB")</f>
        <v>20130513ALOSB</v>
      </c>
      <c r="B1068" s="8" t="str">
        <f ca="1">IFERROR(__xludf.DUMMYFUNCTION("""COMPUTED_VALUE"""),"Handgun")</f>
        <v>Handgun</v>
      </c>
    </row>
    <row r="1069" spans="1:2" ht="12.75">
      <c r="A1069" s="8" t="str">
        <f ca="1">IFERROR(__xludf.DUMMYFUNCTION("""COMPUTED_VALUE"""),"20130430NMTUT")</f>
        <v>20130430NMTUT</v>
      </c>
      <c r="B1069" s="8" t="str">
        <f ca="1">IFERROR(__xludf.DUMMYFUNCTION("""COMPUTED_VALUE"""),"Rifle")</f>
        <v>Rifle</v>
      </c>
    </row>
    <row r="1070" spans="1:2" ht="12.75">
      <c r="A1070" s="8" t="str">
        <f ca="1">IFERROR(__xludf.DUMMYFUNCTION("""COMPUTED_VALUE"""),"20130429OHLAC")</f>
        <v>20130429OHLAC</v>
      </c>
      <c r="B1070" s="8" t="str">
        <f ca="1">IFERROR(__xludf.DUMMYFUNCTION("""COMPUTED_VALUE"""),"Handgun")</f>
        <v>Handgun</v>
      </c>
    </row>
    <row r="1071" spans="1:2" ht="12.75">
      <c r="A1071" s="8" t="str">
        <f ca="1">IFERROR(__xludf.DUMMYFUNCTION("""COMPUTED_VALUE"""),"20130416TXTET")</f>
        <v>20130416TXTET</v>
      </c>
      <c r="B1071" s="8" t="str">
        <f ca="1">IFERROR(__xludf.DUMMYFUNCTION("""COMPUTED_VALUE"""),"Handgun")</f>
        <v>Handgun</v>
      </c>
    </row>
    <row r="1072" spans="1:2" ht="12.75">
      <c r="A1072" s="8" t="str">
        <f ca="1">IFERROR(__xludf.DUMMYFUNCTION("""COMPUTED_VALUE"""),"20130321MIDAS")</f>
        <v>20130321MIDAS</v>
      </c>
      <c r="B1072" s="8" t="str">
        <f ca="1">IFERROR(__xludf.DUMMYFUNCTION("""COMPUTED_VALUE"""),"Handgun")</f>
        <v>Handgun</v>
      </c>
    </row>
    <row r="1073" spans="1:2" ht="12.75">
      <c r="A1073" s="8" t="str">
        <f ca="1">IFERROR(__xludf.DUMMYFUNCTION("""COMPUTED_VALUE"""),"20130227GAGRA")</f>
        <v>20130227GAGRA</v>
      </c>
      <c r="B1073" s="8" t="str">
        <f ca="1">IFERROR(__xludf.DUMMYFUNCTION("""COMPUTED_VALUE"""),"Handgun")</f>
        <v>Handgun</v>
      </c>
    </row>
    <row r="1074" spans="1:2" ht="12.75">
      <c r="A1074" s="8" t="str">
        <f ca="1">IFERROR(__xludf.DUMMYFUNCTION("""COMPUTED_VALUE"""),"20130213CAHIS")</f>
        <v>20130213CAHIS</v>
      </c>
      <c r="B1074" s="8" t="str">
        <f ca="1">IFERROR(__xludf.DUMMYFUNCTION("""COMPUTED_VALUE"""),"Handgun")</f>
        <v>Handgun</v>
      </c>
    </row>
    <row r="1075" spans="1:2" ht="12.75">
      <c r="A1075" s="8" t="str">
        <f ca="1">IFERROR(__xludf.DUMMYFUNCTION("""COMPUTED_VALUE"""),"20130201MIMAD")</f>
        <v>20130201MIMAD</v>
      </c>
      <c r="B1075" s="8" t="str">
        <f ca="1">IFERROR(__xludf.DUMMYFUNCTION("""COMPUTED_VALUE"""),"Handgun")</f>
        <v>Handgun</v>
      </c>
    </row>
    <row r="1076" spans="1:2" ht="12.75">
      <c r="A1076" s="8" t="str">
        <f ca="1">IFERROR(__xludf.DUMMYFUNCTION("""COMPUTED_VALUE"""),"20130131GAPRA")</f>
        <v>20130131GAPRA</v>
      </c>
      <c r="B1076" s="8" t="str">
        <f ca="1">IFERROR(__xludf.DUMMYFUNCTION("""COMPUTED_VALUE"""),"Handgun")</f>
        <v>Handgun</v>
      </c>
    </row>
    <row r="1077" spans="1:2" ht="12.75">
      <c r="A1077" s="8" t="str">
        <f ca="1">IFERROR(__xludf.DUMMYFUNCTION("""COMPUTED_VALUE"""),"20130131GAPRA")</f>
        <v>20130131GAPRA</v>
      </c>
      <c r="B1077" s="8" t="str">
        <f ca="1">IFERROR(__xludf.DUMMYFUNCTION("""COMPUTED_VALUE"""),"Handgun")</f>
        <v>Handgun</v>
      </c>
    </row>
    <row r="1078" spans="1:2" ht="12.75">
      <c r="A1078" s="8" t="str">
        <f ca="1">IFERROR(__xludf.DUMMYFUNCTION("""COMPUTED_VALUE"""),"20130111MIOSD")</f>
        <v>20130111MIOSD</v>
      </c>
      <c r="B1078" s="8" t="str">
        <f ca="1">IFERROR(__xludf.DUMMYFUNCTION("""COMPUTED_VALUE"""),"Unknown")</f>
        <v>Unknown</v>
      </c>
    </row>
    <row r="1079" spans="1:2" ht="12.75">
      <c r="A1079" s="8" t="str">
        <f ca="1">IFERROR(__xludf.DUMMYFUNCTION("""COMPUTED_VALUE"""),"20130110CATAT")</f>
        <v>20130110CATAT</v>
      </c>
      <c r="B1079" s="8" t="str">
        <f ca="1">IFERROR(__xludf.DUMMYFUNCTION("""COMPUTED_VALUE"""),"Shotgun")</f>
        <v>Shotgun</v>
      </c>
    </row>
    <row r="1080" spans="1:2" ht="12.75">
      <c r="A1080" s="8" t="str">
        <f ca="1">IFERROR(__xludf.DUMMYFUNCTION("""COMPUTED_VALUE"""),"20130107FLAPF")</f>
        <v>20130107FLAPF</v>
      </c>
      <c r="B1080" s="8" t="str">
        <f ca="1">IFERROR(__xludf.DUMMYFUNCTION("""COMPUTED_VALUE"""),"Unknown")</f>
        <v>Unknown</v>
      </c>
    </row>
    <row r="1081" spans="1:2" ht="12.75">
      <c r="A1081" s="8" t="str">
        <f ca="1">IFERROR(__xludf.DUMMYFUNCTION("""COMPUTED_VALUE"""),"20121214CTSAN")</f>
        <v>20121214CTSAN</v>
      </c>
      <c r="B1081" s="8" t="str">
        <f ca="1">IFERROR(__xludf.DUMMYFUNCTION("""COMPUTED_VALUE"""),"Handgun")</f>
        <v>Handgun</v>
      </c>
    </row>
    <row r="1082" spans="1:2" ht="12.75">
      <c r="A1082" s="8" t="str">
        <f ca="1">IFERROR(__xludf.DUMMYFUNCTION("""COMPUTED_VALUE"""),"20121214CTSAN")</f>
        <v>20121214CTSAN</v>
      </c>
      <c r="B1082" s="8" t="str">
        <f ca="1">IFERROR(__xludf.DUMMYFUNCTION("""COMPUTED_VALUE"""),"Handgun")</f>
        <v>Handgun</v>
      </c>
    </row>
    <row r="1083" spans="1:2" ht="12.75">
      <c r="A1083" s="8" t="str">
        <f ca="1">IFERROR(__xludf.DUMMYFUNCTION("""COMPUTED_VALUE"""),"20121214CTSAN")</f>
        <v>20121214CTSAN</v>
      </c>
      <c r="B1083" s="8" t="str">
        <f ca="1">IFERROR(__xludf.DUMMYFUNCTION("""COMPUTED_VALUE"""),"Rifle")</f>
        <v>Rifle</v>
      </c>
    </row>
    <row r="1084" spans="1:2" ht="12.75">
      <c r="A1084" s="8" t="str">
        <f ca="1">IFERROR(__xludf.DUMMYFUNCTION("""COMPUTED_VALUE"""),"20121214CTSAN")</f>
        <v>20121214CTSAN</v>
      </c>
      <c r="B1084" s="8" t="str">
        <f ca="1">IFERROR(__xludf.DUMMYFUNCTION("""COMPUTED_VALUE"""),"Shotgun")</f>
        <v>Shotgun</v>
      </c>
    </row>
    <row r="1085" spans="1:2" ht="12.75">
      <c r="A1085" s="8" t="str">
        <f ca="1">IFERROR(__xludf.DUMMYFUNCTION("""COMPUTED_VALUE"""),"20121210TXSPH")</f>
        <v>20121210TXSPH</v>
      </c>
      <c r="B1085" s="8" t="str">
        <f ca="1">IFERROR(__xludf.DUMMYFUNCTION("""COMPUTED_VALUE"""),"Handgun")</f>
        <v>Handgun</v>
      </c>
    </row>
    <row r="1086" spans="1:2" ht="12.75">
      <c r="A1086" s="8" t="str">
        <f ca="1">IFERROR(__xludf.DUMMYFUNCTION("""COMPUTED_VALUE"""),"20121019ILBAC")</f>
        <v>20121019ILBAC</v>
      </c>
      <c r="B1086" s="8" t="str">
        <f ca="1">IFERROR(__xludf.DUMMYFUNCTION("""COMPUTED_VALUE"""),"Unknown")</f>
        <v>Unknown</v>
      </c>
    </row>
    <row r="1087" spans="1:2" ht="12.75">
      <c r="A1087" s="8" t="str">
        <f ca="1">IFERROR(__xludf.DUMMYFUNCTION("""COMPUTED_VALUE"""),"20121012NDFAF")</f>
        <v>20121012NDFAF</v>
      </c>
      <c r="B1087" s="8" t="str">
        <f ca="1">IFERROR(__xludf.DUMMYFUNCTION("""COMPUTED_VALUE"""),"Handgun")</f>
        <v>Handgun</v>
      </c>
    </row>
    <row r="1088" spans="1:2" ht="12.75">
      <c r="A1088" s="8" t="str">
        <f ca="1">IFERROR(__xludf.DUMMYFUNCTION("""COMPUTED_VALUE"""),"20120926OKSTS")</f>
        <v>20120926OKSTS</v>
      </c>
      <c r="B1088" s="8" t="str">
        <f ca="1">IFERROR(__xludf.DUMMYFUNCTION("""COMPUTED_VALUE"""),"Handgun")</f>
        <v>Handgun</v>
      </c>
    </row>
    <row r="1089" spans="1:2" ht="12.75">
      <c r="A1089" s="8" t="str">
        <f ca="1">IFERROR(__xludf.DUMMYFUNCTION("""COMPUTED_VALUE"""),"20120907ILNON")</f>
        <v>20120907ILNON</v>
      </c>
      <c r="B1089" s="8" t="str">
        <f ca="1">IFERROR(__xludf.DUMMYFUNCTION("""COMPUTED_VALUE"""),"Handgun")</f>
        <v>Handgun</v>
      </c>
    </row>
    <row r="1090" spans="1:2" ht="12.75">
      <c r="A1090" s="8" t="str">
        <f ca="1">IFERROR(__xludf.DUMMYFUNCTION("""COMPUTED_VALUE"""),"20120827MDPEP")</f>
        <v>20120827MDPEP</v>
      </c>
      <c r="B1090" s="8" t="str">
        <f ca="1">IFERROR(__xludf.DUMMYFUNCTION("""COMPUTED_VALUE"""),"Shotgun")</f>
        <v>Shotgun</v>
      </c>
    </row>
    <row r="1091" spans="1:2" ht="12.75">
      <c r="A1091" s="8" t="str">
        <f ca="1">IFERROR(__xludf.DUMMYFUNCTION("""COMPUTED_VALUE"""),"20120824GABAH")</f>
        <v>20120824GABAH</v>
      </c>
      <c r="B1091" s="8" t="str">
        <f ca="1">IFERROR(__xludf.DUMMYFUNCTION("""COMPUTED_VALUE"""),"Handgun")</f>
        <v>Handgun</v>
      </c>
    </row>
    <row r="1092" spans="1:2" ht="12.75">
      <c r="A1092" s="8" t="str">
        <f ca="1">IFERROR(__xludf.DUMMYFUNCTION("""COMPUTED_VALUE"""),"20120816TNHAM")</f>
        <v>20120816TNHAM</v>
      </c>
      <c r="B1092" s="8" t="str">
        <f ca="1">IFERROR(__xludf.DUMMYFUNCTION("""COMPUTED_VALUE"""),"Unknown")</f>
        <v>Unknown</v>
      </c>
    </row>
    <row r="1093" spans="1:2" ht="12.75">
      <c r="A1093" s="8" t="str">
        <f ca="1">IFERROR(__xludf.DUMMYFUNCTION("""COMPUTED_VALUE"""),"20120706RINAP")</f>
        <v>20120706RINAP</v>
      </c>
      <c r="B1093" s="8" t="str">
        <f ca="1">IFERROR(__xludf.DUMMYFUNCTION("""COMPUTED_VALUE"""),"No Data")</f>
        <v>No Data</v>
      </c>
    </row>
    <row r="1094" spans="1:2" ht="12.75">
      <c r="A1094" s="8" t="str">
        <f ca="1">IFERROR(__xludf.DUMMYFUNCTION("""COMPUTED_VALUE"""),"20120525NCMAC")</f>
        <v>20120525NCMAC</v>
      </c>
      <c r="B1094" s="8" t="str">
        <f ca="1">IFERROR(__xludf.DUMMYFUNCTION("""COMPUTED_VALUE"""),"Handgun")</f>
        <v>Handgun</v>
      </c>
    </row>
    <row r="1095" spans="1:2" ht="12.75">
      <c r="A1095" s="8" t="str">
        <f ca="1">IFERROR(__xludf.DUMMYFUNCTION("""COMPUTED_VALUE"""),"20120525AZWEA")</f>
        <v>20120525AZWEA</v>
      </c>
      <c r="B1095" s="8" t="str">
        <f ca="1">IFERROR(__xludf.DUMMYFUNCTION("""COMPUTED_VALUE"""),"Handgun")</f>
        <v>Handgun</v>
      </c>
    </row>
    <row r="1096" spans="1:2" ht="12.75">
      <c r="A1096" s="8" t="str">
        <f ca="1">IFERROR(__xludf.DUMMYFUNCTION("""COMPUTED_VALUE"""),"20120401ARKIR")</f>
        <v>20120401ARKIR</v>
      </c>
      <c r="B1096" s="8" t="str">
        <f ca="1">IFERROR(__xludf.DUMMYFUNCTION("""COMPUTED_VALUE"""),"Handgun")</f>
        <v>Handgun</v>
      </c>
    </row>
    <row r="1097" spans="1:2" ht="12.75">
      <c r="A1097" s="8" t="str">
        <f ca="1">IFERROR(__xludf.DUMMYFUNCTION("""COMPUTED_VALUE"""),"20120315ALLEM")</f>
        <v>20120315ALLEM</v>
      </c>
      <c r="B1097" s="8" t="str">
        <f ca="1">IFERROR(__xludf.DUMMYFUNCTION("""COMPUTED_VALUE"""),"Handgun")</f>
        <v>Handgun</v>
      </c>
    </row>
    <row r="1098" spans="1:2" ht="12.75">
      <c r="A1098" s="8" t="str">
        <f ca="1">IFERROR(__xludf.DUMMYFUNCTION("""COMPUTED_VALUE"""),"20120306FLEPJ")</f>
        <v>20120306FLEPJ</v>
      </c>
      <c r="B1098" s="8" t="str">
        <f ca="1">IFERROR(__xludf.DUMMYFUNCTION("""COMPUTED_VALUE"""),"Rifle")</f>
        <v>Rifle</v>
      </c>
    </row>
    <row r="1099" spans="1:2" ht="12.75">
      <c r="A1099" s="8" t="str">
        <f ca="1">IFERROR(__xludf.DUMMYFUNCTION("""COMPUTED_VALUE"""),"20120227OHCHC")</f>
        <v>20120227OHCHC</v>
      </c>
      <c r="B1099" s="8" t="str">
        <f ca="1">IFERROR(__xludf.DUMMYFUNCTION("""COMPUTED_VALUE"""),"Handgun")</f>
        <v>Handgun</v>
      </c>
    </row>
    <row r="1100" spans="1:2" ht="12.75">
      <c r="A1100" s="8" t="str">
        <f ca="1">IFERROR(__xludf.DUMMYFUNCTION("""COMPUTED_VALUE"""),"20120222WAARB")</f>
        <v>20120222WAARB</v>
      </c>
      <c r="B1100" s="8" t="str">
        <f ca="1">IFERROR(__xludf.DUMMYFUNCTION("""COMPUTED_VALUE"""),"Handgun")</f>
        <v>Handgun</v>
      </c>
    </row>
    <row r="1101" spans="1:2" ht="12.75">
      <c r="A1101" s="8" t="str">
        <f ca="1">IFERROR(__xludf.DUMMYFUNCTION("""COMPUTED_VALUE"""),"20120210NHWAW")</f>
        <v>20120210NHWAW</v>
      </c>
      <c r="B1101" s="8" t="str">
        <f ca="1">IFERROR(__xludf.DUMMYFUNCTION("""COMPUTED_VALUE"""),"Shotgun")</f>
        <v>Shotgun</v>
      </c>
    </row>
    <row r="1102" spans="1:2" ht="12.75">
      <c r="A1102" s="8" t="str">
        <f ca="1">IFERROR(__xludf.DUMMYFUNCTION("""COMPUTED_VALUE"""),"20120110TXNOH")</f>
        <v>20120110TXNOH</v>
      </c>
      <c r="B1102" s="8" t="str">
        <f ca="1">IFERROR(__xludf.DUMMYFUNCTION("""COMPUTED_VALUE"""),"Handgun")</f>
        <v>Handgun</v>
      </c>
    </row>
    <row r="1103" spans="1:2" ht="12.75">
      <c r="A1103" s="8" t="str">
        <f ca="1">IFERROR(__xludf.DUMMYFUNCTION("""COMPUTED_VALUE"""),"20120104TXCUB")</f>
        <v>20120104TXCUB</v>
      </c>
      <c r="B1103" s="8" t="str">
        <f ca="1">IFERROR(__xludf.DUMMYFUNCTION("""COMPUTED_VALUE"""),"Handgun")</f>
        <v>Handgun</v>
      </c>
    </row>
    <row r="1104" spans="1:2" ht="12.75">
      <c r="A1104" s="8" t="str">
        <f ca="1">IFERROR(__xludf.DUMMYFUNCTION("""COMPUTED_VALUE"""),"20111228MINOF")</f>
        <v>20111228MINOF</v>
      </c>
      <c r="B1104" s="8" t="str">
        <f ca="1">IFERROR(__xludf.DUMMYFUNCTION("""COMPUTED_VALUE"""),"Handgun")</f>
        <v>Handgun</v>
      </c>
    </row>
    <row r="1105" spans="1:2" ht="12.75">
      <c r="A1105" s="8" t="str">
        <f ca="1">IFERROR(__xludf.DUMMYFUNCTION("""COMPUTED_VALUE"""),"20111212TXHAE")</f>
        <v>20111212TXHAE</v>
      </c>
      <c r="B1105" s="8" t="str">
        <f ca="1">IFERROR(__xludf.DUMMYFUNCTION("""COMPUTED_VALUE"""),"Rifle")</f>
        <v>Rifle</v>
      </c>
    </row>
    <row r="1106" spans="1:2" ht="12.75">
      <c r="A1106" s="8" t="str">
        <f ca="1">IFERROR(__xludf.DUMMYFUNCTION("""COMPUTED_VALUE"""),"20111024NCCAF")</f>
        <v>20111024NCCAF</v>
      </c>
      <c r="B1106" s="8" t="str">
        <f ca="1">IFERROR(__xludf.DUMMYFUNCTION("""COMPUTED_VALUE"""),"Rifle")</f>
        <v>Rifle</v>
      </c>
    </row>
    <row r="1107" spans="1:2" ht="12.75">
      <c r="A1107" s="8" t="str">
        <f ca="1">IFERROR(__xludf.DUMMYFUNCTION("""COMPUTED_VALUE"""),"20110930ORWIP")</f>
        <v>20110930ORWIP</v>
      </c>
      <c r="B1107" s="8" t="str">
        <f ca="1">IFERROR(__xludf.DUMMYFUNCTION("""COMPUTED_VALUE"""),"Handgun")</f>
        <v>Handgun</v>
      </c>
    </row>
    <row r="1108" spans="1:2" ht="12.75">
      <c r="A1108" s="8" t="str">
        <f ca="1">IFERROR(__xludf.DUMMYFUNCTION("""COMPUTED_VALUE"""),"20110930ORWIP")</f>
        <v>20110930ORWIP</v>
      </c>
      <c r="B1108" s="8" t="str">
        <f ca="1">IFERROR(__xludf.DUMMYFUNCTION("""COMPUTED_VALUE"""),"Shotgun")</f>
        <v>Shotgun</v>
      </c>
    </row>
    <row r="1109" spans="1:2" ht="12.75">
      <c r="A1109" s="8" t="str">
        <f ca="1">IFERROR(__xludf.DUMMYFUNCTION("""COMPUTED_VALUE"""),"20110930NCGAC")</f>
        <v>20110930NCGAC</v>
      </c>
      <c r="B1109" s="8" t="str">
        <f ca="1">IFERROR(__xludf.DUMMYFUNCTION("""COMPUTED_VALUE"""),"Handgun")</f>
        <v>Handgun</v>
      </c>
    </row>
    <row r="1110" spans="1:2" ht="12.75">
      <c r="A1110" s="8" t="str">
        <f ca="1">IFERROR(__xludf.DUMMYFUNCTION("""COMPUTED_VALUE"""),"20110923WAISS")</f>
        <v>20110923WAISS</v>
      </c>
      <c r="B1110" s="8" t="str">
        <f ca="1">IFERROR(__xludf.DUMMYFUNCTION("""COMPUTED_VALUE"""),"Rifle")</f>
        <v>Rifle</v>
      </c>
    </row>
    <row r="1111" spans="1:2" ht="12.75">
      <c r="A1111" s="8" t="str">
        <f ca="1">IFERROR(__xludf.DUMMYFUNCTION("""COMPUTED_VALUE"""),"20110523HIHIP")</f>
        <v>20110523HIHIP</v>
      </c>
      <c r="B1111" s="8" t="str">
        <f ca="1">IFERROR(__xludf.DUMMYFUNCTION("""COMPUTED_VALUE"""),"Handgun")</f>
        <v>Handgun</v>
      </c>
    </row>
    <row r="1112" spans="1:2" ht="12.75">
      <c r="A1112" s="8" t="str">
        <f ca="1">IFERROR(__xludf.DUMMYFUNCTION("""COMPUTED_VALUE"""),"20110517WAHOE")</f>
        <v>20110517WAHOE</v>
      </c>
      <c r="B1112" s="8" t="str">
        <f ca="1">IFERROR(__xludf.DUMMYFUNCTION("""COMPUTED_VALUE"""),"Handgun")</f>
        <v>Handgun</v>
      </c>
    </row>
    <row r="1113" spans="1:2" ht="12.75">
      <c r="A1113" s="8" t="str">
        <f ca="1">IFERROR(__xludf.DUMMYFUNCTION("""COMPUTED_VALUE"""),"20110419TXBEH")</f>
        <v>20110419TXBEH</v>
      </c>
      <c r="B1113" s="8" t="str">
        <f ca="1">IFERROR(__xludf.DUMMYFUNCTION("""COMPUTED_VALUE"""),"Handgun")</f>
        <v>Handgun</v>
      </c>
    </row>
    <row r="1114" spans="1:2" ht="12.75">
      <c r="A1114" s="8" t="str">
        <f ca="1">IFERROR(__xludf.DUMMYFUNCTION("""COMPUTED_VALUE"""),"20110413FLSHA")</f>
        <v>20110413FLSHA</v>
      </c>
      <c r="B1114" s="8" t="str">
        <f ca="1">IFERROR(__xludf.DUMMYFUNCTION("""COMPUTED_VALUE"""),"Handgun")</f>
        <v>Handgun</v>
      </c>
    </row>
    <row r="1115" spans="1:2" ht="12.75">
      <c r="A1115" s="8" t="str">
        <f ca="1">IFERROR(__xludf.DUMMYFUNCTION("""COMPUTED_VALUE"""),"20110330TXWOH")</f>
        <v>20110330TXWOH</v>
      </c>
      <c r="B1115" s="8" t="str">
        <f ca="1">IFERROR(__xludf.DUMMYFUNCTION("""COMPUTED_VALUE"""),"Handgun")</f>
        <v>Handgun</v>
      </c>
    </row>
    <row r="1116" spans="1:2" ht="12.75">
      <c r="A1116" s="8" t="str">
        <f ca="1">IFERROR(__xludf.DUMMYFUNCTION("""COMPUTED_VALUE"""),"20110325INMAM")</f>
        <v>20110325INMAM</v>
      </c>
      <c r="B1116" s="8" t="str">
        <f ca="1">IFERROR(__xludf.DUMMYFUNCTION("""COMPUTED_VALUE"""),"Handgun")</f>
        <v>Handgun</v>
      </c>
    </row>
    <row r="1117" spans="1:2" ht="12.75">
      <c r="A1117" s="8" t="str">
        <f ca="1">IFERROR(__xludf.DUMMYFUNCTION("""COMPUTED_VALUE"""),"20110202CALOP")</f>
        <v>20110202CALOP</v>
      </c>
      <c r="B1117" s="8" t="str">
        <f ca="1">IFERROR(__xludf.DUMMYFUNCTION("""COMPUTED_VALUE"""),"Handgun")</f>
        <v>Handgun</v>
      </c>
    </row>
    <row r="1118" spans="1:2" ht="12.75">
      <c r="A1118" s="8" t="str">
        <f ca="1">IFERROR(__xludf.DUMMYFUNCTION("""COMPUTED_VALUE"""),"20110118CAGAL")</f>
        <v>20110118CAGAL</v>
      </c>
      <c r="B1118" s="8" t="str">
        <f ca="1">IFERROR(__xludf.DUMMYFUNCTION("""COMPUTED_VALUE"""),"Handgun")</f>
        <v>Handgun</v>
      </c>
    </row>
    <row r="1119" spans="1:2" ht="12.75">
      <c r="A1119" s="8" t="str">
        <f ca="1">IFERROR(__xludf.DUMMYFUNCTION("""COMPUTED_VALUE"""),"20110105NEMIO")</f>
        <v>20110105NEMIO</v>
      </c>
      <c r="B1119" s="8" t="str">
        <f ca="1">IFERROR(__xludf.DUMMYFUNCTION("""COMPUTED_VALUE"""),"Handgun")</f>
        <v>Handgun</v>
      </c>
    </row>
    <row r="1120" spans="1:2" ht="12.75">
      <c r="A1120" s="8" t="str">
        <f ca="1">IFERROR(__xludf.DUMMYFUNCTION("""COMPUTED_VALUE"""),"20110104INCRC")</f>
        <v>20110104INCRC</v>
      </c>
      <c r="B1120" s="8" t="str">
        <f ca="1">IFERROR(__xludf.DUMMYFUNCTION("""COMPUTED_VALUE"""),"Other")</f>
        <v>Other</v>
      </c>
    </row>
    <row r="1121" spans="1:2" ht="12.75">
      <c r="A1121" s="8" t="str">
        <f ca="1">IFERROR(__xludf.DUMMYFUNCTION("""COMPUTED_VALUE"""),"20101206COAUA")</f>
        <v>20101206COAUA</v>
      </c>
      <c r="B1121" s="8" t="str">
        <f ca="1">IFERROR(__xludf.DUMMYFUNCTION("""COMPUTED_VALUE"""),"Handgun")</f>
        <v>Handgun</v>
      </c>
    </row>
    <row r="1122" spans="1:2" ht="12.75">
      <c r="A1122" s="8" t="str">
        <f ca="1">IFERROR(__xludf.DUMMYFUNCTION("""COMPUTED_VALUE"""),"20101129WIMAM")</f>
        <v>20101129WIMAM</v>
      </c>
      <c r="B1122" s="8" t="str">
        <f ca="1">IFERROR(__xludf.DUMMYFUNCTION("""COMPUTED_VALUE"""),"Handgun")</f>
        <v>Handgun</v>
      </c>
    </row>
    <row r="1123" spans="1:2" ht="12.75">
      <c r="A1123" s="8" t="str">
        <f ca="1">IFERROR(__xludf.DUMMYFUNCTION("""COMPUTED_VALUE"""),"20101023KSTOT")</f>
        <v>20101023KSTOT</v>
      </c>
      <c r="B1123" s="8" t="str">
        <f ca="1">IFERROR(__xludf.DUMMYFUNCTION("""COMPUTED_VALUE"""),"Handgun")</f>
        <v>Handgun</v>
      </c>
    </row>
    <row r="1124" spans="1:2" ht="12.75">
      <c r="A1124" s="8" t="str">
        <f ca="1">IFERROR(__xludf.DUMMYFUNCTION("""COMPUTED_VALUE"""),"20101008CAKEC")</f>
        <v>20101008CAKEC</v>
      </c>
      <c r="B1124" s="8" t="str">
        <f ca="1">IFERROR(__xludf.DUMMYFUNCTION("""COMPUTED_VALUE"""),"Handgun")</f>
        <v>Handgun</v>
      </c>
    </row>
    <row r="1125" spans="1:2" ht="12.75">
      <c r="A1125" s="8" t="str">
        <f ca="1">IFERROR(__xludf.DUMMYFUNCTION("""COMPUTED_VALUE"""),"20101001CAALS")</f>
        <v>20101001CAALS</v>
      </c>
      <c r="B1125" s="8" t="str">
        <f ca="1">IFERROR(__xludf.DUMMYFUNCTION("""COMPUTED_VALUE"""),"No Data")</f>
        <v>No Data</v>
      </c>
    </row>
    <row r="1126" spans="1:2" ht="12.75">
      <c r="A1126" s="8" t="str">
        <f ca="1">IFERROR(__xludf.DUMMYFUNCTION("""COMPUTED_VALUE"""),"20100921SCSOC")</f>
        <v>20100921SCSOC</v>
      </c>
      <c r="B1126" s="8" t="str">
        <f ca="1">IFERROR(__xludf.DUMMYFUNCTION("""COMPUTED_VALUE"""),"Handgun")</f>
        <v>Handgun</v>
      </c>
    </row>
    <row r="1127" spans="1:2" ht="12.75">
      <c r="A1127" s="8" t="str">
        <f ca="1">IFERROR(__xludf.DUMMYFUNCTION("""COMPUTED_VALUE"""),"20100908MIMUD")</f>
        <v>20100908MIMUD</v>
      </c>
      <c r="B1127" s="8" t="str">
        <f ca="1">IFERROR(__xludf.DUMMYFUNCTION("""COMPUTED_VALUE"""),"No Data")</f>
        <v>No Data</v>
      </c>
    </row>
    <row r="1128" spans="1:2" ht="12.75">
      <c r="A1128" s="8" t="str">
        <f ca="1">IFERROR(__xludf.DUMMYFUNCTION("""COMPUTED_VALUE"""),"20100830TNSUB")</f>
        <v>20100830TNSUB</v>
      </c>
      <c r="B1128" s="8" t="str">
        <f ca="1">IFERROR(__xludf.DUMMYFUNCTION("""COMPUTED_VALUE"""),"Handgun")</f>
        <v>Handgun</v>
      </c>
    </row>
    <row r="1129" spans="1:2" ht="12.75">
      <c r="A1129" s="8" t="str">
        <f ca="1">IFERROR(__xludf.DUMMYFUNCTION("""COMPUTED_VALUE"""),"20100518CASOS")</f>
        <v>20100518CASOS</v>
      </c>
      <c r="B1129" s="8" t="str">
        <f ca="1">IFERROR(__xludf.DUMMYFUNCTION("""COMPUTED_VALUE"""),"Handgun")</f>
        <v>Handgun</v>
      </c>
    </row>
    <row r="1130" spans="1:2" ht="12.75">
      <c r="A1130" s="8" t="str">
        <f ca="1">IFERROR(__xludf.DUMMYFUNCTION("""COMPUTED_VALUE"""),"20100428VAWOP")</f>
        <v>20100428VAWOP</v>
      </c>
      <c r="B1130" s="8" t="str">
        <f ca="1">IFERROR(__xludf.DUMMYFUNCTION("""COMPUTED_VALUE"""),"Handgun")</f>
        <v>Handgun</v>
      </c>
    </row>
    <row r="1131" spans="1:2" ht="12.75">
      <c r="A1131" s="8" t="str">
        <f ca="1">IFERROR(__xludf.DUMMYFUNCTION("""COMPUTED_VALUE"""),"20100226WABIT")</f>
        <v>20100226WABIT</v>
      </c>
      <c r="B1131" s="8" t="str">
        <f ca="1">IFERROR(__xludf.DUMMYFUNCTION("""COMPUTED_VALUE"""),"No Data")</f>
        <v>No Data</v>
      </c>
    </row>
    <row r="1132" spans="1:2" ht="12.75">
      <c r="A1132" s="8" t="str">
        <f ca="1">IFERROR(__xludf.DUMMYFUNCTION("""COMPUTED_VALUE"""),"20100223CODEL")</f>
        <v>20100223CODEL</v>
      </c>
      <c r="B1132" s="8" t="str">
        <f ca="1">IFERROR(__xludf.DUMMYFUNCTION("""COMPUTED_VALUE"""),"Rifle")</f>
        <v>Rifle</v>
      </c>
    </row>
    <row r="1133" spans="1:2" ht="12.75">
      <c r="A1133" s="8" t="str">
        <f ca="1">IFERROR(__xludf.DUMMYFUNCTION("""COMPUTED_VALUE"""),"20100210TNINK")</f>
        <v>20100210TNINK</v>
      </c>
      <c r="B1133" s="8" t="str">
        <f ca="1">IFERROR(__xludf.DUMMYFUNCTION("""COMPUTED_VALUE"""),"Handgun")</f>
        <v>Handgun</v>
      </c>
    </row>
    <row r="1134" spans="1:2" ht="12.75">
      <c r="A1134" s="8" t="str">
        <f ca="1">IFERROR(__xludf.DUMMYFUNCTION("""COMPUTED_VALUE"""),"20100205ALDIM")</f>
        <v>20100205ALDIM</v>
      </c>
      <c r="B1134" s="8" t="str">
        <f ca="1">IFERROR(__xludf.DUMMYFUNCTION("""COMPUTED_VALUE"""),"Handgun")</f>
        <v>Handgun</v>
      </c>
    </row>
    <row r="1135" spans="1:2" ht="12.75">
      <c r="A1135" s="8" t="str">
        <f ca="1">IFERROR(__xludf.DUMMYFUNCTION("""COMPUTED_VALUE"""),"20100120ALLIL")</f>
        <v>20100120ALLIL</v>
      </c>
      <c r="B1135" s="8" t="str">
        <f ca="1">IFERROR(__xludf.DUMMYFUNCTION("""COMPUTED_VALUE"""),"No Data")</f>
        <v>No Data</v>
      </c>
    </row>
    <row r="1136" spans="1:2" ht="12.75">
      <c r="A1136" s="8" t="str">
        <f ca="1">IFERROR(__xludf.DUMMYFUNCTION("""COMPUTED_VALUE"""),"20091211LABOS")</f>
        <v>20091211LABOS</v>
      </c>
      <c r="B1136" s="8" t="str">
        <f ca="1">IFERROR(__xludf.DUMMYFUNCTION("""COMPUTED_VALUE"""),"Handgun")</f>
        <v>Handgun</v>
      </c>
    </row>
    <row r="1137" spans="1:2" ht="12.75">
      <c r="A1137" s="8" t="str">
        <f ca="1">IFERROR(__xludf.DUMMYFUNCTION("""COMPUTED_VALUE"""),"20091106PAHAW")</f>
        <v>20091106PAHAW</v>
      </c>
      <c r="B1137" s="8" t="str">
        <f ca="1">IFERROR(__xludf.DUMMYFUNCTION("""COMPUTED_VALUE"""),"Handgun")</f>
        <v>Handgun</v>
      </c>
    </row>
    <row r="1138" spans="1:2" ht="12.75">
      <c r="A1138" s="8" t="str">
        <f ca="1">IFERROR(__xludf.DUMMYFUNCTION("""COMPUTED_VALUE"""),"20091030CAWIL")</f>
        <v>20091030CAWIL</v>
      </c>
      <c r="B1138" s="8" t="str">
        <f ca="1">IFERROR(__xludf.DUMMYFUNCTION("""COMPUTED_VALUE"""),"Shotgun")</f>
        <v>Shotgun</v>
      </c>
    </row>
    <row r="1139" spans="1:2" ht="12.75">
      <c r="A1139" s="8" t="str">
        <f ca="1">IFERROR(__xludf.DUMMYFUNCTION("""COMPUTED_VALUE"""),"20091016SCCAC")</f>
        <v>20091016SCCAC</v>
      </c>
      <c r="B1139" s="8" t="str">
        <f ca="1">IFERROR(__xludf.DUMMYFUNCTION("""COMPUTED_VALUE"""),"Handgun")</f>
        <v>Handgun</v>
      </c>
    </row>
    <row r="1140" spans="1:2" ht="12.75">
      <c r="A1140" s="8" t="str">
        <f ca="1">IFERROR(__xludf.DUMMYFUNCTION("""COMPUTED_VALUE"""),"20091008NYMAM")</f>
        <v>20091008NYMAM</v>
      </c>
      <c r="B1140" s="8" t="str">
        <f ca="1">IFERROR(__xludf.DUMMYFUNCTION("""COMPUTED_VALUE"""),"Rifle")</f>
        <v>Rifle</v>
      </c>
    </row>
    <row r="1141" spans="1:2" ht="12.75">
      <c r="A1141" s="8" t="str">
        <f ca="1">IFERROR(__xludf.DUMMYFUNCTION("""COMPUTED_VALUE"""),"20090916VAVIG")</f>
        <v>20090916VAVIG</v>
      </c>
      <c r="B1141" s="8" t="str">
        <f ca="1">IFERROR(__xludf.DUMMYFUNCTION("""COMPUTED_VALUE"""),"Handgun")</f>
        <v>Handgun</v>
      </c>
    </row>
    <row r="1142" spans="1:2" ht="12.75">
      <c r="A1142" s="8" t="str">
        <f ca="1">IFERROR(__xludf.DUMMYFUNCTION("""COMPUTED_VALUE"""),"20090908CTSTS")</f>
        <v>20090908CTSTS</v>
      </c>
      <c r="B1142" s="8" t="str">
        <f ca="1">IFERROR(__xludf.DUMMYFUNCTION("""COMPUTED_VALUE"""),"Handgun")</f>
        <v>Handgun</v>
      </c>
    </row>
    <row r="1143" spans="1:2" ht="12.75">
      <c r="A1143" s="8" t="str">
        <f ca="1">IFERROR(__xludf.DUMMYFUNCTION("""COMPUTED_VALUE"""),"20090827NCWEF")</f>
        <v>20090827NCWEF</v>
      </c>
      <c r="B1143" s="8" t="str">
        <f ca="1">IFERROR(__xludf.DUMMYFUNCTION("""COMPUTED_VALUE"""),"Handgun")</f>
        <v>Handgun</v>
      </c>
    </row>
    <row r="1144" spans="1:2" ht="12.75">
      <c r="A1144" s="8" t="str">
        <f ca="1">IFERROR(__xludf.DUMMYFUNCTION("""COMPUTED_VALUE"""),"20090624IAAPP")</f>
        <v>20090624IAAPP</v>
      </c>
      <c r="B1144" s="8" t="str">
        <f ca="1">IFERROR(__xludf.DUMMYFUNCTION("""COMPUTED_VALUE"""),"Handgun")</f>
        <v>Handgun</v>
      </c>
    </row>
    <row r="1145" spans="1:2" ht="12.75">
      <c r="A1145" s="8" t="str">
        <f ca="1">IFERROR(__xludf.DUMMYFUNCTION("""COMPUTED_VALUE"""),"20090615CAINS")</f>
        <v>20090615CAINS</v>
      </c>
      <c r="B1145" s="8" t="str">
        <f ca="1">IFERROR(__xludf.DUMMYFUNCTION("""COMPUTED_VALUE"""),"Handgun")</f>
        <v>Handgun</v>
      </c>
    </row>
    <row r="1146" spans="1:2" ht="12.75">
      <c r="A1146" s="8" t="str">
        <f ca="1">IFERROR(__xludf.DUMMYFUNCTION("""COMPUTED_VALUE"""),"20090518LALAL")</f>
        <v>20090518LALAL</v>
      </c>
      <c r="B1146" s="8" t="str">
        <f ca="1">IFERROR(__xludf.DUMMYFUNCTION("""COMPUTED_VALUE"""),"Handgun")</f>
        <v>Handgun</v>
      </c>
    </row>
    <row r="1147" spans="1:2" ht="12.75">
      <c r="A1147" s="8" t="str">
        <f ca="1">IFERROR(__xludf.DUMMYFUNCTION("""COMPUTED_VALUE"""),"20090505NYCAC")</f>
        <v>20090505NYCAC</v>
      </c>
      <c r="B1147" s="8" t="str">
        <f ca="1">IFERROR(__xludf.DUMMYFUNCTION("""COMPUTED_VALUE"""),"Shotgun")</f>
        <v>Shotgun</v>
      </c>
    </row>
    <row r="1148" spans="1:2" ht="12.75">
      <c r="A1148" s="8" t="str">
        <f ca="1">IFERROR(__xludf.DUMMYFUNCTION("""COMPUTED_VALUE"""),"20090501WISHS")</f>
        <v>20090501WISHS</v>
      </c>
      <c r="B1148" s="8" t="str">
        <f ca="1">IFERROR(__xludf.DUMMYFUNCTION("""COMPUTED_VALUE"""),"No Data")</f>
        <v>No Data</v>
      </c>
    </row>
    <row r="1149" spans="1:2" ht="12.75">
      <c r="A1149" s="8" t="str">
        <f ca="1">IFERROR(__xludf.DUMMYFUNCTION("""COMPUTED_VALUE"""),"20090413CALOL")</f>
        <v>20090413CALOL</v>
      </c>
      <c r="B1149" s="8" t="str">
        <f ca="1">IFERROR(__xludf.DUMMYFUNCTION("""COMPUTED_VALUE"""),"Handgun")</f>
        <v>Handgun</v>
      </c>
    </row>
    <row r="1150" spans="1:2" ht="12.75">
      <c r="A1150" s="8" t="str">
        <f ca="1">IFERROR(__xludf.DUMMYFUNCTION("""COMPUTED_VALUE"""),"20090311TXCYH")</f>
        <v>20090311TXCYH</v>
      </c>
      <c r="B1150" s="8" t="str">
        <f ca="1">IFERROR(__xludf.DUMMYFUNCTION("""COMPUTED_VALUE"""),"Handgun")</f>
        <v>Handgun</v>
      </c>
    </row>
    <row r="1151" spans="1:2" ht="12.75">
      <c r="A1151" s="8" t="str">
        <f ca="1">IFERROR(__xludf.DUMMYFUNCTION("""COMPUTED_VALUE"""),"20090310FLRIJ")</f>
        <v>20090310FLRIJ</v>
      </c>
      <c r="B1151" s="8" t="str">
        <f ca="1">IFERROR(__xludf.DUMMYFUNCTION("""COMPUTED_VALUE"""),"Handgun")</f>
        <v>Handgun</v>
      </c>
    </row>
    <row r="1152" spans="1:2" ht="12.75">
      <c r="A1152" s="8" t="str">
        <f ca="1">IFERROR(__xludf.DUMMYFUNCTION("""COMPUTED_VALUE"""),"20090306NCWEF")</f>
        <v>20090306NCWEF</v>
      </c>
      <c r="B1152" s="8" t="str">
        <f ca="1">IFERROR(__xludf.DUMMYFUNCTION("""COMPUTED_VALUE"""),"No Data")</f>
        <v>No Data</v>
      </c>
    </row>
    <row r="1153" spans="1:2" ht="12.75">
      <c r="A1153" s="8" t="str">
        <f ca="1">IFERROR(__xludf.DUMMYFUNCTION("""COMPUTED_VALUE"""),"20090302SDROS")</f>
        <v>20090302SDROS</v>
      </c>
      <c r="B1153" s="8" t="str">
        <f ca="1">IFERROR(__xludf.DUMMYFUNCTION("""COMPUTED_VALUE"""),"Other")</f>
        <v>Other</v>
      </c>
    </row>
    <row r="1154" spans="1:2" ht="12.75">
      <c r="A1154" s="8" t="str">
        <f ca="1">IFERROR(__xludf.DUMMYFUNCTION("""COMPUTED_VALUE"""),"20090223CTBRN")</f>
        <v>20090223CTBRN</v>
      </c>
      <c r="B1154" s="8" t="str">
        <f ca="1">IFERROR(__xludf.DUMMYFUNCTION("""COMPUTED_VALUE"""),"Handgun")</f>
        <v>Handgun</v>
      </c>
    </row>
    <row r="1155" spans="1:2" ht="12.75">
      <c r="A1155" s="8" t="str">
        <f ca="1">IFERROR(__xludf.DUMMYFUNCTION("""COMPUTED_VALUE"""),"20090220CAJOH")</f>
        <v>20090220CAJOH</v>
      </c>
      <c r="B1155" s="8" t="str">
        <f ca="1">IFERROR(__xludf.DUMMYFUNCTION("""COMPUTED_VALUE"""),"Shotgun")</f>
        <v>Shotgun</v>
      </c>
    </row>
    <row r="1156" spans="1:2" ht="12.75">
      <c r="A1156" s="8" t="str">
        <f ca="1">IFERROR(__xludf.DUMMYFUNCTION("""COMPUTED_VALUE"""),"20090217MICED")</f>
        <v>20090217MICED</v>
      </c>
      <c r="B1156" s="8" t="str">
        <f ca="1">IFERROR(__xludf.DUMMYFUNCTION("""COMPUTED_VALUE"""),"Handgun")</f>
        <v>Handgun</v>
      </c>
    </row>
    <row r="1157" spans="1:2" ht="12.75">
      <c r="A1157" s="8" t="str">
        <f ca="1">IFERROR(__xludf.DUMMYFUNCTION("""COMPUTED_VALUE"""),"20090211NCSCZ")</f>
        <v>20090211NCSCZ</v>
      </c>
      <c r="B1157" s="8" t="str">
        <f ca="1">IFERROR(__xludf.DUMMYFUNCTION("""COMPUTED_VALUE"""),"Handgun")</f>
        <v>Handgun</v>
      </c>
    </row>
    <row r="1158" spans="1:2" ht="12.75">
      <c r="A1158" s="8" t="str">
        <f ca="1">IFERROR(__xludf.DUMMYFUNCTION("""COMPUTED_VALUE"""),"20090210CABAE")</f>
        <v>20090210CABAE</v>
      </c>
      <c r="B1158" s="8" t="str">
        <f ca="1">IFERROR(__xludf.DUMMYFUNCTION("""COMPUTED_VALUE"""),"Handgun")</f>
        <v>Handgun</v>
      </c>
    </row>
    <row r="1159" spans="1:2" ht="12.75">
      <c r="A1159" s="8" t="str">
        <f ca="1">IFERROR(__xludf.DUMMYFUNCTION("""COMPUTED_VALUE"""),"20090127NCCLC")</f>
        <v>20090127NCCLC</v>
      </c>
      <c r="B1159" s="8" t="str">
        <f ca="1">IFERROR(__xludf.DUMMYFUNCTION("""COMPUTED_VALUE"""),"Handgun")</f>
        <v>Handgun</v>
      </c>
    </row>
    <row r="1160" spans="1:2" ht="12.75">
      <c r="A1160" s="8" t="str">
        <f ca="1">IFERROR(__xludf.DUMMYFUNCTION("""COMPUTED_VALUE"""),"20090123ILCAC")</f>
        <v>20090123ILCAC</v>
      </c>
      <c r="B1160" s="8" t="str">
        <f ca="1">IFERROR(__xludf.DUMMYFUNCTION("""COMPUTED_VALUE"""),"Handgun")</f>
        <v>Handgun</v>
      </c>
    </row>
    <row r="1161" spans="1:2" ht="12.75">
      <c r="A1161" s="8" t="str">
        <f ca="1">IFERROR(__xludf.DUMMYFUNCTION("""COMPUTED_VALUE"""),"20090120PAEAE")</f>
        <v>20090120PAEAE</v>
      </c>
      <c r="B1161" s="8" t="str">
        <f ca="1">IFERROR(__xludf.DUMMYFUNCTION("""COMPUTED_VALUE"""),"Handgun")</f>
        <v>Handgun</v>
      </c>
    </row>
    <row r="1162" spans="1:2" ht="12.75">
      <c r="A1162" s="8" t="str">
        <f ca="1">IFERROR(__xludf.DUMMYFUNCTION("""COMPUTED_VALUE"""),"20090120MIBEM")</f>
        <v>20090120MIBEM</v>
      </c>
      <c r="B1162" s="8" t="str">
        <f ca="1">IFERROR(__xludf.DUMMYFUNCTION("""COMPUTED_VALUE"""),"Multiple Handguns")</f>
        <v>Multiple Handguns</v>
      </c>
    </row>
    <row r="1163" spans="1:2" ht="12.75">
      <c r="A1163" s="8" t="str">
        <f ca="1">IFERROR(__xludf.DUMMYFUNCTION("""COMPUTED_VALUE"""),"20090120ILCOC")</f>
        <v>20090120ILCOC</v>
      </c>
      <c r="B1163" s="8" t="str">
        <f ca="1">IFERROR(__xludf.DUMMYFUNCTION("""COMPUTED_VALUE"""),"Handgun")</f>
        <v>Handgun</v>
      </c>
    </row>
    <row r="1164" spans="1:2" ht="12.75">
      <c r="A1164" s="8" t="str">
        <f ca="1">IFERROR(__xludf.DUMMYFUNCTION("""COMPUTED_VALUE"""),"20090114ILPEC")</f>
        <v>20090114ILPEC</v>
      </c>
      <c r="B1164" s="8" t="str">
        <f ca="1">IFERROR(__xludf.DUMMYFUNCTION("""COMPUTED_VALUE"""),"No Data")</f>
        <v>No Data</v>
      </c>
    </row>
    <row r="1165" spans="1:2" ht="12.75">
      <c r="A1165" s="8" t="str">
        <f ca="1">IFERROR(__xludf.DUMMYFUNCTION("""COMPUTED_VALUE"""),"20090109ILDUC")</f>
        <v>20090109ILDUC</v>
      </c>
      <c r="B1165" s="8" t="str">
        <f ca="1">IFERROR(__xludf.DUMMYFUNCTION("""COMPUTED_VALUE"""),"Handgun")</f>
        <v>Handgun</v>
      </c>
    </row>
    <row r="1166" spans="1:2" ht="12.75">
      <c r="A1166" s="8" t="str">
        <f ca="1">IFERROR(__xludf.DUMMYFUNCTION("""COMPUTED_VALUE"""),"20090108DEWIN")</f>
        <v>20090108DEWIN</v>
      </c>
      <c r="B1166" s="8" t="str">
        <f ca="1">IFERROR(__xludf.DUMMYFUNCTION("""COMPUTED_VALUE"""),"Handgun")</f>
        <v>Handgun</v>
      </c>
    </row>
    <row r="1167" spans="1:2" ht="12.75">
      <c r="A1167" s="8" t="str">
        <f ca="1">IFERROR(__xludf.DUMMYFUNCTION("""COMPUTED_VALUE"""),"20081231OKKEN")</f>
        <v>20081231OKKEN</v>
      </c>
      <c r="B1167" s="8" t="str">
        <f ca="1">IFERROR(__xludf.DUMMYFUNCTION("""COMPUTED_VALUE"""),"No Data")</f>
        <v>No Data</v>
      </c>
    </row>
    <row r="1168" spans="1:2" ht="12.75">
      <c r="A1168" s="8" t="str">
        <f ca="1">IFERROR(__xludf.DUMMYFUNCTION("""COMPUTED_VALUE"""),"20081231GASHS")</f>
        <v>20081231GASHS</v>
      </c>
      <c r="B1168" s="8" t="str">
        <f ca="1">IFERROR(__xludf.DUMMYFUNCTION("""COMPUTED_VALUE"""),"Shotgun")</f>
        <v>Shotgun</v>
      </c>
    </row>
    <row r="1169" spans="1:2" ht="12.75">
      <c r="A1169" s="8" t="str">
        <f ca="1">IFERROR(__xludf.DUMMYFUNCTION("""COMPUTED_VALUE"""),"20081227PAWIP")</f>
        <v>20081227PAWIP</v>
      </c>
      <c r="B1169" s="8" t="str">
        <f ca="1">IFERROR(__xludf.DUMMYFUNCTION("""COMPUTED_VALUE"""),"No Data")</f>
        <v>No Data</v>
      </c>
    </row>
    <row r="1170" spans="1:2" ht="12.75">
      <c r="A1170" s="8" t="str">
        <f ca="1">IFERROR(__xludf.DUMMYFUNCTION("""COMPUTED_VALUE"""),"20081222FLLAL")</f>
        <v>20081222FLLAL</v>
      </c>
      <c r="B1170" s="8" t="str">
        <f ca="1">IFERROR(__xludf.DUMMYFUNCTION("""COMPUTED_VALUE"""),"Handgun")</f>
        <v>Handgun</v>
      </c>
    </row>
    <row r="1171" spans="1:2" ht="12.75">
      <c r="A1171" s="8" t="str">
        <f ca="1">IFERROR(__xludf.DUMMYFUNCTION("""COMPUTED_VALUE"""),"20081221SCSUS")</f>
        <v>20081221SCSUS</v>
      </c>
      <c r="B1171" s="8" t="str">
        <f ca="1">IFERROR(__xludf.DUMMYFUNCTION("""COMPUTED_VALUE"""),"Handgun")</f>
        <v>Handgun</v>
      </c>
    </row>
    <row r="1172" spans="1:2" ht="12.75">
      <c r="A1172" s="8" t="str">
        <f ca="1">IFERROR(__xludf.DUMMYFUNCTION("""COMPUTED_VALUE"""),"20081212NYWIM")</f>
        <v>20081212NYWIM</v>
      </c>
      <c r="B1172" s="8" t="str">
        <f ca="1">IFERROR(__xludf.DUMMYFUNCTION("""COMPUTED_VALUE"""),"Handgun")</f>
        <v>Handgun</v>
      </c>
    </row>
    <row r="1173" spans="1:2" ht="12.75">
      <c r="A1173" s="8" t="str">
        <f ca="1">IFERROR(__xludf.DUMMYFUNCTION("""COMPUTED_VALUE"""),"20081212NCGUA")</f>
        <v>20081212NCGUA</v>
      </c>
      <c r="B1173" s="8" t="str">
        <f ca="1">IFERROR(__xludf.DUMMYFUNCTION("""COMPUTED_VALUE"""),"Handgun")</f>
        <v>Handgun</v>
      </c>
    </row>
    <row r="1174" spans="1:2" ht="12.75">
      <c r="A1174" s="8" t="str">
        <f ca="1">IFERROR(__xludf.DUMMYFUNCTION("""COMPUTED_VALUE"""),"20081205MNSHF")</f>
        <v>20081205MNSHF</v>
      </c>
      <c r="B1174" s="8" t="str">
        <f ca="1">IFERROR(__xludf.DUMMYFUNCTION("""COMPUTED_VALUE"""),"Handgun")</f>
        <v>Handgun</v>
      </c>
    </row>
    <row r="1175" spans="1:2" ht="12.75">
      <c r="A1175" s="8" t="str">
        <f ca="1">IFERROR(__xludf.DUMMYFUNCTION("""COMPUTED_VALUE"""),"20081202CAKIK")</f>
        <v>20081202CAKIK</v>
      </c>
      <c r="B1175" s="8" t="str">
        <f ca="1">IFERROR(__xludf.DUMMYFUNCTION("""COMPUTED_VALUE"""),"Handgun")</f>
        <v>Handgun</v>
      </c>
    </row>
    <row r="1176" spans="1:2" ht="12.75">
      <c r="A1176" s="8" t="str">
        <f ca="1">IFERROR(__xludf.DUMMYFUNCTION("""COMPUTED_VALUE"""),"20081130CAOAG")</f>
        <v>20081130CAOAG</v>
      </c>
      <c r="B1176" s="8" t="str">
        <f ca="1">IFERROR(__xludf.DUMMYFUNCTION("""COMPUTED_VALUE"""),"Handgun")</f>
        <v>Handgun</v>
      </c>
    </row>
    <row r="1177" spans="1:2" ht="12.75">
      <c r="A1177" s="8" t="str">
        <f ca="1">IFERROR(__xludf.DUMMYFUNCTION("""COMPUTED_VALUE"""),"20081125TXNOH")</f>
        <v>20081125TXNOH</v>
      </c>
      <c r="B1177" s="8" t="str">
        <f ca="1">IFERROR(__xludf.DUMMYFUNCTION("""COMPUTED_VALUE"""),"No Data")</f>
        <v>No Data</v>
      </c>
    </row>
    <row r="1178" spans="1:2" ht="12.75">
      <c r="A1178" s="8" t="str">
        <f ca="1">IFERROR(__xludf.DUMMYFUNCTION("""COMPUTED_VALUE"""),"20081118CACOO")</f>
        <v>20081118CACOO</v>
      </c>
      <c r="B1178" s="8" t="str">
        <f ca="1">IFERROR(__xludf.DUMMYFUNCTION("""COMPUTED_VALUE"""),"Handgun")</f>
        <v>Handgun</v>
      </c>
    </row>
    <row r="1179" spans="1:2" ht="12.75">
      <c r="A1179" s="8" t="str">
        <f ca="1">IFERROR(__xludf.DUMMYFUNCTION("""COMPUTED_VALUE"""),"20081118CACEC")</f>
        <v>20081118CACEC</v>
      </c>
      <c r="B1179" s="8" t="str">
        <f ca="1">IFERROR(__xludf.DUMMYFUNCTION("""COMPUTED_VALUE"""),"Handgun")</f>
        <v>Handgun</v>
      </c>
    </row>
    <row r="1180" spans="1:2" ht="12.75">
      <c r="A1180" s="8" t="str">
        <f ca="1">IFERROR(__xludf.DUMMYFUNCTION("""COMPUTED_VALUE"""),"20081115UTDES")</f>
        <v>20081115UTDES</v>
      </c>
      <c r="B1180" s="8" t="str">
        <f ca="1">IFERROR(__xludf.DUMMYFUNCTION("""COMPUTED_VALUE"""),"Handgun")</f>
        <v>Handgun</v>
      </c>
    </row>
    <row r="1181" spans="1:2" ht="12.75">
      <c r="A1181" s="8" t="str">
        <f ca="1">IFERROR(__xludf.DUMMYFUNCTION("""COMPUTED_VALUE"""),"20081115COTHL")</f>
        <v>20081115COTHL</v>
      </c>
      <c r="B1181" s="8" t="str">
        <f ca="1">IFERROR(__xludf.DUMMYFUNCTION("""COMPUTED_VALUE"""),"Handgun")</f>
        <v>Handgun</v>
      </c>
    </row>
    <row r="1182" spans="1:2" ht="12.75">
      <c r="A1182" s="8" t="str">
        <f ca="1">IFERROR(__xludf.DUMMYFUNCTION("""COMPUTED_VALUE"""),"20081112FLDIF")</f>
        <v>20081112FLDIF</v>
      </c>
      <c r="B1182" s="8" t="str">
        <f ca="1">IFERROR(__xludf.DUMMYFUNCTION("""COMPUTED_VALUE"""),"Handgun")</f>
        <v>Handgun</v>
      </c>
    </row>
    <row r="1183" spans="1:2" ht="12.75">
      <c r="A1183" s="8" t="str">
        <f ca="1">IFERROR(__xludf.DUMMYFUNCTION("""COMPUTED_VALUE"""),"20081103CAELO")</f>
        <v>20081103CAELO</v>
      </c>
      <c r="B1183" s="8" t="str">
        <f ca="1">IFERROR(__xludf.DUMMYFUNCTION("""COMPUTED_VALUE"""),"Other")</f>
        <v>Other</v>
      </c>
    </row>
    <row r="1184" spans="1:2" ht="12.75">
      <c r="A1184" s="8" t="str">
        <f ca="1">IFERROR(__xludf.DUMMYFUNCTION("""COMPUTED_VALUE"""),"20081103CABEB")</f>
        <v>20081103CABEB</v>
      </c>
      <c r="B1184" s="8" t="str">
        <f ca="1">IFERROR(__xludf.DUMMYFUNCTION("""COMPUTED_VALUE"""),"Handgun")</f>
        <v>Handgun</v>
      </c>
    </row>
    <row r="1185" spans="1:2" ht="12.75">
      <c r="A1185" s="8" t="str">
        <f ca="1">IFERROR(__xludf.DUMMYFUNCTION("""COMPUTED_VALUE"""),"20081031MESTS")</f>
        <v>20081031MESTS</v>
      </c>
      <c r="B1185" s="8" t="str">
        <f ca="1">IFERROR(__xludf.DUMMYFUNCTION("""COMPUTED_VALUE"""),"No Data")</f>
        <v>No Data</v>
      </c>
    </row>
    <row r="1186" spans="1:2" ht="12.75">
      <c r="A1186" s="8" t="str">
        <f ca="1">IFERROR(__xludf.DUMMYFUNCTION("""COMPUTED_VALUE"""),"20081029CAELG")</f>
        <v>20081029CAELG</v>
      </c>
      <c r="B1186" s="8" t="str">
        <f ca="1">IFERROR(__xludf.DUMMYFUNCTION("""COMPUTED_VALUE"""),"Other")</f>
        <v>Other</v>
      </c>
    </row>
    <row r="1187" spans="1:2" ht="12.75">
      <c r="A1187" s="8" t="str">
        <f ca="1">IFERROR(__xludf.DUMMYFUNCTION("""COMPUTED_VALUE"""),"20081023ALPRP")</f>
        <v>20081023ALPRP</v>
      </c>
      <c r="B1187" s="8" t="str">
        <f ca="1">IFERROR(__xludf.DUMMYFUNCTION("""COMPUTED_VALUE"""),"Handgun")</f>
        <v>Handgun</v>
      </c>
    </row>
    <row r="1188" spans="1:2" ht="12.75">
      <c r="A1188" s="8" t="str">
        <f ca="1">IFERROR(__xludf.DUMMYFUNCTION("""COMPUTED_VALUE"""),"20081020CAVAA")</f>
        <v>20081020CAVAA</v>
      </c>
      <c r="B1188" s="8" t="str">
        <f ca="1">IFERROR(__xludf.DUMMYFUNCTION("""COMPUTED_VALUE"""),"Handgun")</f>
        <v>Handgun</v>
      </c>
    </row>
    <row r="1189" spans="1:2" ht="12.75">
      <c r="A1189" s="8" t="str">
        <f ca="1">IFERROR(__xludf.DUMMYFUNCTION("""COMPUTED_VALUE"""),"20081016MIHED")</f>
        <v>20081016MIHED</v>
      </c>
      <c r="B1189" s="8" t="str">
        <f ca="1">IFERROR(__xludf.DUMMYFUNCTION("""COMPUTED_VALUE"""),"No Data")</f>
        <v>No Data</v>
      </c>
    </row>
    <row r="1190" spans="1:2" ht="12.75">
      <c r="A1190" s="8" t="str">
        <f ca="1">IFERROR(__xludf.DUMMYFUNCTION("""COMPUTED_VALUE"""),"20080919CAGEA")</f>
        <v>20080919CAGEA</v>
      </c>
      <c r="B1190" s="8" t="str">
        <f ca="1">IFERROR(__xludf.DUMMYFUNCTION("""COMPUTED_VALUE"""),"No Data")</f>
        <v>No Data</v>
      </c>
    </row>
    <row r="1191" spans="1:2" ht="12.75">
      <c r="A1191" s="8" t="str">
        <f ca="1">IFERROR(__xludf.DUMMYFUNCTION("""COMPUTED_VALUE"""),"20080915CAMIS")</f>
        <v>20080915CAMIS</v>
      </c>
      <c r="B1191" s="8" t="str">
        <f ca="1">IFERROR(__xludf.DUMMYFUNCTION("""COMPUTED_VALUE"""),"Handgun")</f>
        <v>Handgun</v>
      </c>
    </row>
    <row r="1192" spans="1:2" ht="12.75">
      <c r="A1192" s="8" t="str">
        <f ca="1">IFERROR(__xludf.DUMMYFUNCTION("""COMPUTED_VALUE"""),"20080902OHSOW")</f>
        <v>20080902OHSOW</v>
      </c>
      <c r="B1192" s="8" t="str">
        <f ca="1">IFERROR(__xludf.DUMMYFUNCTION("""COMPUTED_VALUE"""),"Handgun")</f>
        <v>Handgun</v>
      </c>
    </row>
    <row r="1193" spans="1:2" ht="12.75">
      <c r="A1193" s="8" t="str">
        <f ca="1">IFERROR(__xludf.DUMMYFUNCTION("""COMPUTED_VALUE"""),"20080821TNCEK")</f>
        <v>20080821TNCEK</v>
      </c>
      <c r="B1193" s="8" t="str">
        <f ca="1">IFERROR(__xludf.DUMMYFUNCTION("""COMPUTED_VALUE"""),"Handgun")</f>
        <v>Handgun</v>
      </c>
    </row>
    <row r="1194" spans="1:2" ht="12.75">
      <c r="A1194" s="8" t="str">
        <f ca="1">IFERROR(__xludf.DUMMYFUNCTION("""COMPUTED_VALUE"""),"20080814WALAF")</f>
        <v>20080814WALAF</v>
      </c>
      <c r="B1194" s="8" t="str">
        <f ca="1">IFERROR(__xludf.DUMMYFUNCTION("""COMPUTED_VALUE"""),"Handgun")</f>
        <v>Handgun</v>
      </c>
    </row>
    <row r="1195" spans="1:2" ht="12.75">
      <c r="A1195" s="8" t="str">
        <f ca="1">IFERROR(__xludf.DUMMYFUNCTION("""COMPUTED_VALUE"""),"20080811WAWAK")</f>
        <v>20080811WAWAK</v>
      </c>
      <c r="B1195" s="8" t="str">
        <f ca="1">IFERROR(__xludf.DUMMYFUNCTION("""COMPUTED_VALUE"""),"Handgun")</f>
        <v>Handgun</v>
      </c>
    </row>
    <row r="1196" spans="1:2" ht="12.75">
      <c r="A1196" s="8" t="str">
        <f ca="1">IFERROR(__xludf.DUMMYFUNCTION("""COMPUTED_VALUE"""),"20080516LAMAT")</f>
        <v>20080516LAMAT</v>
      </c>
      <c r="B1196" s="8" t="str">
        <f ca="1">IFERROR(__xludf.DUMMYFUNCTION("""COMPUTED_VALUE"""),"No Data")</f>
        <v>No Data</v>
      </c>
    </row>
    <row r="1197" spans="1:2" ht="12.75">
      <c r="A1197" s="8" t="str">
        <f ca="1">IFERROR(__xludf.DUMMYFUNCTION("""COMPUTED_VALUE"""),"20080416CAROF")</f>
        <v>20080416CAROF</v>
      </c>
      <c r="B1197" s="8" t="str">
        <f ca="1">IFERROR(__xludf.DUMMYFUNCTION("""COMPUTED_VALUE"""),"Handgun")</f>
        <v>Handgun</v>
      </c>
    </row>
    <row r="1198" spans="1:2" ht="12.75">
      <c r="A1198" s="8" t="str">
        <f ca="1">IFERROR(__xludf.DUMMYFUNCTION("""COMPUTED_VALUE"""),"20080306ALDAM")</f>
        <v>20080306ALDAM</v>
      </c>
      <c r="B1198" s="8" t="str">
        <f ca="1">IFERROR(__xludf.DUMMYFUNCTION("""COMPUTED_VALUE"""),"Handgun")</f>
        <v>Handgun</v>
      </c>
    </row>
    <row r="1199" spans="1:2" ht="12.75">
      <c r="A1199" s="8" t="str">
        <f ca="1">IFERROR(__xludf.DUMMYFUNCTION("""COMPUTED_VALUE"""),"20080214CAEOO")</f>
        <v>20080214CAEOO</v>
      </c>
      <c r="B1199" s="8" t="str">
        <f ca="1">IFERROR(__xludf.DUMMYFUNCTION("""COMPUTED_VALUE"""),"Handgun")</f>
        <v>Handgun</v>
      </c>
    </row>
    <row r="1200" spans="1:2" ht="12.75">
      <c r="A1200" s="8" t="str">
        <f ca="1">IFERROR(__xludf.DUMMYFUNCTION("""COMPUTED_VALUE"""),"20080211TNMIM")</f>
        <v>20080211TNMIM</v>
      </c>
      <c r="B1200" s="8" t="str">
        <f ca="1">IFERROR(__xludf.DUMMYFUNCTION("""COMPUTED_VALUE"""),"Handgun")</f>
        <v>Handgun</v>
      </c>
    </row>
    <row r="1201" spans="1:2" ht="12.75">
      <c r="A1201" s="8" t="str">
        <f ca="1">IFERROR(__xludf.DUMMYFUNCTION("""COMPUTED_VALUE"""),"20080204TNHAM")</f>
        <v>20080204TNHAM</v>
      </c>
      <c r="B1201" s="8" t="str">
        <f ca="1">IFERROR(__xludf.DUMMYFUNCTION("""COMPUTED_VALUE"""),"Handgun")</f>
        <v>Handgun</v>
      </c>
    </row>
    <row r="1202" spans="1:2" ht="12.75">
      <c r="A1202" s="8" t="str">
        <f ca="1">IFERROR(__xludf.DUMMYFUNCTION("""COMPUTED_VALUE"""),"20071221CABAU")</f>
        <v>20071221CABAU</v>
      </c>
      <c r="B1202" s="8" t="str">
        <f ca="1">IFERROR(__xludf.DUMMYFUNCTION("""COMPUTED_VALUE"""),"No Data")</f>
        <v>No Data</v>
      </c>
    </row>
    <row r="1203" spans="1:2" ht="12.75">
      <c r="A1203" s="8" t="str">
        <f ca="1">IFERROR(__xludf.DUMMYFUNCTION("""COMPUTED_VALUE"""),"20071126NYHOH")</f>
        <v>20071126NYHOH</v>
      </c>
      <c r="B1203" s="8" t="str">
        <f ca="1">IFERROR(__xludf.DUMMYFUNCTION("""COMPUTED_VALUE"""),"Handgun")</f>
        <v>Handgun</v>
      </c>
    </row>
    <row r="1204" spans="1:2" ht="12.75">
      <c r="A1204" s="8" t="str">
        <f ca="1">IFERROR(__xludf.DUMMYFUNCTION("""COMPUTED_VALUE"""),"20071105LAJOR")</f>
        <v>20071105LAJOR</v>
      </c>
      <c r="B1204" s="8" t="str">
        <f ca="1">IFERROR(__xludf.DUMMYFUNCTION("""COMPUTED_VALUE"""),"Handgun")</f>
        <v>Handgun</v>
      </c>
    </row>
    <row r="1205" spans="1:2" ht="12.75">
      <c r="A1205" s="8" t="str">
        <f ca="1">IFERROR(__xludf.DUMMYFUNCTION("""COMPUTED_VALUE"""),"20071024TNMAM")</f>
        <v>20071024TNMAM</v>
      </c>
      <c r="B1205" s="8" t="str">
        <f ca="1">IFERROR(__xludf.DUMMYFUNCTION("""COMPUTED_VALUE"""),"Handgun")</f>
        <v>Handgun</v>
      </c>
    </row>
    <row r="1206" spans="1:2" ht="12.75">
      <c r="A1206" s="8" t="str">
        <f ca="1">IFERROR(__xludf.DUMMYFUNCTION("""COMPUTED_VALUE"""),"20071010OHSUC")</f>
        <v>20071010OHSUC</v>
      </c>
      <c r="B1206" s="8" t="str">
        <f ca="1">IFERROR(__xludf.DUMMYFUNCTION("""COMPUTED_VALUE"""),"Multiple Handguns")</f>
        <v>Multiple Handguns</v>
      </c>
    </row>
    <row r="1207" spans="1:2" ht="12.75">
      <c r="A1207" s="8" t="str">
        <f ca="1">IFERROR(__xludf.DUMMYFUNCTION("""COMPUTED_VALUE"""),"20071001CTPLM")</f>
        <v>20071001CTPLM</v>
      </c>
      <c r="B1207" s="8" t="str">
        <f ca="1">IFERROR(__xludf.DUMMYFUNCTION("""COMPUTED_VALUE"""),"Other")</f>
        <v>Other</v>
      </c>
    </row>
    <row r="1208" spans="1:2" ht="12.75">
      <c r="A1208" s="8" t="str">
        <f ca="1">IFERROR(__xludf.DUMMYFUNCTION("""COMPUTED_VALUE"""),"20070930AZSSP")</f>
        <v>20070930AZSSP</v>
      </c>
      <c r="B1208" s="8" t="str">
        <f ca="1">IFERROR(__xludf.DUMMYFUNCTION("""COMPUTED_VALUE"""),"No Data")</f>
        <v>No Data</v>
      </c>
    </row>
    <row r="1209" spans="1:2" ht="12.75">
      <c r="A1209" s="8" t="str">
        <f ca="1">IFERROR(__xludf.DUMMYFUNCTION("""COMPUTED_VALUE"""),"20070928CALAO")</f>
        <v>20070928CALAO</v>
      </c>
      <c r="B1209" s="8" t="str">
        <f ca="1">IFERROR(__xludf.DUMMYFUNCTION("""COMPUTED_VALUE"""),"Handgun")</f>
        <v>Handgun</v>
      </c>
    </row>
    <row r="1210" spans="1:2" ht="12.75">
      <c r="A1210" s="8" t="str">
        <f ca="1">IFERROR(__xludf.DUMMYFUNCTION("""COMPUTED_VALUE"""),"20070804NJMON")</f>
        <v>20070804NJMON</v>
      </c>
      <c r="B1210" s="8" t="str">
        <f ca="1">IFERROR(__xludf.DUMMYFUNCTION("""COMPUTED_VALUE"""),"Handgun")</f>
        <v>Handgun</v>
      </c>
    </row>
    <row r="1211" spans="1:2" ht="12.75">
      <c r="A1211" s="8" t="str">
        <f ca="1">IFERROR(__xludf.DUMMYFUNCTION("""COMPUTED_VALUE"""),"20070709ILCAC")</f>
        <v>20070709ILCAC</v>
      </c>
      <c r="B1211" s="8" t="str">
        <f ca="1">IFERROR(__xludf.DUMMYFUNCTION("""COMPUTED_VALUE"""),"No Data")</f>
        <v>No Data</v>
      </c>
    </row>
    <row r="1212" spans="1:2" ht="12.75">
      <c r="A1212" s="8" t="str">
        <f ca="1">IFERROR(__xludf.DUMMYFUNCTION("""COMPUTED_VALUE"""),"20070628TXDAD")</f>
        <v>20070628TXDAD</v>
      </c>
      <c r="B1212" s="8" t="str">
        <f ca="1">IFERROR(__xludf.DUMMYFUNCTION("""COMPUTED_VALUE"""),"Handgun")</f>
        <v>Handgun</v>
      </c>
    </row>
    <row r="1213" spans="1:2" ht="12.75">
      <c r="A1213" s="8" t="str">
        <f ca="1">IFERROR(__xludf.DUMMYFUNCTION("""COMPUTED_VALUE"""),"20070617SCBRB")</f>
        <v>20070617SCBRB</v>
      </c>
      <c r="B1213" s="8" t="str">
        <f ca="1">IFERROR(__xludf.DUMMYFUNCTION("""COMPUTED_VALUE"""),"Handgun")</f>
        <v>Handgun</v>
      </c>
    </row>
    <row r="1214" spans="1:2" ht="12.75">
      <c r="A1214" s="8" t="str">
        <f ca="1">IFERROR(__xludf.DUMMYFUNCTION("""COMPUTED_VALUE"""),"20070531NCNOG")</f>
        <v>20070531NCNOG</v>
      </c>
      <c r="B1214" s="8" t="str">
        <f ca="1">IFERROR(__xludf.DUMMYFUNCTION("""COMPUTED_VALUE"""),"Other")</f>
        <v>Other</v>
      </c>
    </row>
    <row r="1215" spans="1:2" ht="12.75">
      <c r="A1215" s="8" t="str">
        <f ca="1">IFERROR(__xludf.DUMMYFUNCTION("""COMPUTED_VALUE"""),"20070530NCVAG")</f>
        <v>20070530NCVAG</v>
      </c>
      <c r="B1215" s="8" t="str">
        <f ca="1">IFERROR(__xludf.DUMMYFUNCTION("""COMPUTED_VALUE"""),"Other")</f>
        <v>Other</v>
      </c>
    </row>
    <row r="1216" spans="1:2" ht="12.75">
      <c r="A1216" s="8" t="str">
        <f ca="1">IFERROR(__xludf.DUMMYFUNCTION("""COMPUTED_VALUE"""),"20070523RIOAC")</f>
        <v>20070523RIOAC</v>
      </c>
      <c r="B1216" s="8" t="str">
        <f ca="1">IFERROR(__xludf.DUMMYFUNCTION("""COMPUTED_VALUE"""),"Other")</f>
        <v>Other</v>
      </c>
    </row>
    <row r="1217" spans="1:2" ht="12.75">
      <c r="A1217" s="8" t="str">
        <f ca="1">IFERROR(__xludf.DUMMYFUNCTION("""COMPUTED_VALUE"""),"20070515TXLIL")</f>
        <v>20070515TXLIL</v>
      </c>
      <c r="B1217" s="8" t="str">
        <f ca="1">IFERROR(__xludf.DUMMYFUNCTION("""COMPUTED_VALUE"""),"Handgun")</f>
        <v>Handgun</v>
      </c>
    </row>
    <row r="1218" spans="1:2" ht="12.75">
      <c r="A1218" s="8" t="str">
        <f ca="1">IFERROR(__xludf.DUMMYFUNCTION("""COMPUTED_VALUE"""),"20070512TXWEM")</f>
        <v>20070512TXWEM</v>
      </c>
      <c r="B1218" s="8" t="str">
        <f ca="1">IFERROR(__xludf.DUMMYFUNCTION("""COMPUTED_VALUE"""),"Shotgun")</f>
        <v>Shotgun</v>
      </c>
    </row>
    <row r="1219" spans="1:2" ht="12.75">
      <c r="A1219" s="8" t="str">
        <f ca="1">IFERROR(__xludf.DUMMYFUNCTION("""COMPUTED_VALUE"""),"20070510MIHED")</f>
        <v>20070510MIHED</v>
      </c>
      <c r="B1219" s="8" t="str">
        <f ca="1">IFERROR(__xludf.DUMMYFUNCTION("""COMPUTED_VALUE"""),"No Data")</f>
        <v>No Data</v>
      </c>
    </row>
    <row r="1220" spans="1:2" ht="12.75">
      <c r="A1220" s="8" t="str">
        <f ca="1">IFERROR(__xludf.DUMMYFUNCTION("""COMPUTED_VALUE"""),"20070504TXTIE")</f>
        <v>20070504TXTIE</v>
      </c>
      <c r="B1220" s="8" t="str">
        <f ca="1">IFERROR(__xludf.DUMMYFUNCTION("""COMPUTED_VALUE"""),"Handgun")</f>
        <v>Handgun</v>
      </c>
    </row>
    <row r="1221" spans="1:2" ht="12.75">
      <c r="A1221" s="8" t="str">
        <f ca="1">IFERROR(__xludf.DUMMYFUNCTION("""COMPUTED_VALUE"""),"20070503OHGED")</f>
        <v>20070503OHGED</v>
      </c>
      <c r="B1221" s="8" t="str">
        <f ca="1">IFERROR(__xludf.DUMMYFUNCTION("""COMPUTED_VALUE"""),"Other")</f>
        <v>Other</v>
      </c>
    </row>
    <row r="1222" spans="1:2" ht="12.75">
      <c r="A1222" s="8" t="str">
        <f ca="1">IFERROR(__xludf.DUMMYFUNCTION("""COMPUTED_VALUE"""),"20070418NCNOH")</f>
        <v>20070418NCNOH</v>
      </c>
      <c r="B1222" s="8" t="str">
        <f ca="1">IFERROR(__xludf.DUMMYFUNCTION("""COMPUTED_VALUE"""),"Handgun")</f>
        <v>Handgun</v>
      </c>
    </row>
    <row r="1223" spans="1:2" ht="12.75">
      <c r="A1223" s="8" t="str">
        <f ca="1">IFERROR(__xludf.DUMMYFUNCTION("""COMPUTED_VALUE"""),"20070410ORSPG")</f>
        <v>20070410ORSPG</v>
      </c>
      <c r="B1223" s="8" t="str">
        <f ca="1">IFERROR(__xludf.DUMMYFUNCTION("""COMPUTED_VALUE"""),"Rifle")</f>
        <v>Rifle</v>
      </c>
    </row>
    <row r="1224" spans="1:2" ht="12.75">
      <c r="A1224" s="8" t="str">
        <f ca="1">IFERROR(__xludf.DUMMYFUNCTION("""COMPUTED_VALUE"""),"20070410ILCHC")</f>
        <v>20070410ILCHC</v>
      </c>
      <c r="B1224" s="8" t="str">
        <f ca="1">IFERROR(__xludf.DUMMYFUNCTION("""COMPUTED_VALUE"""),"Handgun")</f>
        <v>Handgun</v>
      </c>
    </row>
    <row r="1225" spans="1:2" ht="12.75">
      <c r="A1225" s="8" t="str">
        <f ca="1">IFERROR(__xludf.DUMMYFUNCTION("""COMPUTED_VALUE"""),"20070329SCMYM")</f>
        <v>20070329SCMYM</v>
      </c>
      <c r="B1225" s="8" t="str">
        <f ca="1">IFERROR(__xludf.DUMMYFUNCTION("""COMPUTED_VALUE"""),"Handgun")</f>
        <v>Handgun</v>
      </c>
    </row>
    <row r="1226" spans="1:2" ht="12.75">
      <c r="A1226" s="8" t="str">
        <f ca="1">IFERROR(__xludf.DUMMYFUNCTION("""COMPUTED_VALUE"""),"20070327CTSAH")</f>
        <v>20070327CTSAH</v>
      </c>
      <c r="B1226" s="8" t="str">
        <f ca="1">IFERROR(__xludf.DUMMYFUNCTION("""COMPUTED_VALUE"""),"Handgun")</f>
        <v>Handgun</v>
      </c>
    </row>
    <row r="1227" spans="1:2" ht="12.75">
      <c r="A1227" s="8" t="str">
        <f ca="1">IFERROR(__xludf.DUMMYFUNCTION("""COMPUTED_VALUE"""),"20070323FLUNO")</f>
        <v>20070323FLUNO</v>
      </c>
      <c r="B1227" s="8" t="str">
        <f ca="1">IFERROR(__xludf.DUMMYFUNCTION("""COMPUTED_VALUE"""),"Other")</f>
        <v>Other</v>
      </c>
    </row>
    <row r="1228" spans="1:2" ht="12.75">
      <c r="A1228" s="8" t="str">
        <f ca="1">IFERROR(__xludf.DUMMYFUNCTION("""COMPUTED_VALUE"""),"20070308TNEAC")</f>
        <v>20070308TNEAC</v>
      </c>
      <c r="B1228" s="8" t="str">
        <f ca="1">IFERROR(__xludf.DUMMYFUNCTION("""COMPUTED_VALUE"""),"Handgun")</f>
        <v>Handgun</v>
      </c>
    </row>
    <row r="1229" spans="1:2" ht="12.75">
      <c r="A1229" s="8" t="str">
        <f ca="1">IFERROR(__xludf.DUMMYFUNCTION("""COMPUTED_VALUE"""),"20070307TXGRG")</f>
        <v>20070307TXGRG</v>
      </c>
      <c r="B1229" s="8" t="str">
        <f ca="1">IFERROR(__xludf.DUMMYFUNCTION("""COMPUTED_VALUE"""),"No Data")</f>
        <v>No Data</v>
      </c>
    </row>
    <row r="1230" spans="1:2" ht="12.75">
      <c r="A1230" s="8" t="str">
        <f ca="1">IFERROR(__xludf.DUMMYFUNCTION("""COMPUTED_VALUE"""),"20070307MIHEM")</f>
        <v>20070307MIHEM</v>
      </c>
      <c r="B1230" s="8" t="str">
        <f ca="1">IFERROR(__xludf.DUMMYFUNCTION("""COMPUTED_VALUE"""),"Handgun")</f>
        <v>Handgun</v>
      </c>
    </row>
    <row r="1231" spans="1:2" ht="12.75">
      <c r="A1231" s="8" t="str">
        <f ca="1">IFERROR(__xludf.DUMMYFUNCTION("""COMPUTED_VALUE"""),"20070307CACEC")</f>
        <v>20070307CACEC</v>
      </c>
      <c r="B1231" s="8" t="str">
        <f ca="1">IFERROR(__xludf.DUMMYFUNCTION("""COMPUTED_VALUE"""),"Handgun")</f>
        <v>Handgun</v>
      </c>
    </row>
    <row r="1232" spans="1:2" ht="12.75">
      <c r="A1232" s="8" t="str">
        <f ca="1">IFERROR(__xludf.DUMMYFUNCTION("""COMPUTED_VALUE"""),"20070227GACLA")</f>
        <v>20070227GACLA</v>
      </c>
      <c r="B1232" s="8" t="str">
        <f ca="1">IFERROR(__xludf.DUMMYFUNCTION("""COMPUTED_VALUE"""),"Other")</f>
        <v>Other</v>
      </c>
    </row>
    <row r="1233" spans="1:2" ht="12.75">
      <c r="A1233" s="8" t="str">
        <f ca="1">IFERROR(__xludf.DUMMYFUNCTION("""COMPUTED_VALUE"""),"20070226CASLA")</f>
        <v>20070226CASLA</v>
      </c>
      <c r="B1233" s="8" t="str">
        <f ca="1">IFERROR(__xludf.DUMMYFUNCTION("""COMPUTED_VALUE"""),"Other")</f>
        <v>Other</v>
      </c>
    </row>
    <row r="1234" spans="1:2" ht="12.75">
      <c r="A1234" s="8" t="str">
        <f ca="1">IFERROR(__xludf.DUMMYFUNCTION("""COMPUTED_VALUE"""),"20070208TXSTP")</f>
        <v>20070208TXSTP</v>
      </c>
      <c r="B1234" s="8" t="str">
        <f ca="1">IFERROR(__xludf.DUMMYFUNCTION("""COMPUTED_VALUE"""),"Other")</f>
        <v>Other</v>
      </c>
    </row>
    <row r="1235" spans="1:2" ht="12.75">
      <c r="A1235" s="8" t="str">
        <f ca="1">IFERROR(__xludf.DUMMYFUNCTION("""COMPUTED_VALUE"""),"20070208ORCRP")</f>
        <v>20070208ORCRP</v>
      </c>
      <c r="B1235" s="8" t="str">
        <f ca="1">IFERROR(__xludf.DUMMYFUNCTION("""COMPUTED_VALUE"""),"Handgun")</f>
        <v>Handgun</v>
      </c>
    </row>
    <row r="1236" spans="1:2" ht="12.75">
      <c r="A1236" s="8" t="str">
        <f ca="1">IFERROR(__xludf.DUMMYFUNCTION("""COMPUTED_VALUE"""),"20070207FLPAJ")</f>
        <v>20070207FLPAJ</v>
      </c>
      <c r="B1236" s="8" t="str">
        <f ca="1">IFERROR(__xludf.DUMMYFUNCTION("""COMPUTED_VALUE"""),"Handgun")</f>
        <v>Handgun</v>
      </c>
    </row>
    <row r="1237" spans="1:2" ht="12.75">
      <c r="A1237" s="8" t="str">
        <f ca="1">IFERROR(__xludf.DUMMYFUNCTION("""COMPUTED_VALUE"""),"20070131ILHIC")</f>
        <v>20070131ILHIC</v>
      </c>
      <c r="B1237" s="8" t="str">
        <f ca="1">IFERROR(__xludf.DUMMYFUNCTION("""COMPUTED_VALUE"""),"Handgun")</f>
        <v>Handgun</v>
      </c>
    </row>
    <row r="1238" spans="1:2" ht="12.75">
      <c r="A1238" s="8" t="str">
        <f ca="1">IFERROR(__xludf.DUMMYFUNCTION("""COMPUTED_VALUE"""),"20070124TNHAS")</f>
        <v>20070124TNHAS</v>
      </c>
      <c r="B1238" s="8" t="str">
        <f ca="1">IFERROR(__xludf.DUMMYFUNCTION("""COMPUTED_VALUE"""),"Handgun")</f>
        <v>Handgun</v>
      </c>
    </row>
    <row r="1239" spans="1:2" ht="12.75">
      <c r="A1239" s="8" t="str">
        <f ca="1">IFERROR(__xludf.DUMMYFUNCTION("""COMPUTED_VALUE"""),"20070118PAWIP")</f>
        <v>20070118PAWIP</v>
      </c>
      <c r="B1239" s="8" t="str">
        <f ca="1">IFERROR(__xludf.DUMMYFUNCTION("""COMPUTED_VALUE"""),"Handgun")</f>
        <v>Handgun</v>
      </c>
    </row>
    <row r="1240" spans="1:2" ht="12.75">
      <c r="A1240" s="8" t="str">
        <f ca="1">IFERROR(__xludf.DUMMYFUNCTION("""COMPUTED_VALUE"""),"20070109NVWEL")</f>
        <v>20070109NVWEL</v>
      </c>
      <c r="B1240" s="8" t="str">
        <f ca="1">IFERROR(__xludf.DUMMYFUNCTION("""COMPUTED_VALUE"""),"Handgun")</f>
        <v>Handgun</v>
      </c>
    </row>
    <row r="1241" spans="1:2" ht="12.75">
      <c r="A1241" s="8" t="str">
        <f ca="1">IFERROR(__xludf.DUMMYFUNCTION("""COMPUTED_VALUE"""),"20070109CAGRV")</f>
        <v>20070109CAGRV</v>
      </c>
      <c r="B1241" s="8" t="str">
        <f ca="1">IFERROR(__xludf.DUMMYFUNCTION("""COMPUTED_VALUE"""),"No Data")</f>
        <v>No Data</v>
      </c>
    </row>
    <row r="1242" spans="1:2" ht="12.75">
      <c r="A1242" s="8" t="str">
        <f ca="1">IFERROR(__xludf.DUMMYFUNCTION("""COMPUTED_VALUE"""),"20070108OHROC")</f>
        <v>20070108OHROC</v>
      </c>
      <c r="B1242" s="8" t="str">
        <f ca="1">IFERROR(__xludf.DUMMYFUNCTION("""COMPUTED_VALUE"""),"Multiple Handguns")</f>
        <v>Multiple Handguns</v>
      </c>
    </row>
    <row r="1243" spans="1:2" ht="12.75">
      <c r="A1243" s="8" t="str">
        <f ca="1">IFERROR(__xludf.DUMMYFUNCTION("""COMPUTED_VALUE"""),"20070104MINOD")</f>
        <v>20070104MINOD</v>
      </c>
      <c r="B1243" s="8" t="str">
        <f ca="1">IFERROR(__xludf.DUMMYFUNCTION("""COMPUTED_VALUE"""),"No Data")</f>
        <v>No Data</v>
      </c>
    </row>
    <row r="1244" spans="1:2" ht="12.75">
      <c r="A1244" s="8" t="str">
        <f ca="1">IFERROR(__xludf.DUMMYFUNCTION("""COMPUTED_VALUE"""),"20070103WAHET")</f>
        <v>20070103WAHET</v>
      </c>
      <c r="B1244" s="8" t="str">
        <f ca="1">IFERROR(__xludf.DUMMYFUNCTION("""COMPUTED_VALUE"""),"Handgun")</f>
        <v>Handgun</v>
      </c>
    </row>
    <row r="1245" spans="1:2" ht="12.75">
      <c r="A1245" s="8" t="str">
        <f ca="1">IFERROR(__xludf.DUMMYFUNCTION("""COMPUTED_VALUE"""),"20070102NCWEF")</f>
        <v>20070102NCWEF</v>
      </c>
      <c r="B1245" s="8" t="str">
        <f ca="1">IFERROR(__xludf.DUMMYFUNCTION("""COMPUTED_VALUE"""),"Handgun")</f>
        <v>Handgun</v>
      </c>
    </row>
    <row r="1246" spans="1:2" ht="12.75">
      <c r="A1246" s="8" t="str">
        <f ca="1">IFERROR(__xludf.DUMMYFUNCTION("""COMPUTED_VALUE"""),"20061214PAMCC")</f>
        <v>20061214PAMCC</v>
      </c>
      <c r="B1246" s="8" t="str">
        <f ca="1">IFERROR(__xludf.DUMMYFUNCTION("""COMPUTED_VALUE"""),"Rifle")</f>
        <v>Rifle</v>
      </c>
    </row>
    <row r="1247" spans="1:2" ht="12.75">
      <c r="A1247" s="8" t="str">
        <f ca="1">IFERROR(__xludf.DUMMYFUNCTION("""COMPUTED_VALUE"""),"20061213PABAB")</f>
        <v>20061213PABAB</v>
      </c>
      <c r="B1247" s="8" t="str">
        <f ca="1">IFERROR(__xludf.DUMMYFUNCTION("""COMPUTED_VALUE"""),"Other")</f>
        <v>Other</v>
      </c>
    </row>
    <row r="1248" spans="1:2" ht="12.75">
      <c r="A1248" s="8" t="str">
        <f ca="1">IFERROR(__xludf.DUMMYFUNCTION("""COMPUTED_VALUE"""),"20061212PASPS")</f>
        <v>20061212PASPS</v>
      </c>
      <c r="B1248" s="8" t="str">
        <f ca="1">IFERROR(__xludf.DUMMYFUNCTION("""COMPUTED_VALUE"""),"Rifle")</f>
        <v>Rifle</v>
      </c>
    </row>
    <row r="1249" spans="1:2" ht="12.75">
      <c r="A1249" s="8" t="str">
        <f ca="1">IFERROR(__xludf.DUMMYFUNCTION("""COMPUTED_VALUE"""),"20061211ILCLC")</f>
        <v>20061211ILCLC</v>
      </c>
      <c r="B1249" s="8" t="str">
        <f ca="1">IFERROR(__xludf.DUMMYFUNCTION("""COMPUTED_VALUE"""),"Handgun")</f>
        <v>Handgun</v>
      </c>
    </row>
    <row r="1250" spans="1:2" ht="12.75">
      <c r="A1250" s="8" t="str">
        <f ca="1">IFERROR(__xludf.DUMMYFUNCTION("""COMPUTED_VALUE"""),"20061207NENOO")</f>
        <v>20061207NENOO</v>
      </c>
      <c r="B1250" s="8" t="str">
        <f ca="1">IFERROR(__xludf.DUMMYFUNCTION("""COMPUTED_VALUE"""),"Handgun")</f>
        <v>Handgun</v>
      </c>
    </row>
    <row r="1251" spans="1:2" ht="12.75">
      <c r="A1251" s="8" t="str">
        <f ca="1">IFERROR(__xludf.DUMMYFUNCTION("""COMPUTED_VALUE"""),"20061201NCJOT")</f>
        <v>20061201NCJOT</v>
      </c>
      <c r="B1251" s="8" t="str">
        <f ca="1">IFERROR(__xludf.DUMMYFUNCTION("""COMPUTED_VALUE"""),"Handgun")</f>
        <v>Handgun</v>
      </c>
    </row>
    <row r="1252" spans="1:2" ht="12.75">
      <c r="A1252" s="8" t="str">
        <f ca="1">IFERROR(__xludf.DUMMYFUNCTION("""COMPUTED_VALUE"""),"20061122GASAA")</f>
        <v>20061122GASAA</v>
      </c>
      <c r="B1252" s="8" t="str">
        <f ca="1">IFERROR(__xludf.DUMMYFUNCTION("""COMPUTED_VALUE"""),"Handgun")</f>
        <v>Handgun</v>
      </c>
    </row>
    <row r="1253" spans="1:2" ht="12.75">
      <c r="A1253" s="8" t="str">
        <f ca="1">IFERROR(__xludf.DUMMYFUNCTION("""COMPUTED_VALUE"""),"20061111CALIO")</f>
        <v>20061111CALIO</v>
      </c>
      <c r="B1253" s="8" t="str">
        <f ca="1">IFERROR(__xludf.DUMMYFUNCTION("""COMPUTED_VALUE"""),"Handgun")</f>
        <v>Handgun</v>
      </c>
    </row>
    <row r="1254" spans="1:2" ht="12.75">
      <c r="A1254" s="8" t="str">
        <f ca="1">IFERROR(__xludf.DUMMYFUNCTION("""COMPUTED_VALUE"""),"20061031TNHAK")</f>
        <v>20061031TNHAK</v>
      </c>
      <c r="B1254" s="8" t="str">
        <f ca="1">IFERROR(__xludf.DUMMYFUNCTION("""COMPUTED_VALUE"""),"Handgun")</f>
        <v>Handgun</v>
      </c>
    </row>
    <row r="1255" spans="1:2" ht="12.75">
      <c r="A1255" s="8" t="str">
        <f ca="1">IFERROR(__xludf.DUMMYFUNCTION("""COMPUTED_VALUE"""),"20061017TXSEK")</f>
        <v>20061017TXSEK</v>
      </c>
      <c r="B1255" s="8" t="str">
        <f ca="1">IFERROR(__xludf.DUMMYFUNCTION("""COMPUTED_VALUE"""),"No Data")</f>
        <v>No Data</v>
      </c>
    </row>
    <row r="1256" spans="1:2" ht="12.75">
      <c r="A1256" s="8" t="str">
        <f ca="1">IFERROR(__xludf.DUMMYFUNCTION("""COMPUTED_VALUE"""),"20061012MDGRB")</f>
        <v>20061012MDGRB</v>
      </c>
      <c r="B1256" s="8" t="str">
        <f ca="1">IFERROR(__xludf.DUMMYFUNCTION("""COMPUTED_VALUE"""),"Handgun")</f>
        <v>Handgun</v>
      </c>
    </row>
    <row r="1257" spans="1:2" ht="12.75">
      <c r="A1257" s="8" t="str">
        <f ca="1">IFERROR(__xludf.DUMMYFUNCTION("""COMPUTED_VALUE"""),"20061010NYPOP")</f>
        <v>20061010NYPOP</v>
      </c>
      <c r="B1257" s="8" t="str">
        <f ca="1">IFERROR(__xludf.DUMMYFUNCTION("""COMPUTED_VALUE"""),"Other")</f>
        <v>Other</v>
      </c>
    </row>
    <row r="1258" spans="1:2" ht="12.75">
      <c r="A1258" s="8" t="str">
        <f ca="1">IFERROR(__xludf.DUMMYFUNCTION("""COMPUTED_VALUE"""),"20061009MOMEJ")</f>
        <v>20061009MOMEJ</v>
      </c>
      <c r="B1258" s="8" t="str">
        <f ca="1">IFERROR(__xludf.DUMMYFUNCTION("""COMPUTED_VALUE"""),"Rifle")</f>
        <v>Rifle</v>
      </c>
    </row>
    <row r="1259" spans="1:2" ht="12.75">
      <c r="A1259" s="8" t="str">
        <f ca="1">IFERROR(__xludf.DUMMYFUNCTION("""COMPUTED_VALUE"""),"20061002PAWEN")</f>
        <v>20061002PAWEN</v>
      </c>
      <c r="B1259" s="8" t="str">
        <f ca="1">IFERROR(__xludf.DUMMYFUNCTION("""COMPUTED_VALUE"""),"Multiple Unknown")</f>
        <v>Multiple Unknown</v>
      </c>
    </row>
    <row r="1260" spans="1:2" ht="12.75">
      <c r="A1260" s="8" t="str">
        <f ca="1">IFERROR(__xludf.DUMMYFUNCTION("""COMPUTED_VALUE"""),"20060929WIWEC")</f>
        <v>20060929WIWEC</v>
      </c>
      <c r="B1260" s="8" t="str">
        <f ca="1">IFERROR(__xludf.DUMMYFUNCTION("""COMPUTED_VALUE"""),"Multiple Unknown")</f>
        <v>Multiple Unknown</v>
      </c>
    </row>
    <row r="1261" spans="1:2" ht="12.75">
      <c r="A1261" s="8" t="str">
        <f ca="1">IFERROR(__xludf.DUMMYFUNCTION("""COMPUTED_VALUE"""),"20060927COPLB")</f>
        <v>20060927COPLB</v>
      </c>
      <c r="B1261" s="8" t="str">
        <f ca="1">IFERROR(__xludf.DUMMYFUNCTION("""COMPUTED_VALUE"""),"Multiple Handguns")</f>
        <v>Multiple Handguns</v>
      </c>
    </row>
    <row r="1262" spans="1:2" ht="12.75">
      <c r="A1262" s="8" t="str">
        <f ca="1">IFERROR(__xludf.DUMMYFUNCTION("""COMPUTED_VALUE"""),"20060921DCCAW")</f>
        <v>20060921DCCAW</v>
      </c>
      <c r="B1262" s="8" t="str">
        <f ca="1">IFERROR(__xludf.DUMMYFUNCTION("""COMPUTED_VALUE"""),"Handgun")</f>
        <v>Handgun</v>
      </c>
    </row>
    <row r="1263" spans="1:2" ht="12.75">
      <c r="A1263" s="8" t="str">
        <f ca="1">IFERROR(__xludf.DUMMYFUNCTION("""COMPUTED_VALUE"""),"20060913MOWEC")</f>
        <v>20060913MOWEC</v>
      </c>
      <c r="B1263" s="8" t="str">
        <f ca="1">IFERROR(__xludf.DUMMYFUNCTION("""COMPUTED_VALUE"""),"Handgun")</f>
        <v>Handgun</v>
      </c>
    </row>
    <row r="1264" spans="1:2" ht="12.75">
      <c r="A1264" s="8" t="str">
        <f ca="1">IFERROR(__xludf.DUMMYFUNCTION("""COMPUTED_VALUE"""),"20060908TXSOF")</f>
        <v>20060908TXSOF</v>
      </c>
      <c r="B1264" s="8" t="str">
        <f ca="1">IFERROR(__xludf.DUMMYFUNCTION("""COMPUTED_VALUE"""),"Handgun")</f>
        <v>Handgun</v>
      </c>
    </row>
    <row r="1265" spans="1:2" ht="12.75">
      <c r="A1265" s="8" t="str">
        <f ca="1">IFERROR(__xludf.DUMMYFUNCTION("""COMPUTED_VALUE"""),"20060905TNKIM")</f>
        <v>20060905TNKIM</v>
      </c>
      <c r="B1265" s="8" t="str">
        <f ca="1">IFERROR(__xludf.DUMMYFUNCTION("""COMPUTED_VALUE"""),"Handgun")</f>
        <v>Handgun</v>
      </c>
    </row>
    <row r="1266" spans="1:2" ht="12.75">
      <c r="A1266" s="8" t="str">
        <f ca="1">IFERROR(__xludf.DUMMYFUNCTION("""COMPUTED_VALUE"""),"20060831ALOXO")</f>
        <v>20060831ALOXO</v>
      </c>
      <c r="B1266" s="8" t="str">
        <f ca="1">IFERROR(__xludf.DUMMYFUNCTION("""COMPUTED_VALUE"""),"Handgun")</f>
        <v>Handgun</v>
      </c>
    </row>
    <row r="1267" spans="1:2" ht="12.75">
      <c r="A1267" s="8" t="str">
        <f ca="1">IFERROR(__xludf.DUMMYFUNCTION("""COMPUTED_VALUE"""),"20060830NCORH")</f>
        <v>20060830NCORH</v>
      </c>
      <c r="B1267" s="8" t="str">
        <f ca="1">IFERROR(__xludf.DUMMYFUNCTION("""COMPUTED_VALUE"""),"Multiple Unknown")</f>
        <v>Multiple Unknown</v>
      </c>
    </row>
    <row r="1268" spans="1:2" ht="12.75">
      <c r="A1268" s="8" t="str">
        <f ca="1">IFERROR(__xludf.DUMMYFUNCTION("""COMPUTED_VALUE"""),"20060829DCANW")</f>
        <v>20060829DCANW</v>
      </c>
      <c r="B1268" s="8" t="str">
        <f ca="1">IFERROR(__xludf.DUMMYFUNCTION("""COMPUTED_VALUE"""),"Handgun")</f>
        <v>Handgun</v>
      </c>
    </row>
    <row r="1269" spans="1:2" ht="12.75">
      <c r="A1269" s="8" t="str">
        <f ca="1">IFERROR(__xludf.DUMMYFUNCTION("""COMPUTED_VALUE"""),"20060824VTESE")</f>
        <v>20060824VTESE</v>
      </c>
      <c r="B1269" s="8" t="str">
        <f ca="1">IFERROR(__xludf.DUMMYFUNCTION("""COMPUTED_VALUE"""),"Handgun")</f>
        <v>Handgun</v>
      </c>
    </row>
    <row r="1270" spans="1:2" ht="12.75">
      <c r="A1270" s="8" t="str">
        <f ca="1">IFERROR(__xludf.DUMMYFUNCTION("""COMPUTED_VALUE"""),"20060821INCAN")</f>
        <v>20060821INCAN</v>
      </c>
      <c r="B1270" s="8" t="str">
        <f ca="1">IFERROR(__xludf.DUMMYFUNCTION("""COMPUTED_VALUE"""),"Handgun")</f>
        <v>Handgun</v>
      </c>
    </row>
    <row r="1271" spans="1:2" ht="12.75">
      <c r="A1271" s="8" t="str">
        <f ca="1">IFERROR(__xludf.DUMMYFUNCTION("""COMPUTED_VALUE"""),"20060820GALYH")</f>
        <v>20060820GALYH</v>
      </c>
      <c r="B1271" s="8" t="str">
        <f ca="1">IFERROR(__xludf.DUMMYFUNCTION("""COMPUTED_VALUE"""),"Handgun")</f>
        <v>Handgun</v>
      </c>
    </row>
    <row r="1272" spans="1:2" ht="12.75">
      <c r="A1272" s="8" t="str">
        <f ca="1">IFERROR(__xludf.DUMMYFUNCTION("""COMPUTED_VALUE"""),"20060819OHSOY")</f>
        <v>20060819OHSOY</v>
      </c>
      <c r="B1272" s="8" t="str">
        <f ca="1">IFERROR(__xludf.DUMMYFUNCTION("""COMPUTED_VALUE"""),"Handgun")</f>
        <v>Handgun</v>
      </c>
    </row>
    <row r="1273" spans="1:2" ht="12.75">
      <c r="A1273" s="8" t="str">
        <f ca="1">IFERROR(__xludf.DUMMYFUNCTION("""COMPUTED_VALUE"""),"20060817TXMEA")</f>
        <v>20060817TXMEA</v>
      </c>
      <c r="B1273" s="8" t="str">
        <f ca="1">IFERROR(__xludf.DUMMYFUNCTION("""COMPUTED_VALUE"""),"Handgun")</f>
        <v>Handgun</v>
      </c>
    </row>
    <row r="1274" spans="1:2" ht="12.75">
      <c r="A1274" s="8" t="str">
        <f ca="1">IFERROR(__xludf.DUMMYFUNCTION("""COMPUTED_VALUE"""),"20060815KYJTV")</f>
        <v>20060815KYJTV</v>
      </c>
      <c r="B1274" s="8" t="str">
        <f ca="1">IFERROR(__xludf.DUMMYFUNCTION("""COMPUTED_VALUE"""),"Handgun")</f>
        <v>Handgun</v>
      </c>
    </row>
    <row r="1275" spans="1:2" ht="12.75">
      <c r="A1275" s="8" t="str">
        <f ca="1">IFERROR(__xludf.DUMMYFUNCTION("""COMPUTED_VALUE"""),"20060731FLYOT")</f>
        <v>20060731FLYOT</v>
      </c>
      <c r="B1275" s="8" t="str">
        <f ca="1">IFERROR(__xludf.DUMMYFUNCTION("""COMPUTED_VALUE"""),"Handgun")</f>
        <v>Handgun</v>
      </c>
    </row>
    <row r="1276" spans="1:2" ht="12.75">
      <c r="A1276" s="8" t="str">
        <f ca="1">IFERROR(__xludf.DUMMYFUNCTION("""COMPUTED_VALUE"""),"20060615MIPED")</f>
        <v>20060615MIPED</v>
      </c>
      <c r="B1276" s="8" t="str">
        <f ca="1">IFERROR(__xludf.DUMMYFUNCTION("""COMPUTED_VALUE"""),"Handgun")</f>
        <v>Handgun</v>
      </c>
    </row>
    <row r="1277" spans="1:2" ht="12.75">
      <c r="A1277" s="8" t="str">
        <f ca="1">IFERROR(__xludf.DUMMYFUNCTION("""COMPUTED_VALUE"""),"20060606INWIG")</f>
        <v>20060606INWIG</v>
      </c>
      <c r="B1277" s="8" t="str">
        <f ca="1">IFERROR(__xludf.DUMMYFUNCTION("""COMPUTED_VALUE"""),"Handgun")</f>
        <v>Handgun</v>
      </c>
    </row>
    <row r="1278" spans="1:2" ht="12.75">
      <c r="A1278" s="8" t="str">
        <f ca="1">IFERROR(__xludf.DUMMYFUNCTION("""COMPUTED_VALUE"""),"20060605CAVEL")</f>
        <v>20060605CAVEL</v>
      </c>
      <c r="B1278" s="8" t="str">
        <f ca="1">IFERROR(__xludf.DUMMYFUNCTION("""COMPUTED_VALUE"""),"Handgun")</f>
        <v>Handgun</v>
      </c>
    </row>
    <row r="1279" spans="1:2" ht="12.75">
      <c r="A1279" s="8" t="str">
        <f ca="1">IFERROR(__xludf.DUMMYFUNCTION("""COMPUTED_VALUE"""),"20060525PANON")</f>
        <v>20060525PANON</v>
      </c>
      <c r="B1279" s="8" t="str">
        <f ca="1">IFERROR(__xludf.DUMMYFUNCTION("""COMPUTED_VALUE"""),"Rifle")</f>
        <v>Rifle</v>
      </c>
    </row>
    <row r="1280" spans="1:2" ht="12.75">
      <c r="A1280" s="8" t="str">
        <f ca="1">IFERROR(__xludf.DUMMYFUNCTION("""COMPUTED_VALUE"""),"20060522SCBUI")</f>
        <v>20060522SCBUI</v>
      </c>
      <c r="B1280" s="8" t="str">
        <f ca="1">IFERROR(__xludf.DUMMYFUNCTION("""COMPUTED_VALUE"""),"Handgun")</f>
        <v>Handgun</v>
      </c>
    </row>
    <row r="1281" spans="1:2" ht="12.75">
      <c r="A1281" s="8" t="str">
        <f ca="1">IFERROR(__xludf.DUMMYFUNCTION("""COMPUTED_VALUE"""),"20060505FLPAM")</f>
        <v>20060505FLPAM</v>
      </c>
      <c r="B1281" s="8" t="str">
        <f ca="1">IFERROR(__xludf.DUMMYFUNCTION("""COMPUTED_VALUE"""),"Handgun")</f>
        <v>Handgun</v>
      </c>
    </row>
    <row r="1282" spans="1:2" ht="12.75">
      <c r="A1282" s="8" t="str">
        <f ca="1">IFERROR(__xludf.DUMMYFUNCTION("""COMPUTED_VALUE"""),"20060424NCEAC")</f>
        <v>20060424NCEAC</v>
      </c>
      <c r="B1282" s="8" t="str">
        <f ca="1">IFERROR(__xludf.DUMMYFUNCTION("""COMPUTED_VALUE"""),"Shotgun")</f>
        <v>Shotgun</v>
      </c>
    </row>
    <row r="1283" spans="1:2" ht="12.75">
      <c r="A1283" s="8" t="str">
        <f ca="1">IFERROR(__xludf.DUMMYFUNCTION("""COMPUTED_VALUE"""),"20060418TXWEH")</f>
        <v>20060418TXWEH</v>
      </c>
      <c r="B1283" s="8" t="str">
        <f ca="1">IFERROR(__xludf.DUMMYFUNCTION("""COMPUTED_VALUE"""),"Handgun")</f>
        <v>Handgun</v>
      </c>
    </row>
    <row r="1284" spans="1:2" ht="12.75">
      <c r="A1284" s="8" t="str">
        <f ca="1">IFERROR(__xludf.DUMMYFUNCTION("""COMPUTED_VALUE"""),"20060405DCROW")</f>
        <v>20060405DCROW</v>
      </c>
      <c r="B1284" s="8" t="str">
        <f ca="1">IFERROR(__xludf.DUMMYFUNCTION("""COMPUTED_VALUE"""),"No Data")</f>
        <v>No Data</v>
      </c>
    </row>
    <row r="1285" spans="1:2" ht="12.75">
      <c r="A1285" s="8" t="str">
        <f ca="1">IFERROR(__xludf.DUMMYFUNCTION("""COMPUTED_VALUE"""),"20060314NVPIR")</f>
        <v>20060314NVPIR</v>
      </c>
      <c r="B1285" s="8" t="str">
        <f ca="1">IFERROR(__xludf.DUMMYFUNCTION("""COMPUTED_VALUE"""),"Handgun")</f>
        <v>Handgun</v>
      </c>
    </row>
    <row r="1286" spans="1:2" ht="12.75">
      <c r="A1286" s="8" t="str">
        <f ca="1">IFERROR(__xludf.DUMMYFUNCTION("""COMPUTED_VALUE"""),"20060310NYISN")</f>
        <v>20060310NYISN</v>
      </c>
      <c r="B1286" s="8" t="str">
        <f ca="1">IFERROR(__xludf.DUMMYFUNCTION("""COMPUTED_VALUE"""),"Other")</f>
        <v>Other</v>
      </c>
    </row>
    <row r="1287" spans="1:2" ht="12.75">
      <c r="A1287" s="8" t="str">
        <f ca="1">IFERROR(__xludf.DUMMYFUNCTION("""COMPUTED_VALUE"""),"20060223ORROR")</f>
        <v>20060223ORROR</v>
      </c>
      <c r="B1287" s="8" t="str">
        <f ca="1">IFERROR(__xludf.DUMMYFUNCTION("""COMPUTED_VALUE"""),"Handgun")</f>
        <v>Handgun</v>
      </c>
    </row>
    <row r="1288" spans="1:2" ht="12.75">
      <c r="A1288" s="8" t="str">
        <f ca="1">IFERROR(__xludf.DUMMYFUNCTION("""COMPUTED_VALUE"""),"20060221PAWEP")</f>
        <v>20060221PAWEP</v>
      </c>
      <c r="B1288" s="8" t="str">
        <f ca="1">IFERROR(__xludf.DUMMYFUNCTION("""COMPUTED_VALUE"""),"Rifle")</f>
        <v>Rifle</v>
      </c>
    </row>
    <row r="1289" spans="1:2" ht="12.75">
      <c r="A1289" s="8" t="str">
        <f ca="1">IFERROR(__xludf.DUMMYFUNCTION("""COMPUTED_VALUE"""),"20060215PAWEY")</f>
        <v>20060215PAWEY</v>
      </c>
      <c r="B1289" s="8" t="str">
        <f ca="1">IFERROR(__xludf.DUMMYFUNCTION("""COMPUTED_VALUE"""),"Handgun")</f>
        <v>Handgun</v>
      </c>
    </row>
    <row r="1290" spans="1:2" ht="12.75">
      <c r="A1290" s="8" t="str">
        <f ca="1">IFERROR(__xludf.DUMMYFUNCTION("""COMPUTED_VALUE"""),"20060209DEWIN")</f>
        <v>20060209DEWIN</v>
      </c>
      <c r="B1290" s="8" t="str">
        <f ca="1">IFERROR(__xludf.DUMMYFUNCTION("""COMPUTED_VALUE"""),"Handgun")</f>
        <v>Handgun</v>
      </c>
    </row>
    <row r="1291" spans="1:2" ht="12.75">
      <c r="A1291" s="8" t="str">
        <f ca="1">IFERROR(__xludf.DUMMYFUNCTION("""COMPUTED_VALUE"""),"20060203CALOC")</f>
        <v>20060203CALOC</v>
      </c>
      <c r="B1291" s="8" t="str">
        <f ca="1">IFERROR(__xludf.DUMMYFUNCTION("""COMPUTED_VALUE"""),"Handgun")</f>
        <v>Handgun</v>
      </c>
    </row>
    <row r="1292" spans="1:2" ht="12.75">
      <c r="A1292" s="8" t="str">
        <f ca="1">IFERROR(__xludf.DUMMYFUNCTION("""COMPUTED_VALUE"""),"20060130MTCMG")</f>
        <v>20060130MTCMG</v>
      </c>
      <c r="B1292" s="8" t="str">
        <f ca="1">IFERROR(__xludf.DUMMYFUNCTION("""COMPUTED_VALUE"""),"Handgun")</f>
        <v>Handgun</v>
      </c>
    </row>
    <row r="1293" spans="1:2" ht="12.75">
      <c r="A1293" s="8" t="str">
        <f ca="1">IFERROR(__xludf.DUMMYFUNCTION("""COMPUTED_VALUE"""),"20060127TXLAG")</f>
        <v>20060127TXLAG</v>
      </c>
      <c r="B1293" s="8" t="str">
        <f ca="1">IFERROR(__xludf.DUMMYFUNCTION("""COMPUTED_VALUE"""),"Handgun")</f>
        <v>Handgun</v>
      </c>
    </row>
    <row r="1294" spans="1:2" ht="12.75">
      <c r="A1294" s="8" t="str">
        <f ca="1">IFERROR(__xludf.DUMMYFUNCTION("""COMPUTED_VALUE"""),"20060123CAWIV")</f>
        <v>20060123CAWIV</v>
      </c>
      <c r="B1294" s="8" t="str">
        <f ca="1">IFERROR(__xludf.DUMMYFUNCTION("""COMPUTED_VALUE"""),"Handgun")</f>
        <v>Handgun</v>
      </c>
    </row>
    <row r="1295" spans="1:2" ht="12.75">
      <c r="A1295" s="8" t="str">
        <f ca="1">IFERROR(__xludf.DUMMYFUNCTION("""COMPUTED_VALUE"""),"20060119OHWIC")</f>
        <v>20060119OHWIC</v>
      </c>
      <c r="B1295" s="8" t="str">
        <f ca="1">IFERROR(__xludf.DUMMYFUNCTION("""COMPUTED_VALUE"""),"No Data")</f>
        <v>No Data</v>
      </c>
    </row>
    <row r="1296" spans="1:2" ht="12.75">
      <c r="A1296" s="8" t="str">
        <f ca="1">IFERROR(__xludf.DUMMYFUNCTION("""COMPUTED_VALUE"""),"20060118VAINC")</f>
        <v>20060118VAINC</v>
      </c>
      <c r="B1296" s="8" t="str">
        <f ca="1">IFERROR(__xludf.DUMMYFUNCTION("""COMPUTED_VALUE"""),"Handgun")</f>
        <v>Handgun</v>
      </c>
    </row>
    <row r="1297" spans="1:2" ht="12.75">
      <c r="A1297" s="8" t="str">
        <f ca="1">IFERROR(__xludf.DUMMYFUNCTION("""COMPUTED_VALUE"""),"20060118TXPAA")</f>
        <v>20060118TXPAA</v>
      </c>
      <c r="B1297" s="8" t="str">
        <f ca="1">IFERROR(__xludf.DUMMYFUNCTION("""COMPUTED_VALUE"""),"Handgun")</f>
        <v>Handgun</v>
      </c>
    </row>
    <row r="1298" spans="1:2" ht="12.75">
      <c r="A1298" s="8" t="str">
        <f ca="1">IFERROR(__xludf.DUMMYFUNCTION("""COMPUTED_VALUE"""),"20060118MTFRA")</f>
        <v>20060118MTFRA</v>
      </c>
      <c r="B1298" s="8" t="str">
        <f ca="1">IFERROR(__xludf.DUMMYFUNCTION("""COMPUTED_VALUE"""),"Other")</f>
        <v>Other</v>
      </c>
    </row>
    <row r="1299" spans="1:2" ht="12.75">
      <c r="A1299" s="8" t="str">
        <f ca="1">IFERROR(__xludf.DUMMYFUNCTION("""COMPUTED_VALUE"""),"20060113MIOSD")</f>
        <v>20060113MIOSD</v>
      </c>
      <c r="B1299" s="8" t="str">
        <f ca="1">IFERROR(__xludf.DUMMYFUNCTION("""COMPUTED_VALUE"""),"Handgun")</f>
        <v>Handgun</v>
      </c>
    </row>
    <row r="1300" spans="1:2" ht="12.75">
      <c r="A1300" s="8" t="str">
        <f ca="1">IFERROR(__xludf.DUMMYFUNCTION("""COMPUTED_VALUE"""),"20060113FLMIL")</f>
        <v>20060113FLMIL</v>
      </c>
      <c r="B1300" s="8" t="str">
        <f ca="1">IFERROR(__xludf.DUMMYFUNCTION("""COMPUTED_VALUE"""),"Rifle")</f>
        <v>Rifle</v>
      </c>
    </row>
    <row r="1301" spans="1:2" ht="12.75">
      <c r="A1301" s="8" t="str">
        <f ca="1">IFERROR(__xludf.DUMMYFUNCTION("""COMPUTED_VALUE"""),"20060113ALPIP")</f>
        <v>20060113ALPIP</v>
      </c>
      <c r="B1301" s="8" t="str">
        <f ca="1">IFERROR(__xludf.DUMMYFUNCTION("""COMPUTED_VALUE"""),"Handgun")</f>
        <v>Handgun</v>
      </c>
    </row>
    <row r="1302" spans="1:2" ht="12.75">
      <c r="A1302" s="8" t="str">
        <f ca="1">IFERROR(__xludf.DUMMYFUNCTION("""COMPUTED_VALUE"""),"20060111WIMAM")</f>
        <v>20060111WIMAM</v>
      </c>
      <c r="B1302" s="8" t="str">
        <f ca="1">IFERROR(__xludf.DUMMYFUNCTION("""COMPUTED_VALUE"""),"No Data")</f>
        <v>No Data</v>
      </c>
    </row>
    <row r="1303" spans="1:2" ht="12.75">
      <c r="A1303" s="8" t="str">
        <f ca="1">IFERROR(__xludf.DUMMYFUNCTION("""COMPUTED_VALUE"""),"20060110DEMOW")</f>
        <v>20060110DEMOW</v>
      </c>
      <c r="B1303" s="8" t="str">
        <f ca="1">IFERROR(__xludf.DUMMYFUNCTION("""COMPUTED_VALUE"""),"Handgun")</f>
        <v>Handgun</v>
      </c>
    </row>
    <row r="1304" spans="1:2" ht="12.75">
      <c r="A1304" s="8" t="str">
        <f ca="1">IFERROR(__xludf.DUMMYFUNCTION("""COMPUTED_VALUE"""),"20060103NJLIJ")</f>
        <v>20060103NJLIJ</v>
      </c>
      <c r="B1304" s="8" t="str">
        <f ca="1">IFERROR(__xludf.DUMMYFUNCTION("""COMPUTED_VALUE"""),"Handgun")</f>
        <v>Handgun</v>
      </c>
    </row>
    <row r="1305" spans="1:2" ht="12.75">
      <c r="A1305" s="8" t="str">
        <f ca="1">IFERROR(__xludf.DUMMYFUNCTION("""COMPUTED_VALUE"""),"20051206MICED")</f>
        <v>20051206MICED</v>
      </c>
      <c r="B1305" s="8" t="str">
        <f ca="1">IFERROR(__xludf.DUMMYFUNCTION("""COMPUTED_VALUE"""),"Handgun")</f>
        <v>Handgun</v>
      </c>
    </row>
    <row r="1306" spans="1:2" ht="12.75">
      <c r="A1306" s="8" t="str">
        <f ca="1">IFERROR(__xludf.DUMMYFUNCTION("""COMPUTED_VALUE"""),"20051206CASAG")</f>
        <v>20051206CASAG</v>
      </c>
      <c r="B1306" s="8" t="str">
        <f ca="1">IFERROR(__xludf.DUMMYFUNCTION("""COMPUTED_VALUE"""),"Handgun")</f>
        <v>Handgun</v>
      </c>
    </row>
    <row r="1307" spans="1:2" ht="12.75">
      <c r="A1307" s="8" t="str">
        <f ca="1">IFERROR(__xludf.DUMMYFUNCTION("""COMPUTED_VALUE"""),"20051205MABOR")</f>
        <v>20051205MABOR</v>
      </c>
      <c r="B1307" s="8" t="str">
        <f ca="1">IFERROR(__xludf.DUMMYFUNCTION("""COMPUTED_VALUE"""),"Handgun")</f>
        <v>Handgun</v>
      </c>
    </row>
    <row r="1308" spans="1:2" ht="12.75">
      <c r="A1308" s="8" t="str">
        <f ca="1">IFERROR(__xludf.DUMMYFUNCTION("""COMPUTED_VALUE"""),"20051116TXIRS")</f>
        <v>20051116TXIRS</v>
      </c>
      <c r="B1308" s="8" t="str">
        <f ca="1">IFERROR(__xludf.DUMMYFUNCTION("""COMPUTED_VALUE"""),"Handgun")</f>
        <v>Handgun</v>
      </c>
    </row>
    <row r="1309" spans="1:2" ht="12.75">
      <c r="A1309" s="8" t="str">
        <f ca="1">IFERROR(__xludf.DUMMYFUNCTION("""COMPUTED_VALUE"""),"20051115FLPAM")</f>
        <v>20051115FLPAM</v>
      </c>
      <c r="B1309" s="8" t="str">
        <f ca="1">IFERROR(__xludf.DUMMYFUNCTION("""COMPUTED_VALUE"""),"Handgun")</f>
        <v>Handgun</v>
      </c>
    </row>
    <row r="1310" spans="1:2" ht="12.75">
      <c r="A1310" s="8" t="str">
        <f ca="1">IFERROR(__xludf.DUMMYFUNCTION("""COMPUTED_VALUE"""),"20051108TNCAJ")</f>
        <v>20051108TNCAJ</v>
      </c>
      <c r="B1310" s="8" t="str">
        <f ca="1">IFERROR(__xludf.DUMMYFUNCTION("""COMPUTED_VALUE"""),"Handgun")</f>
        <v>Handgun</v>
      </c>
    </row>
    <row r="1311" spans="1:2" ht="12.75">
      <c r="A1311" s="8" t="str">
        <f ca="1">IFERROR(__xludf.DUMMYFUNCTION("""COMPUTED_VALUE"""),"20051028NYFAF")</f>
        <v>20051028NYFAF</v>
      </c>
      <c r="B1311" s="8" t="str">
        <f ca="1">IFERROR(__xludf.DUMMYFUNCTION("""COMPUTED_VALUE"""),"Handgun")</f>
        <v>Handgun</v>
      </c>
    </row>
    <row r="1312" spans="1:2" ht="12.75">
      <c r="A1312" s="8" t="str">
        <f ca="1">IFERROR(__xludf.DUMMYFUNCTION("""COMPUTED_VALUE"""),"20051028MDANA")</f>
        <v>20051028MDANA</v>
      </c>
      <c r="B1312" s="8" t="str">
        <f ca="1">IFERROR(__xludf.DUMMYFUNCTION("""COMPUTED_VALUE"""),"Handgun")</f>
        <v>Handgun</v>
      </c>
    </row>
    <row r="1313" spans="1:2" ht="12.75">
      <c r="A1313" s="8" t="str">
        <f ca="1">IFERROR(__xludf.DUMMYFUNCTION("""COMPUTED_VALUE"""),"20051027CABIF")</f>
        <v>20051027CABIF</v>
      </c>
      <c r="B1313" s="8" t="str">
        <f ca="1">IFERROR(__xludf.DUMMYFUNCTION("""COMPUTED_VALUE"""),"No Data")</f>
        <v>No Data</v>
      </c>
    </row>
    <row r="1314" spans="1:2" ht="12.75">
      <c r="A1314" s="8" t="str">
        <f ca="1">IFERROR(__xludf.DUMMYFUNCTION("""COMPUTED_VALUE"""),"20051020MISAS")</f>
        <v>20051020MISAS</v>
      </c>
      <c r="B1314" s="8" t="str">
        <f ca="1">IFERROR(__xludf.DUMMYFUNCTION("""COMPUTED_VALUE"""),"Handgun")</f>
        <v>Handgun</v>
      </c>
    </row>
    <row r="1315" spans="1:2" ht="12.75">
      <c r="A1315" s="8" t="str">
        <f ca="1">IFERROR(__xludf.DUMMYFUNCTION("""COMPUTED_VALUE"""),"20051019CASAS")</f>
        <v>20051019CASAS</v>
      </c>
      <c r="B1315" s="8" t="str">
        <f ca="1">IFERROR(__xludf.DUMMYFUNCTION("""COMPUTED_VALUE"""),"No Data")</f>
        <v>No Data</v>
      </c>
    </row>
    <row r="1316" spans="1:2" ht="12.75">
      <c r="A1316" s="8" t="str">
        <f ca="1">IFERROR(__xludf.DUMMYFUNCTION("""COMPUTED_VALUE"""),"20051014NYSAN")</f>
        <v>20051014NYSAN</v>
      </c>
      <c r="B1316" s="8" t="str">
        <f ca="1">IFERROR(__xludf.DUMMYFUNCTION("""COMPUTED_VALUE"""),"Handgun")</f>
        <v>Handgun</v>
      </c>
    </row>
    <row r="1317" spans="1:2" ht="12.75">
      <c r="A1317" s="8" t="str">
        <f ca="1">IFERROR(__xludf.DUMMYFUNCTION("""COMPUTED_VALUE"""),"20051011MIFAF")</f>
        <v>20051011MIFAF</v>
      </c>
      <c r="B1317" s="8" t="str">
        <f ca="1">IFERROR(__xludf.DUMMYFUNCTION("""COMPUTED_VALUE"""),"Shotgun")</f>
        <v>Shotgun</v>
      </c>
    </row>
    <row r="1318" spans="1:2" ht="12.75">
      <c r="A1318" s="8" t="str">
        <f ca="1">IFERROR(__xludf.DUMMYFUNCTION("""COMPUTED_VALUE"""),"20050924MISAS")</f>
        <v>20050924MISAS</v>
      </c>
      <c r="B1318" s="8" t="str">
        <f ca="1">IFERROR(__xludf.DUMMYFUNCTION("""COMPUTED_VALUE"""),"No Data")</f>
        <v>No Data</v>
      </c>
    </row>
    <row r="1319" spans="1:2" ht="12.75">
      <c r="A1319" s="8" t="str">
        <f ca="1">IFERROR(__xludf.DUMMYFUNCTION("""COMPUTED_VALUE"""),"20050913ILHAC")</f>
        <v>20050913ILHAC</v>
      </c>
      <c r="B1319" s="8" t="str">
        <f ca="1">IFERROR(__xludf.DUMMYFUNCTION("""COMPUTED_VALUE"""),"Handgun")</f>
        <v>Handgun</v>
      </c>
    </row>
    <row r="1320" spans="1:2" ht="12.75">
      <c r="A1320" s="8" t="str">
        <f ca="1">IFERROR(__xludf.DUMMYFUNCTION("""COMPUTED_VALUE"""),"20050902FLSOJ")</f>
        <v>20050902FLSOJ</v>
      </c>
      <c r="B1320" s="8" t="str">
        <f ca="1">IFERROR(__xludf.DUMMYFUNCTION("""COMPUTED_VALUE"""),"Handgun")</f>
        <v>Handgun</v>
      </c>
    </row>
    <row r="1321" spans="1:2" ht="12.75">
      <c r="A1321" s="8" t="str">
        <f ca="1">IFERROR(__xludf.DUMMYFUNCTION("""COMPUTED_VALUE"""),"20050901AKDIA")</f>
        <v>20050901AKDIA</v>
      </c>
      <c r="B1321" s="8" t="str">
        <f ca="1">IFERROR(__xludf.DUMMYFUNCTION("""COMPUTED_VALUE"""),"Handgun")</f>
        <v>Handgun</v>
      </c>
    </row>
    <row r="1322" spans="1:2" ht="12.75">
      <c r="A1322" s="8" t="str">
        <f ca="1">IFERROR(__xludf.DUMMYFUNCTION("""COMPUTED_VALUE"""),"20050825TNMAD")</f>
        <v>20050825TNMAD</v>
      </c>
      <c r="B1322" s="8" t="str">
        <f ca="1">IFERROR(__xludf.DUMMYFUNCTION("""COMPUTED_VALUE"""),"Handgun")</f>
        <v>Handgun</v>
      </c>
    </row>
    <row r="1323" spans="1:2" ht="12.75">
      <c r="A1323" s="8" t="str">
        <f ca="1">IFERROR(__xludf.DUMMYFUNCTION("""COMPUTED_VALUE"""),"20050819GAMOM")</f>
        <v>20050819GAMOM</v>
      </c>
      <c r="B1323" s="8" t="str">
        <f ca="1">IFERROR(__xludf.DUMMYFUNCTION("""COMPUTED_VALUE"""),"Handgun")</f>
        <v>Handgun</v>
      </c>
    </row>
    <row r="1324" spans="1:2" ht="12.75">
      <c r="A1324" s="8" t="str">
        <f ca="1">IFERROR(__xludf.DUMMYFUNCTION("""COMPUTED_VALUE"""),"20050817CAPLB")</f>
        <v>20050817CAPLB</v>
      </c>
      <c r="B1324" s="8" t="str">
        <f ca="1">IFERROR(__xludf.DUMMYFUNCTION("""COMPUTED_VALUE"""),"Handgun")</f>
        <v>Handgun</v>
      </c>
    </row>
    <row r="1325" spans="1:2" ht="12.75">
      <c r="A1325" s="8" t="str">
        <f ca="1">IFERROR(__xludf.DUMMYFUNCTION("""COMPUTED_VALUE"""),"20050816VICOE")</f>
        <v>20050816VICOE</v>
      </c>
      <c r="B1325" s="8" t="str">
        <f ca="1">IFERROR(__xludf.DUMMYFUNCTION("""COMPUTED_VALUE"""),"No Data")</f>
        <v>No Data</v>
      </c>
    </row>
    <row r="1326" spans="1:2" ht="12.75">
      <c r="A1326" s="8" t="str">
        <f ca="1">IFERROR(__xludf.DUMMYFUNCTION("""COMPUTED_VALUE"""),"20050718NJWEN")</f>
        <v>20050718NJWEN</v>
      </c>
      <c r="B1326" s="8" t="str">
        <f ca="1">IFERROR(__xludf.DUMMYFUNCTION("""COMPUTED_VALUE"""),"Handgun")</f>
        <v>Handgun</v>
      </c>
    </row>
    <row r="1327" spans="1:2" ht="12.75">
      <c r="A1327" s="8" t="str">
        <f ca="1">IFERROR(__xludf.DUMMYFUNCTION("""COMPUTED_VALUE"""),"20050612NJBAA")</f>
        <v>20050612NJBAA</v>
      </c>
      <c r="B1327" s="8" t="str">
        <f ca="1">IFERROR(__xludf.DUMMYFUNCTION("""COMPUTED_VALUE"""),"Handgun")</f>
        <v>Handgun</v>
      </c>
    </row>
    <row r="1328" spans="1:2" ht="12.75">
      <c r="A1328" s="8" t="str">
        <f ca="1">IFERROR(__xludf.DUMMYFUNCTION("""COMPUTED_VALUE"""),"20050608NYARP")</f>
        <v>20050608NYARP</v>
      </c>
      <c r="B1328" s="8" t="str">
        <f ca="1">IFERROR(__xludf.DUMMYFUNCTION("""COMPUTED_VALUE"""),"Other")</f>
        <v>Other</v>
      </c>
    </row>
    <row r="1329" spans="1:2" ht="12.75">
      <c r="A1329" s="8" t="str">
        <f ca="1">IFERROR(__xludf.DUMMYFUNCTION("""COMPUTED_VALUE"""),"20050524LABOS")</f>
        <v>20050524LABOS</v>
      </c>
      <c r="B1329" s="8" t="str">
        <f ca="1">IFERROR(__xludf.DUMMYFUNCTION("""COMPUTED_VALUE"""),"Handgun")</f>
        <v>Handgun</v>
      </c>
    </row>
    <row r="1330" spans="1:2" ht="12.75">
      <c r="A1330" s="8" t="str">
        <f ca="1">IFERROR(__xludf.DUMMYFUNCTION("""COMPUTED_VALUE"""),"20050524COACD")</f>
        <v>20050524COACD</v>
      </c>
      <c r="B1330" s="8" t="str">
        <f ca="1">IFERROR(__xludf.DUMMYFUNCTION("""COMPUTED_VALUE"""),"Other")</f>
        <v>Other</v>
      </c>
    </row>
    <row r="1331" spans="1:2" ht="12.75">
      <c r="A1331" s="8" t="str">
        <f ca="1">IFERROR(__xludf.DUMMYFUNCTION("""COMPUTED_VALUE"""),"20050520ILLOM")</f>
        <v>20050520ILLOM</v>
      </c>
      <c r="B1331" s="8" t="str">
        <f ca="1">IFERROR(__xludf.DUMMYFUNCTION("""COMPUTED_VALUE"""),"Other")</f>
        <v>Other</v>
      </c>
    </row>
    <row r="1332" spans="1:2" ht="12.75">
      <c r="A1332" s="8" t="str">
        <f ca="1">IFERROR(__xludf.DUMMYFUNCTION("""COMPUTED_VALUE"""),"20050517PAHIL")</f>
        <v>20050517PAHIL</v>
      </c>
      <c r="B1332" s="8" t="str">
        <f ca="1">IFERROR(__xludf.DUMMYFUNCTION("""COMPUTED_VALUE"""),"Handgun")</f>
        <v>Handgun</v>
      </c>
    </row>
    <row r="1333" spans="1:2" ht="12.75">
      <c r="A1333" s="8" t="str">
        <f ca="1">IFERROR(__xludf.DUMMYFUNCTION("""COMPUTED_VALUE"""),"20050514TXBER")</f>
        <v>20050514TXBER</v>
      </c>
      <c r="B1333" s="8" t="str">
        <f ca="1">IFERROR(__xludf.DUMMYFUNCTION("""COMPUTED_VALUE"""),"Handgun")</f>
        <v>Handgun</v>
      </c>
    </row>
    <row r="1334" spans="1:2" ht="12.75">
      <c r="A1334" s="8" t="str">
        <f ca="1">IFERROR(__xludf.DUMMYFUNCTION("""COMPUTED_VALUE"""),"20050429OHDAC")</f>
        <v>20050429OHDAC</v>
      </c>
      <c r="B1334" s="8" t="str">
        <f ca="1">IFERROR(__xludf.DUMMYFUNCTION("""COMPUTED_VALUE"""),"No Data")</f>
        <v>No Data</v>
      </c>
    </row>
    <row r="1335" spans="1:2" ht="12.75">
      <c r="A1335" s="8" t="str">
        <f ca="1">IFERROR(__xludf.DUMMYFUNCTION("""COMPUTED_VALUE"""),"20050427LALER")</f>
        <v>20050427LALER</v>
      </c>
      <c r="B1335" s="8" t="str">
        <f ca="1">IFERROR(__xludf.DUMMYFUNCTION("""COMPUTED_VALUE"""),"Handgun")</f>
        <v>Handgun</v>
      </c>
    </row>
    <row r="1336" spans="1:2" ht="12.75">
      <c r="A1336" s="8" t="str">
        <f ca="1">IFERROR(__xludf.DUMMYFUNCTION("""COMPUTED_VALUE"""),"20050407TXCAC")</f>
        <v>20050407TXCAC</v>
      </c>
      <c r="B1336" s="8" t="str">
        <f ca="1">IFERROR(__xludf.DUMMYFUNCTION("""COMPUTED_VALUE"""),"Handgun")</f>
        <v>Handgun</v>
      </c>
    </row>
    <row r="1337" spans="1:2" ht="12.75">
      <c r="A1337" s="8" t="str">
        <f ca="1">IFERROR(__xludf.DUMMYFUNCTION("""COMPUTED_VALUE"""),"20050330TNEAM")</f>
        <v>20050330TNEAM</v>
      </c>
      <c r="B1337" s="8" t="str">
        <f ca="1">IFERROR(__xludf.DUMMYFUNCTION("""COMPUTED_VALUE"""),"Handgun")</f>
        <v>Handgun</v>
      </c>
    </row>
    <row r="1338" spans="1:2" ht="12.75">
      <c r="A1338" s="8" t="str">
        <f ca="1">IFERROR(__xludf.DUMMYFUNCTION("""COMPUTED_VALUE"""),"20050324TNFAM")</f>
        <v>20050324TNFAM</v>
      </c>
      <c r="B1338" s="8" t="str">
        <f ca="1">IFERROR(__xludf.DUMMYFUNCTION("""COMPUTED_VALUE"""),"Handgun")</f>
        <v>Handgun</v>
      </c>
    </row>
    <row r="1339" spans="1:2" ht="12.75">
      <c r="A1339" s="8" t="str">
        <f ca="1">IFERROR(__xludf.DUMMYFUNCTION("""COMPUTED_VALUE"""),"20050321NYNEB")</f>
        <v>20050321NYNEB</v>
      </c>
      <c r="B1339" s="8" t="str">
        <f ca="1">IFERROR(__xludf.DUMMYFUNCTION("""COMPUTED_VALUE"""),"Handgun")</f>
        <v>Handgun</v>
      </c>
    </row>
    <row r="1340" spans="1:2" ht="12.75">
      <c r="A1340" s="8" t="str">
        <f ca="1">IFERROR(__xludf.DUMMYFUNCTION("""COMPUTED_VALUE"""),"20050321MNRER")</f>
        <v>20050321MNRER</v>
      </c>
      <c r="B1340" s="8" t="str">
        <f ca="1">IFERROR(__xludf.DUMMYFUNCTION("""COMPUTED_VALUE"""),"Handgun")</f>
        <v>Handgun</v>
      </c>
    </row>
    <row r="1341" spans="1:2" ht="12.75">
      <c r="A1341" s="8" t="str">
        <f ca="1">IFERROR(__xludf.DUMMYFUNCTION("""COMPUTED_VALUE"""),"20050321MNRER")</f>
        <v>20050321MNRER</v>
      </c>
      <c r="B1341" s="8" t="str">
        <f ca="1">IFERROR(__xludf.DUMMYFUNCTION("""COMPUTED_VALUE"""),"Shotgun")</f>
        <v>Shotgun</v>
      </c>
    </row>
    <row r="1342" spans="1:2" ht="12.75">
      <c r="A1342" s="8" t="str">
        <f ca="1">IFERROR(__xludf.DUMMYFUNCTION("""COMPUTED_VALUE"""),"20050317LAOPA")</f>
        <v>20050317LAOPA</v>
      </c>
      <c r="B1342" s="8" t="str">
        <f ca="1">IFERROR(__xludf.DUMMYFUNCTION("""COMPUTED_VALUE"""),"Handgun")</f>
        <v>Handgun</v>
      </c>
    </row>
    <row r="1343" spans="1:2" ht="12.75">
      <c r="A1343" s="8" t="str">
        <f ca="1">IFERROR(__xludf.DUMMYFUNCTION("""COMPUTED_VALUE"""),"20050317CALOL")</f>
        <v>20050317CALOL</v>
      </c>
      <c r="B1343" s="8" t="str">
        <f ca="1">IFERROR(__xludf.DUMMYFUNCTION("""COMPUTED_VALUE"""),"Handgun")</f>
        <v>Handgun</v>
      </c>
    </row>
    <row r="1344" spans="1:2" ht="12.75">
      <c r="A1344" s="8" t="str">
        <f ca="1">IFERROR(__xludf.DUMMYFUNCTION("""COMPUTED_VALUE"""),"20050316PACAP")</f>
        <v>20050316PACAP</v>
      </c>
      <c r="B1344" s="8" t="str">
        <f ca="1">IFERROR(__xludf.DUMMYFUNCTION("""COMPUTED_VALUE"""),"Rifle")</f>
        <v>Rifle</v>
      </c>
    </row>
    <row r="1345" spans="1:2" ht="12.75">
      <c r="A1345" s="8" t="str">
        <f ca="1">IFERROR(__xludf.DUMMYFUNCTION("""COMPUTED_VALUE"""),"20050314OHLEC")</f>
        <v>20050314OHLEC</v>
      </c>
      <c r="B1345" s="8" t="str">
        <f ca="1">IFERROR(__xludf.DUMMYFUNCTION("""COMPUTED_VALUE"""),"Handgun")</f>
        <v>Handgun</v>
      </c>
    </row>
    <row r="1346" spans="1:2" ht="12.75">
      <c r="A1346" s="8" t="str">
        <f ca="1">IFERROR(__xludf.DUMMYFUNCTION("""COMPUTED_VALUE"""),"20050310TXZAD")</f>
        <v>20050310TXZAD</v>
      </c>
      <c r="B1346" s="8" t="str">
        <f ca="1">IFERROR(__xludf.DUMMYFUNCTION("""COMPUTED_VALUE"""),"Handgun")</f>
        <v>Handgun</v>
      </c>
    </row>
    <row r="1347" spans="1:2" ht="12.75">
      <c r="A1347" s="8" t="str">
        <f ca="1">IFERROR(__xludf.DUMMYFUNCTION("""COMPUTED_VALUE"""),"20050309TNMAN")</f>
        <v>20050309TNMAN</v>
      </c>
      <c r="B1347" s="8" t="str">
        <f ca="1">IFERROR(__xludf.DUMMYFUNCTION("""COMPUTED_VALUE"""),"Handgun")</f>
        <v>Handgun</v>
      </c>
    </row>
    <row r="1348" spans="1:2" ht="12.75">
      <c r="A1348" s="8" t="str">
        <f ca="1">IFERROR(__xludf.DUMMYFUNCTION("""COMPUTED_VALUE"""),"20050302TNSTD")</f>
        <v>20050302TNSTD</v>
      </c>
      <c r="B1348" s="8" t="str">
        <f ca="1">IFERROR(__xludf.DUMMYFUNCTION("""COMPUTED_VALUE"""),"Handgun")</f>
        <v>Handgun</v>
      </c>
    </row>
    <row r="1349" spans="1:2" ht="12.75">
      <c r="A1349" s="8" t="str">
        <f ca="1">IFERROR(__xludf.DUMMYFUNCTION("""COMPUTED_VALUE"""),"20050208ILBOC")</f>
        <v>20050208ILBOC</v>
      </c>
      <c r="B1349" s="8" t="str">
        <f ca="1">IFERROR(__xludf.DUMMYFUNCTION("""COMPUTED_VALUE"""),"No Data")</f>
        <v>No Data</v>
      </c>
    </row>
    <row r="1350" spans="1:2" ht="12.75">
      <c r="A1350" s="8" t="str">
        <f ca="1">IFERROR(__xludf.DUMMYFUNCTION("""COMPUTED_VALUE"""),"20050204GAMCA")</f>
        <v>20050204GAMCA</v>
      </c>
      <c r="B1350" s="8" t="str">
        <f ca="1">IFERROR(__xludf.DUMMYFUNCTION("""COMPUTED_VALUE"""),"Handgun")</f>
        <v>Handgun</v>
      </c>
    </row>
    <row r="1351" spans="1:2" ht="12.75">
      <c r="A1351" s="8" t="str">
        <f ca="1">IFERROR(__xludf.DUMMYFUNCTION("""COMPUTED_VALUE"""),"20050126ILWOP")</f>
        <v>20050126ILWOP</v>
      </c>
      <c r="B1351" s="8" t="str">
        <f ca="1">IFERROR(__xludf.DUMMYFUNCTION("""COMPUTED_VALUE"""),"Handgun")</f>
        <v>Handgun</v>
      </c>
    </row>
    <row r="1352" spans="1:2" ht="12.75">
      <c r="A1352" s="8" t="str">
        <f ca="1">IFERROR(__xludf.DUMMYFUNCTION("""COMPUTED_VALUE"""),"20050105PAMUN")</f>
        <v>20050105PAMUN</v>
      </c>
      <c r="B1352" s="8" t="str">
        <f ca="1">IFERROR(__xludf.DUMMYFUNCTION("""COMPUTED_VALUE"""),"Handgun")</f>
        <v>Handgun</v>
      </c>
    </row>
    <row r="1353" spans="1:2" ht="12.75">
      <c r="A1353" s="8" t="str">
        <f ca="1">IFERROR(__xludf.DUMMYFUNCTION("""COMPUTED_VALUE"""),"20041231TXRIR")</f>
        <v>20041231TXRIR</v>
      </c>
      <c r="B1353" s="8" t="str">
        <f ca="1">IFERROR(__xludf.DUMMYFUNCTION("""COMPUTED_VALUE"""),"Handgun")</f>
        <v>Handgun</v>
      </c>
    </row>
    <row r="1354" spans="1:2" ht="12.75">
      <c r="A1354" s="8" t="str">
        <f ca="1">IFERROR(__xludf.DUMMYFUNCTION("""COMPUTED_VALUE"""),"20041213LALAL")</f>
        <v>20041213LALAL</v>
      </c>
      <c r="B1354" s="8" t="str">
        <f ca="1">IFERROR(__xludf.DUMMYFUNCTION("""COMPUTED_VALUE"""),"Handgun")</f>
        <v>Handgun</v>
      </c>
    </row>
    <row r="1355" spans="1:2" ht="12.75">
      <c r="A1355" s="8" t="str">
        <f ca="1">IFERROR(__xludf.DUMMYFUNCTION("""COMPUTED_VALUE"""),"20041209WALAS")</f>
        <v>20041209WALAS</v>
      </c>
      <c r="B1355" s="8" t="str">
        <f ca="1">IFERROR(__xludf.DUMMYFUNCTION("""COMPUTED_VALUE"""),"No Data")</f>
        <v>No Data</v>
      </c>
    </row>
    <row r="1356" spans="1:2" ht="12.75">
      <c r="A1356" s="8" t="str">
        <f ca="1">IFERROR(__xludf.DUMMYFUNCTION("""COMPUTED_VALUE"""),"20041119FLTEJ")</f>
        <v>20041119FLTEJ</v>
      </c>
      <c r="B1356" s="8" t="str">
        <f ca="1">IFERROR(__xludf.DUMMYFUNCTION("""COMPUTED_VALUE"""),"Handgun")</f>
        <v>Handgun</v>
      </c>
    </row>
    <row r="1357" spans="1:2" ht="12.75">
      <c r="A1357" s="8" t="str">
        <f ca="1">IFERROR(__xludf.DUMMYFUNCTION("""COMPUTED_VALUE"""),"20041117FLAPA")</f>
        <v>20041117FLAPA</v>
      </c>
      <c r="B1357" s="8" t="str">
        <f ca="1">IFERROR(__xludf.DUMMYFUNCTION("""COMPUTED_VALUE"""),"Handgun")</f>
        <v>Handgun</v>
      </c>
    </row>
    <row r="1358" spans="1:2" ht="12.75">
      <c r="A1358" s="8" t="str">
        <f ca="1">IFERROR(__xludf.DUMMYFUNCTION("""COMPUTED_VALUE"""),"20041116SCBAB")</f>
        <v>20041116SCBAB</v>
      </c>
      <c r="B1358" s="8" t="str">
        <f ca="1">IFERROR(__xludf.DUMMYFUNCTION("""COMPUTED_VALUE"""),"Handgun")</f>
        <v>Handgun</v>
      </c>
    </row>
    <row r="1359" spans="1:2" ht="12.75">
      <c r="A1359" s="8" t="str">
        <f ca="1">IFERROR(__xludf.DUMMYFUNCTION("""COMPUTED_VALUE"""),"20041115INBRG")</f>
        <v>20041115INBRG</v>
      </c>
      <c r="B1359" s="8" t="str">
        <f ca="1">IFERROR(__xludf.DUMMYFUNCTION("""COMPUTED_VALUE"""),"No Data")</f>
        <v>No Data</v>
      </c>
    </row>
    <row r="1360" spans="1:2" ht="12.75">
      <c r="A1360" s="8" t="str">
        <f ca="1">IFERROR(__xludf.DUMMYFUNCTION("""COMPUTED_VALUE"""),"20041115ALPAB")</f>
        <v>20041115ALPAB</v>
      </c>
      <c r="B1360" s="8" t="str">
        <f ca="1">IFERROR(__xludf.DUMMYFUNCTION("""COMPUTED_VALUE"""),"Handgun")</f>
        <v>Handgun</v>
      </c>
    </row>
    <row r="1361" spans="1:2" ht="12.75">
      <c r="A1361" s="8" t="str">
        <f ca="1">IFERROR(__xludf.DUMMYFUNCTION("""COMPUTED_VALUE"""),"20041022CATYH")</f>
        <v>20041022CATYH</v>
      </c>
      <c r="B1361" s="8" t="str">
        <f ca="1">IFERROR(__xludf.DUMMYFUNCTION("""COMPUTED_VALUE"""),"No Data")</f>
        <v>No Data</v>
      </c>
    </row>
    <row r="1362" spans="1:2" ht="12.75">
      <c r="A1362" s="8" t="str">
        <f ca="1">IFERROR(__xludf.DUMMYFUNCTION("""COMPUTED_VALUE"""),"20041021MDTHB")</f>
        <v>20041021MDTHB</v>
      </c>
      <c r="B1362" s="8" t="str">
        <f ca="1">IFERROR(__xludf.DUMMYFUNCTION("""COMPUTED_VALUE"""),"Handgun")</f>
        <v>Handgun</v>
      </c>
    </row>
    <row r="1363" spans="1:2" ht="12.75">
      <c r="A1363" s="8" t="str">
        <f ca="1">IFERROR(__xludf.DUMMYFUNCTION("""COMPUTED_VALUE"""),"20041015CABIB")</f>
        <v>20041015CABIB</v>
      </c>
      <c r="B1363" s="8" t="str">
        <f ca="1">IFERROR(__xludf.DUMMYFUNCTION("""COMPUTED_VALUE"""),"No Data")</f>
        <v>No Data</v>
      </c>
    </row>
    <row r="1364" spans="1:2" ht="12.75">
      <c r="A1364" s="8" t="str">
        <f ca="1">IFERROR(__xludf.DUMMYFUNCTION("""COMPUTED_VALUE"""),"20041012CALAS")</f>
        <v>20041012CALAS</v>
      </c>
      <c r="B1364" s="8" t="str">
        <f ca="1">IFERROR(__xludf.DUMMYFUNCTION("""COMPUTED_VALUE"""),"Handgun")</f>
        <v>Handgun</v>
      </c>
    </row>
    <row r="1365" spans="1:2" ht="12.75">
      <c r="A1365" s="8" t="str">
        <f ca="1">IFERROR(__xludf.DUMMYFUNCTION("""COMPUTED_VALUE"""),"20041007MANEN")</f>
        <v>20041007MANEN</v>
      </c>
      <c r="B1365" s="8" t="str">
        <f ca="1">IFERROR(__xludf.DUMMYFUNCTION("""COMPUTED_VALUE"""),"Shotgun")</f>
        <v>Shotgun</v>
      </c>
    </row>
    <row r="1366" spans="1:2" ht="12.75">
      <c r="A1366" s="8" t="str">
        <f ca="1">IFERROR(__xludf.DUMMYFUNCTION("""COMPUTED_VALUE"""),"20041002NEJEG")</f>
        <v>20041002NEJEG</v>
      </c>
      <c r="B1366" s="8" t="str">
        <f ca="1">IFERROR(__xludf.DUMMYFUNCTION("""COMPUTED_VALUE"""),"Handgun")</f>
        <v>Handgun</v>
      </c>
    </row>
    <row r="1367" spans="1:2" ht="12.75">
      <c r="A1367" s="8" t="str">
        <f ca="1">IFERROR(__xludf.DUMMYFUNCTION("""COMPUTED_VALUE"""),"20040915INWIG")</f>
        <v>20040915INWIG</v>
      </c>
      <c r="B1367" s="8" t="str">
        <f ca="1">IFERROR(__xludf.DUMMYFUNCTION("""COMPUTED_VALUE"""),"Handgun")</f>
        <v>Handgun</v>
      </c>
    </row>
    <row r="1368" spans="1:2" ht="12.75">
      <c r="A1368" s="8" t="str">
        <f ca="1">IFERROR(__xludf.DUMMYFUNCTION("""COMPUTED_VALUE"""),"20040912LABON")</f>
        <v>20040912LABON</v>
      </c>
      <c r="B1368" s="8" t="str">
        <f ca="1">IFERROR(__xludf.DUMMYFUNCTION("""COMPUTED_VALUE"""),"Handgun")</f>
        <v>Handgun</v>
      </c>
    </row>
    <row r="1369" spans="1:2" ht="12.75">
      <c r="A1369" s="8" t="str">
        <f ca="1">IFERROR(__xludf.DUMMYFUNCTION("""COMPUTED_VALUE"""),"20040830ILPRM")</f>
        <v>20040830ILPRM</v>
      </c>
      <c r="B1369" s="8" t="str">
        <f ca="1">IFERROR(__xludf.DUMMYFUNCTION("""COMPUTED_VALUE"""),"Handgun")</f>
        <v>Handgun</v>
      </c>
    </row>
    <row r="1370" spans="1:2" ht="12.75">
      <c r="A1370" s="8" t="str">
        <f ca="1">IFERROR(__xludf.DUMMYFUNCTION("""COMPUTED_VALUE"""),"20040824TNHAM")</f>
        <v>20040824TNHAM</v>
      </c>
      <c r="B1370" s="8" t="str">
        <f ca="1">IFERROR(__xludf.DUMMYFUNCTION("""COMPUTED_VALUE"""),"Handgun")</f>
        <v>Handgun</v>
      </c>
    </row>
    <row r="1371" spans="1:2" ht="12.75">
      <c r="A1371" s="8" t="str">
        <f ca="1">IFERROR(__xludf.DUMMYFUNCTION("""COMPUTED_VALUE"""),"20040803ALHUB")</f>
        <v>20040803ALHUB</v>
      </c>
      <c r="B1371" s="8" t="str">
        <f ca="1">IFERROR(__xludf.DUMMYFUNCTION("""COMPUTED_VALUE"""),"Handgun")</f>
        <v>Handgun</v>
      </c>
    </row>
    <row r="1372" spans="1:2" ht="12.75">
      <c r="A1372" s="8" t="str">
        <f ca="1">IFERROR(__xludf.DUMMYFUNCTION("""COMPUTED_VALUE"""),"20040609CACAO")</f>
        <v>20040609CACAO</v>
      </c>
      <c r="B1372" s="8" t="str">
        <f ca="1">IFERROR(__xludf.DUMMYFUNCTION("""COMPUTED_VALUE"""),"No Data")</f>
        <v>No Data</v>
      </c>
    </row>
    <row r="1373" spans="1:2" ht="12.75">
      <c r="A1373" s="8" t="str">
        <f ca="1">IFERROR(__xludf.DUMMYFUNCTION("""COMPUTED_VALUE"""),"20040524UTWES")</f>
        <v>20040524UTWES</v>
      </c>
      <c r="B1373" s="8" t="str">
        <f ca="1">IFERROR(__xludf.DUMMYFUNCTION("""COMPUTED_VALUE"""),"Handgun")</f>
        <v>Handgun</v>
      </c>
    </row>
    <row r="1374" spans="1:2" ht="12.75">
      <c r="A1374" s="8" t="str">
        <f ca="1">IFERROR(__xludf.DUMMYFUNCTION("""COMPUTED_VALUE"""),"20040512CAEAM")</f>
        <v>20040512CAEAM</v>
      </c>
      <c r="B1374" s="8" t="str">
        <f ca="1">IFERROR(__xludf.DUMMYFUNCTION("""COMPUTED_VALUE"""),"Shotgun")</f>
        <v>Shotgun</v>
      </c>
    </row>
    <row r="1375" spans="1:2" ht="12.75">
      <c r="A1375" s="8" t="str">
        <f ca="1">IFERROR(__xludf.DUMMYFUNCTION("""COMPUTED_VALUE"""),"20040507MDRAR")</f>
        <v>20040507MDRAR</v>
      </c>
      <c r="B1375" s="8" t="str">
        <f ca="1">IFERROR(__xludf.DUMMYFUNCTION("""COMPUTED_VALUE"""),"Handgun")</f>
        <v>Handgun</v>
      </c>
    </row>
    <row r="1376" spans="1:2" ht="12.75">
      <c r="A1376" s="8" t="str">
        <f ca="1">IFERROR(__xludf.DUMMYFUNCTION("""COMPUTED_VALUE"""),"20040504TXKAH")</f>
        <v>20040504TXKAH</v>
      </c>
      <c r="B1376" s="8" t="str">
        <f ca="1">IFERROR(__xludf.DUMMYFUNCTION("""COMPUTED_VALUE"""),"No Data")</f>
        <v>No Data</v>
      </c>
    </row>
    <row r="1377" spans="1:2" ht="12.75">
      <c r="A1377" s="8" t="str">
        <f ca="1">IFERROR(__xludf.DUMMYFUNCTION("""COMPUTED_VALUE"""),"20040317WACRJ")</f>
        <v>20040317WACRJ</v>
      </c>
      <c r="B1377" s="8" t="str">
        <f ca="1">IFERROR(__xludf.DUMMYFUNCTION("""COMPUTED_VALUE"""),"Rifle")</f>
        <v>Rifle</v>
      </c>
    </row>
    <row r="1378" spans="1:2" ht="12.75">
      <c r="A1378" s="8" t="str">
        <f ca="1">IFERROR(__xludf.DUMMYFUNCTION("""COMPUTED_VALUE"""),"20040305CASAL")</f>
        <v>20040305CASAL</v>
      </c>
      <c r="B1378" s="8" t="str">
        <f ca="1">IFERROR(__xludf.DUMMYFUNCTION("""COMPUTED_VALUE"""),"No Data")</f>
        <v>No Data</v>
      </c>
    </row>
    <row r="1379" spans="1:2" ht="12.75">
      <c r="A1379" s="8" t="str">
        <f ca="1">IFERROR(__xludf.DUMMYFUNCTION("""COMPUTED_VALUE"""),"20040220LAGAS")</f>
        <v>20040220LAGAS</v>
      </c>
      <c r="B1379" s="8" t="str">
        <f ca="1">IFERROR(__xludf.DUMMYFUNCTION("""COMPUTED_VALUE"""),"Handgun")</f>
        <v>Handgun</v>
      </c>
    </row>
    <row r="1380" spans="1:2" ht="12.75">
      <c r="A1380" s="8" t="str">
        <f ca="1">IFERROR(__xludf.DUMMYFUNCTION("""COMPUTED_VALUE"""),"20040213OHCOD")</f>
        <v>20040213OHCOD</v>
      </c>
      <c r="B1380" s="8" t="str">
        <f ca="1">IFERROR(__xludf.DUMMYFUNCTION("""COMPUTED_VALUE"""),"Handgun")</f>
        <v>Handgun</v>
      </c>
    </row>
    <row r="1381" spans="1:2" ht="12.75">
      <c r="A1381" s="8" t="str">
        <f ca="1">IFERROR(__xludf.DUMMYFUNCTION("""COMPUTED_VALUE"""),"20040211PATMP")</f>
        <v>20040211PATMP</v>
      </c>
      <c r="B1381" s="8" t="str">
        <f ca="1">IFERROR(__xludf.DUMMYFUNCTION("""COMPUTED_VALUE"""),"Multiple Unknown")</f>
        <v>Multiple Unknown</v>
      </c>
    </row>
    <row r="1382" spans="1:2" ht="12.75">
      <c r="A1382" s="8" t="str">
        <f ca="1">IFERROR(__xludf.DUMMYFUNCTION("""COMPUTED_VALUE"""),"20040209NYCOE")</f>
        <v>20040209NYCOE</v>
      </c>
      <c r="B1382" s="8" t="str">
        <f ca="1">IFERROR(__xludf.DUMMYFUNCTION("""COMPUTED_VALUE"""),"Shotgun")</f>
        <v>Shotgun</v>
      </c>
    </row>
    <row r="1383" spans="1:2" ht="12.75">
      <c r="A1383" s="8" t="str">
        <f ca="1">IFERROR(__xludf.DUMMYFUNCTION("""COMPUTED_VALUE"""),"20040206LAFAS")</f>
        <v>20040206LAFAS</v>
      </c>
      <c r="B1383" s="8" t="str">
        <f ca="1">IFERROR(__xludf.DUMMYFUNCTION("""COMPUTED_VALUE"""),"Handgun")</f>
        <v>Handgun</v>
      </c>
    </row>
    <row r="1384" spans="1:2" ht="12.75">
      <c r="A1384" s="8" t="str">
        <f ca="1">IFERROR(__xludf.DUMMYFUNCTION("""COMPUTED_VALUE"""),"20040203TXYOH")</f>
        <v>20040203TXYOH</v>
      </c>
      <c r="B1384" s="8" t="str">
        <f ca="1">IFERROR(__xludf.DUMMYFUNCTION("""COMPUTED_VALUE"""),"Handgun")</f>
        <v>Handgun</v>
      </c>
    </row>
    <row r="1385" spans="1:2" ht="12.75">
      <c r="A1385" s="8" t="str">
        <f ca="1">IFERROR(__xludf.DUMMYFUNCTION("""COMPUTED_VALUE"""),"20040202DCBAW")</f>
        <v>20040202DCBAW</v>
      </c>
      <c r="B1385" s="8" t="str">
        <f ca="1">IFERROR(__xludf.DUMMYFUNCTION("""COMPUTED_VALUE"""),"Handgun")</f>
        <v>Handgun</v>
      </c>
    </row>
    <row r="1386" spans="1:2" ht="12.75">
      <c r="A1386" s="8" t="str">
        <f ca="1">IFERROR(__xludf.DUMMYFUNCTION("""COMPUTED_VALUE"""),"20040121NVFAH")</f>
        <v>20040121NVFAH</v>
      </c>
      <c r="B1386" s="8" t="str">
        <f ca="1">IFERROR(__xludf.DUMMYFUNCTION("""COMPUTED_VALUE"""),"Handgun")</f>
        <v>Handgun</v>
      </c>
    </row>
    <row r="1387" spans="1:2" ht="12.75">
      <c r="A1387" s="8" t="str">
        <f ca="1">IFERROR(__xludf.DUMMYFUNCTION("""COMPUTED_VALUE"""),"20040115CAPOP")</f>
        <v>20040115CAPOP</v>
      </c>
      <c r="B1387" s="8" t="str">
        <f ca="1">IFERROR(__xludf.DUMMYFUNCTION("""COMPUTED_VALUE"""),"Handgun")</f>
        <v>Handgun</v>
      </c>
    </row>
    <row r="1388" spans="1:2" ht="12.75">
      <c r="A1388" s="8" t="str">
        <f ca="1">IFERROR(__xludf.DUMMYFUNCTION("""COMPUTED_VALUE"""),"20031229FLABE")</f>
        <v>20031229FLABE</v>
      </c>
      <c r="B1388" s="8" t="str">
        <f ca="1">IFERROR(__xludf.DUMMYFUNCTION("""COMPUTED_VALUE"""),"No Data")</f>
        <v>No Data</v>
      </c>
    </row>
    <row r="1389" spans="1:2" ht="12.75">
      <c r="A1389" s="8" t="str">
        <f ca="1">IFERROR(__xludf.DUMMYFUNCTION("""COMPUTED_VALUE"""),"20031222NJCOW")</f>
        <v>20031222NJCOW</v>
      </c>
      <c r="B1389" s="8" t="str">
        <f ca="1">IFERROR(__xludf.DUMMYFUNCTION("""COMPUTED_VALUE"""),"Handgun")</f>
        <v>Handgun</v>
      </c>
    </row>
    <row r="1390" spans="1:2" ht="12.75">
      <c r="A1390" s="8" t="str">
        <f ca="1">IFERROR(__xludf.DUMMYFUNCTION("""COMPUTED_VALUE"""),"20031217MDOLM")</f>
        <v>20031217MDOLM</v>
      </c>
      <c r="B1390" s="8" t="str">
        <f ca="1">IFERROR(__xludf.DUMMYFUNCTION("""COMPUTED_VALUE"""),"Handgun")</f>
        <v>Handgun</v>
      </c>
    </row>
    <row r="1391" spans="1:2" ht="12.75">
      <c r="A1391" s="8" t="str">
        <f ca="1">IFERROR(__xludf.DUMMYFUNCTION("""COMPUTED_VALUE"""),"20031205ILCAC")</f>
        <v>20031205ILCAC</v>
      </c>
      <c r="B1391" s="8" t="str">
        <f ca="1">IFERROR(__xludf.DUMMYFUNCTION("""COMPUTED_VALUE"""),"Handgun")</f>
        <v>Handgun</v>
      </c>
    </row>
    <row r="1392" spans="1:2" ht="12.75">
      <c r="A1392" s="8" t="str">
        <f ca="1">IFERROR(__xludf.DUMMYFUNCTION("""COMPUTED_VALUE"""),"20031204OKDOO")</f>
        <v>20031204OKDOO</v>
      </c>
      <c r="B1392" s="8" t="str">
        <f ca="1">IFERROR(__xludf.DUMMYFUNCTION("""COMPUTED_VALUE"""),"Handgun")</f>
        <v>Handgun</v>
      </c>
    </row>
    <row r="1393" spans="1:2" ht="12.75">
      <c r="A1393" s="8" t="str">
        <f ca="1">IFERROR(__xludf.DUMMYFUNCTION("""COMPUTED_VALUE"""),"20031202ILFEC")</f>
        <v>20031202ILFEC</v>
      </c>
      <c r="B1393" s="8" t="str">
        <f ca="1">IFERROR(__xludf.DUMMYFUNCTION("""COMPUTED_VALUE"""),"Handgun")</f>
        <v>Handgun</v>
      </c>
    </row>
    <row r="1394" spans="1:2" ht="12.75">
      <c r="A1394" s="8" t="str">
        <f ca="1">IFERROR(__xludf.DUMMYFUNCTION("""COMPUTED_VALUE"""),"20031113NCEAC")</f>
        <v>20031113NCEAC</v>
      </c>
      <c r="B1394" s="8" t="str">
        <f ca="1">IFERROR(__xludf.DUMMYFUNCTION("""COMPUTED_VALUE"""),"Handgun")</f>
        <v>Handgun</v>
      </c>
    </row>
    <row r="1395" spans="1:2" ht="12.75">
      <c r="A1395" s="8" t="str">
        <f ca="1">IFERROR(__xludf.DUMMYFUNCTION("""COMPUTED_VALUE"""),"20031108TXHIS")</f>
        <v>20031108TXHIS</v>
      </c>
      <c r="B1395" s="8" t="str">
        <f ca="1">IFERROR(__xludf.DUMMYFUNCTION("""COMPUTED_VALUE"""),"Handgun")</f>
        <v>Handgun</v>
      </c>
    </row>
    <row r="1396" spans="1:2" ht="12.75">
      <c r="A1396" s="8" t="str">
        <f ca="1">IFERROR(__xludf.DUMMYFUNCTION("""COMPUTED_VALUE"""),"20031030DCANW")</f>
        <v>20031030DCANW</v>
      </c>
      <c r="B1396" s="8" t="str">
        <f ca="1">IFERROR(__xludf.DUMMYFUNCTION("""COMPUTED_VALUE"""),"Handgun")</f>
        <v>Handgun</v>
      </c>
    </row>
    <row r="1397" spans="1:2" ht="12.75">
      <c r="A1397" s="8" t="str">
        <f ca="1">IFERROR(__xludf.DUMMYFUNCTION("""COMPUTED_VALUE"""),"20031029LAMAM")</f>
        <v>20031029LAMAM</v>
      </c>
      <c r="B1397" s="8" t="str">
        <f ca="1">IFERROR(__xludf.DUMMYFUNCTION("""COMPUTED_VALUE"""),"Handgun")</f>
        <v>Handgun</v>
      </c>
    </row>
    <row r="1398" spans="1:2" ht="12.75">
      <c r="A1398" s="8" t="str">
        <f ca="1">IFERROR(__xludf.DUMMYFUNCTION("""COMPUTED_VALUE"""),"20031007OHKEA")</f>
        <v>20031007OHKEA</v>
      </c>
      <c r="B1398" s="8" t="str">
        <f ca="1">IFERROR(__xludf.DUMMYFUNCTION("""COMPUTED_VALUE"""),"Handgun")</f>
        <v>Handgun</v>
      </c>
    </row>
    <row r="1399" spans="1:2" ht="12.75">
      <c r="A1399" s="8" t="str">
        <f ca="1">IFERROR(__xludf.DUMMYFUNCTION("""COMPUTED_VALUE"""),"20031001CARIS")</f>
        <v>20031001CARIS</v>
      </c>
      <c r="B1399" s="8" t="str">
        <f ca="1">IFERROR(__xludf.DUMMYFUNCTION("""COMPUTED_VALUE"""),"Shotgun")</f>
        <v>Shotgun</v>
      </c>
    </row>
    <row r="1400" spans="1:2" ht="12.75">
      <c r="A1400" s="8" t="str">
        <f ca="1">IFERROR(__xludf.DUMMYFUNCTION("""COMPUTED_VALUE"""),"20030925NCBUL")</f>
        <v>20030925NCBUL</v>
      </c>
      <c r="B1400" s="8" t="str">
        <f ca="1">IFERROR(__xludf.DUMMYFUNCTION("""COMPUTED_VALUE"""),"Handgun")</f>
        <v>Handgun</v>
      </c>
    </row>
    <row r="1401" spans="1:2" ht="12.75">
      <c r="A1401" s="8" t="str">
        <f ca="1">IFERROR(__xludf.DUMMYFUNCTION("""COMPUTED_VALUE"""),"20030924MNROC")</f>
        <v>20030924MNROC</v>
      </c>
      <c r="B1401" s="8" t="str">
        <f ca="1">IFERROR(__xludf.DUMMYFUNCTION("""COMPUTED_VALUE"""),"Handgun")</f>
        <v>Handgun</v>
      </c>
    </row>
    <row r="1402" spans="1:2" ht="12.75">
      <c r="A1402" s="8" t="str">
        <f ca="1">IFERROR(__xludf.DUMMYFUNCTION("""COMPUTED_VALUE"""),"20030922WALES")</f>
        <v>20030922WALES</v>
      </c>
      <c r="B1402" s="8" t="str">
        <f ca="1">IFERROR(__xludf.DUMMYFUNCTION("""COMPUTED_VALUE"""),"Handgun")</f>
        <v>Handgun</v>
      </c>
    </row>
    <row r="1403" spans="1:2" ht="12.75">
      <c r="A1403" s="8" t="str">
        <f ca="1">IFERROR(__xludf.DUMMYFUNCTION("""COMPUTED_VALUE"""),"20030917MDOKE")</f>
        <v>20030917MDOKE</v>
      </c>
      <c r="B1403" s="8" t="str">
        <f ca="1">IFERROR(__xludf.DUMMYFUNCTION("""COMPUTED_VALUE"""),"Handgun")</f>
        <v>Handgun</v>
      </c>
    </row>
    <row r="1404" spans="1:2" ht="12.75">
      <c r="A1404" s="8" t="str">
        <f ca="1">IFERROR(__xludf.DUMMYFUNCTION("""COMPUTED_VALUE"""),"20030917MACHB")</f>
        <v>20030917MACHB</v>
      </c>
      <c r="B1404" s="8" t="str">
        <f ca="1">IFERROR(__xludf.DUMMYFUNCTION("""COMPUTED_VALUE"""),"Handgun")</f>
        <v>Handgun</v>
      </c>
    </row>
    <row r="1405" spans="1:2" ht="12.75">
      <c r="A1405" s="8" t="str">
        <f ca="1">IFERROR(__xludf.DUMMYFUNCTION("""COMPUTED_VALUE"""),"20030910MSVIV")</f>
        <v>20030910MSVIV</v>
      </c>
      <c r="B1405" s="8" t="str">
        <f ca="1">IFERROR(__xludf.DUMMYFUNCTION("""COMPUTED_VALUE"""),"Handgun")</f>
        <v>Handgun</v>
      </c>
    </row>
    <row r="1406" spans="1:2" ht="12.75">
      <c r="A1406" s="8" t="str">
        <f ca="1">IFERROR(__xludf.DUMMYFUNCTION("""COMPUTED_VALUE"""),"20030513PAFOJ")</f>
        <v>20030513PAFOJ</v>
      </c>
      <c r="B1406" s="8" t="str">
        <f ca="1">IFERROR(__xludf.DUMMYFUNCTION("""COMPUTED_VALUE"""),"No Data")</f>
        <v>No Data</v>
      </c>
    </row>
    <row r="1407" spans="1:2" ht="12.75">
      <c r="A1407" s="8" t="str">
        <f ca="1">IFERROR(__xludf.DUMMYFUNCTION("""COMPUTED_VALUE"""),"20030424PARER")</f>
        <v>20030424PARER</v>
      </c>
      <c r="B1407" s="8" t="str">
        <f ca="1">IFERROR(__xludf.DUMMYFUNCTION("""COMPUTED_VALUE"""),"Multiple Handguns")</f>
        <v>Multiple Handguns</v>
      </c>
    </row>
    <row r="1408" spans="1:2" ht="12.75">
      <c r="A1408" s="8" t="str">
        <f ca="1">IFERROR(__xludf.DUMMYFUNCTION("""COMPUTED_VALUE"""),"20030416TXGRA")</f>
        <v>20030416TXGRA</v>
      </c>
      <c r="B1408" s="8" t="str">
        <f ca="1">IFERROR(__xludf.DUMMYFUNCTION("""COMPUTED_VALUE"""),"No Data")</f>
        <v>No Data</v>
      </c>
    </row>
    <row r="1409" spans="1:2" ht="12.75">
      <c r="A1409" s="8" t="str">
        <f ca="1">IFERROR(__xludf.DUMMYFUNCTION("""COMPUTED_VALUE"""),"20030414LAJON")</f>
        <v>20030414LAJON</v>
      </c>
      <c r="B1409" s="8" t="str">
        <f ca="1">IFERROR(__xludf.DUMMYFUNCTION("""COMPUTED_VALUE"""),"Multiple Rifles")</f>
        <v>Multiple Rifles</v>
      </c>
    </row>
    <row r="1410" spans="1:2" ht="12.75">
      <c r="A1410" s="8" t="str">
        <f ca="1">IFERROR(__xludf.DUMMYFUNCTION("""COMPUTED_VALUE"""),"20030414LAFAS")</f>
        <v>20030414LAFAS</v>
      </c>
      <c r="B1410" s="8" t="str">
        <f ca="1">IFERROR(__xludf.DUMMYFUNCTION("""COMPUTED_VALUE"""),"Handgun")</f>
        <v>Handgun</v>
      </c>
    </row>
    <row r="1411" spans="1:2" ht="12.75">
      <c r="A1411" s="8" t="str">
        <f ca="1">IFERROR(__xludf.DUMMYFUNCTION("""COMPUTED_VALUE"""),"20030410CAWAW")</f>
        <v>20030410CAWAW</v>
      </c>
      <c r="B1411" s="8" t="str">
        <f ca="1">IFERROR(__xludf.DUMMYFUNCTION("""COMPUTED_VALUE"""),"Handgun")</f>
        <v>Handgun</v>
      </c>
    </row>
    <row r="1412" spans="1:2" ht="12.75">
      <c r="A1412" s="8" t="str">
        <f ca="1">IFERROR(__xludf.DUMMYFUNCTION("""COMPUTED_VALUE"""),"20030401DCCAW")</f>
        <v>20030401DCCAW</v>
      </c>
      <c r="B1412" s="8" t="str">
        <f ca="1">IFERROR(__xludf.DUMMYFUNCTION("""COMPUTED_VALUE"""),"Handgun")</f>
        <v>Handgun</v>
      </c>
    </row>
    <row r="1413" spans="1:2" ht="12.75">
      <c r="A1413" s="8" t="str">
        <f ca="1">IFERROR(__xludf.DUMMYFUNCTION("""COMPUTED_VALUE"""),"20030330CAROW")</f>
        <v>20030330CAROW</v>
      </c>
      <c r="B1413" s="8" t="str">
        <f ca="1">IFERROR(__xludf.DUMMYFUNCTION("""COMPUTED_VALUE"""),"Handgun")</f>
        <v>Handgun</v>
      </c>
    </row>
    <row r="1414" spans="1:2" ht="12.75">
      <c r="A1414" s="8" t="str">
        <f ca="1">IFERROR(__xludf.DUMMYFUNCTION("""COMPUTED_VALUE"""),"20030321MSNOM")</f>
        <v>20030321MSNOM</v>
      </c>
      <c r="B1414" s="8" t="str">
        <f ca="1">IFERROR(__xludf.DUMMYFUNCTION("""COMPUTED_VALUE"""),"Handgun")</f>
        <v>Handgun</v>
      </c>
    </row>
    <row r="1415" spans="1:2" ht="12.75">
      <c r="A1415" s="8" t="str">
        <f ca="1">IFERROR(__xludf.DUMMYFUNCTION("""COMPUTED_VALUE"""),"20030318IACLG")</f>
        <v>20030318IACLG</v>
      </c>
      <c r="B1415" s="8" t="str">
        <f ca="1">IFERROR(__xludf.DUMMYFUNCTION("""COMPUTED_VALUE"""),"Rifle")</f>
        <v>Rifle</v>
      </c>
    </row>
    <row r="1416" spans="1:2" ht="12.75">
      <c r="A1416" s="8" t="str">
        <f ca="1">IFERROR(__xludf.DUMMYFUNCTION("""COMPUTED_VALUE"""),"20030205CORAW")</f>
        <v>20030205CORAW</v>
      </c>
      <c r="B1416" s="8" t="str">
        <f ca="1">IFERROR(__xludf.DUMMYFUNCTION("""COMPUTED_VALUE"""),"Handgun")</f>
        <v>Handgun</v>
      </c>
    </row>
    <row r="1417" spans="1:2" ht="12.75">
      <c r="A1417" s="8" t="str">
        <f ca="1">IFERROR(__xludf.DUMMYFUNCTION("""COMPUTED_VALUE"""),"20030130OKJEJ")</f>
        <v>20030130OKJEJ</v>
      </c>
      <c r="B1417" s="8" t="str">
        <f ca="1">IFERROR(__xludf.DUMMYFUNCTION("""COMPUTED_VALUE"""),"Handgun")</f>
        <v>Handgun</v>
      </c>
    </row>
    <row r="1418" spans="1:2" ht="12.75">
      <c r="A1418" s="8" t="str">
        <f ca="1">IFERROR(__xludf.DUMMYFUNCTION("""COMPUTED_VALUE"""),"20030121KYWEO")</f>
        <v>20030121KYWEO</v>
      </c>
      <c r="B1418" s="8" t="str">
        <f ca="1">IFERROR(__xludf.DUMMYFUNCTION("""COMPUTED_VALUE"""),"Handgun")</f>
        <v>Handgun</v>
      </c>
    </row>
    <row r="1419" spans="1:2" ht="12.75">
      <c r="A1419" s="8" t="str">
        <f ca="1">IFERROR(__xludf.DUMMYFUNCTION("""COMPUTED_VALUE"""),"20021216ILENC")</f>
        <v>20021216ILENC</v>
      </c>
      <c r="B1419" s="8" t="str">
        <f ca="1">IFERROR(__xludf.DUMMYFUNCTION("""COMPUTED_VALUE"""),"Handgun")</f>
        <v>Handgun</v>
      </c>
    </row>
    <row r="1420" spans="1:2" ht="12.75">
      <c r="A1420" s="8" t="str">
        <f ca="1">IFERROR(__xludf.DUMMYFUNCTION("""COMPUTED_VALUE"""),"20021212WAWIC")</f>
        <v>20021212WAWIC</v>
      </c>
      <c r="B1420" s="8" t="str">
        <f ca="1">IFERROR(__xludf.DUMMYFUNCTION("""COMPUTED_VALUE"""),"Rifle")</f>
        <v>Rifle</v>
      </c>
    </row>
    <row r="1421" spans="1:2" ht="12.75">
      <c r="A1421" s="8" t="str">
        <f ca="1">IFERROR(__xludf.DUMMYFUNCTION("""COMPUTED_VALUE"""),"20021202MIOSD")</f>
        <v>20021202MIOSD</v>
      </c>
      <c r="B1421" s="8" t="str">
        <f ca="1">IFERROR(__xludf.DUMMYFUNCTION("""COMPUTED_VALUE"""),"Handgun")</f>
        <v>Handgun</v>
      </c>
    </row>
    <row r="1422" spans="1:2" ht="12.75">
      <c r="A1422" s="8" t="str">
        <f ca="1">IFERROR(__xludf.DUMMYFUNCTION("""COMPUTED_VALUE"""),"20021115TXSCS")</f>
        <v>20021115TXSCS</v>
      </c>
      <c r="B1422" s="8" t="str">
        <f ca="1">IFERROR(__xludf.DUMMYFUNCTION("""COMPUTED_VALUE"""),"Shotgun")</f>
        <v>Shotgun</v>
      </c>
    </row>
    <row r="1423" spans="1:2" ht="12.75">
      <c r="A1423" s="8" t="str">
        <f ca="1">IFERROR(__xludf.DUMMYFUNCTION("""COMPUTED_VALUE"""),"20021115CAAML")</f>
        <v>20021115CAAML</v>
      </c>
      <c r="B1423" s="8" t="str">
        <f ca="1">IFERROR(__xludf.DUMMYFUNCTION("""COMPUTED_VALUE"""),"No Data")</f>
        <v>No Data</v>
      </c>
    </row>
    <row r="1424" spans="1:2" ht="12.75">
      <c r="A1424" s="8" t="str">
        <f ca="1">IFERROR(__xludf.DUMMYFUNCTION("""COMPUTED_VALUE"""),"20021107MOSTL")</f>
        <v>20021107MOSTL</v>
      </c>
      <c r="B1424" s="8" t="str">
        <f ca="1">IFERROR(__xludf.DUMMYFUNCTION("""COMPUTED_VALUE"""),"Handgun")</f>
        <v>Handgun</v>
      </c>
    </row>
    <row r="1425" spans="1:2" ht="12.75">
      <c r="A1425" s="8" t="str">
        <f ca="1">IFERROR(__xludf.DUMMYFUNCTION("""COMPUTED_VALUE"""),"20021029NJLIJ")</f>
        <v>20021029NJLIJ</v>
      </c>
      <c r="B1425" s="8" t="str">
        <f ca="1">IFERROR(__xludf.DUMMYFUNCTION("""COMPUTED_VALUE"""),"Handgun")</f>
        <v>Handgun</v>
      </c>
    </row>
    <row r="1426" spans="1:2" ht="12.75">
      <c r="A1426" s="8" t="str">
        <f ca="1">IFERROR(__xludf.DUMMYFUNCTION("""COMPUTED_VALUE"""),"20021007MDBEB")</f>
        <v>20021007MDBEB</v>
      </c>
      <c r="B1426" s="8" t="str">
        <f ca="1">IFERROR(__xludf.DUMMYFUNCTION("""COMPUTED_VALUE"""),"Rifle")</f>
        <v>Rifle</v>
      </c>
    </row>
    <row r="1427" spans="1:2" ht="12.75">
      <c r="A1427" s="8" t="str">
        <f ca="1">IFERROR(__xludf.DUMMYFUNCTION("""COMPUTED_VALUE"""),"20021004TXPAS")</f>
        <v>20021004TXPAS</v>
      </c>
      <c r="B1427" s="8" t="str">
        <f ca="1">IFERROR(__xludf.DUMMYFUNCTION("""COMPUTED_VALUE"""),"Handgun")</f>
        <v>Handgun</v>
      </c>
    </row>
    <row r="1428" spans="1:2" ht="12.75">
      <c r="A1428" s="8" t="str">
        <f ca="1">IFERROR(__xludf.DUMMYFUNCTION("""COMPUTED_VALUE"""),"20021004MTCMG")</f>
        <v>20021004MTCMG</v>
      </c>
      <c r="B1428" s="8" t="str">
        <f ca="1">IFERROR(__xludf.DUMMYFUNCTION("""COMPUTED_VALUE"""),"Handgun")</f>
        <v>Handgun</v>
      </c>
    </row>
    <row r="1429" spans="1:2" ht="12.75">
      <c r="A1429" s="8" t="str">
        <f ca="1">IFERROR(__xludf.DUMMYFUNCTION("""COMPUTED_VALUE"""),"20020426LAABN")</f>
        <v>20020426LAABN</v>
      </c>
      <c r="B1429" s="8" t="str">
        <f ca="1">IFERROR(__xludf.DUMMYFUNCTION("""COMPUTED_VALUE"""),"Handgun")</f>
        <v>Handgun</v>
      </c>
    </row>
    <row r="1430" spans="1:2" ht="12.75">
      <c r="A1430" s="8" t="str">
        <f ca="1">IFERROR(__xludf.DUMMYFUNCTION("""COMPUTED_VALUE"""),"20020406MDLEB")</f>
        <v>20020406MDLEB</v>
      </c>
      <c r="B1430" s="8" t="str">
        <f ca="1">IFERROR(__xludf.DUMMYFUNCTION("""COMPUTED_VALUE"""),"Handgun")</f>
        <v>Handgun</v>
      </c>
    </row>
    <row r="1431" spans="1:2" ht="12.75">
      <c r="A1431" s="8" t="str">
        <f ca="1">IFERROR(__xludf.DUMMYFUNCTION("""COMPUTED_VALUE"""),"20020322CAJOC")</f>
        <v>20020322CAJOC</v>
      </c>
      <c r="B1431" s="8" t="str">
        <f ca="1">IFERROR(__xludf.DUMMYFUNCTION("""COMPUTED_VALUE"""),"Handgun")</f>
        <v>Handgun</v>
      </c>
    </row>
    <row r="1432" spans="1:2" ht="12.75">
      <c r="A1432" s="8" t="str">
        <f ca="1">IFERROR(__xludf.DUMMYFUNCTION("""COMPUTED_VALUE"""),"20020207ILROC")</f>
        <v>20020207ILROC</v>
      </c>
      <c r="B1432" s="8" t="str">
        <f ca="1">IFERROR(__xludf.DUMMYFUNCTION("""COMPUTED_VALUE"""),"Handgun")</f>
        <v>Handgun</v>
      </c>
    </row>
    <row r="1433" spans="1:2" ht="12.75">
      <c r="A1433" s="8" t="str">
        <f ca="1">IFERROR(__xludf.DUMMYFUNCTION("""COMPUTED_VALUE"""),"20020206CAGAL")</f>
        <v>20020206CAGAL</v>
      </c>
      <c r="B1433" s="8" t="str">
        <f ca="1">IFERROR(__xludf.DUMMYFUNCTION("""COMPUTED_VALUE"""),"Handgun")</f>
        <v>Handgun</v>
      </c>
    </row>
    <row r="1434" spans="1:2" ht="12.75">
      <c r="A1434" s="8" t="str">
        <f ca="1">IFERROR(__xludf.DUMMYFUNCTION("""COMPUTED_VALUE"""),"20020201TXBRB")</f>
        <v>20020201TXBRB</v>
      </c>
      <c r="B1434" s="8" t="str">
        <f ca="1">IFERROR(__xludf.DUMMYFUNCTION("""COMPUTED_VALUE"""),"Handgun")</f>
        <v>Handgun</v>
      </c>
    </row>
    <row r="1435" spans="1:2" ht="12.75">
      <c r="A1435" s="8" t="str">
        <f ca="1">IFERROR(__xludf.DUMMYFUNCTION("""COMPUTED_VALUE"""),"20020124PAOLO")</f>
        <v>20020124PAOLO</v>
      </c>
      <c r="B1435" s="8" t="str">
        <f ca="1">IFERROR(__xludf.DUMMYFUNCTION("""COMPUTED_VALUE"""),"Rifle")</f>
        <v>Rifle</v>
      </c>
    </row>
    <row r="1436" spans="1:2" ht="12.75">
      <c r="A1436" s="8" t="str">
        <f ca="1">IFERROR(__xludf.DUMMYFUNCTION("""COMPUTED_VALUE"""),"20020115NYMAN")</f>
        <v>20020115NYMAN</v>
      </c>
      <c r="B1436" s="8" t="str">
        <f ca="1">IFERROR(__xludf.DUMMYFUNCTION("""COMPUTED_VALUE"""),"Handgun")</f>
        <v>Handgun</v>
      </c>
    </row>
    <row r="1437" spans="1:2" ht="12.75">
      <c r="A1437" s="8" t="str">
        <f ca="1">IFERROR(__xludf.DUMMYFUNCTION("""COMPUTED_VALUE"""),"20020111MSRAJ")</f>
        <v>20020111MSRAJ</v>
      </c>
      <c r="B1437" s="8" t="str">
        <f ca="1">IFERROR(__xludf.DUMMYFUNCTION("""COMPUTED_VALUE"""),"No Data")</f>
        <v>No Data</v>
      </c>
    </row>
    <row r="1438" spans="1:2" ht="12.75">
      <c r="A1438" s="8" t="str">
        <f ca="1">IFERROR(__xludf.DUMMYFUNCTION("""COMPUTED_VALUE"""),"20011130TXFRF")</f>
        <v>20011130TXFRF</v>
      </c>
      <c r="B1438" s="8" t="str">
        <f ca="1">IFERROR(__xludf.DUMMYFUNCTION("""COMPUTED_VALUE"""),"Handgun")</f>
        <v>Handgun</v>
      </c>
    </row>
    <row r="1439" spans="1:2" ht="12.75">
      <c r="A1439" s="8" t="str">
        <f ca="1">IFERROR(__xludf.DUMMYFUNCTION("""COMPUTED_VALUE"""),"20011112MICAC")</f>
        <v>20011112MICAC</v>
      </c>
      <c r="B1439" s="8" t="str">
        <f ca="1">IFERROR(__xludf.DUMMYFUNCTION("""COMPUTED_VALUE"""),"Multiple Unknown")</f>
        <v>Multiple Unknown</v>
      </c>
    </row>
    <row r="1440" spans="1:2" ht="12.75">
      <c r="A1440" s="8" t="str">
        <f ca="1">IFERROR(__xludf.DUMMYFUNCTION("""COMPUTED_VALUE"""),"20011026MIBES")</f>
        <v>20011026MIBES</v>
      </c>
      <c r="B1440" s="8" t="str">
        <f ca="1">IFERROR(__xludf.DUMMYFUNCTION("""COMPUTED_VALUE"""),"Handgun")</f>
        <v>Handgun</v>
      </c>
    </row>
    <row r="1441" spans="1:2" ht="12.75">
      <c r="A1441" s="8" t="str">
        <f ca="1">IFERROR(__xludf.DUMMYFUNCTION("""COMPUTED_VALUE"""),"20011026CARER")</f>
        <v>20011026CARER</v>
      </c>
      <c r="B1441" s="8" t="str">
        <f ca="1">IFERROR(__xludf.DUMMYFUNCTION("""COMPUTED_VALUE"""),"Handgun")</f>
        <v>Handgun</v>
      </c>
    </row>
    <row r="1442" spans="1:2" ht="12.75">
      <c r="A1442" s="8" t="str">
        <f ca="1">IFERROR(__xludf.DUMMYFUNCTION("""COMPUTED_VALUE"""),"20011012UTTAT")</f>
        <v>20011012UTTAT</v>
      </c>
      <c r="B1442" s="8" t="str">
        <f ca="1">IFERROR(__xludf.DUMMYFUNCTION("""COMPUTED_VALUE"""),"Handgun")</f>
        <v>Handgun</v>
      </c>
    </row>
    <row r="1443" spans="1:2" ht="12.75">
      <c r="A1443" s="8" t="str">
        <f ca="1">IFERROR(__xludf.DUMMYFUNCTION("""COMPUTED_VALUE"""),"20010921MDLAB")</f>
        <v>20010921MDLAB</v>
      </c>
      <c r="B1443" s="8" t="str">
        <f ca="1">IFERROR(__xludf.DUMMYFUNCTION("""COMPUTED_VALUE"""),"Handgun")</f>
        <v>Handgun</v>
      </c>
    </row>
    <row r="1444" spans="1:2" ht="12.75">
      <c r="A1444" s="8" t="str">
        <f ca="1">IFERROR(__xludf.DUMMYFUNCTION("""COMPUTED_VALUE"""),"20010912KYLAC")</f>
        <v>20010912KYLAC</v>
      </c>
      <c r="B1444" s="8" t="str">
        <f ca="1">IFERROR(__xludf.DUMMYFUNCTION("""COMPUTED_VALUE"""),"Handgun")</f>
        <v>Handgun</v>
      </c>
    </row>
    <row r="1445" spans="1:2" ht="12.75">
      <c r="A1445" s="8" t="str">
        <f ca="1">IFERROR(__xludf.DUMMYFUNCTION("""COMPUTED_VALUE"""),"20010730CABEL")</f>
        <v>20010730CABEL</v>
      </c>
      <c r="B1445" s="8" t="str">
        <f ca="1">IFERROR(__xludf.DUMMYFUNCTION("""COMPUTED_VALUE"""),"Handgun")</f>
        <v>Handgun</v>
      </c>
    </row>
    <row r="1446" spans="1:2" ht="12.75">
      <c r="A1446" s="8" t="str">
        <f ca="1">IFERROR(__xludf.DUMMYFUNCTION("""COMPUTED_VALUE"""),"20010607TXOUA")</f>
        <v>20010607TXOUA</v>
      </c>
      <c r="B1446" s="8" t="str">
        <f ca="1">IFERROR(__xludf.DUMMYFUNCTION("""COMPUTED_VALUE"""),"Handgun")</f>
        <v>Handgun</v>
      </c>
    </row>
    <row r="1447" spans="1:2" ht="12.75">
      <c r="A1447" s="8" t="str">
        <f ca="1">IFERROR(__xludf.DUMMYFUNCTION("""COMPUTED_VALUE"""),"20010515TXENE")</f>
        <v>20010515TXENE</v>
      </c>
      <c r="B1447" s="8" t="str">
        <f ca="1">IFERROR(__xludf.DUMMYFUNCTION("""COMPUTED_VALUE"""),"Handgun")</f>
        <v>Handgun</v>
      </c>
    </row>
    <row r="1448" spans="1:2" ht="12.75">
      <c r="A1448" s="8" t="str">
        <f ca="1">IFERROR(__xludf.DUMMYFUNCTION("""COMPUTED_VALUE"""),"20010425OHJOC")</f>
        <v>20010425OHJOC</v>
      </c>
      <c r="B1448" s="8" t="str">
        <f ca="1">IFERROR(__xludf.DUMMYFUNCTION("""COMPUTED_VALUE"""),"No Data")</f>
        <v>No Data</v>
      </c>
    </row>
    <row r="1449" spans="1:2" ht="12.75">
      <c r="A1449" s="8" t="str">
        <f ca="1">IFERROR(__xludf.DUMMYFUNCTION("""COMPUTED_VALUE"""),"20010420LAMOM")</f>
        <v>20010420LAMOM</v>
      </c>
      <c r="B1449" s="8" t="str">
        <f ca="1">IFERROR(__xludf.DUMMYFUNCTION("""COMPUTED_VALUE"""),"Handgun")</f>
        <v>Handgun</v>
      </c>
    </row>
    <row r="1450" spans="1:2" ht="12.75">
      <c r="A1450" s="8" t="str">
        <f ca="1">IFERROR(__xludf.DUMMYFUNCTION("""COMPUTED_VALUE"""),"20010410WAWAM")</f>
        <v>20010410WAWAM</v>
      </c>
      <c r="B1450" s="8" t="str">
        <f ca="1">IFERROR(__xludf.DUMMYFUNCTION("""COMPUTED_VALUE"""),"Rifle")</f>
        <v>Rifle</v>
      </c>
    </row>
    <row r="1451" spans="1:2" ht="12.75">
      <c r="A1451" s="8" t="str">
        <f ca="1">IFERROR(__xludf.DUMMYFUNCTION("""COMPUTED_VALUE"""),"20010402TXKLH")</f>
        <v>20010402TXKLH</v>
      </c>
      <c r="B1451" s="8" t="str">
        <f ca="1">IFERROR(__xludf.DUMMYFUNCTION("""COMPUTED_VALUE"""),"Handgun")</f>
        <v>Handgun</v>
      </c>
    </row>
    <row r="1452" spans="1:2" ht="12.75">
      <c r="A1452" s="8" t="str">
        <f ca="1">IFERROR(__xludf.DUMMYFUNCTION("""COMPUTED_VALUE"""),"20010330INLEG")</f>
        <v>20010330INLEG</v>
      </c>
      <c r="B1452" s="8" t="str">
        <f ca="1">IFERROR(__xludf.DUMMYFUNCTION("""COMPUTED_VALUE"""),"Handgun")</f>
        <v>Handgun</v>
      </c>
    </row>
    <row r="1453" spans="1:2" ht="12.75">
      <c r="A1453" s="8" t="str">
        <f ca="1">IFERROR(__xludf.DUMMYFUNCTION("""COMPUTED_VALUE"""),"20010322CAGRE")</f>
        <v>20010322CAGRE</v>
      </c>
      <c r="B1453" s="8" t="str">
        <f ca="1">IFERROR(__xludf.DUMMYFUNCTION("""COMPUTED_VALUE"""),"Multiple Unknown")</f>
        <v>Multiple Unknown</v>
      </c>
    </row>
    <row r="1454" spans="1:2" ht="12.75">
      <c r="A1454" s="8" t="str">
        <f ca="1">IFERROR(__xludf.DUMMYFUNCTION("""COMPUTED_VALUE"""),"20010307WAKEC")</f>
        <v>20010307WAKEC</v>
      </c>
      <c r="B1454" s="8" t="str">
        <f ca="1">IFERROR(__xludf.DUMMYFUNCTION("""COMPUTED_VALUE"""),"Handgun")</f>
        <v>Handgun</v>
      </c>
    </row>
    <row r="1455" spans="1:2" ht="12.75">
      <c r="A1455" s="8" t="str">
        <f ca="1">IFERROR(__xludf.DUMMYFUNCTION("""COMPUTED_VALUE"""),"20010307PABIW")</f>
        <v>20010307PABIW</v>
      </c>
      <c r="B1455" s="8" t="str">
        <f ca="1">IFERROR(__xludf.DUMMYFUNCTION("""COMPUTED_VALUE"""),"Handgun")</f>
        <v>Handgun</v>
      </c>
    </row>
    <row r="1456" spans="1:2" ht="12.75">
      <c r="A1456" s="8" t="str">
        <f ca="1">IFERROR(__xludf.DUMMYFUNCTION("""COMPUTED_VALUE"""),"20010306MDLAL")</f>
        <v>20010306MDLAL</v>
      </c>
      <c r="B1456" s="8" t="str">
        <f ca="1">IFERROR(__xludf.DUMMYFUNCTION("""COMPUTED_VALUE"""),"Handgun")</f>
        <v>Handgun</v>
      </c>
    </row>
    <row r="1457" spans="1:2" ht="12.75">
      <c r="A1457" s="8" t="str">
        <f ca="1">IFERROR(__xludf.DUMMYFUNCTION("""COMPUTED_VALUE"""),"20010305CASAS")</f>
        <v>20010305CASAS</v>
      </c>
      <c r="B1457" s="8" t="str">
        <f ca="1">IFERROR(__xludf.DUMMYFUNCTION("""COMPUTED_VALUE"""),"Handgun")</f>
        <v>Handgun</v>
      </c>
    </row>
    <row r="1458" spans="1:2" ht="12.75">
      <c r="A1458" s="8" t="str">
        <f ca="1">IFERROR(__xludf.DUMMYFUNCTION("""COMPUTED_VALUE"""),"20010302CAHOS")</f>
        <v>20010302CAHOS</v>
      </c>
      <c r="B1458" s="8" t="str">
        <f ca="1">IFERROR(__xludf.DUMMYFUNCTION("""COMPUTED_VALUE"""),"No Data")</f>
        <v>No Data</v>
      </c>
    </row>
    <row r="1459" spans="1:2" ht="12.75">
      <c r="A1459" s="8" t="str">
        <f ca="1">IFERROR(__xludf.DUMMYFUNCTION("""COMPUTED_VALUE"""),"20010202MIOSD")</f>
        <v>20010202MIOSD</v>
      </c>
      <c r="B1459" s="8" t="str">
        <f ca="1">IFERROR(__xludf.DUMMYFUNCTION("""COMPUTED_VALUE"""),"No Data")</f>
        <v>No Data</v>
      </c>
    </row>
    <row r="1460" spans="1:2" ht="12.75">
      <c r="A1460" s="8" t="str">
        <f ca="1">IFERROR(__xludf.DUMMYFUNCTION("""COMPUTED_VALUE"""),"20010117MDLAB")</f>
        <v>20010117MDLAB</v>
      </c>
      <c r="B1460" s="8" t="str">
        <f ca="1">IFERROR(__xludf.DUMMYFUNCTION("""COMPUTED_VALUE"""),"Handgun")</f>
        <v>Handgun</v>
      </c>
    </row>
    <row r="1461" spans="1:2" ht="12.75">
      <c r="A1461" s="8" t="str">
        <f ca="1">IFERROR(__xludf.DUMMYFUNCTION("""COMPUTED_VALUE"""),"20010110CAHUO")</f>
        <v>20010110CAHUO</v>
      </c>
      <c r="B1461" s="8" t="str">
        <f ca="1">IFERROR(__xludf.DUMMYFUNCTION("""COMPUTED_VALUE"""),"Handgun")</f>
        <v>Handgun</v>
      </c>
    </row>
    <row r="1462" spans="1:2" ht="12.75">
      <c r="A1462" s="8" t="str">
        <f ca="1">IFERROR(__xludf.DUMMYFUNCTION("""COMPUTED_VALUE"""),"20010103CABAS")</f>
        <v>20010103CABAS</v>
      </c>
      <c r="B1462" s="8" t="str">
        <f ca="1">IFERROR(__xludf.DUMMYFUNCTION("""COMPUTED_VALUE"""),"Handgun")</f>
        <v>Handgun</v>
      </c>
    </row>
    <row r="1463" spans="1:2" ht="12.75">
      <c r="A1463" s="8" t="str">
        <f ca="1">IFERROR(__xludf.DUMMYFUNCTION("""COMPUTED_VALUE"""),"20001221FLNOM")</f>
        <v>20001221FLNOM</v>
      </c>
      <c r="B1463" s="8" t="str">
        <f ca="1">IFERROR(__xludf.DUMMYFUNCTION("""COMPUTED_VALUE"""),"No Data")</f>
        <v>No Data</v>
      </c>
    </row>
    <row r="1464" spans="1:2" ht="12.75">
      <c r="A1464" s="8" t="str">
        <f ca="1">IFERROR(__xludf.DUMMYFUNCTION("""COMPUTED_VALUE"""),"20001207CARIR")</f>
        <v>20001207CARIR</v>
      </c>
      <c r="B1464" s="8" t="str">
        <f ca="1">IFERROR(__xludf.DUMMYFUNCTION("""COMPUTED_VALUE"""),"No Data")</f>
        <v>No Data</v>
      </c>
    </row>
    <row r="1465" spans="1:2" ht="12.75">
      <c r="A1465" s="8" t="str">
        <f ca="1">IFERROR(__xludf.DUMMYFUNCTION("""COMPUTED_VALUE"""),"20001201CAJUS")</f>
        <v>20001201CAJUS</v>
      </c>
      <c r="B1465" s="8" t="str">
        <f ca="1">IFERROR(__xludf.DUMMYFUNCTION("""COMPUTED_VALUE"""),"No Data")</f>
        <v>No Data</v>
      </c>
    </row>
    <row r="1466" spans="1:2" ht="12.75">
      <c r="A1466" s="8" t="str">
        <f ca="1">IFERROR(__xludf.DUMMYFUNCTION("""COMPUTED_VALUE"""),"20001201CAGRL")</f>
        <v>20001201CAGRL</v>
      </c>
      <c r="B1466" s="8" t="str">
        <f ca="1">IFERROR(__xludf.DUMMYFUNCTION("""COMPUTED_VALUE"""),"Handgun")</f>
        <v>Handgun</v>
      </c>
    </row>
    <row r="1467" spans="1:2" ht="12.75">
      <c r="A1467" s="8" t="str">
        <f ca="1">IFERROR(__xludf.DUMMYFUNCTION("""COMPUTED_VALUE"""),"20001101TXNEC")</f>
        <v>20001101TXNEC</v>
      </c>
      <c r="B1467" s="8" t="str">
        <f ca="1">IFERROR(__xludf.DUMMYFUNCTION("""COMPUTED_VALUE"""),"Handgun")</f>
        <v>Handgun</v>
      </c>
    </row>
    <row r="1468" spans="1:2" ht="12.75">
      <c r="A1468" s="8" t="str">
        <f ca="1">IFERROR(__xludf.DUMMYFUNCTION("""COMPUTED_VALUE"""),"20001024AZPIG")</f>
        <v>20001024AZPIG</v>
      </c>
      <c r="B1468" s="8" t="str">
        <f ca="1">IFERROR(__xludf.DUMMYFUNCTION("""COMPUTED_VALUE"""),"Handgun")</f>
        <v>Handgun</v>
      </c>
    </row>
    <row r="1469" spans="1:2" ht="12.75">
      <c r="A1469" s="8" t="str">
        <f ca="1">IFERROR(__xludf.DUMMYFUNCTION("""COMPUTED_VALUE"""),"20001005MNMIM")</f>
        <v>20001005MNMIM</v>
      </c>
      <c r="B1469" s="8" t="str">
        <f ca="1">IFERROR(__xludf.DUMMYFUNCTION("""COMPUTED_VALUE"""),"No Data")</f>
        <v>No Data</v>
      </c>
    </row>
    <row r="1470" spans="1:2" ht="12.75">
      <c r="A1470" s="8" t="str">
        <f ca="1">IFERROR(__xludf.DUMMYFUNCTION("""COMPUTED_VALUE"""),"20000926LACAN")</f>
        <v>20000926LACAN</v>
      </c>
      <c r="B1470" s="8" t="str">
        <f ca="1">IFERROR(__xludf.DUMMYFUNCTION("""COMPUTED_VALUE"""),"Handgun")</f>
        <v>Handgun</v>
      </c>
    </row>
    <row r="1471" spans="1:2" ht="12.75">
      <c r="A1471" s="8" t="str">
        <f ca="1">IFERROR(__xludf.DUMMYFUNCTION("""COMPUTED_VALUE"""),"20000918OHMOM")</f>
        <v>20000918OHMOM</v>
      </c>
      <c r="B1471" s="8" t="str">
        <f ca="1">IFERROR(__xludf.DUMMYFUNCTION("""COMPUTED_VALUE"""),"Handgun")</f>
        <v>Handgun</v>
      </c>
    </row>
    <row r="1472" spans="1:2" ht="12.75">
      <c r="A1472" s="8" t="str">
        <f ca="1">IFERROR(__xludf.DUMMYFUNCTION("""COMPUTED_VALUE"""),"20000907ILLOR")</f>
        <v>20000907ILLOR</v>
      </c>
      <c r="B1472" s="8" t="str">
        <f ca="1">IFERROR(__xludf.DUMMYFUNCTION("""COMPUTED_VALUE"""),"Handgun")</f>
        <v>Handgun</v>
      </c>
    </row>
    <row r="1473" spans="1:2" ht="12.75">
      <c r="A1473" s="8" t="str">
        <f ca="1">IFERROR(__xludf.DUMMYFUNCTION("""COMPUTED_VALUE"""),"20000905OHBIB")</f>
        <v>20000905OHBIB</v>
      </c>
      <c r="B1473" s="8" t="str">
        <f ca="1">IFERROR(__xludf.DUMMYFUNCTION("""COMPUTED_VALUE"""),"No Data")</f>
        <v>No Data</v>
      </c>
    </row>
    <row r="1474" spans="1:2" ht="12.75">
      <c r="A1474" s="8" t="str">
        <f ca="1">IFERROR(__xludf.DUMMYFUNCTION("""COMPUTED_VALUE"""),"20000726OHTIC")</f>
        <v>20000726OHTIC</v>
      </c>
      <c r="B1474" s="8" t="str">
        <f ca="1">IFERROR(__xludf.DUMMYFUNCTION("""COMPUTED_VALUE"""),"No Data")</f>
        <v>No Data</v>
      </c>
    </row>
    <row r="1475" spans="1:2" ht="12.75">
      <c r="A1475" s="8" t="str">
        <f ca="1">IFERROR(__xludf.DUMMYFUNCTION("""COMPUTED_VALUE"""),"20000717WADIR")</f>
        <v>20000717WADIR</v>
      </c>
      <c r="B1475" s="8" t="str">
        <f ca="1">IFERROR(__xludf.DUMMYFUNCTION("""COMPUTED_VALUE"""),"Handgun")</f>
        <v>Handgun</v>
      </c>
    </row>
    <row r="1476" spans="1:2" ht="12.75">
      <c r="A1476" s="8" t="str">
        <f ca="1">IFERROR(__xludf.DUMMYFUNCTION("""COMPUTED_VALUE"""),"20000526FLLAL")</f>
        <v>20000526FLLAL</v>
      </c>
      <c r="B1476" s="8" t="str">
        <f ca="1">IFERROR(__xludf.DUMMYFUNCTION("""COMPUTED_VALUE"""),"Handgun")</f>
        <v>Handgun</v>
      </c>
    </row>
    <row r="1477" spans="1:2" ht="12.75">
      <c r="A1477" s="8" t="str">
        <f ca="1">IFERROR(__xludf.DUMMYFUNCTION("""COMPUTED_VALUE"""),"20000510AZCAS")</f>
        <v>20000510AZCAS</v>
      </c>
      <c r="B1477" s="8" t="str">
        <f ca="1">IFERROR(__xludf.DUMMYFUNCTION("""COMPUTED_VALUE"""),"Handgun")</f>
        <v>Handgun</v>
      </c>
    </row>
    <row r="1478" spans="1:2" ht="12.75">
      <c r="A1478" s="8" t="str">
        <f ca="1">IFERROR(__xludf.DUMMYFUNCTION("""COMPUTED_VALUE"""),"20000502COTHD")</f>
        <v>20000502COTHD</v>
      </c>
      <c r="B1478" s="8" t="str">
        <f ca="1">IFERROR(__xludf.DUMMYFUNCTION("""COMPUTED_VALUE"""),"No Data")</f>
        <v>No Data</v>
      </c>
    </row>
    <row r="1479" spans="1:2" ht="12.75">
      <c r="A1479" s="8" t="str">
        <f ca="1">IFERROR(__xludf.DUMMYFUNCTION("""COMPUTED_VALUE"""),"20000410AZLAT")</f>
        <v>20000410AZLAT</v>
      </c>
      <c r="B1479" s="8" t="str">
        <f ca="1">IFERROR(__xludf.DUMMYFUNCTION("""COMPUTED_VALUE"""),"Handgun")</f>
        <v>Handgun</v>
      </c>
    </row>
    <row r="1480" spans="1:2" ht="12.75">
      <c r="A1480" s="8" t="str">
        <f ca="1">IFERROR(__xludf.DUMMYFUNCTION("""COMPUTED_VALUE"""),"20000406OKHUH")</f>
        <v>20000406OKHUH</v>
      </c>
      <c r="B1480" s="8" t="str">
        <f ca="1">IFERROR(__xludf.DUMMYFUNCTION("""COMPUTED_VALUE"""),"Handgun")</f>
        <v>Handgun</v>
      </c>
    </row>
    <row r="1481" spans="1:2" ht="12.75">
      <c r="A1481" s="8" t="str">
        <f ca="1">IFERROR(__xludf.DUMMYFUNCTION("""COMPUTED_VALUE"""),"20000323OHMCL")</f>
        <v>20000323OHMCL</v>
      </c>
      <c r="B1481" s="8" t="str">
        <f ca="1">IFERROR(__xludf.DUMMYFUNCTION("""COMPUTED_VALUE"""),"Handgun")</f>
        <v>Handgun</v>
      </c>
    </row>
    <row r="1482" spans="1:2" ht="12.75">
      <c r="A1482" s="8" t="str">
        <f ca="1">IFERROR(__xludf.DUMMYFUNCTION("""COMPUTED_VALUE"""),"20000310GABES")</f>
        <v>20000310GABES</v>
      </c>
      <c r="B1482" s="8" t="str">
        <f ca="1">IFERROR(__xludf.DUMMYFUNCTION("""COMPUTED_VALUE"""),"No Data")</f>
        <v>No Data</v>
      </c>
    </row>
    <row r="1483" spans="1:2" ht="12.75">
      <c r="A1483" s="8" t="str">
        <f ca="1">IFERROR(__xludf.DUMMYFUNCTION("""COMPUTED_VALUE"""),"20000229MIBUF")</f>
        <v>20000229MIBUF</v>
      </c>
      <c r="B1483" s="8" t="str">
        <f ca="1">IFERROR(__xludf.DUMMYFUNCTION("""COMPUTED_VALUE"""),"Handgun")</f>
        <v>Handgun</v>
      </c>
    </row>
    <row r="1484" spans="1:2" ht="12.75">
      <c r="A1484" s="8" t="str">
        <f ca="1">IFERROR(__xludf.DUMMYFUNCTION("""COMPUTED_VALUE"""),"20000214ILDUC")</f>
        <v>20000214ILDUC</v>
      </c>
      <c r="B1484" s="8" t="str">
        <f ca="1">IFERROR(__xludf.DUMMYFUNCTION("""COMPUTED_VALUE"""),"Handgun")</f>
        <v>Handgun</v>
      </c>
    </row>
    <row r="1485" spans="1:2" ht="12.75">
      <c r="A1485" s="8" t="str">
        <f ca="1">IFERROR(__xludf.DUMMYFUNCTION("""COMPUTED_VALUE"""),"20000210PAPEY")</f>
        <v>20000210PAPEY</v>
      </c>
      <c r="B1485" s="8" t="str">
        <f ca="1">IFERROR(__xludf.DUMMYFUNCTION("""COMPUTED_VALUE"""),"Handgun")</f>
        <v>Handgun</v>
      </c>
    </row>
    <row r="1486" spans="1:2" ht="12.75">
      <c r="A1486" s="8" t="str">
        <f ca="1">IFERROR(__xludf.DUMMYFUNCTION("""COMPUTED_VALUE"""),"20000126NESOO")</f>
        <v>20000126NESOO</v>
      </c>
      <c r="B1486" s="8" t="str">
        <f ca="1">IFERROR(__xludf.DUMMYFUNCTION("""COMPUTED_VALUE"""),"No Data")</f>
        <v>No Data</v>
      </c>
    </row>
    <row r="1487" spans="1:2" ht="12.75">
      <c r="A1487" s="8" t="str">
        <f ca="1">IFERROR(__xludf.DUMMYFUNCTION("""COMPUTED_VALUE"""),"20000126CAALM")</f>
        <v>20000126CAALM</v>
      </c>
      <c r="B1487" s="8" t="str">
        <f ca="1">IFERROR(__xludf.DUMMYFUNCTION("""COMPUTED_VALUE"""),"Handgun")</f>
        <v>Handgun</v>
      </c>
    </row>
    <row r="1488" spans="1:2" ht="12.75">
      <c r="A1488" s="8" t="str">
        <f ca="1">IFERROR(__xludf.DUMMYFUNCTION("""COMPUTED_VALUE"""),"20000120NCERA")</f>
        <v>20000120NCERA</v>
      </c>
      <c r="B1488" s="8" t="str">
        <f ca="1">IFERROR(__xludf.DUMMYFUNCTION("""COMPUTED_VALUE"""),"Rifle")</f>
        <v>Rifle</v>
      </c>
    </row>
    <row r="1489" spans="1:2" ht="12.75">
      <c r="A1489" s="8" t="str">
        <f ca="1">IFERROR(__xludf.DUMMYFUNCTION("""COMPUTED_VALUE"""),"20000119FLRIN")</f>
        <v>20000119FLRIN</v>
      </c>
      <c r="B1489" s="8" t="str">
        <f ca="1">IFERROR(__xludf.DUMMYFUNCTION("""COMPUTED_VALUE"""),"Handgun")</f>
        <v>Handgun</v>
      </c>
    </row>
    <row r="1490" spans="1:2" ht="12.75">
      <c r="A1490" s="8" t="str">
        <f ca="1">IFERROR(__xludf.DUMMYFUNCTION("""COMPUTED_VALUE"""),"20000113NMALA")</f>
        <v>20000113NMALA</v>
      </c>
      <c r="B1490" s="8" t="str">
        <f ca="1">IFERROR(__xludf.DUMMYFUNCTION("""COMPUTED_VALUE"""),"Handgun")</f>
        <v>Handgun</v>
      </c>
    </row>
    <row r="1491" spans="1:2" ht="12.75">
      <c r="A1491" s="8" t="str">
        <f ca="1">IFERROR(__xludf.DUMMYFUNCTION("""COMPUTED_VALUE"""),"20000110AKBAA")</f>
        <v>20000110AKBAA</v>
      </c>
      <c r="B1491" s="8" t="str">
        <f ca="1">IFERROR(__xludf.DUMMYFUNCTION("""COMPUTED_VALUE"""),"Handgun")</f>
        <v>Handgun</v>
      </c>
    </row>
    <row r="1492" spans="1:2" ht="12.75">
      <c r="A1492" s="8" t="str">
        <f ca="1">IFERROR(__xludf.DUMMYFUNCTION("""COMPUTED_VALUE"""),"19991206OKFOF")</f>
        <v>19991206OKFOF</v>
      </c>
      <c r="B1492" s="8" t="str">
        <f ca="1">IFERROR(__xludf.DUMMYFUNCTION("""COMPUTED_VALUE"""),"Handgun")</f>
        <v>Handgun</v>
      </c>
    </row>
    <row r="1493" spans="1:2" ht="12.75">
      <c r="A1493" s="8" t="str">
        <f ca="1">IFERROR(__xludf.DUMMYFUNCTION("""COMPUTED_VALUE"""),"19991119NMDED")</f>
        <v>19991119NMDED</v>
      </c>
      <c r="B1493" s="8" t="str">
        <f ca="1">IFERROR(__xludf.DUMMYFUNCTION("""COMPUTED_VALUE"""),"Handgun")</f>
        <v>Handgun</v>
      </c>
    </row>
    <row r="1494" spans="1:2" ht="12.75">
      <c r="A1494" s="8" t="str">
        <f ca="1">IFERROR(__xludf.DUMMYFUNCTION("""COMPUTED_VALUE"""),"19991117TXDID")</f>
        <v>19991117TXDID</v>
      </c>
      <c r="B1494" s="8" t="str">
        <f ca="1">IFERROR(__xludf.DUMMYFUNCTION("""COMPUTED_VALUE"""),"Rifle")</f>
        <v>Rifle</v>
      </c>
    </row>
    <row r="1495" spans="1:2" ht="12.75">
      <c r="A1495" s="8" t="str">
        <f ca="1">IFERROR(__xludf.DUMMYFUNCTION("""COMPUTED_VALUE"""),"19991026WVGUB")</f>
        <v>19991026WVGUB</v>
      </c>
      <c r="B1495" s="8" t="str">
        <f ca="1">IFERROR(__xludf.DUMMYFUNCTION("""COMPUTED_VALUE"""),"No Data")</f>
        <v>No Data</v>
      </c>
    </row>
    <row r="1496" spans="1:2" ht="12.75">
      <c r="A1496" s="8" t="str">
        <f ca="1">IFERROR(__xludf.DUMMYFUNCTION("""COMPUTED_VALUE"""),"19991026PAMAP")</f>
        <v>19991026PAMAP</v>
      </c>
      <c r="B1496" s="8" t="str">
        <f ca="1">IFERROR(__xludf.DUMMYFUNCTION("""COMPUTED_VALUE"""),"No Data")</f>
        <v>No Data</v>
      </c>
    </row>
    <row r="1497" spans="1:2" ht="12.75">
      <c r="A1497" s="8" t="str">
        <f ca="1">IFERROR(__xludf.DUMMYFUNCTION("""COMPUTED_VALUE"""),"19991021CASAP")</f>
        <v>19991021CASAP</v>
      </c>
      <c r="B1497" s="8" t="str">
        <f ca="1">IFERROR(__xludf.DUMMYFUNCTION("""COMPUTED_VALUE"""),"Handgun")</f>
        <v>Handgun</v>
      </c>
    </row>
    <row r="1498" spans="1:2" ht="12.75">
      <c r="A1498" s="8" t="str">
        <f ca="1">IFERROR(__xludf.DUMMYFUNCTION("""COMPUTED_VALUE"""),"19991011NVCLL")</f>
        <v>19991011NVCLL</v>
      </c>
      <c r="B1498" s="8" t="str">
        <f ca="1">IFERROR(__xludf.DUMMYFUNCTION("""COMPUTED_VALUE"""),"Handgun")</f>
        <v>Handgun</v>
      </c>
    </row>
    <row r="1499" spans="1:2" ht="12.75">
      <c r="A1499" s="8" t="str">
        <f ca="1">IFERROR(__xludf.DUMMYFUNCTION("""COMPUTED_VALUE"""),"19991004SDJOP")</f>
        <v>19991004SDJOP</v>
      </c>
      <c r="B1499" s="8" t="str">
        <f ca="1">IFERROR(__xludf.DUMMYFUNCTION("""COMPUTED_VALUE"""),"Handgun")</f>
        <v>Handgun</v>
      </c>
    </row>
    <row r="1500" spans="1:2" ht="12.75">
      <c r="A1500" s="8" t="str">
        <f ca="1">IFERROR(__xludf.DUMMYFUNCTION("""COMPUTED_VALUE"""),"19990927FLEGT")</f>
        <v>19990927FLEGT</v>
      </c>
      <c r="B1500" s="8" t="str">
        <f ca="1">IFERROR(__xludf.DUMMYFUNCTION("""COMPUTED_VALUE"""),"Unknown")</f>
        <v>Unknown</v>
      </c>
    </row>
    <row r="1501" spans="1:2" ht="12.75">
      <c r="A1501" s="8" t="str">
        <f ca="1">IFERROR(__xludf.DUMMYFUNCTION("""COMPUTED_VALUE"""),"19990909CASAS")</f>
        <v>19990909CASAS</v>
      </c>
      <c r="B1501" s="8" t="str">
        <f ca="1">IFERROR(__xludf.DUMMYFUNCTION("""COMPUTED_VALUE"""),"Handgun")</f>
        <v>Handgun</v>
      </c>
    </row>
    <row r="1502" spans="1:2" ht="12.75">
      <c r="A1502" s="8" t="str">
        <f ca="1">IFERROR(__xludf.DUMMYFUNCTION("""COMPUTED_VALUE"""),"19990825GAJAM")</f>
        <v>19990825GAJAM</v>
      </c>
      <c r="B1502" s="8" t="str">
        <f ca="1">IFERROR(__xludf.DUMMYFUNCTION("""COMPUTED_VALUE"""),"No Data")</f>
        <v>No Data</v>
      </c>
    </row>
    <row r="1503" spans="1:2" ht="12.75">
      <c r="A1503" s="8" t="str">
        <f ca="1">IFERROR(__xludf.DUMMYFUNCTION("""COMPUTED_VALUE"""),"19990520GAHEC")</f>
        <v>19990520GAHEC</v>
      </c>
      <c r="B1503" s="8" t="str">
        <f ca="1">IFERROR(__xludf.DUMMYFUNCTION("""COMPUTED_VALUE"""),"Handgun")</f>
        <v>Handgun</v>
      </c>
    </row>
    <row r="1504" spans="1:2" ht="12.75">
      <c r="A1504" s="8" t="str">
        <f ca="1">IFERROR(__xludf.DUMMYFUNCTION("""COMPUTED_VALUE"""),"19990520GAHEC")</f>
        <v>19990520GAHEC</v>
      </c>
      <c r="B1504" s="8" t="str">
        <f ca="1">IFERROR(__xludf.DUMMYFUNCTION("""COMPUTED_VALUE"""),"Rifle")</f>
        <v>Rifle</v>
      </c>
    </row>
    <row r="1505" spans="1:2" ht="12.75">
      <c r="A1505" s="8" t="str">
        <f ca="1">IFERROR(__xludf.DUMMYFUNCTION("""COMPUTED_VALUE"""),"19990422LASCB")</f>
        <v>19990422LASCB</v>
      </c>
      <c r="B1505" s="8" t="str">
        <f ca="1">IFERROR(__xludf.DUMMYFUNCTION("""COMPUTED_VALUE"""),"Handgun")</f>
        <v>Handgun</v>
      </c>
    </row>
    <row r="1506" spans="1:2" ht="12.75">
      <c r="A1506" s="8" t="str">
        <f ca="1">IFERROR(__xludf.DUMMYFUNCTION("""COMPUTED_VALUE"""),"19990422GAMAA")</f>
        <v>19990422GAMAA</v>
      </c>
      <c r="B1506" s="8" t="str">
        <f ca="1">IFERROR(__xludf.DUMMYFUNCTION("""COMPUTED_VALUE"""),"Handgun")</f>
        <v>Handgun</v>
      </c>
    </row>
    <row r="1507" spans="1:2" ht="12.75">
      <c r="A1507" s="8" t="str">
        <f ca="1">IFERROR(__xludf.DUMMYFUNCTION("""COMPUTED_VALUE"""),"19990420COCOL")</f>
        <v>19990420COCOL</v>
      </c>
      <c r="B1507" s="8" t="str">
        <f ca="1">IFERROR(__xludf.DUMMYFUNCTION("""COMPUTED_VALUE"""),"Handgun")</f>
        <v>Handgun</v>
      </c>
    </row>
    <row r="1508" spans="1:2" ht="12.75">
      <c r="A1508" s="8" t="str">
        <f ca="1">IFERROR(__xludf.DUMMYFUNCTION("""COMPUTED_VALUE"""),"19990420COCOL")</f>
        <v>19990420COCOL</v>
      </c>
      <c r="B1508" s="8" t="str">
        <f ca="1">IFERROR(__xludf.DUMMYFUNCTION("""COMPUTED_VALUE"""),"Rifle")</f>
        <v>Rifle</v>
      </c>
    </row>
    <row r="1509" spans="1:2" ht="12.75">
      <c r="A1509" s="8" t="str">
        <f ca="1">IFERROR(__xludf.DUMMYFUNCTION("""COMPUTED_VALUE"""),"19990420COCOL")</f>
        <v>19990420COCOL</v>
      </c>
      <c r="B1509" s="8" t="str">
        <f ca="1">IFERROR(__xludf.DUMMYFUNCTION("""COMPUTED_VALUE"""),"Shotgun")</f>
        <v>Shotgun</v>
      </c>
    </row>
    <row r="1510" spans="1:2" ht="12.75">
      <c r="A1510" s="8" t="str">
        <f ca="1">IFERROR(__xludf.DUMMYFUNCTION("""COMPUTED_VALUE"""),"19990420COCOL")</f>
        <v>19990420COCOL</v>
      </c>
      <c r="B1510" s="8" t="str">
        <f ca="1">IFERROR(__xludf.DUMMYFUNCTION("""COMPUTED_VALUE"""),"Shotgun")</f>
        <v>Shotgun</v>
      </c>
    </row>
    <row r="1511" spans="1:2" ht="12.75">
      <c r="A1511" s="8" t="str">
        <f ca="1">IFERROR(__xludf.DUMMYFUNCTION("""COMPUTED_VALUE"""),"19990416IDNON")</f>
        <v>19990416IDNON</v>
      </c>
      <c r="B1511" s="8" t="str">
        <f ca="1">IFERROR(__xludf.DUMMYFUNCTION("""COMPUTED_VALUE"""),"Shotgun")</f>
        <v>Shotgun</v>
      </c>
    </row>
    <row r="1512" spans="1:2" ht="12.75">
      <c r="A1512" s="8" t="str">
        <f ca="1">IFERROR(__xludf.DUMMYFUNCTION("""COMPUTED_VALUE"""),"19990304ILNIS")</f>
        <v>19990304ILNIS</v>
      </c>
      <c r="B1512" s="8" t="str">
        <f ca="1">IFERROR(__xludf.DUMMYFUNCTION("""COMPUTED_VALUE"""),"Handgun")</f>
        <v>Handgun</v>
      </c>
    </row>
    <row r="1513" spans="1:2" ht="12.75">
      <c r="A1513" s="8" t="str">
        <f ca="1">IFERROR(__xludf.DUMMYFUNCTION("""COMPUTED_VALUE"""),"19990211MSJEP")</f>
        <v>19990211MSJEP</v>
      </c>
      <c r="B1513" s="8" t="str">
        <f ca="1">IFERROR(__xludf.DUMMYFUNCTION("""COMPUTED_VALUE"""),"No Data")</f>
        <v>No Data</v>
      </c>
    </row>
    <row r="1514" spans="1:2" ht="12.75">
      <c r="A1514" s="8" t="str">
        <f ca="1">IFERROR(__xludf.DUMMYFUNCTION("""COMPUTED_VALUE"""),"19990211ILOME")</f>
        <v>19990211ILOME</v>
      </c>
      <c r="B1514" s="8" t="str">
        <f ca="1">IFERROR(__xludf.DUMMYFUNCTION("""COMPUTED_VALUE"""),"Handgun")</f>
        <v>Handgun</v>
      </c>
    </row>
    <row r="1515" spans="1:2" ht="12.75">
      <c r="A1515" s="8" t="str">
        <f ca="1">IFERROR(__xludf.DUMMYFUNCTION("""COMPUTED_VALUE"""),"19990121TXRIN")</f>
        <v>19990121TXRIN</v>
      </c>
      <c r="B1515" s="8" t="str">
        <f ca="1">IFERROR(__xludf.DUMMYFUNCTION("""COMPUTED_VALUE"""),"Handgun")</f>
        <v>Handgun</v>
      </c>
    </row>
    <row r="1516" spans="1:2" ht="12.75">
      <c r="A1516" s="8" t="str">
        <f ca="1">IFERROR(__xludf.DUMMYFUNCTION("""COMPUTED_VALUE"""),"19990114NYHAN")</f>
        <v>19990114NYHAN</v>
      </c>
      <c r="B1516" s="8" t="str">
        <f ca="1">IFERROR(__xludf.DUMMYFUNCTION("""COMPUTED_VALUE"""),"Handgun")</f>
        <v>Handgun</v>
      </c>
    </row>
    <row r="1517" spans="1:2" ht="12.75">
      <c r="A1517" s="8" t="str">
        <f ca="1">IFERROR(__xludf.DUMMYFUNCTION("""COMPUTED_VALUE"""),"19990108GACEC")</f>
        <v>19990108GACEC</v>
      </c>
      <c r="B1517" s="8" t="str">
        <f ca="1">IFERROR(__xludf.DUMMYFUNCTION("""COMPUTED_VALUE"""),"Handgun")</f>
        <v>Handgun</v>
      </c>
    </row>
    <row r="1518" spans="1:2" ht="12.75">
      <c r="A1518" s="8" t="str">
        <f ca="1">IFERROR(__xludf.DUMMYFUNCTION("""COMPUTED_VALUE"""),"19981211INBEI")</f>
        <v>19981211INBEI</v>
      </c>
      <c r="B1518" s="8" t="str">
        <f ca="1">IFERROR(__xludf.DUMMYFUNCTION("""COMPUTED_VALUE"""),"Handgun")</f>
        <v>Handgun</v>
      </c>
    </row>
    <row r="1519" spans="1:2" ht="12.75">
      <c r="A1519" s="8" t="str">
        <f ca="1">IFERROR(__xludf.DUMMYFUNCTION("""COMPUTED_VALUE"""),"19981203INERG")</f>
        <v>19981203INERG</v>
      </c>
      <c r="B1519" s="8" t="str">
        <f ca="1">IFERROR(__xludf.DUMMYFUNCTION("""COMPUTED_VALUE"""),"Handgun")</f>
        <v>Handgun</v>
      </c>
    </row>
    <row r="1520" spans="1:2" ht="12.75">
      <c r="A1520" s="8" t="str">
        <f ca="1">IFERROR(__xludf.DUMMYFUNCTION("""COMPUTED_VALUE"""),"19981130NYHAH")</f>
        <v>19981130NYHAH</v>
      </c>
      <c r="B1520" s="8" t="str">
        <f ca="1">IFERROR(__xludf.DUMMYFUNCTION("""COMPUTED_VALUE"""),"Handgun")</f>
        <v>Handgun</v>
      </c>
    </row>
    <row r="1521" spans="1:2" ht="12.75">
      <c r="A1521" s="8" t="str">
        <f ca="1">IFERROR(__xludf.DUMMYFUNCTION("""COMPUTED_VALUE"""),"19981103PAMAP")</f>
        <v>19981103PAMAP</v>
      </c>
      <c r="B1521" s="8" t="str">
        <f ca="1">IFERROR(__xludf.DUMMYFUNCTION("""COMPUTED_VALUE"""),"Rifle")</f>
        <v>Rifle</v>
      </c>
    </row>
    <row r="1522" spans="1:2" ht="12.75">
      <c r="A1522" s="8" t="str">
        <f ca="1">IFERROR(__xludf.DUMMYFUNCTION("""COMPUTED_VALUE"""),"19980930FLNOM")</f>
        <v>19980930FLNOM</v>
      </c>
      <c r="B1522" s="8" t="str">
        <f ca="1">IFERROR(__xludf.DUMMYFUNCTION("""COMPUTED_VALUE"""),"No Data")</f>
        <v>No Data</v>
      </c>
    </row>
    <row r="1523" spans="1:2" ht="12.75">
      <c r="A1523" s="8" t="str">
        <f ca="1">IFERROR(__xludf.DUMMYFUNCTION("""COMPUTED_VALUE"""),"19980930FLLEL")</f>
        <v>19980930FLLEL</v>
      </c>
      <c r="B1523" s="8" t="str">
        <f ca="1">IFERROR(__xludf.DUMMYFUNCTION("""COMPUTED_VALUE"""),"Handgun")</f>
        <v>Handgun</v>
      </c>
    </row>
    <row r="1524" spans="1:2" ht="12.75">
      <c r="A1524" s="8" t="str">
        <f ca="1">IFERROR(__xludf.DUMMYFUNCTION("""COMPUTED_VALUE"""),"19980911CAHEG")</f>
        <v>19980911CAHEG</v>
      </c>
      <c r="B1524" s="8" t="str">
        <f ca="1">IFERROR(__xludf.DUMMYFUNCTION("""COMPUTED_VALUE"""),"No Data")</f>
        <v>No Data</v>
      </c>
    </row>
    <row r="1525" spans="1:2" ht="12.75">
      <c r="A1525" s="8" t="str">
        <f ca="1">IFERROR(__xludf.DUMMYFUNCTION("""COMPUTED_VALUE"""),"19980615VAARR")</f>
        <v>19980615VAARR</v>
      </c>
      <c r="B1525" s="8" t="str">
        <f ca="1">IFERROR(__xludf.DUMMYFUNCTION("""COMPUTED_VALUE"""),"Handgun")</f>
        <v>Handgun</v>
      </c>
    </row>
    <row r="1526" spans="1:2" ht="12.75">
      <c r="A1526" s="8" t="str">
        <f ca="1">IFERROR(__xludf.DUMMYFUNCTION("""COMPUTED_VALUE"""),"19980529FLSTF")</f>
        <v>19980529FLSTF</v>
      </c>
      <c r="B1526" s="8" t="str">
        <f ca="1">IFERROR(__xludf.DUMMYFUNCTION("""COMPUTED_VALUE"""),"Handgun")</f>
        <v>Handgun</v>
      </c>
    </row>
    <row r="1527" spans="1:2" ht="12.75">
      <c r="A1527" s="8" t="str">
        <f ca="1">IFERROR(__xludf.DUMMYFUNCTION("""COMPUTED_VALUE"""),"19980527CAWAP")</f>
        <v>19980527CAWAP</v>
      </c>
      <c r="B1527" s="8" t="str">
        <f ca="1">IFERROR(__xludf.DUMMYFUNCTION("""COMPUTED_VALUE"""),"No Data")</f>
        <v>No Data</v>
      </c>
    </row>
    <row r="1528" spans="1:2" ht="12.75">
      <c r="A1528" s="8" t="str">
        <f ca="1">IFERROR(__xludf.DUMMYFUNCTION("""COMPUTED_VALUE"""),"19980521WAONO")</f>
        <v>19980521WAONO</v>
      </c>
      <c r="B1528" s="8" t="str">
        <f ca="1">IFERROR(__xludf.DUMMYFUNCTION("""COMPUTED_VALUE"""),"Handgun")</f>
        <v>Handgun</v>
      </c>
    </row>
    <row r="1529" spans="1:2" ht="12.75">
      <c r="A1529" s="8" t="str">
        <f ca="1">IFERROR(__xludf.DUMMYFUNCTION("""COMPUTED_VALUE"""),"19980521ORTHS")</f>
        <v>19980521ORTHS</v>
      </c>
      <c r="B1529" s="8" t="str">
        <f ca="1">IFERROR(__xludf.DUMMYFUNCTION("""COMPUTED_VALUE"""),"Handgun")</f>
        <v>Handgun</v>
      </c>
    </row>
    <row r="1530" spans="1:2" ht="12.75">
      <c r="A1530" s="8" t="str">
        <f ca="1">IFERROR(__xludf.DUMMYFUNCTION("""COMPUTED_VALUE"""),"19980521ORTHS")</f>
        <v>19980521ORTHS</v>
      </c>
      <c r="B1530" s="8" t="str">
        <f ca="1">IFERROR(__xludf.DUMMYFUNCTION("""COMPUTED_VALUE"""),"Handgun")</f>
        <v>Handgun</v>
      </c>
    </row>
    <row r="1531" spans="1:2" ht="12.75">
      <c r="A1531" s="8" t="str">
        <f ca="1">IFERROR(__xludf.DUMMYFUNCTION("""COMPUTED_VALUE"""),"19980521ORTHS")</f>
        <v>19980521ORTHS</v>
      </c>
      <c r="B1531" s="8" t="str">
        <f ca="1">IFERROR(__xludf.DUMMYFUNCTION("""COMPUTED_VALUE"""),"Rifle")</f>
        <v>Rifle</v>
      </c>
    </row>
    <row r="1532" spans="1:2" ht="12.75">
      <c r="A1532" s="8" t="str">
        <f ca="1">IFERROR(__xludf.DUMMYFUNCTION("""COMPUTED_VALUE"""),"19980521CARIR")</f>
        <v>19980521CARIR</v>
      </c>
      <c r="B1532" s="8" t="str">
        <f ca="1">IFERROR(__xludf.DUMMYFUNCTION("""COMPUTED_VALUE"""),"Handgun")</f>
        <v>Handgun</v>
      </c>
    </row>
    <row r="1533" spans="1:2" ht="12.75">
      <c r="A1533" s="8" t="str">
        <f ca="1">IFERROR(__xludf.DUMMYFUNCTION("""COMPUTED_VALUE"""),"19980519TNLIF")</f>
        <v>19980519TNLIF</v>
      </c>
      <c r="B1533" s="8" t="str">
        <f ca="1">IFERROR(__xludf.DUMMYFUNCTION("""COMPUTED_VALUE"""),"Rifle")</f>
        <v>Rifle</v>
      </c>
    </row>
    <row r="1534" spans="1:2" ht="12.75">
      <c r="A1534" s="8" t="str">
        <f ca="1">IFERROR(__xludf.DUMMYFUNCTION("""COMPUTED_VALUE"""),"19980501NYPUB")</f>
        <v>19980501NYPUB</v>
      </c>
      <c r="B1534" s="8" t="str">
        <f ca="1">IFERROR(__xludf.DUMMYFUNCTION("""COMPUTED_VALUE"""),"Handgun")</f>
        <v>Handgun</v>
      </c>
    </row>
    <row r="1535" spans="1:2" ht="12.75">
      <c r="A1535" s="8" t="str">
        <f ca="1">IFERROR(__xludf.DUMMYFUNCTION("""COMPUTED_VALUE"""),"19980501FLNOM")</f>
        <v>19980501FLNOM</v>
      </c>
      <c r="B1535" s="8" t="str">
        <f ca="1">IFERROR(__xludf.DUMMYFUNCTION("""COMPUTED_VALUE"""),"No Data")</f>
        <v>No Data</v>
      </c>
    </row>
    <row r="1536" spans="1:2" ht="12.75">
      <c r="A1536" s="8" t="str">
        <f ca="1">IFERROR(__xludf.DUMMYFUNCTION("""COMPUTED_VALUE"""),"19980428WIPAP")</f>
        <v>19980428WIPAP</v>
      </c>
      <c r="B1536" s="8" t="str">
        <f ca="1">IFERROR(__xludf.DUMMYFUNCTION("""COMPUTED_VALUE"""),"Handgun")</f>
        <v>Handgun</v>
      </c>
    </row>
    <row r="1537" spans="1:2" ht="12.75">
      <c r="A1537" s="8" t="str">
        <f ca="1">IFERROR(__xludf.DUMMYFUNCTION("""COMPUTED_VALUE"""),"19980428CAPHP")</f>
        <v>19980428CAPHP</v>
      </c>
      <c r="B1537" s="8" t="str">
        <f ca="1">IFERROR(__xludf.DUMMYFUNCTION("""COMPUTED_VALUE"""),"Handgun")</f>
        <v>Handgun</v>
      </c>
    </row>
    <row r="1538" spans="1:2" ht="12.75">
      <c r="A1538" s="8" t="str">
        <f ca="1">IFERROR(__xludf.DUMMYFUNCTION("""COMPUTED_VALUE"""),"19980424PAPAE")</f>
        <v>19980424PAPAE</v>
      </c>
      <c r="B1538" s="8" t="str">
        <f ca="1">IFERROR(__xludf.DUMMYFUNCTION("""COMPUTED_VALUE"""),"Handgun")</f>
        <v>Handgun</v>
      </c>
    </row>
    <row r="1539" spans="1:2" ht="12.75">
      <c r="A1539" s="8" t="str">
        <f ca="1">IFERROR(__xludf.DUMMYFUNCTION("""COMPUTED_VALUE"""),"19980423CACUL")</f>
        <v>19980423CACUL</v>
      </c>
      <c r="B1539" s="8" t="str">
        <f ca="1">IFERROR(__xludf.DUMMYFUNCTION("""COMPUTED_VALUE"""),"No Data")</f>
        <v>No Data</v>
      </c>
    </row>
    <row r="1540" spans="1:2" ht="12.75">
      <c r="A1540" s="8" t="str">
        <f ca="1">IFERROR(__xludf.DUMMYFUNCTION("""COMPUTED_VALUE"""),"19980409IDTHA")</f>
        <v>19980409IDTHA</v>
      </c>
      <c r="B1540" s="8" t="str">
        <f ca="1">IFERROR(__xludf.DUMMYFUNCTION("""COMPUTED_VALUE"""),"Multiple Handguns")</f>
        <v>Multiple Handguns</v>
      </c>
    </row>
    <row r="1541" spans="1:2" ht="12.75">
      <c r="A1541" s="8" t="str">
        <f ca="1">IFERROR(__xludf.DUMMYFUNCTION("""COMPUTED_VALUE"""),"19980331WIOAO")</f>
        <v>19980331WIOAO</v>
      </c>
      <c r="B1541" s="8" t="str">
        <f ca="1">IFERROR(__xludf.DUMMYFUNCTION("""COMPUTED_VALUE"""),"Rifle")</f>
        <v>Rifle</v>
      </c>
    </row>
    <row r="1542" spans="1:2" ht="12.75">
      <c r="A1542" s="8" t="str">
        <f ca="1">IFERROR(__xludf.DUMMYFUNCTION("""COMPUTED_VALUE"""),"19980330NCGRC")</f>
        <v>19980330NCGRC</v>
      </c>
      <c r="B1542" s="8" t="str">
        <f ca="1">IFERROR(__xludf.DUMMYFUNCTION("""COMPUTED_VALUE"""),"Handgun")</f>
        <v>Handgun</v>
      </c>
    </row>
    <row r="1543" spans="1:2" ht="12.75">
      <c r="A1543" s="8" t="str">
        <f ca="1">IFERROR(__xludf.DUMMYFUNCTION("""COMPUTED_VALUE"""),"19980325MICOC")</f>
        <v>19980325MICOC</v>
      </c>
      <c r="B1543" s="8" t="str">
        <f ca="1">IFERROR(__xludf.DUMMYFUNCTION("""COMPUTED_VALUE"""),"Shotgun")</f>
        <v>Shotgun</v>
      </c>
    </row>
    <row r="1544" spans="1:2" ht="12.75">
      <c r="A1544" s="8" t="str">
        <f ca="1">IFERROR(__xludf.DUMMYFUNCTION("""COMPUTED_VALUE"""),"19980325CAFED")</f>
        <v>19980325CAFED</v>
      </c>
      <c r="B1544" s="8" t="str">
        <f ca="1">IFERROR(__xludf.DUMMYFUNCTION("""COMPUTED_VALUE"""),"Handgun")</f>
        <v>Handgun</v>
      </c>
    </row>
    <row r="1545" spans="1:2" ht="12.75">
      <c r="A1545" s="8" t="str">
        <f ca="1">IFERROR(__xludf.DUMMYFUNCTION("""COMPUTED_VALUE"""),"19980324ARWEJ")</f>
        <v>19980324ARWEJ</v>
      </c>
      <c r="B1545" s="8" t="str">
        <f ca="1">IFERROR(__xludf.DUMMYFUNCTION("""COMPUTED_VALUE"""),"Multiple Unknown")</f>
        <v>Multiple Unknown</v>
      </c>
    </row>
    <row r="1546" spans="1:2" ht="12.75">
      <c r="A1546" s="8" t="str">
        <f ca="1">IFERROR(__xludf.DUMMYFUNCTION("""COMPUTED_VALUE"""),"19980227VAMAF")</f>
        <v>19980227VAMAF</v>
      </c>
      <c r="B1546" s="8" t="str">
        <f ca="1">IFERROR(__xludf.DUMMYFUNCTION("""COMPUTED_VALUE"""),"Rifle")</f>
        <v>Rifle</v>
      </c>
    </row>
    <row r="1547" spans="1:2" ht="12.75">
      <c r="A1547" s="8" t="str">
        <f ca="1">IFERROR(__xludf.DUMMYFUNCTION("""COMPUTED_VALUE"""),"19980225MIRER")</f>
        <v>19980225MIRER</v>
      </c>
      <c r="B1547" s="8" t="str">
        <f ca="1">IFERROR(__xludf.DUMMYFUNCTION("""COMPUTED_VALUE"""),"Rifle")</f>
        <v>Rifle</v>
      </c>
    </row>
    <row r="1548" spans="1:2" ht="12.75">
      <c r="A1548" s="8" t="str">
        <f ca="1">IFERROR(__xludf.DUMMYFUNCTION("""COMPUTED_VALUE"""),"19980212NJHOH")</f>
        <v>19980212NJHOH</v>
      </c>
      <c r="B1548" s="8" t="str">
        <f ca="1">IFERROR(__xludf.DUMMYFUNCTION("""COMPUTED_VALUE"""),"Handgun")</f>
        <v>Handgun</v>
      </c>
    </row>
    <row r="1549" spans="1:2" ht="12.75">
      <c r="A1549" s="8" t="str">
        <f ca="1">IFERROR(__xludf.DUMMYFUNCTION("""COMPUTED_VALUE"""),"19971215ARSTS")</f>
        <v>19971215ARSTS</v>
      </c>
      <c r="B1549" s="8" t="str">
        <f ca="1">IFERROR(__xludf.DUMMYFUNCTION("""COMPUTED_VALUE"""),"Rifle")</f>
        <v>Rifle</v>
      </c>
    </row>
    <row r="1550" spans="1:2" ht="12.75">
      <c r="A1550" s="8" t="str">
        <f ca="1">IFERROR(__xludf.DUMMYFUNCTION("""COMPUTED_VALUE"""),"19971201KYHEW")</f>
        <v>19971201KYHEW</v>
      </c>
      <c r="B1550" s="8" t="str">
        <f ca="1">IFERROR(__xludf.DUMMYFUNCTION("""COMPUTED_VALUE"""),"Multiple Unknown")</f>
        <v>Multiple Unknown</v>
      </c>
    </row>
    <row r="1551" spans="1:2" ht="12.75">
      <c r="A1551" s="8" t="str">
        <f ca="1">IFERROR(__xludf.DUMMYFUNCTION("""COMPUTED_VALUE"""),"19971201KYHEW")</f>
        <v>19971201KYHEW</v>
      </c>
      <c r="B1551" s="8" t="str">
        <f ca="1">IFERROR(__xludf.DUMMYFUNCTION("""COMPUTED_VALUE"""),"Shotgun")</f>
        <v>Shotgun</v>
      </c>
    </row>
    <row r="1552" spans="1:2" ht="12.75">
      <c r="A1552" s="8" t="str">
        <f ca="1">IFERROR(__xludf.DUMMYFUNCTION("""COMPUTED_VALUE"""),"19971201KYHEW")</f>
        <v>19971201KYHEW</v>
      </c>
      <c r="B1552" s="8" t="str">
        <f ca="1">IFERROR(__xludf.DUMMYFUNCTION("""COMPUTED_VALUE"""),"Shotgun")</f>
        <v>Shotgun</v>
      </c>
    </row>
    <row r="1553" spans="1:2" ht="12.75">
      <c r="A1553" s="8" t="str">
        <f ca="1">IFERROR(__xludf.DUMMYFUNCTION("""COMPUTED_VALUE"""),"19971113CACRS")</f>
        <v>19971113CACRS</v>
      </c>
      <c r="B1553" s="8" t="str">
        <f ca="1">IFERROR(__xludf.DUMMYFUNCTION("""COMPUTED_VALUE"""),"Handgun")</f>
        <v>Handgun</v>
      </c>
    </row>
    <row r="1554" spans="1:2" ht="12.75">
      <c r="A1554" s="8" t="str">
        <f ca="1">IFERROR(__xludf.DUMMYFUNCTION("""COMPUTED_VALUE"""),"19971107FLRIJ")</f>
        <v>19971107FLRIJ</v>
      </c>
      <c r="B1554" s="8" t="str">
        <f ca="1">IFERROR(__xludf.DUMMYFUNCTION("""COMPUTED_VALUE"""),"Handgun")</f>
        <v>Handgun</v>
      </c>
    </row>
    <row r="1555" spans="1:2" ht="12.75">
      <c r="A1555" s="8" t="str">
        <f ca="1">IFERROR(__xludf.DUMMYFUNCTION("""COMPUTED_VALUE"""),"19971022CAJON")</f>
        <v>19971022CAJON</v>
      </c>
      <c r="B1555" s="8" t="str">
        <f ca="1">IFERROR(__xludf.DUMMYFUNCTION("""COMPUTED_VALUE"""),"Handgun")</f>
        <v>Handgun</v>
      </c>
    </row>
    <row r="1556" spans="1:2" ht="12.75">
      <c r="A1556" s="8" t="str">
        <f ca="1">IFERROR(__xludf.DUMMYFUNCTION("""COMPUTED_VALUE"""),"19971020CAMCO")</f>
        <v>19971020CAMCO</v>
      </c>
      <c r="B1556" s="8" t="str">
        <f ca="1">IFERROR(__xludf.DUMMYFUNCTION("""COMPUTED_VALUE"""),"No Data")</f>
        <v>No Data</v>
      </c>
    </row>
    <row r="1557" spans="1:2" ht="12.75">
      <c r="A1557" s="8" t="str">
        <f ca="1">IFERROR(__xludf.DUMMYFUNCTION("""COMPUTED_VALUE"""),"19971015FLLIP")</f>
        <v>19971015FLLIP</v>
      </c>
      <c r="B1557" s="8" t="str">
        <f ca="1">IFERROR(__xludf.DUMMYFUNCTION("""COMPUTED_VALUE"""),"Shotgun")</f>
        <v>Shotgun</v>
      </c>
    </row>
    <row r="1558" spans="1:2" ht="12.75">
      <c r="A1558" s="8" t="str">
        <f ca="1">IFERROR(__xludf.DUMMYFUNCTION("""COMPUTED_VALUE"""),"19971014TXLAG")</f>
        <v>19971014TXLAG</v>
      </c>
      <c r="B1558" s="8" t="str">
        <f ca="1">IFERROR(__xludf.DUMMYFUNCTION("""COMPUTED_VALUE"""),"Handgun")</f>
        <v>Handgun</v>
      </c>
    </row>
    <row r="1559" spans="1:2" ht="12.75">
      <c r="A1559" s="8" t="str">
        <f ca="1">IFERROR(__xludf.DUMMYFUNCTION("""COMPUTED_VALUE"""),"19971010INWAG")</f>
        <v>19971010INWAG</v>
      </c>
      <c r="B1559" s="8" t="str">
        <f ca="1">IFERROR(__xludf.DUMMYFUNCTION("""COMPUTED_VALUE"""),"Handgun")</f>
        <v>Handgun</v>
      </c>
    </row>
    <row r="1560" spans="1:2" ht="12.75">
      <c r="A1560" s="8" t="str">
        <f ca="1">IFERROR(__xludf.DUMMYFUNCTION("""COMPUTED_VALUE"""),"19971005OKMOO")</f>
        <v>19971005OKMOO</v>
      </c>
      <c r="B1560" s="8" t="str">
        <f ca="1">IFERROR(__xludf.DUMMYFUNCTION("""COMPUTED_VALUE"""),"Handgun")</f>
        <v>Handgun</v>
      </c>
    </row>
    <row r="1561" spans="1:2" ht="12.75">
      <c r="A1561" s="8" t="str">
        <f ca="1">IFERROR(__xludf.DUMMYFUNCTION("""COMPUTED_VALUE"""),"19971001MSPEP")</f>
        <v>19971001MSPEP</v>
      </c>
      <c r="B1561" s="8" t="str">
        <f ca="1">IFERROR(__xludf.DUMMYFUNCTION("""COMPUTED_VALUE"""),"Rifle")</f>
        <v>Rifle</v>
      </c>
    </row>
    <row r="1562" spans="1:2" ht="12.75">
      <c r="A1562" s="8" t="str">
        <f ca="1">IFERROR(__xludf.DUMMYFUNCTION("""COMPUTED_VALUE"""),"19970624ALJEM")</f>
        <v>19970624ALJEM</v>
      </c>
      <c r="B1562" s="8" t="str">
        <f ca="1">IFERROR(__xludf.DUMMYFUNCTION("""COMPUTED_VALUE"""),"Handgun")</f>
        <v>Handgun</v>
      </c>
    </row>
    <row r="1563" spans="1:2" ht="12.75">
      <c r="A1563" s="8" t="str">
        <f ca="1">IFERROR(__xludf.DUMMYFUNCTION("""COMPUTED_VALUE"""),"19970520OHDUD")</f>
        <v>19970520OHDUD</v>
      </c>
      <c r="B1563" s="8" t="str">
        <f ca="1">IFERROR(__xludf.DUMMYFUNCTION("""COMPUTED_VALUE"""),"Handgun")</f>
        <v>Handgun</v>
      </c>
    </row>
    <row r="1564" spans="1:2" ht="12.75">
      <c r="A1564" s="8" t="str">
        <f ca="1">IFERROR(__xludf.DUMMYFUNCTION("""COMPUTED_VALUE"""),"19970513FLNOM")</f>
        <v>19970513FLNOM</v>
      </c>
      <c r="B1564" s="8" t="str">
        <f ca="1">IFERROR(__xludf.DUMMYFUNCTION("""COMPUTED_VALUE"""),"Handgun")</f>
        <v>Handgun</v>
      </c>
    </row>
    <row r="1565" spans="1:2" ht="12.75">
      <c r="A1565" s="8" t="str">
        <f ca="1">IFERROR(__xludf.DUMMYFUNCTION("""COMPUTED_VALUE"""),"19970430NYCIN")</f>
        <v>19970430NYCIN</v>
      </c>
      <c r="B1565" s="8" t="str">
        <f ca="1">IFERROR(__xludf.DUMMYFUNCTION("""COMPUTED_VALUE"""),"No Data")</f>
        <v>No Data</v>
      </c>
    </row>
    <row r="1566" spans="1:2" ht="12.75">
      <c r="A1566" s="8" t="str">
        <f ca="1">IFERROR(__xludf.DUMMYFUNCTION("""COMPUTED_VALUE"""),"19970428CAJOL")</f>
        <v>19970428CAJOL</v>
      </c>
      <c r="B1566" s="8" t="str">
        <f ca="1">IFERROR(__xludf.DUMMYFUNCTION("""COMPUTED_VALUE"""),"Handgun")</f>
        <v>Handgun</v>
      </c>
    </row>
    <row r="1567" spans="1:2" ht="12.75">
      <c r="A1567" s="8" t="str">
        <f ca="1">IFERROR(__xludf.DUMMYFUNCTION("""COMPUTED_VALUE"""),"19970403CAMAM")</f>
        <v>19970403CAMAM</v>
      </c>
      <c r="B1567" s="8" t="str">
        <f ca="1">IFERROR(__xludf.DUMMYFUNCTION("""COMPUTED_VALUE"""),"No Data")</f>
        <v>No Data</v>
      </c>
    </row>
    <row r="1568" spans="1:2" ht="12.75">
      <c r="A1568" s="8" t="str">
        <f ca="1">IFERROR(__xludf.DUMMYFUNCTION("""COMPUTED_VALUE"""),"19970317MIPED")</f>
        <v>19970317MIPED</v>
      </c>
      <c r="B1568" s="8" t="str">
        <f ca="1">IFERROR(__xludf.DUMMYFUNCTION("""COMPUTED_VALUE"""),"Handgun")</f>
        <v>Handgun</v>
      </c>
    </row>
    <row r="1569" spans="1:2" ht="12.75">
      <c r="A1569" s="8" t="str">
        <f ca="1">IFERROR(__xludf.DUMMYFUNCTION("""COMPUTED_VALUE"""),"19970221NVRAL")</f>
        <v>19970221NVRAL</v>
      </c>
      <c r="B1569" s="8" t="str">
        <f ca="1">IFERROR(__xludf.DUMMYFUNCTION("""COMPUTED_VALUE"""),"Handgun")</f>
        <v>Handgun</v>
      </c>
    </row>
    <row r="1570" spans="1:2" ht="12.75">
      <c r="A1570" s="8" t="str">
        <f ca="1">IFERROR(__xludf.DUMMYFUNCTION("""COMPUTED_VALUE"""),"19970220FLFIJ")</f>
        <v>19970220FLFIJ</v>
      </c>
      <c r="B1570" s="8" t="str">
        <f ca="1">IFERROR(__xludf.DUMMYFUNCTION("""COMPUTED_VALUE"""),"Handgun")</f>
        <v>Handgun</v>
      </c>
    </row>
    <row r="1571" spans="1:2" ht="12.75">
      <c r="A1571" s="8" t="str">
        <f ca="1">IFERROR(__xludf.DUMMYFUNCTION("""COMPUTED_VALUE"""),"19970219AKBEB")</f>
        <v>19970219AKBEB</v>
      </c>
      <c r="B1571" s="8" t="str">
        <f ca="1">IFERROR(__xludf.DUMMYFUNCTION("""COMPUTED_VALUE"""),"Shotgun")</f>
        <v>Shotgun</v>
      </c>
    </row>
    <row r="1572" spans="1:2" ht="12.75">
      <c r="A1572" s="8" t="str">
        <f ca="1">IFERROR(__xludf.DUMMYFUNCTION("""COMPUTED_VALUE"""),"19970213NYSAB")</f>
        <v>19970213NYSAB</v>
      </c>
      <c r="B1572" s="8" t="str">
        <f ca="1">IFERROR(__xludf.DUMMYFUNCTION("""COMPUTED_VALUE"""),"Handgun")</f>
        <v>Handgun</v>
      </c>
    </row>
    <row r="1573" spans="1:2" ht="12.75">
      <c r="A1573" s="8" t="str">
        <f ca="1">IFERROR(__xludf.DUMMYFUNCTION("""COMPUTED_VALUE"""),"19970213NYMOB")</f>
        <v>19970213NYMOB</v>
      </c>
      <c r="B1573" s="8" t="str">
        <f ca="1">IFERROR(__xludf.DUMMYFUNCTION("""COMPUTED_VALUE"""),"Handgun")</f>
        <v>Handgun</v>
      </c>
    </row>
    <row r="1574" spans="1:2" ht="12.75">
      <c r="A1574" s="8" t="str">
        <f ca="1">IFERROR(__xludf.DUMMYFUNCTION("""COMPUTED_VALUE"""),"19970206MSWIJ")</f>
        <v>19970206MSWIJ</v>
      </c>
      <c r="B1574" s="8" t="str">
        <f ca="1">IFERROR(__xludf.DUMMYFUNCTION("""COMPUTED_VALUE"""),"Handgun")</f>
        <v>Handgun</v>
      </c>
    </row>
    <row r="1575" spans="1:2" ht="12.75">
      <c r="A1575" s="8" t="str">
        <f ca="1">IFERROR(__xludf.DUMMYFUNCTION("""COMPUTED_VALUE"""),"19970127FLCOW")</f>
        <v>19970127FLCOW</v>
      </c>
      <c r="B1575" s="8" t="str">
        <f ca="1">IFERROR(__xludf.DUMMYFUNCTION("""COMPUTED_VALUE"""),"Handgun")</f>
        <v>Handgun</v>
      </c>
    </row>
    <row r="1576" spans="1:2" ht="12.75">
      <c r="A1576" s="8" t="str">
        <f ca="1">IFERROR(__xludf.DUMMYFUNCTION("""COMPUTED_VALUE"""),"19970108NYCRN")</f>
        <v>19970108NYCRN</v>
      </c>
      <c r="B1576" s="8" t="str">
        <f ca="1">IFERROR(__xludf.DUMMYFUNCTION("""COMPUTED_VALUE"""),"Handgun")</f>
        <v>Handgun</v>
      </c>
    </row>
    <row r="1577" spans="1:2" ht="12.75">
      <c r="A1577" s="8" t="str">
        <f ca="1">IFERROR(__xludf.DUMMYFUNCTION("""COMPUTED_VALUE"""),"19961127CAHIS")</f>
        <v>19961127CAHIS</v>
      </c>
      <c r="B1577" s="8" t="str">
        <f ca="1">IFERROR(__xludf.DUMMYFUNCTION("""COMPUTED_VALUE"""),"Handgun")</f>
        <v>Handgun</v>
      </c>
    </row>
    <row r="1578" spans="1:2" ht="12.75">
      <c r="A1578" s="8" t="str">
        <f ca="1">IFERROR(__xludf.DUMMYFUNCTION("""COMPUTED_VALUE"""),"19961014MOSUS")</f>
        <v>19961014MOSUS</v>
      </c>
      <c r="B1578" s="8" t="str">
        <f ca="1">IFERROR(__xludf.DUMMYFUNCTION("""COMPUTED_VALUE"""),"No Data")</f>
        <v>No Data</v>
      </c>
    </row>
    <row r="1579" spans="1:2" ht="12.75">
      <c r="A1579" s="8" t="str">
        <f ca="1">IFERROR(__xludf.DUMMYFUNCTION("""COMPUTED_VALUE"""),"19961009ARJAS")</f>
        <v>19961009ARJAS</v>
      </c>
      <c r="B1579" s="8" t="str">
        <f ca="1">IFERROR(__xludf.DUMMYFUNCTION("""COMPUTED_VALUE"""),"No Data")</f>
        <v>No Data</v>
      </c>
    </row>
    <row r="1580" spans="1:2" ht="12.75">
      <c r="A1580" s="8" t="str">
        <f ca="1">IFERROR(__xludf.DUMMYFUNCTION("""COMPUTED_VALUE"""),"19961004CASTP")</f>
        <v>19961004CASTP</v>
      </c>
      <c r="B1580" s="8" t="str">
        <f ca="1">IFERROR(__xludf.DUMMYFUNCTION("""COMPUTED_VALUE"""),"No Data")</f>
        <v>No Data</v>
      </c>
    </row>
    <row r="1581" spans="1:2" ht="12.75">
      <c r="A1581" s="8" t="str">
        <f ca="1">IFERROR(__xludf.DUMMYFUNCTION("""COMPUTED_VALUE"""),"19961002PASMP")</f>
        <v>19961002PASMP</v>
      </c>
      <c r="B1581" s="8" t="str">
        <f ca="1">IFERROR(__xludf.DUMMYFUNCTION("""COMPUTED_VALUE"""),"No Data")</f>
        <v>No Data</v>
      </c>
    </row>
    <row r="1582" spans="1:2" ht="12.75">
      <c r="A1582" s="8" t="str">
        <f ca="1">IFERROR(__xludf.DUMMYFUNCTION("""COMPUTED_VALUE"""),"19960925GADED")</f>
        <v>19960925GADED</v>
      </c>
      <c r="B1582" s="8" t="str">
        <f ca="1">IFERROR(__xludf.DUMMYFUNCTION("""COMPUTED_VALUE"""),"No Data")</f>
        <v>No Data</v>
      </c>
    </row>
    <row r="1583" spans="1:2" ht="12.75">
      <c r="A1583" s="8" t="str">
        <f ca="1">IFERROR(__xludf.DUMMYFUNCTION("""COMPUTED_VALUE"""),"19960726CAJOL")</f>
        <v>19960726CAJOL</v>
      </c>
      <c r="B1583" s="8" t="str">
        <f ca="1">IFERROR(__xludf.DUMMYFUNCTION("""COMPUTED_VALUE"""),"Handgun")</f>
        <v>Handgun</v>
      </c>
    </row>
    <row r="1584" spans="1:2" ht="12.75">
      <c r="A1584" s="8" t="str">
        <f ca="1">IFERROR(__xludf.DUMMYFUNCTION("""COMPUTED_VALUE"""),"19960604CAWEH")</f>
        <v>19960604CAWEH</v>
      </c>
      <c r="B1584" s="8" t="str">
        <f ca="1">IFERROR(__xludf.DUMMYFUNCTION("""COMPUTED_VALUE"""),"No Data")</f>
        <v>No Data</v>
      </c>
    </row>
    <row r="1585" spans="1:2" ht="12.75">
      <c r="A1585" s="8" t="str">
        <f ca="1">IFERROR(__xludf.DUMMYFUNCTION("""COMPUTED_VALUE"""),"19960522CACOC")</f>
        <v>19960522CACOC</v>
      </c>
      <c r="B1585" s="8" t="str">
        <f ca="1">IFERROR(__xludf.DUMMYFUNCTION("""COMPUTED_VALUE"""),"Handgun")</f>
        <v>Handgun</v>
      </c>
    </row>
    <row r="1586" spans="1:2" ht="12.75">
      <c r="A1586" s="8" t="str">
        <f ca="1">IFERROR(__xludf.DUMMYFUNCTION("""COMPUTED_VALUE"""),"19960514UTBIT")</f>
        <v>19960514UTBIT</v>
      </c>
      <c r="B1586" s="8" t="str">
        <f ca="1">IFERROR(__xludf.DUMMYFUNCTION("""COMPUTED_VALUE"""),"Handgun")</f>
        <v>Handgun</v>
      </c>
    </row>
    <row r="1587" spans="1:2" ht="12.75">
      <c r="A1587" s="8" t="str">
        <f ca="1">IFERROR(__xludf.DUMMYFUNCTION("""COMPUTED_VALUE"""),"19960415DCMCW")</f>
        <v>19960415DCMCW</v>
      </c>
      <c r="B1587" s="8" t="str">
        <f ca="1">IFERROR(__xludf.DUMMYFUNCTION("""COMPUTED_VALUE"""),"No Data")</f>
        <v>No Data</v>
      </c>
    </row>
    <row r="1588" spans="1:2" ht="12.75">
      <c r="A1588" s="8" t="str">
        <f ca="1">IFERROR(__xludf.DUMMYFUNCTION("""COMPUTED_VALUE"""),"19960411ALTAT")</f>
        <v>19960411ALTAT</v>
      </c>
      <c r="B1588" s="8" t="str">
        <f ca="1">IFERROR(__xludf.DUMMYFUNCTION("""COMPUTED_VALUE"""),"Shotgun")</f>
        <v>Shotgun</v>
      </c>
    </row>
    <row r="1589" spans="1:2" ht="12.75">
      <c r="A1589" s="8" t="str">
        <f ca="1">IFERROR(__xludf.DUMMYFUNCTION("""COMPUTED_VALUE"""),"19960319NVSWL")</f>
        <v>19960319NVSWL</v>
      </c>
      <c r="B1589" s="8" t="str">
        <f ca="1">IFERROR(__xludf.DUMMYFUNCTION("""COMPUTED_VALUE"""),"Other")</f>
        <v>Other</v>
      </c>
    </row>
    <row r="1590" spans="1:2" ht="12.75">
      <c r="A1590" s="8" t="str">
        <f ca="1">IFERROR(__xludf.DUMMYFUNCTION("""COMPUTED_VALUE"""),"19960311NCNON")</f>
        <v>19960311NCNON</v>
      </c>
      <c r="B1590" s="8" t="str">
        <f ca="1">IFERROR(__xludf.DUMMYFUNCTION("""COMPUTED_VALUE"""),"Handgun")</f>
        <v>Handgun</v>
      </c>
    </row>
    <row r="1591" spans="1:2" ht="12.75">
      <c r="A1591" s="8" t="str">
        <f ca="1">IFERROR(__xludf.DUMMYFUNCTION("""COMPUTED_VALUE"""),"19960229MOBES")</f>
        <v>19960229MOBES</v>
      </c>
      <c r="B1591" s="8" t="str">
        <f ca="1">IFERROR(__xludf.DUMMYFUNCTION("""COMPUTED_VALUE"""),"Handgun")</f>
        <v>Handgun</v>
      </c>
    </row>
    <row r="1592" spans="1:2" ht="12.75">
      <c r="A1592" s="8" t="str">
        <f ca="1">IFERROR(__xludf.DUMMYFUNCTION("""COMPUTED_VALUE"""),"19960222GAJES")</f>
        <v>19960222GAJES</v>
      </c>
      <c r="B1592" s="8" t="str">
        <f ca="1">IFERROR(__xludf.DUMMYFUNCTION("""COMPUTED_VALUE"""),"Handgun")</f>
        <v>Handgun</v>
      </c>
    </row>
    <row r="1593" spans="1:2" ht="12.75">
      <c r="A1593" s="8" t="str">
        <f ca="1">IFERROR(__xludf.DUMMYFUNCTION("""COMPUTED_VALUE"""),"19960208CAMIM")</f>
        <v>19960208CAMIM</v>
      </c>
      <c r="B1593" s="8" t="str">
        <f ca="1">IFERROR(__xludf.DUMMYFUNCTION("""COMPUTED_VALUE"""),"Unknown")</f>
        <v>Unknown</v>
      </c>
    </row>
    <row r="1594" spans="1:2" ht="12.75">
      <c r="A1594" s="8" t="str">
        <f ca="1">IFERROR(__xludf.DUMMYFUNCTION("""COMPUTED_VALUE"""),"19960202WAFRM")</f>
        <v>19960202WAFRM</v>
      </c>
      <c r="B1594" s="8" t="str">
        <f ca="1">IFERROR(__xludf.DUMMYFUNCTION("""COMPUTED_VALUE"""),"Handgun")</f>
        <v>Handgun</v>
      </c>
    </row>
    <row r="1595" spans="1:2" ht="12.75">
      <c r="A1595" s="8" t="str">
        <f ca="1">IFERROR(__xludf.DUMMYFUNCTION("""COMPUTED_VALUE"""),"19960202WAFRM")</f>
        <v>19960202WAFRM</v>
      </c>
      <c r="B1595" s="8" t="str">
        <f ca="1">IFERROR(__xludf.DUMMYFUNCTION("""COMPUTED_VALUE"""),"Handgun")</f>
        <v>Handgun</v>
      </c>
    </row>
    <row r="1596" spans="1:2" ht="12.75">
      <c r="A1596" s="8" t="str">
        <f ca="1">IFERROR(__xludf.DUMMYFUNCTION("""COMPUTED_VALUE"""),"19960202WAFRM")</f>
        <v>19960202WAFRM</v>
      </c>
      <c r="B1596" s="8" t="str">
        <f ca="1">IFERROR(__xludf.DUMMYFUNCTION("""COMPUTED_VALUE"""),"Rifle")</f>
        <v>Rifle</v>
      </c>
    </row>
    <row r="1597" spans="1:2" ht="12.75">
      <c r="A1597" s="8" t="str">
        <f ca="1">IFERROR(__xludf.DUMMYFUNCTION("""COMPUTED_VALUE"""),"19960126TNEAM")</f>
        <v>19960126TNEAM</v>
      </c>
      <c r="B1597" s="8" t="str">
        <f ca="1">IFERROR(__xludf.DUMMYFUNCTION("""COMPUTED_VALUE"""),"Handgun")</f>
        <v>Handgun</v>
      </c>
    </row>
    <row r="1598" spans="1:2" ht="12.75">
      <c r="A1598" s="8" t="str">
        <f ca="1">IFERROR(__xludf.DUMMYFUNCTION("""COMPUTED_VALUE"""),"19960119DCWIW")</f>
        <v>19960119DCWIW</v>
      </c>
      <c r="B1598" s="8" t="str">
        <f ca="1">IFERROR(__xludf.DUMMYFUNCTION("""COMPUTED_VALUE"""),"No Data")</f>
        <v>No Data</v>
      </c>
    </row>
    <row r="1599" spans="1:2" ht="12.75">
      <c r="A1599" s="8" t="str">
        <f ca="1">IFERROR(__xludf.DUMMYFUNCTION("""COMPUTED_VALUE"""),"19960102PAGIG")</f>
        <v>19960102PAGIG</v>
      </c>
      <c r="B1599" s="8" t="str">
        <f ca="1">IFERROR(__xludf.DUMMYFUNCTION("""COMPUTED_VALUE"""),"No Data")</f>
        <v>No Data</v>
      </c>
    </row>
    <row r="1600" spans="1:2" ht="12.75">
      <c r="A1600" s="8" t="str">
        <f ca="1">IFERROR(__xludf.DUMMYFUNCTION("""COMPUTED_VALUE"""),"19951128NYTHN")</f>
        <v>19951128NYTHN</v>
      </c>
      <c r="B1600" s="8" t="str">
        <f ca="1">IFERROR(__xludf.DUMMYFUNCTION("""COMPUTED_VALUE"""),"Handgun")</f>
        <v>Handgun</v>
      </c>
    </row>
    <row r="1601" spans="1:2" ht="12.75">
      <c r="A1601" s="8" t="str">
        <f ca="1">IFERROR(__xludf.DUMMYFUNCTION("""COMPUTED_VALUE"""),"19951115TNRIL")</f>
        <v>19951115TNRIL</v>
      </c>
      <c r="B1601" s="8" t="str">
        <f ca="1">IFERROR(__xludf.DUMMYFUNCTION("""COMPUTED_VALUE"""),"Rifle")</f>
        <v>Rifle</v>
      </c>
    </row>
    <row r="1602" spans="1:2" ht="12.75">
      <c r="A1602" s="8" t="str">
        <f ca="1">IFERROR(__xludf.DUMMYFUNCTION("""COMPUTED_VALUE"""),"19951102FLBLM")</f>
        <v>19951102FLBLM</v>
      </c>
      <c r="B1602" s="8" t="str">
        <f ca="1">IFERROR(__xludf.DUMMYFUNCTION("""COMPUTED_VALUE"""),"No Data")</f>
        <v>No Data</v>
      </c>
    </row>
    <row r="1603" spans="1:2" ht="12.75">
      <c r="A1603" s="8" t="str">
        <f ca="1">IFERROR(__xludf.DUMMYFUNCTION("""COMPUTED_VALUE"""),"19951030VAJOR")</f>
        <v>19951030VAJOR</v>
      </c>
      <c r="B1603" s="8" t="str">
        <f ca="1">IFERROR(__xludf.DUMMYFUNCTION("""COMPUTED_VALUE"""),"Handgun")</f>
        <v>Handgun</v>
      </c>
    </row>
    <row r="1604" spans="1:2" ht="12.75">
      <c r="A1604" s="8" t="str">
        <f ca="1">IFERROR(__xludf.DUMMYFUNCTION("""COMPUTED_VALUE"""),"19951023FLLAC")</f>
        <v>19951023FLLAC</v>
      </c>
      <c r="B1604" s="8" t="str">
        <f ca="1">IFERROR(__xludf.DUMMYFUNCTION("""COMPUTED_VALUE"""),"Handgun")</f>
        <v>Handgun</v>
      </c>
    </row>
    <row r="1605" spans="1:2" ht="12.75">
      <c r="A1605" s="8" t="str">
        <f ca="1">IFERROR(__xludf.DUMMYFUNCTION("""COMPUTED_VALUE"""),"19951012SCBLB")</f>
        <v>19951012SCBLB</v>
      </c>
      <c r="B1605" s="8" t="str">
        <f ca="1">IFERROR(__xludf.DUMMYFUNCTION("""COMPUTED_VALUE"""),"Handgun")</f>
        <v>Handgun</v>
      </c>
    </row>
    <row r="1606" spans="1:2" ht="12.75">
      <c r="A1606" s="8" t="str">
        <f ca="1">IFERROR(__xludf.DUMMYFUNCTION("""COMPUTED_VALUE"""),"19950929FLTAT")</f>
        <v>19950929FLTAT</v>
      </c>
      <c r="B1606" s="8" t="str">
        <f ca="1">IFERROR(__xludf.DUMMYFUNCTION("""COMPUTED_VALUE"""),"Handgun")</f>
        <v>Handgun</v>
      </c>
    </row>
    <row r="1607" spans="1:2" ht="12.75">
      <c r="A1607" s="8" t="str">
        <f ca="1">IFERROR(__xludf.DUMMYFUNCTION("""COMPUTED_VALUE"""),"19950927ALBLP")</f>
        <v>19950927ALBLP</v>
      </c>
      <c r="B1607" s="8" t="str">
        <f ca="1">IFERROR(__xludf.DUMMYFUNCTION("""COMPUTED_VALUE"""),"Handgun")</f>
        <v>Handgun</v>
      </c>
    </row>
    <row r="1608" spans="1:2" ht="12.75">
      <c r="A1608" s="8" t="str">
        <f ca="1">IFERROR(__xludf.DUMMYFUNCTION("""COMPUTED_VALUE"""),"19950915KYGEW")</f>
        <v>19950915KYGEW</v>
      </c>
      <c r="B1608" s="8" t="str">
        <f ca="1">IFERROR(__xludf.DUMMYFUNCTION("""COMPUTED_VALUE"""),"Multiple Handguns")</f>
        <v>Multiple Handguns</v>
      </c>
    </row>
    <row r="1609" spans="1:2" ht="12.75">
      <c r="A1609" s="8" t="str">
        <f ca="1">IFERROR(__xludf.DUMMYFUNCTION("""COMPUTED_VALUE"""),"19950914KSOLO")</f>
        <v>19950914KSOLO</v>
      </c>
      <c r="B1609" s="8" t="str">
        <f ca="1">IFERROR(__xludf.DUMMYFUNCTION("""COMPUTED_VALUE"""),"Handgun")</f>
        <v>Handgun</v>
      </c>
    </row>
    <row r="1610" spans="1:2" ht="12.75">
      <c r="A1610" s="8" t="str">
        <f ca="1">IFERROR(__xludf.DUMMYFUNCTION("""COMPUTED_VALUE"""),"19950912TNCYM")</f>
        <v>19950912TNCYM</v>
      </c>
      <c r="B1610" s="8" t="str">
        <f ca="1">IFERROR(__xludf.DUMMYFUNCTION("""COMPUTED_VALUE"""),"Handgun")</f>
        <v>Handgun</v>
      </c>
    </row>
    <row r="1611" spans="1:2" ht="12.75">
      <c r="A1611" s="8" t="str">
        <f ca="1">IFERROR(__xludf.DUMMYFUNCTION("""COMPUTED_VALUE"""),"19950829TXMEL")</f>
        <v>19950829TXMEL</v>
      </c>
      <c r="B1611" s="8" t="str">
        <f ca="1">IFERROR(__xludf.DUMMYFUNCTION("""COMPUTED_VALUE"""),"Shotgun")</f>
        <v>Shotgun</v>
      </c>
    </row>
    <row r="1612" spans="1:2" ht="12.75">
      <c r="A1612" s="8" t="str">
        <f ca="1">IFERROR(__xludf.DUMMYFUNCTION("""COMPUTED_VALUE"""),"19950614FLLAL")</f>
        <v>19950614FLLAL</v>
      </c>
      <c r="B1612" s="8" t="str">
        <f ca="1">IFERROR(__xludf.DUMMYFUNCTION("""COMPUTED_VALUE"""),"Handgun")</f>
        <v>Handgun</v>
      </c>
    </row>
    <row r="1613" spans="1:2" ht="12.75">
      <c r="A1613" s="8" t="str">
        <f ca="1">IFERROR(__xludf.DUMMYFUNCTION("""COMPUTED_VALUE"""),"19950327MIRED")</f>
        <v>19950327MIRED</v>
      </c>
      <c r="B1613" s="8" t="str">
        <f ca="1">IFERROR(__xludf.DUMMYFUNCTION("""COMPUTED_VALUE"""),"Handgun")</f>
        <v>Handgun</v>
      </c>
    </row>
    <row r="1614" spans="1:2" ht="12.75">
      <c r="A1614" s="8" t="str">
        <f ca="1">IFERROR(__xludf.DUMMYFUNCTION("""COMPUTED_VALUE"""),"19950303MIPED")</f>
        <v>19950303MIPED</v>
      </c>
      <c r="B1614" s="8" t="str">
        <f ca="1">IFERROR(__xludf.DUMMYFUNCTION("""COMPUTED_VALUE"""),"Handgun")</f>
        <v>Handgun</v>
      </c>
    </row>
    <row r="1615" spans="1:2" ht="12.75">
      <c r="A1615" s="8" t="str">
        <f ca="1">IFERROR(__xludf.DUMMYFUNCTION("""COMPUTED_VALUE"""),"19950208NECHS")</f>
        <v>19950208NECHS</v>
      </c>
      <c r="B1615" s="8" t="str">
        <f ca="1">IFERROR(__xludf.DUMMYFUNCTION("""COMPUTED_VALUE"""),"Handgun")</f>
        <v>Handgun</v>
      </c>
    </row>
    <row r="1616" spans="1:2" ht="12.75">
      <c r="A1616" s="8" t="str">
        <f ca="1">IFERROR(__xludf.DUMMYFUNCTION("""COMPUTED_VALUE"""),"19950202CAJOL")</f>
        <v>19950202CAJOL</v>
      </c>
      <c r="B1616" s="8" t="str">
        <f ca="1">IFERROR(__xludf.DUMMYFUNCTION("""COMPUTED_VALUE"""),"Handgun")</f>
        <v>Handgun</v>
      </c>
    </row>
    <row r="1617" spans="1:2" ht="12.75">
      <c r="A1617" s="8" t="str">
        <f ca="1">IFERROR(__xludf.DUMMYFUNCTION("""COMPUTED_VALUE"""),"19950124DCSPW")</f>
        <v>19950124DCSPW</v>
      </c>
      <c r="B1617" s="8" t="str">
        <f ca="1">IFERROR(__xludf.DUMMYFUNCTION("""COMPUTED_VALUE"""),"Handgun")</f>
        <v>Handgun</v>
      </c>
    </row>
    <row r="1618" spans="1:2" ht="12.75">
      <c r="A1618" s="8" t="str">
        <f ca="1">IFERROR(__xludf.DUMMYFUNCTION("""COMPUTED_VALUE"""),"19950123CASAR")</f>
        <v>19950123CASAR</v>
      </c>
      <c r="B1618" s="8" t="str">
        <f ca="1">IFERROR(__xludf.DUMMYFUNCTION("""COMPUTED_VALUE"""),"Shotgun")</f>
        <v>Shotgun</v>
      </c>
    </row>
    <row r="1619" spans="1:2" ht="12.75">
      <c r="A1619" s="8" t="str">
        <f ca="1">IFERROR(__xludf.DUMMYFUNCTION("""COMPUTED_VALUE"""),"19950112WAGAS")</f>
        <v>19950112WAGAS</v>
      </c>
      <c r="B1619" s="8" t="str">
        <f ca="1">IFERROR(__xludf.DUMMYFUNCTION("""COMPUTED_VALUE"""),"Handgun")</f>
        <v>Handgun</v>
      </c>
    </row>
    <row r="1620" spans="1:2" ht="12.75">
      <c r="A1620" s="8" t="str">
        <f ca="1">IFERROR(__xludf.DUMMYFUNCTION("""COMPUTED_VALUE"""),"19950110FLPAP")</f>
        <v>19950110FLPAP</v>
      </c>
      <c r="B1620" s="8" t="str">
        <f ca="1">IFERROR(__xludf.DUMMYFUNCTION("""COMPUTED_VALUE"""),"Handgun")</f>
        <v>Handgun</v>
      </c>
    </row>
    <row r="1621" spans="1:2" ht="12.75">
      <c r="A1621" s="8" t="str">
        <f ca="1">IFERROR(__xludf.DUMMYFUNCTION("""COMPUTED_VALUE"""),"19950105DCCAW")</f>
        <v>19950105DCCAW</v>
      </c>
      <c r="B1621" s="8" t="str">
        <f ca="1">IFERROR(__xludf.DUMMYFUNCTION("""COMPUTED_VALUE"""),"Handgun")</f>
        <v>Handgun</v>
      </c>
    </row>
    <row r="1622" spans="1:2" ht="12.75">
      <c r="A1622" s="8" t="str">
        <f ca="1">IFERROR(__xludf.DUMMYFUNCTION("""COMPUTED_VALUE"""),"19941207FLPAM")</f>
        <v>19941207FLPAM</v>
      </c>
      <c r="B1622" s="8" t="str">
        <f ca="1">IFERROR(__xludf.DUMMYFUNCTION("""COMPUTED_VALUE"""),"Handgun")</f>
        <v>Handgun</v>
      </c>
    </row>
    <row r="1623" spans="1:2" ht="12.75">
      <c r="A1623" s="8" t="str">
        <f ca="1">IFERROR(__xludf.DUMMYFUNCTION("""COMPUTED_VALUE"""),"19941115WASTT")</f>
        <v>19941115WASTT</v>
      </c>
      <c r="B1623" s="8" t="str">
        <f ca="1">IFERROR(__xludf.DUMMYFUNCTION("""COMPUTED_VALUE"""),"Handgun")</f>
        <v>Handgun</v>
      </c>
    </row>
    <row r="1624" spans="1:2" ht="12.75">
      <c r="A1624" s="8" t="str">
        <f ca="1">IFERROR(__xludf.DUMMYFUNCTION("""COMPUTED_VALUE"""),"19941108IAWEM")</f>
        <v>19941108IAWEM</v>
      </c>
      <c r="B1624" s="8" t="str">
        <f ca="1">IFERROR(__xludf.DUMMYFUNCTION("""COMPUTED_VALUE"""),"No Data")</f>
        <v>No Data</v>
      </c>
    </row>
    <row r="1625" spans="1:2" ht="12.75">
      <c r="A1625" s="8" t="str">
        <f ca="1">IFERROR(__xludf.DUMMYFUNCTION("""COMPUTED_VALUE"""),"19941107OHWIW")</f>
        <v>19941107OHWIW</v>
      </c>
      <c r="B1625" s="8" t="str">
        <f ca="1">IFERROR(__xludf.DUMMYFUNCTION("""COMPUTED_VALUE"""),"No Data")</f>
        <v>No Data</v>
      </c>
    </row>
    <row r="1626" spans="1:2" ht="12.75">
      <c r="A1626" s="8" t="str">
        <f ca="1">IFERROR(__xludf.DUMMYFUNCTION("""COMPUTED_VALUE"""),"19941105CATHS")</f>
        <v>19941105CATHS</v>
      </c>
      <c r="B1626" s="8" t="str">
        <f ca="1">IFERROR(__xludf.DUMMYFUNCTION("""COMPUTED_VALUE"""),"Handgun")</f>
        <v>Handgun</v>
      </c>
    </row>
    <row r="1627" spans="1:2" ht="12.75">
      <c r="A1627" s="8" t="str">
        <f ca="1">IFERROR(__xludf.DUMMYFUNCTION("""COMPUTED_VALUE"""),"19941031CAALA")</f>
        <v>19941031CAALA</v>
      </c>
      <c r="B1627" s="8" t="str">
        <f ca="1">IFERROR(__xludf.DUMMYFUNCTION("""COMPUTED_VALUE"""),"Handgun")</f>
        <v>Handgun</v>
      </c>
    </row>
    <row r="1628" spans="1:2" ht="12.75">
      <c r="A1628" s="8" t="str">
        <f ca="1">IFERROR(__xludf.DUMMYFUNCTION("""COMPUTED_VALUE"""),"19941017ILHUC")</f>
        <v>19941017ILHUC</v>
      </c>
      <c r="B1628" s="8" t="str">
        <f ca="1">IFERROR(__xludf.DUMMYFUNCTION("""COMPUTED_VALUE"""),"Handgun")</f>
        <v>Handgun</v>
      </c>
    </row>
    <row r="1629" spans="1:2" ht="12.75">
      <c r="A1629" s="8" t="str">
        <f ca="1">IFERROR(__xludf.DUMMYFUNCTION("""COMPUTED_VALUE"""),"19941012NCGRG")</f>
        <v>19941012NCGRG</v>
      </c>
      <c r="B1629" s="8" t="str">
        <f ca="1">IFERROR(__xludf.DUMMYFUNCTION("""COMPUTED_VALUE"""),"No Data")</f>
        <v>No Data</v>
      </c>
    </row>
    <row r="1630" spans="1:2" ht="12.75">
      <c r="A1630" s="8" t="str">
        <f ca="1">IFERROR(__xludf.DUMMYFUNCTION("""COMPUTED_VALUE"""),"19940922ORLEL")</f>
        <v>19940922ORLEL</v>
      </c>
      <c r="B1630" s="8" t="str">
        <f ca="1">IFERROR(__xludf.DUMMYFUNCTION("""COMPUTED_VALUE"""),"Handgun")</f>
        <v>Handgun</v>
      </c>
    </row>
    <row r="1631" spans="1:2" ht="12.75">
      <c r="A1631" s="8" t="str">
        <f ca="1">IFERROR(__xludf.DUMMYFUNCTION("""COMPUTED_VALUE"""),"19940919CALOL")</f>
        <v>19940919CALOL</v>
      </c>
      <c r="B1631" s="8" t="str">
        <f ca="1">IFERROR(__xludf.DUMMYFUNCTION("""COMPUTED_VALUE"""),"No Data")</f>
        <v>No Data</v>
      </c>
    </row>
    <row r="1632" spans="1:2" ht="12.75">
      <c r="A1632" s="8" t="str">
        <f ca="1">IFERROR(__xludf.DUMMYFUNCTION("""COMPUTED_VALUE"""),"19940908NYSWA")</f>
        <v>19940908NYSWA</v>
      </c>
      <c r="B1632" s="8" t="str">
        <f ca="1">IFERROR(__xludf.DUMMYFUNCTION("""COMPUTED_VALUE"""),"Handgun")</f>
        <v>Handgun</v>
      </c>
    </row>
    <row r="1633" spans="1:2" ht="12.75">
      <c r="A1633" s="8" t="str">
        <f ca="1">IFERROR(__xludf.DUMMYFUNCTION("""COMPUTED_VALUE"""),"19940907CAHOL")</f>
        <v>19940907CAHOL</v>
      </c>
      <c r="B1633" s="8" t="str">
        <f ca="1">IFERROR(__xludf.DUMMYFUNCTION("""COMPUTED_VALUE"""),"No Data")</f>
        <v>No Data</v>
      </c>
    </row>
    <row r="1634" spans="1:2" ht="12.75">
      <c r="A1634" s="8" t="str">
        <f ca="1">IFERROR(__xludf.DUMMYFUNCTION("""COMPUTED_VALUE"""),"19940725IAOTO")</f>
        <v>19940725IAOTO</v>
      </c>
      <c r="B1634" s="8" t="str">
        <f ca="1">IFERROR(__xludf.DUMMYFUNCTION("""COMPUTED_VALUE"""),"Handgun")</f>
        <v>Handgun</v>
      </c>
    </row>
    <row r="1635" spans="1:2" ht="12.75">
      <c r="A1635" s="8" t="str">
        <f ca="1">IFERROR(__xludf.DUMMYFUNCTION("""COMPUTED_VALUE"""),"19940724PAMAM")</f>
        <v>19940724PAMAM</v>
      </c>
      <c r="B1635" s="8" t="str">
        <f ca="1">IFERROR(__xludf.DUMMYFUNCTION("""COMPUTED_VALUE"""),"No Data")</f>
        <v>No Data</v>
      </c>
    </row>
    <row r="1636" spans="1:2" ht="12.75">
      <c r="A1636" s="8" t="str">
        <f ca="1">IFERROR(__xludf.DUMMYFUNCTION("""COMPUTED_VALUE"""),"19940526KYLAU")</f>
        <v>19940526KYLAU</v>
      </c>
      <c r="B1636" s="8" t="str">
        <f ca="1">IFERROR(__xludf.DUMMYFUNCTION("""COMPUTED_VALUE"""),"Handgun")</f>
        <v>Handgun</v>
      </c>
    </row>
    <row r="1637" spans="1:2" ht="12.75">
      <c r="A1637" s="8" t="str">
        <f ca="1">IFERROR(__xludf.DUMMYFUNCTION("""COMPUTED_VALUE"""),"19940525NJLAW")</f>
        <v>19940525NJLAW</v>
      </c>
      <c r="B1637" s="8" t="str">
        <f ca="1">IFERROR(__xludf.DUMMYFUNCTION("""COMPUTED_VALUE"""),"Handgun")</f>
        <v>Handgun</v>
      </c>
    </row>
    <row r="1638" spans="1:2" ht="12.75">
      <c r="A1638" s="8" t="str">
        <f ca="1">IFERROR(__xludf.DUMMYFUNCTION("""COMPUTED_VALUE"""),"19940525INLAS")</f>
        <v>19940525INLAS</v>
      </c>
      <c r="B1638" s="8" t="str">
        <f ca="1">IFERROR(__xludf.DUMMYFUNCTION("""COMPUTED_VALUE"""),"Handgun")</f>
        <v>Handgun</v>
      </c>
    </row>
    <row r="1639" spans="1:2" ht="12.75">
      <c r="A1639" s="8" t="str">
        <f ca="1">IFERROR(__xludf.DUMMYFUNCTION("""COMPUTED_VALUE"""),"19940502FLNON")</f>
        <v>19940502FLNON</v>
      </c>
      <c r="B1639" s="8" t="str">
        <f ca="1">IFERROR(__xludf.DUMMYFUNCTION("""COMPUTED_VALUE"""),"Handgun")</f>
        <v>Handgun</v>
      </c>
    </row>
    <row r="1640" spans="1:2" ht="12.75">
      <c r="A1640" s="8" t="str">
        <f ca="1">IFERROR(__xludf.DUMMYFUNCTION("""COMPUTED_VALUE"""),"19940421TNJTN")</f>
        <v>19940421TNJTN</v>
      </c>
      <c r="B1640" s="8" t="str">
        <f ca="1">IFERROR(__xludf.DUMMYFUNCTION("""COMPUTED_VALUE"""),"Handgun")</f>
        <v>Handgun</v>
      </c>
    </row>
    <row r="1641" spans="1:2" ht="12.75">
      <c r="A1641" s="8" t="str">
        <f ca="1">IFERROR(__xludf.DUMMYFUNCTION("""COMPUTED_VALUE"""),"19940420INDIS")</f>
        <v>19940420INDIS</v>
      </c>
      <c r="B1641" s="8" t="str">
        <f ca="1">IFERROR(__xludf.DUMMYFUNCTION("""COMPUTED_VALUE"""),"Handgun")</f>
        <v>Handgun</v>
      </c>
    </row>
    <row r="1642" spans="1:2" ht="12.75">
      <c r="A1642" s="8" t="str">
        <f ca="1">IFERROR(__xludf.DUMMYFUNCTION("""COMPUTED_VALUE"""),"19940419DCELW")</f>
        <v>19940419DCELW</v>
      </c>
      <c r="B1642" s="8" t="str">
        <f ca="1">IFERROR(__xludf.DUMMYFUNCTION("""COMPUTED_VALUE"""),"No Data")</f>
        <v>No Data</v>
      </c>
    </row>
    <row r="1643" spans="1:2" ht="12.75">
      <c r="A1643" s="8" t="str">
        <f ca="1">IFERROR(__xludf.DUMMYFUNCTION("""COMPUTED_VALUE"""),"19940413CA49L")</f>
        <v>19940413CA49L</v>
      </c>
      <c r="B1643" s="8" t="str">
        <f ca="1">IFERROR(__xludf.DUMMYFUNCTION("""COMPUTED_VALUE"""),"Handgun")</f>
        <v>Handgun</v>
      </c>
    </row>
    <row r="1644" spans="1:2" ht="12.75">
      <c r="A1644" s="8" t="str">
        <f ca="1">IFERROR(__xludf.DUMMYFUNCTION("""COMPUTED_VALUE"""),"19940412MTMAB")</f>
        <v>19940412MTMAB</v>
      </c>
      <c r="B1644" s="8" t="str">
        <f ca="1">IFERROR(__xludf.DUMMYFUNCTION("""COMPUTED_VALUE"""),"Handgun")</f>
        <v>Handgun</v>
      </c>
    </row>
    <row r="1645" spans="1:2" ht="12.75">
      <c r="A1645" s="8" t="str">
        <f ca="1">IFERROR(__xludf.DUMMYFUNCTION("""COMPUTED_VALUE"""),"19940408MDLAU")</f>
        <v>19940408MDLAU</v>
      </c>
      <c r="B1645" s="8" t="str">
        <f ca="1">IFERROR(__xludf.DUMMYFUNCTION("""COMPUTED_VALUE"""),"Handgun")</f>
        <v>Handgun</v>
      </c>
    </row>
    <row r="1646" spans="1:2" ht="12.75">
      <c r="A1646" s="8" t="str">
        <f ca="1">IFERROR(__xludf.DUMMYFUNCTION("""COMPUTED_VALUE"""),"19940405TXMCA")</f>
        <v>19940405TXMCA</v>
      </c>
      <c r="B1646" s="8" t="str">
        <f ca="1">IFERROR(__xludf.DUMMYFUNCTION("""COMPUTED_VALUE"""),"Handgun")</f>
        <v>Handgun</v>
      </c>
    </row>
    <row r="1647" spans="1:2" ht="12.75">
      <c r="A1647" s="8" t="str">
        <f ca="1">IFERROR(__xludf.DUMMYFUNCTION("""COMPUTED_VALUE"""),"19940325GAETC")</f>
        <v>19940325GAETC</v>
      </c>
      <c r="B1647" s="8" t="str">
        <f ca="1">IFERROR(__xludf.DUMMYFUNCTION("""COMPUTED_VALUE"""),"Handgun")</f>
        <v>Handgun</v>
      </c>
    </row>
    <row r="1648" spans="1:2" ht="12.75">
      <c r="A1648" s="8" t="str">
        <f ca="1">IFERROR(__xludf.DUMMYFUNCTION("""COMPUTED_VALUE"""),"19940323WABAS")</f>
        <v>19940323WABAS</v>
      </c>
      <c r="B1648" s="8" t="str">
        <f ca="1">IFERROR(__xludf.DUMMYFUNCTION("""COMPUTED_VALUE"""),"No Data")</f>
        <v>No Data</v>
      </c>
    </row>
    <row r="1649" spans="1:2" ht="12.75">
      <c r="A1649" s="8" t="str">
        <f ca="1">IFERROR(__xludf.DUMMYFUNCTION("""COMPUTED_VALUE"""),"19940315SCGOC")</f>
        <v>19940315SCGOC</v>
      </c>
      <c r="B1649" s="8" t="str">
        <f ca="1">IFERROR(__xludf.DUMMYFUNCTION("""COMPUTED_VALUE"""),"No Data")</f>
        <v>No Data</v>
      </c>
    </row>
    <row r="1650" spans="1:2" ht="12.75">
      <c r="A1650" s="8" t="str">
        <f ca="1">IFERROR(__xludf.DUMMYFUNCTION("""COMPUTED_VALUE"""),"19940309DCEAW")</f>
        <v>19940309DCEAW</v>
      </c>
      <c r="B1650" s="8" t="str">
        <f ca="1">IFERROR(__xludf.DUMMYFUNCTION("""COMPUTED_VALUE"""),"Handgun")</f>
        <v>Handgun</v>
      </c>
    </row>
    <row r="1651" spans="1:2" ht="12.75">
      <c r="A1651" s="8" t="str">
        <f ca="1">IFERROR(__xludf.DUMMYFUNCTION("""COMPUTED_VALUE"""),"19940303ALENB")</f>
        <v>19940303ALENB</v>
      </c>
      <c r="B1651" s="8" t="str">
        <f ca="1">IFERROR(__xludf.DUMMYFUNCTION("""COMPUTED_VALUE"""),"Handgun")</f>
        <v>Handgun</v>
      </c>
    </row>
    <row r="1652" spans="1:2" ht="12.75">
      <c r="A1652" s="8" t="str">
        <f ca="1">IFERROR(__xludf.DUMMYFUNCTION("""COMPUTED_VALUE"""),"19940301MOKEB")</f>
        <v>19940301MOKEB</v>
      </c>
      <c r="B1652" s="8" t="str">
        <f ca="1">IFERROR(__xludf.DUMMYFUNCTION("""COMPUTED_VALUE"""),"Shotgun")</f>
        <v>Shotgun</v>
      </c>
    </row>
    <row r="1653" spans="1:2" ht="12.75">
      <c r="A1653" s="8" t="str">
        <f ca="1">IFERROR(__xludf.DUMMYFUNCTION("""COMPUTED_VALUE"""),"19940218SCSPS")</f>
        <v>19940218SCSPS</v>
      </c>
      <c r="B1653" s="8" t="str">
        <f ca="1">IFERROR(__xludf.DUMMYFUNCTION("""COMPUTED_VALUE"""),"Handgun")</f>
        <v>Handgun</v>
      </c>
    </row>
    <row r="1654" spans="1:2" ht="12.75">
      <c r="A1654" s="8" t="str">
        <f ca="1">IFERROR(__xludf.DUMMYFUNCTION("""COMPUTED_VALUE"""),"19940208MIOSD")</f>
        <v>19940208MIOSD</v>
      </c>
      <c r="B1654" s="8" t="str">
        <f ca="1">IFERROR(__xludf.DUMMYFUNCTION("""COMPUTED_VALUE"""),"No Data")</f>
        <v>No Data</v>
      </c>
    </row>
    <row r="1655" spans="1:2" ht="12.75">
      <c r="A1655" s="8" t="str">
        <f ca="1">IFERROR(__xludf.DUMMYFUNCTION("""COMPUTED_VALUE"""),"19940131WAWHS")</f>
        <v>19940131WAWHS</v>
      </c>
      <c r="B1655" s="8" t="str">
        <f ca="1">IFERROR(__xludf.DUMMYFUNCTION("""COMPUTED_VALUE"""),"Rifle")</f>
        <v>Rifle</v>
      </c>
    </row>
    <row r="1656" spans="1:2" ht="12.75">
      <c r="A1656" s="8" t="str">
        <f ca="1">IFERROR(__xludf.DUMMYFUNCTION("""COMPUTED_VALUE"""),"19940127CAWAS")</f>
        <v>19940127CAWAS</v>
      </c>
      <c r="B1656" s="8" t="str">
        <f ca="1">IFERROR(__xludf.DUMMYFUNCTION("""COMPUTED_VALUE"""),"Unknown")</f>
        <v>Unknown</v>
      </c>
    </row>
    <row r="1657" spans="1:2" ht="12.75">
      <c r="A1657" s="8" t="str">
        <f ca="1">IFERROR(__xludf.DUMMYFUNCTION("""COMPUTED_VALUE"""),"19940126DCPAW")</f>
        <v>19940126DCPAW</v>
      </c>
      <c r="B1657" s="8" t="str">
        <f ca="1">IFERROR(__xludf.DUMMYFUNCTION("""COMPUTED_VALUE"""),"Handgun")</f>
        <v>Handgun</v>
      </c>
    </row>
    <row r="1658" spans="1:2" ht="12.75">
      <c r="A1658" s="8" t="str">
        <f ca="1">IFERROR(__xludf.DUMMYFUNCTION("""COMPUTED_VALUE"""),"19940126DCELW")</f>
        <v>19940126DCELW</v>
      </c>
      <c r="B1658" s="8" t="str">
        <f ca="1">IFERROR(__xludf.DUMMYFUNCTION("""COMPUTED_VALUE"""),"No Data")</f>
        <v>No Data</v>
      </c>
    </row>
    <row r="1659" spans="1:2" ht="12.75">
      <c r="A1659" s="8" t="str">
        <f ca="1">IFERROR(__xludf.DUMMYFUNCTION("""COMPUTED_VALUE"""),"19940124SCEAC")</f>
        <v>19940124SCEAC</v>
      </c>
      <c r="B1659" s="8" t="str">
        <f ca="1">IFERROR(__xludf.DUMMYFUNCTION("""COMPUTED_VALUE"""),"Handgun")</f>
        <v>Handgun</v>
      </c>
    </row>
    <row r="1660" spans="1:2" ht="12.75">
      <c r="A1660" s="8" t="str">
        <f ca="1">IFERROR(__xludf.DUMMYFUNCTION("""COMPUTED_VALUE"""),"19940121TXKEK")</f>
        <v>19940121TXKEK</v>
      </c>
      <c r="B1660" s="8" t="str">
        <f ca="1">IFERROR(__xludf.DUMMYFUNCTION("""COMPUTED_VALUE"""),"Rifle")</f>
        <v>Rifle</v>
      </c>
    </row>
    <row r="1661" spans="1:2" ht="12.75">
      <c r="A1661" s="8" t="str">
        <f ca="1">IFERROR(__xludf.DUMMYFUNCTION("""COMPUTED_VALUE"""),"19940120CALOH")</f>
        <v>19940120CALOH</v>
      </c>
      <c r="B1661" s="8" t="str">
        <f ca="1">IFERROR(__xludf.DUMMYFUNCTION("""COMPUTED_VALUE"""),"No Data")</f>
        <v>No Data</v>
      </c>
    </row>
    <row r="1662" spans="1:2" ht="12.75">
      <c r="A1662" s="8" t="str">
        <f ca="1">IFERROR(__xludf.DUMMYFUNCTION("""COMPUTED_VALUE"""),"19931217MICHC")</f>
        <v>19931217MICHC</v>
      </c>
      <c r="B1662" s="8" t="str">
        <f ca="1">IFERROR(__xludf.DUMMYFUNCTION("""COMPUTED_VALUE"""),"Handgun")</f>
        <v>Handgun</v>
      </c>
    </row>
    <row r="1663" spans="1:2" ht="12.75">
      <c r="A1663" s="8" t="str">
        <f ca="1">IFERROR(__xludf.DUMMYFUNCTION("""COMPUTED_VALUE"""),"19931215CACHS")</f>
        <v>19931215CACHS</v>
      </c>
      <c r="B1663" s="8" t="str">
        <f ca="1">IFERROR(__xludf.DUMMYFUNCTION("""COMPUTED_VALUE"""),"Handgun")</f>
        <v>Handgun</v>
      </c>
    </row>
    <row r="1664" spans="1:2" ht="12.75">
      <c r="A1664" s="8" t="str">
        <f ca="1">IFERROR(__xludf.DUMMYFUNCTION("""COMPUTED_VALUE"""),"19931208GABES")</f>
        <v>19931208GABES</v>
      </c>
      <c r="B1664" s="8" t="str">
        <f ca="1">IFERROR(__xludf.DUMMYFUNCTION("""COMPUTED_VALUE"""),"Handgun")</f>
        <v>Handgun</v>
      </c>
    </row>
    <row r="1665" spans="1:2" ht="12.75">
      <c r="A1665" s="8" t="str">
        <f ca="1">IFERROR(__xludf.DUMMYFUNCTION("""COMPUTED_VALUE"""),"19931202CTNEN")</f>
        <v>19931202CTNEN</v>
      </c>
      <c r="B1665" s="8" t="str">
        <f ca="1">IFERROR(__xludf.DUMMYFUNCTION("""COMPUTED_VALUE"""),"No Data")</f>
        <v>No Data</v>
      </c>
    </row>
    <row r="1666" spans="1:2" ht="12.75">
      <c r="A1666" s="8" t="str">
        <f ca="1">IFERROR(__xludf.DUMMYFUNCTION("""COMPUTED_VALUE"""),"19931201WIWAW")</f>
        <v>19931201WIWAW</v>
      </c>
      <c r="B1666" s="8" t="str">
        <f ca="1">IFERROR(__xludf.DUMMYFUNCTION("""COMPUTED_VALUE"""),"No Data")</f>
        <v>No Data</v>
      </c>
    </row>
    <row r="1667" spans="1:2" ht="12.75">
      <c r="A1667" s="8" t="str">
        <f ca="1">IFERROR(__xludf.DUMMYFUNCTION("""COMPUTED_VALUE"""),"19931111ILRIS")</f>
        <v>19931111ILRIS</v>
      </c>
      <c r="B1667" s="8" t="str">
        <f ca="1">IFERROR(__xludf.DUMMYFUNCTION("""COMPUTED_VALUE"""),"Handgun")</f>
        <v>Handgun</v>
      </c>
    </row>
    <row r="1668" spans="1:2" ht="12.75">
      <c r="A1668" s="8" t="str">
        <f ca="1">IFERROR(__xludf.DUMMYFUNCTION("""COMPUTED_VALUE"""),"19931104MSBAB")</f>
        <v>19931104MSBAB</v>
      </c>
      <c r="B1668" s="8" t="str">
        <f ca="1">IFERROR(__xludf.DUMMYFUNCTION("""COMPUTED_VALUE"""),"No Data")</f>
        <v>No Data</v>
      </c>
    </row>
    <row r="1669" spans="1:2" ht="12.75">
      <c r="A1669" s="8" t="str">
        <f ca="1">IFERROR(__xludf.DUMMYFUNCTION("""COMPUTED_VALUE"""),"19931104FLTEJ")</f>
        <v>19931104FLTEJ</v>
      </c>
      <c r="B1669" s="8" t="str">
        <f ca="1">IFERROR(__xludf.DUMMYFUNCTION("""COMPUTED_VALUE"""),"Handgun")</f>
        <v>Handgun</v>
      </c>
    </row>
    <row r="1670" spans="1:2" ht="12.75">
      <c r="A1670" s="8" t="str">
        <f ca="1">IFERROR(__xludf.DUMMYFUNCTION("""COMPUTED_VALUE"""),"19931104CTNEN")</f>
        <v>19931104CTNEN</v>
      </c>
      <c r="B1670" s="8" t="str">
        <f ca="1">IFERROR(__xludf.DUMMYFUNCTION("""COMPUTED_VALUE"""),"No Data")</f>
        <v>No Data</v>
      </c>
    </row>
    <row r="1671" spans="1:2" ht="12.75">
      <c r="A1671" s="8" t="str">
        <f ca="1">IFERROR(__xludf.DUMMYFUNCTION("""COMPUTED_VALUE"""),"19931101ILSUC")</f>
        <v>19931101ILSUC</v>
      </c>
      <c r="B1671" s="8" t="str">
        <f ca="1">IFERROR(__xludf.DUMMYFUNCTION("""COMPUTED_VALUE"""),"Handgun")</f>
        <v>Handgun</v>
      </c>
    </row>
    <row r="1672" spans="1:2" ht="12.75">
      <c r="A1672" s="8" t="str">
        <f ca="1">IFERROR(__xludf.DUMMYFUNCTION("""COMPUTED_VALUE"""),"19931018DCJHW")</f>
        <v>19931018DCJHW</v>
      </c>
      <c r="B1672" s="8" t="str">
        <f ca="1">IFERROR(__xludf.DUMMYFUNCTION("""COMPUTED_VALUE"""),"Handgun")</f>
        <v>Handgun</v>
      </c>
    </row>
    <row r="1673" spans="1:2" ht="12.75">
      <c r="A1673" s="8" t="str">
        <f ca="1">IFERROR(__xludf.DUMMYFUNCTION("""COMPUTED_VALUE"""),"19931012DEDON")</f>
        <v>19931012DEDON</v>
      </c>
      <c r="B1673" s="8" t="str">
        <f ca="1">IFERROR(__xludf.DUMMYFUNCTION("""COMPUTED_VALUE"""),"Handgun")</f>
        <v>Handgun</v>
      </c>
    </row>
    <row r="1674" spans="1:2" ht="12.75">
      <c r="A1674" s="8" t="str">
        <f ca="1">IFERROR(__xludf.DUMMYFUNCTION("""COMPUTED_VALUE"""),"19930928MSCOG")</f>
        <v>19930928MSCOG</v>
      </c>
      <c r="B1674" s="8" t="str">
        <f ca="1">IFERROR(__xludf.DUMMYFUNCTION("""COMPUTED_VALUE"""),"Handgun")</f>
        <v>Handgun</v>
      </c>
    </row>
    <row r="1675" spans="1:2" ht="12.75">
      <c r="A1675" s="8" t="str">
        <f ca="1">IFERROR(__xludf.DUMMYFUNCTION("""COMPUTED_VALUE"""),"19930925DCWEW")</f>
        <v>19930925DCWEW</v>
      </c>
      <c r="B1675" s="8" t="str">
        <f ca="1">IFERROR(__xludf.DUMMYFUNCTION("""COMPUTED_VALUE"""),"Handgun")</f>
        <v>Handgun</v>
      </c>
    </row>
    <row r="1676" spans="1:2" ht="12.75">
      <c r="A1676" s="8" t="str">
        <f ca="1">IFERROR(__xludf.DUMMYFUNCTION("""COMPUTED_VALUE"""),"19930917WYCES")</f>
        <v>19930917WYCES</v>
      </c>
      <c r="B1676" s="8" t="str">
        <f ca="1">IFERROR(__xludf.DUMMYFUNCTION("""COMPUTED_VALUE"""),"Multiple Unknown")</f>
        <v>Multiple Unknown</v>
      </c>
    </row>
    <row r="1677" spans="1:2" ht="12.75">
      <c r="A1677" s="8" t="str">
        <f ca="1">IFERROR(__xludf.DUMMYFUNCTION("""COMPUTED_VALUE"""),"19930917ILDOD")</f>
        <v>19930917ILDOD</v>
      </c>
      <c r="B1677" s="8" t="str">
        <f ca="1">IFERROR(__xludf.DUMMYFUNCTION("""COMPUTED_VALUE"""),"Handgun")</f>
        <v>Handgun</v>
      </c>
    </row>
    <row r="1678" spans="1:2" ht="12.75">
      <c r="A1678" s="8" t="str">
        <f ca="1">IFERROR(__xludf.DUMMYFUNCTION("""COMPUTED_VALUE"""),"19930916ILROC")</f>
        <v>19930916ILROC</v>
      </c>
      <c r="B1678" s="8" t="str">
        <f ca="1">IFERROR(__xludf.DUMMYFUNCTION("""COMPUTED_VALUE"""),"No Data")</f>
        <v>No Data</v>
      </c>
    </row>
    <row r="1679" spans="1:2" ht="12.75">
      <c r="A1679" s="8" t="str">
        <f ca="1">IFERROR(__xludf.DUMMYFUNCTION("""COMPUTED_VALUE"""),"19930912ALFAF")</f>
        <v>19930912ALFAF</v>
      </c>
      <c r="B1679" s="8" t="str">
        <f ca="1">IFERROR(__xludf.DUMMYFUNCTION("""COMPUTED_VALUE"""),"Handgun")</f>
        <v>Handgun</v>
      </c>
    </row>
    <row r="1680" spans="1:2" ht="12.75">
      <c r="A1680" s="8" t="str">
        <f ca="1">IFERROR(__xludf.DUMMYFUNCTION("""COMPUTED_VALUE"""),"19930902TXROD")</f>
        <v>19930902TXROD</v>
      </c>
      <c r="B1680" s="8" t="str">
        <f ca="1">IFERROR(__xludf.DUMMYFUNCTION("""COMPUTED_VALUE"""),"Handgun")</f>
        <v>Handgun</v>
      </c>
    </row>
    <row r="1681" spans="1:2" ht="12.75">
      <c r="A1681" s="8" t="str">
        <f ca="1">IFERROR(__xludf.DUMMYFUNCTION("""COMPUTED_VALUE"""),"19930901KSJUJ")</f>
        <v>19930901KSJUJ</v>
      </c>
      <c r="B1681" s="8" t="str">
        <f ca="1">IFERROR(__xludf.DUMMYFUNCTION("""COMPUTED_VALUE"""),"Handgun")</f>
        <v>Handgun</v>
      </c>
    </row>
    <row r="1682" spans="1:2" ht="12.75">
      <c r="A1682" s="8" t="str">
        <f ca="1">IFERROR(__xludf.DUMMYFUNCTION("""COMPUTED_VALUE"""),"19930831GAHAA")</f>
        <v>19930831GAHAA</v>
      </c>
      <c r="B1682" s="8" t="str">
        <f ca="1">IFERROR(__xludf.DUMMYFUNCTION("""COMPUTED_VALUE"""),"Handgun")</f>
        <v>Handgun</v>
      </c>
    </row>
    <row r="1683" spans="1:2" ht="12.75">
      <c r="A1683" s="8" t="str">
        <f ca="1">IFERROR(__xludf.DUMMYFUNCTION("""COMPUTED_VALUE"""),"19930803NYTHN")</f>
        <v>19930803NYTHN</v>
      </c>
      <c r="B1683" s="8" t="str">
        <f ca="1">IFERROR(__xludf.DUMMYFUNCTION("""COMPUTED_VALUE"""),"Handgun")</f>
        <v>Handgun</v>
      </c>
    </row>
    <row r="1684" spans="1:2" ht="12.75">
      <c r="A1684" s="8" t="str">
        <f ca="1">IFERROR(__xludf.DUMMYFUNCTION("""COMPUTED_VALUE"""),"19930707CADOL")</f>
        <v>19930707CADOL</v>
      </c>
      <c r="B1684" s="8" t="str">
        <f ca="1">IFERROR(__xludf.DUMMYFUNCTION("""COMPUTED_VALUE"""),"Handgun")</f>
        <v>Handgun</v>
      </c>
    </row>
    <row r="1685" spans="1:2" ht="12.75">
      <c r="A1685" s="8" t="str">
        <f ca="1">IFERROR(__xludf.DUMMYFUNCTION("""COMPUTED_VALUE"""),"19930527LAFRN")</f>
        <v>19930527LAFRN</v>
      </c>
      <c r="B1685" s="8" t="str">
        <f ca="1">IFERROR(__xludf.DUMMYFUNCTION("""COMPUTED_VALUE"""),"Handgun")</f>
        <v>Handgun</v>
      </c>
    </row>
    <row r="1686" spans="1:2" ht="12.75">
      <c r="A1686" s="8" t="str">
        <f ca="1">IFERROR(__xludf.DUMMYFUNCTION("""COMPUTED_VALUE"""),"19930524PAUPP")</f>
        <v>19930524PAUPP</v>
      </c>
      <c r="B1686" s="8" t="str">
        <f ca="1">IFERROR(__xludf.DUMMYFUNCTION("""COMPUTED_VALUE"""),"Handgun")</f>
        <v>Handgun</v>
      </c>
    </row>
    <row r="1687" spans="1:2" ht="12.75">
      <c r="A1687" s="8" t="str">
        <f ca="1">IFERROR(__xludf.DUMMYFUNCTION("""COMPUTED_VALUE"""),"19930514TXNII")</f>
        <v>19930514TXNII</v>
      </c>
      <c r="B1687" s="8" t="str">
        <f ca="1">IFERROR(__xludf.DUMMYFUNCTION("""COMPUTED_VALUE"""),"Handgun")</f>
        <v>Handgun</v>
      </c>
    </row>
    <row r="1688" spans="1:2" ht="12.75">
      <c r="A1688" s="8" t="str">
        <f ca="1">IFERROR(__xludf.DUMMYFUNCTION("""COMPUTED_VALUE"""),"19930416WAMOT")</f>
        <v>19930416WAMOT</v>
      </c>
      <c r="B1688" s="8" t="str">
        <f ca="1">IFERROR(__xludf.DUMMYFUNCTION("""COMPUTED_VALUE"""),"Handgun")</f>
        <v>Handgun</v>
      </c>
    </row>
    <row r="1689" spans="1:2" ht="12.75">
      <c r="A1689" s="8" t="str">
        <f ca="1">IFERROR(__xludf.DUMMYFUNCTION("""COMPUTED_VALUE"""),"19930416CAGRS")</f>
        <v>19930416CAGRS</v>
      </c>
      <c r="B1689" s="8" t="str">
        <f ca="1">IFERROR(__xludf.DUMMYFUNCTION("""COMPUTED_VALUE"""),"Handgun")</f>
        <v>Handgun</v>
      </c>
    </row>
    <row r="1690" spans="1:2" ht="12.75">
      <c r="A1690" s="8" t="str">
        <f ca="1">IFERROR(__xludf.DUMMYFUNCTION("""COMPUTED_VALUE"""),"19930415MAFOA")</f>
        <v>19930415MAFOA</v>
      </c>
      <c r="B1690" s="8" t="str">
        <f ca="1">IFERROR(__xludf.DUMMYFUNCTION("""COMPUTED_VALUE"""),"Shotgun")</f>
        <v>Shotgun</v>
      </c>
    </row>
    <row r="1691" spans="1:2" ht="12.75">
      <c r="A1691" s="8" t="str">
        <f ca="1">IFERROR(__xludf.DUMMYFUNCTION("""COMPUTED_VALUE"""),"19930403CAGRS")</f>
        <v>19930403CAGRS</v>
      </c>
      <c r="B1691" s="8" t="str">
        <f ca="1">IFERROR(__xludf.DUMMYFUNCTION("""COMPUTED_VALUE"""),"Shotgun")</f>
        <v>Shotgun</v>
      </c>
    </row>
    <row r="1692" spans="1:2" ht="12.75">
      <c r="A1692" s="8" t="str">
        <f ca="1">IFERROR(__xludf.DUMMYFUNCTION("""COMPUTED_VALUE"""),"19930325MOSUS")</f>
        <v>19930325MOSUS</v>
      </c>
      <c r="B1692" s="8" t="str">
        <f ca="1">IFERROR(__xludf.DUMMYFUNCTION("""COMPUTED_VALUE"""),"Handgun")</f>
        <v>Handgun</v>
      </c>
    </row>
    <row r="1693" spans="1:2" ht="12.75">
      <c r="A1693" s="8" t="str">
        <f ca="1">IFERROR(__xludf.DUMMYFUNCTION("""COMPUTED_VALUE"""),"19930318GAHAH")</f>
        <v>19930318GAHAH</v>
      </c>
      <c r="B1693" s="8" t="str">
        <f ca="1">IFERROR(__xludf.DUMMYFUNCTION("""COMPUTED_VALUE"""),"Handgun")</f>
        <v>Handgun</v>
      </c>
    </row>
    <row r="1694" spans="1:2" ht="12.75">
      <c r="A1694" s="8" t="str">
        <f ca="1">IFERROR(__xludf.DUMMYFUNCTION("""COMPUTED_VALUE"""),"19930308VADOD")</f>
        <v>19930308VADOD</v>
      </c>
      <c r="B1694" s="8" t="str">
        <f ca="1">IFERROR(__xludf.DUMMYFUNCTION("""COMPUTED_VALUE"""),"Handgun")</f>
        <v>Handgun</v>
      </c>
    </row>
    <row r="1695" spans="1:2" ht="12.75">
      <c r="A1695" s="8" t="str">
        <f ca="1">IFERROR(__xludf.DUMMYFUNCTION("""COMPUTED_VALUE"""),"19930226MAGLG")</f>
        <v>19930226MAGLG</v>
      </c>
      <c r="B1695" s="8" t="str">
        <f ca="1">IFERROR(__xludf.DUMMYFUNCTION("""COMPUTED_VALUE"""),"No Data")</f>
        <v>No Data</v>
      </c>
    </row>
    <row r="1696" spans="1:2" ht="12.75">
      <c r="A1696" s="8" t="str">
        <f ca="1">IFERROR(__xludf.DUMMYFUNCTION("""COMPUTED_VALUE"""),"19930222CAREL")</f>
        <v>19930222CAREL</v>
      </c>
      <c r="B1696" s="8" t="str">
        <f ca="1">IFERROR(__xludf.DUMMYFUNCTION("""COMPUTED_VALUE"""),"Handgun")</f>
        <v>Handgun</v>
      </c>
    </row>
    <row r="1697" spans="1:2" ht="12.75">
      <c r="A1697" s="8" t="str">
        <f ca="1">IFERROR(__xludf.DUMMYFUNCTION("""COMPUTED_VALUE"""),"19930208MNMIM")</f>
        <v>19930208MNMIM</v>
      </c>
      <c r="B1697" s="8" t="str">
        <f ca="1">IFERROR(__xludf.DUMMYFUNCTION("""COMPUTED_VALUE"""),"Rifle")</f>
        <v>Rifle</v>
      </c>
    </row>
    <row r="1698" spans="1:2" ht="12.75">
      <c r="A1698" s="8" t="str">
        <f ca="1">IFERROR(__xludf.DUMMYFUNCTION("""COMPUTED_VALUE"""),"19930208DCWAW")</f>
        <v>19930208DCWAW</v>
      </c>
      <c r="B1698" s="8" t="str">
        <f ca="1">IFERROR(__xludf.DUMMYFUNCTION("""COMPUTED_VALUE"""),"Handgun")</f>
        <v>Handgun</v>
      </c>
    </row>
    <row r="1699" spans="1:2" ht="12.75">
      <c r="A1699" s="8" t="str">
        <f ca="1">IFERROR(__xludf.DUMMYFUNCTION("""COMPUTED_VALUE"""),"19930204GACLA")</f>
        <v>19930204GACLA</v>
      </c>
      <c r="B1699" s="8" t="str">
        <f ca="1">IFERROR(__xludf.DUMMYFUNCTION("""COMPUTED_VALUE"""),"Handgun")</f>
        <v>Handgun</v>
      </c>
    </row>
    <row r="1700" spans="1:2" ht="12.75">
      <c r="A1700" s="8" t="str">
        <f ca="1">IFERROR(__xludf.DUMMYFUNCTION("""COMPUTED_VALUE"""),"19930203SCLEL")</f>
        <v>19930203SCLEL</v>
      </c>
      <c r="B1700" s="8" t="str">
        <f ca="1">IFERROR(__xludf.DUMMYFUNCTION("""COMPUTED_VALUE"""),"Handgun")</f>
        <v>Handgun</v>
      </c>
    </row>
    <row r="1701" spans="1:2" ht="12.75">
      <c r="A1701" s="8" t="str">
        <f ca="1">IFERROR(__xludf.DUMMYFUNCTION("""COMPUTED_VALUE"""),"19930203SCGAC")</f>
        <v>19930203SCGAC</v>
      </c>
      <c r="B1701" s="8" t="str">
        <f ca="1">IFERROR(__xludf.DUMMYFUNCTION("""COMPUTED_VALUE"""),"Handgun")</f>
        <v>Handgun</v>
      </c>
    </row>
    <row r="1702" spans="1:2" ht="12.75">
      <c r="A1702" s="8" t="str">
        <f ca="1">IFERROR(__xludf.DUMMYFUNCTION("""COMPUTED_VALUE"""),"19930201WARER")</f>
        <v>19930201WARER</v>
      </c>
      <c r="B1702" s="8" t="str">
        <f ca="1">IFERROR(__xludf.DUMMYFUNCTION("""COMPUTED_VALUE"""),"No Data")</f>
        <v>No Data</v>
      </c>
    </row>
    <row r="1703" spans="1:2" ht="12.75">
      <c r="A1703" s="8" t="str">
        <f ca="1">IFERROR(__xludf.DUMMYFUNCTION("""COMPUTED_VALUE"""),"19930201NYAMA")</f>
        <v>19930201NYAMA</v>
      </c>
      <c r="B1703" s="8" t="str">
        <f ca="1">IFERROR(__xludf.DUMMYFUNCTION("""COMPUTED_VALUE"""),"Handgun")</f>
        <v>Handgun</v>
      </c>
    </row>
    <row r="1704" spans="1:2" ht="12.75">
      <c r="A1704" s="8" t="str">
        <f ca="1">IFERROR(__xludf.DUMMYFUNCTION("""COMPUTED_VALUE"""),"19930121CAFAL")</f>
        <v>19930121CAFAL</v>
      </c>
      <c r="B1704" s="8" t="str">
        <f ca="1">IFERROR(__xludf.DUMMYFUNCTION("""COMPUTED_VALUE"""),"Handgun")</f>
        <v>Handgun</v>
      </c>
    </row>
    <row r="1705" spans="1:2" ht="12.75">
      <c r="A1705" s="8" t="str">
        <f ca="1">IFERROR(__xludf.DUMMYFUNCTION("""COMPUTED_VALUE"""),"19930118KYEAG")</f>
        <v>19930118KYEAG</v>
      </c>
      <c r="B1705" s="8" t="str">
        <f ca="1">IFERROR(__xludf.DUMMYFUNCTION("""COMPUTED_VALUE"""),"Handgun")</f>
        <v>Handgun</v>
      </c>
    </row>
    <row r="1706" spans="1:2" ht="12.75">
      <c r="A1706" s="8" t="str">
        <f ca="1">IFERROR(__xludf.DUMMYFUNCTION("""COMPUTED_VALUE"""),"19930112FLNOM")</f>
        <v>19930112FLNOM</v>
      </c>
      <c r="B1706" s="8" t="str">
        <f ca="1">IFERROR(__xludf.DUMMYFUNCTION("""COMPUTED_VALUE"""),"Handgun")</f>
        <v>Handgun</v>
      </c>
    </row>
    <row r="1707" spans="1:2" ht="12.75">
      <c r="A1707" s="8" t="str">
        <f ca="1">IFERROR(__xludf.DUMMYFUNCTION("""COMPUTED_VALUE"""),"19930108PACRM")</f>
        <v>19930108PACRM</v>
      </c>
      <c r="B1707" s="8" t="str">
        <f ca="1">IFERROR(__xludf.DUMMYFUNCTION("""COMPUTED_VALUE"""),"Handgun")</f>
        <v>Handgun</v>
      </c>
    </row>
    <row r="1708" spans="1:2" ht="12.75">
      <c r="A1708" s="8" t="str">
        <f ca="1">IFERROR(__xludf.DUMMYFUNCTION("""COMPUTED_VALUE"""),"19930105NYBRB")</f>
        <v>19930105NYBRB</v>
      </c>
      <c r="B1708" s="8" t="str">
        <f ca="1">IFERROR(__xludf.DUMMYFUNCTION("""COMPUTED_VALUE"""),"No Data")</f>
        <v>No Data</v>
      </c>
    </row>
    <row r="1709" spans="1:2" ht="12.75">
      <c r="A1709" s="8" t="str">
        <f ca="1">IFERROR(__xludf.DUMMYFUNCTION("""COMPUTED_VALUE"""),"19921214NYWAW")</f>
        <v>19921214NYWAW</v>
      </c>
      <c r="B1709" s="8" t="str">
        <f ca="1">IFERROR(__xludf.DUMMYFUNCTION("""COMPUTED_VALUE"""),"Handgun")</f>
        <v>Handgun</v>
      </c>
    </row>
    <row r="1710" spans="1:2" ht="12.75">
      <c r="A1710" s="8" t="str">
        <f ca="1">IFERROR(__xludf.DUMMYFUNCTION("""COMPUTED_VALUE"""),"19921203ILWOC")</f>
        <v>19921203ILWOC</v>
      </c>
      <c r="B1710" s="8" t="str">
        <f ca="1">IFERROR(__xludf.DUMMYFUNCTION("""COMPUTED_VALUE"""),"Handgun")</f>
        <v>Handgun</v>
      </c>
    </row>
    <row r="1711" spans="1:2" ht="12.75">
      <c r="A1711" s="8" t="str">
        <f ca="1">IFERROR(__xludf.DUMMYFUNCTION("""COMPUTED_VALUE"""),"19921130ILORC")</f>
        <v>19921130ILORC</v>
      </c>
      <c r="B1711" s="8" t="str">
        <f ca="1">IFERROR(__xludf.DUMMYFUNCTION("""COMPUTED_VALUE"""),"Handgun")</f>
        <v>Handgun</v>
      </c>
    </row>
    <row r="1712" spans="1:2" ht="12.75">
      <c r="A1712" s="8" t="str">
        <f ca="1">IFERROR(__xludf.DUMMYFUNCTION("""COMPUTED_VALUE"""),"19921124ALROM")</f>
        <v>19921124ALROM</v>
      </c>
      <c r="B1712" s="8" t="str">
        <f ca="1">IFERROR(__xludf.DUMMYFUNCTION("""COMPUTED_VALUE"""),"Handgun")</f>
        <v>Handgun</v>
      </c>
    </row>
    <row r="1713" spans="1:2" ht="12.75">
      <c r="A1713" s="8" t="str">
        <f ca="1">IFERROR(__xludf.DUMMYFUNCTION("""COMPUTED_VALUE"""),"19921120ILTIC")</f>
        <v>19921120ILTIC</v>
      </c>
      <c r="B1713" s="8" t="str">
        <f ca="1">IFERROR(__xludf.DUMMYFUNCTION("""COMPUTED_VALUE"""),"Handgun")</f>
        <v>Handgun</v>
      </c>
    </row>
    <row r="1714" spans="1:2" ht="12.75">
      <c r="A1714" s="8" t="str">
        <f ca="1">IFERROR(__xludf.DUMMYFUNCTION("""COMPUTED_VALUE"""),"19921116ALFAB")</f>
        <v>19921116ALFAB</v>
      </c>
      <c r="B1714" s="8" t="str">
        <f ca="1">IFERROR(__xludf.DUMMYFUNCTION("""COMPUTED_VALUE"""),"Handgun")</f>
        <v>Handgun</v>
      </c>
    </row>
    <row r="1715" spans="1:2" ht="12.75">
      <c r="A1715" s="8" t="str">
        <f ca="1">IFERROR(__xludf.DUMMYFUNCTION("""COMPUTED_VALUE"""),"19921113TXLAC")</f>
        <v>19921113TXLAC</v>
      </c>
      <c r="B1715" s="8" t="str">
        <f ca="1">IFERROR(__xludf.DUMMYFUNCTION("""COMPUTED_VALUE"""),"Handgun")</f>
        <v>Handgun</v>
      </c>
    </row>
    <row r="1716" spans="1:2" ht="12.75">
      <c r="A1716" s="8" t="str">
        <f ca="1">IFERROR(__xludf.DUMMYFUNCTION("""COMPUTED_VALUE"""),"19921110ILSHC")</f>
        <v>19921110ILSHC</v>
      </c>
      <c r="B1716" s="8" t="str">
        <f ca="1">IFERROR(__xludf.DUMMYFUNCTION("""COMPUTED_VALUE"""),"Handgun")</f>
        <v>Handgun</v>
      </c>
    </row>
    <row r="1717" spans="1:2" ht="12.75">
      <c r="A1717" s="8" t="str">
        <f ca="1">IFERROR(__xludf.DUMMYFUNCTION("""COMPUTED_VALUE"""),"19921104MIMUD")</f>
        <v>19921104MIMUD</v>
      </c>
      <c r="B1717" s="8" t="str">
        <f ca="1">IFERROR(__xludf.DUMMYFUNCTION("""COMPUTED_VALUE"""),"Handgun")</f>
        <v>Handgun</v>
      </c>
    </row>
    <row r="1718" spans="1:2" ht="12.75">
      <c r="A1718" s="8" t="str">
        <f ca="1">IFERROR(__xludf.DUMMYFUNCTION("""COMPUTED_VALUE"""),"19921104MIMAD")</f>
        <v>19921104MIMAD</v>
      </c>
      <c r="B1718" s="8" t="str">
        <f ca="1">IFERROR(__xludf.DUMMYFUNCTION("""COMPUTED_VALUE"""),"No Data")</f>
        <v>No Data</v>
      </c>
    </row>
    <row r="1719" spans="1:2" ht="12.75">
      <c r="A1719" s="8" t="str">
        <f ca="1">IFERROR(__xludf.DUMMYFUNCTION("""COMPUTED_VALUE"""),"19921104MIFID")</f>
        <v>19921104MIFID</v>
      </c>
      <c r="B1719" s="8" t="str">
        <f ca="1">IFERROR(__xludf.DUMMYFUNCTION("""COMPUTED_VALUE"""),"Multiple Unknown")</f>
        <v>Multiple Unknown</v>
      </c>
    </row>
    <row r="1720" spans="1:2" ht="12.75">
      <c r="A1720" s="8" t="str">
        <f ca="1">IFERROR(__xludf.DUMMYFUNCTION("""COMPUTED_VALUE"""),"19921019NYEVB")</f>
        <v>19921019NYEVB</v>
      </c>
      <c r="B1720" s="8" t="str">
        <f ca="1">IFERROR(__xludf.DUMMYFUNCTION("""COMPUTED_VALUE"""),"Rifle")</f>
        <v>Rifle</v>
      </c>
    </row>
    <row r="1721" spans="1:2" ht="12.75">
      <c r="A1721" s="8" t="str">
        <f ca="1">IFERROR(__xludf.DUMMYFUNCTION("""COMPUTED_VALUE"""),"19921013AZDET")</f>
        <v>19921013AZDET</v>
      </c>
      <c r="B1721" s="8" t="str">
        <f ca="1">IFERROR(__xludf.DUMMYFUNCTION("""COMPUTED_VALUE"""),"Handgun")</f>
        <v>Handgun</v>
      </c>
    </row>
    <row r="1722" spans="1:2" ht="12.75">
      <c r="A1722" s="8" t="str">
        <f ca="1">IFERROR(__xludf.DUMMYFUNCTION("""COMPUTED_VALUE"""),"19920930TXHOH")</f>
        <v>19920930TXHOH</v>
      </c>
      <c r="B1722" s="8" t="str">
        <f ca="1">IFERROR(__xludf.DUMMYFUNCTION("""COMPUTED_VALUE"""),"Shotgun")</f>
        <v>Shotgun</v>
      </c>
    </row>
    <row r="1723" spans="1:2" ht="12.75">
      <c r="A1723" s="8" t="str">
        <f ca="1">IFERROR(__xludf.DUMMYFUNCTION("""COMPUTED_VALUE"""),"19920930CAPAL")</f>
        <v>19920930CAPAL</v>
      </c>
      <c r="B1723" s="8" t="str">
        <f ca="1">IFERROR(__xludf.DUMMYFUNCTION("""COMPUTED_VALUE"""),"Handgun")</f>
        <v>Handgun</v>
      </c>
    </row>
    <row r="1724" spans="1:2" ht="12.75">
      <c r="A1724" s="8" t="str">
        <f ca="1">IFERROR(__xludf.DUMMYFUNCTION("""COMPUTED_VALUE"""),"19920928CAHIS")</f>
        <v>19920928CAHIS</v>
      </c>
      <c r="B1724" s="8" t="str">
        <f ca="1">IFERROR(__xludf.DUMMYFUNCTION("""COMPUTED_VALUE"""),"Handgun")</f>
        <v>Handgun</v>
      </c>
    </row>
    <row r="1725" spans="1:2" ht="12.75">
      <c r="A1725" s="8" t="str">
        <f ca="1">IFERROR(__xludf.DUMMYFUNCTION("""COMPUTED_VALUE"""),"19920911TXPAA")</f>
        <v>19920911TXPAA</v>
      </c>
      <c r="B1725" s="8" t="str">
        <f ca="1">IFERROR(__xludf.DUMMYFUNCTION("""COMPUTED_VALUE"""),"Handgun")</f>
        <v>Handgun</v>
      </c>
    </row>
    <row r="1726" spans="1:2" ht="12.75">
      <c r="A1726" s="8" t="str">
        <f ca="1">IFERROR(__xludf.DUMMYFUNCTION("""COMPUTED_VALUE"""),"19920606CAMEM")</f>
        <v>19920606CAMEM</v>
      </c>
      <c r="B1726" s="8" t="str">
        <f ca="1">IFERROR(__xludf.DUMMYFUNCTION("""COMPUTED_VALUE"""),"Handgun")</f>
        <v>Handgun</v>
      </c>
    </row>
    <row r="1727" spans="1:2" ht="12.75">
      <c r="A1727" s="8" t="str">
        <f ca="1">IFERROR(__xludf.DUMMYFUNCTION("""COMPUTED_VALUE"""),"19920530DCARW")</f>
        <v>19920530DCARW</v>
      </c>
      <c r="B1727" s="8" t="str">
        <f ca="1">IFERROR(__xludf.DUMMYFUNCTION("""COMPUTED_VALUE"""),"Handgun")</f>
        <v>Handgun</v>
      </c>
    </row>
    <row r="1728" spans="1:2" ht="12.75">
      <c r="A1728" s="8" t="str">
        <f ca="1">IFERROR(__xludf.DUMMYFUNCTION("""COMPUTED_VALUE"""),"19920529CAVEL")</f>
        <v>19920529CAVEL</v>
      </c>
      <c r="B1728" s="8" t="str">
        <f ca="1">IFERROR(__xludf.DUMMYFUNCTION("""COMPUTED_VALUE"""),"No Data")</f>
        <v>No Data</v>
      </c>
    </row>
    <row r="1729" spans="1:2" ht="12.75">
      <c r="A1729" s="8" t="str">
        <f ca="1">IFERROR(__xludf.DUMMYFUNCTION("""COMPUTED_VALUE"""),"19920514TXHUH")</f>
        <v>19920514TXHUH</v>
      </c>
      <c r="B1729" s="8" t="str">
        <f ca="1">IFERROR(__xludf.DUMMYFUNCTION("""COMPUTED_VALUE"""),"Handgun")</f>
        <v>Handgun</v>
      </c>
    </row>
    <row r="1730" spans="1:2" ht="12.75">
      <c r="A1730" s="8" t="str">
        <f ca="1">IFERROR(__xludf.DUMMYFUNCTION("""COMPUTED_VALUE"""),"19920514CASIN")</f>
        <v>19920514CASIN</v>
      </c>
      <c r="B1730" s="8" t="str">
        <f ca="1">IFERROR(__xludf.DUMMYFUNCTION("""COMPUTED_VALUE"""),"Handgun")</f>
        <v>Handgun</v>
      </c>
    </row>
    <row r="1731" spans="1:2" ht="12.75">
      <c r="A1731" s="8" t="str">
        <f ca="1">IFERROR(__xludf.DUMMYFUNCTION("""COMPUTED_VALUE"""),"19920501CALIO")</f>
        <v>19920501CALIO</v>
      </c>
      <c r="B1731" s="8" t="str">
        <f ca="1">IFERROR(__xludf.DUMMYFUNCTION("""COMPUTED_VALUE"""),"Rifle")</f>
        <v>Rifle</v>
      </c>
    </row>
    <row r="1732" spans="1:2" ht="12.75">
      <c r="A1732" s="8" t="str">
        <f ca="1">IFERROR(__xludf.DUMMYFUNCTION("""COMPUTED_VALUE"""),"19920501CALIO")</f>
        <v>19920501CALIO</v>
      </c>
      <c r="B1732" s="8" t="str">
        <f ca="1">IFERROR(__xludf.DUMMYFUNCTION("""COMPUTED_VALUE"""),"Shotgun")</f>
        <v>Shotgun</v>
      </c>
    </row>
    <row r="1733" spans="1:2" ht="12.75">
      <c r="A1733" s="8" t="str">
        <f ca="1">IFERROR(__xludf.DUMMYFUNCTION("""COMPUTED_VALUE"""),"19920417TXLID")</f>
        <v>19920417TXLID</v>
      </c>
      <c r="B1733" s="8" t="str">
        <f ca="1">IFERROR(__xludf.DUMMYFUNCTION("""COMPUTED_VALUE"""),"No Data")</f>
        <v>No Data</v>
      </c>
    </row>
    <row r="1734" spans="1:2" ht="12.75">
      <c r="A1734" s="8" t="str">
        <f ca="1">IFERROR(__xludf.DUMMYFUNCTION("""COMPUTED_VALUE"""),"19920409FLFOF")</f>
        <v>19920409FLFOF</v>
      </c>
      <c r="B1734" s="8" t="str">
        <f ca="1">IFERROR(__xludf.DUMMYFUNCTION("""COMPUTED_VALUE"""),"Handgun")</f>
        <v>Handgun</v>
      </c>
    </row>
    <row r="1735" spans="1:2" ht="12.75">
      <c r="A1735" s="8" t="str">
        <f ca="1">IFERROR(__xludf.DUMMYFUNCTION("""COMPUTED_VALUE"""),"19920331LAOPA")</f>
        <v>19920331LAOPA</v>
      </c>
      <c r="B1735" s="8" t="str">
        <f ca="1">IFERROR(__xludf.DUMMYFUNCTION("""COMPUTED_VALUE"""),"Handgun")</f>
        <v>Handgun</v>
      </c>
    </row>
    <row r="1736" spans="1:2" ht="12.75">
      <c r="A1736" s="8" t="str">
        <f ca="1">IFERROR(__xludf.DUMMYFUNCTION("""COMPUTED_VALUE"""),"19920305OHHAO")</f>
        <v>19920305OHHAO</v>
      </c>
      <c r="B1736" s="8" t="str">
        <f ca="1">IFERROR(__xludf.DUMMYFUNCTION("""COMPUTED_VALUE"""),"Handgun")</f>
        <v>Handgun</v>
      </c>
    </row>
    <row r="1737" spans="1:2" ht="12.75">
      <c r="A1737" s="8" t="str">
        <f ca="1">IFERROR(__xludf.DUMMYFUNCTION("""COMPUTED_VALUE"""),"19920226NYTHB")</f>
        <v>19920226NYTHB</v>
      </c>
      <c r="B1737" s="8" t="str">
        <f ca="1">IFERROR(__xludf.DUMMYFUNCTION("""COMPUTED_VALUE"""),"Handgun")</f>
        <v>Handgun</v>
      </c>
    </row>
    <row r="1738" spans="1:2" ht="12.75">
      <c r="A1738" s="8" t="str">
        <f ca="1">IFERROR(__xludf.DUMMYFUNCTION("""COMPUTED_VALUE"""),"19920207VABON")</f>
        <v>19920207VABON</v>
      </c>
      <c r="B1738" s="8" t="str">
        <f ca="1">IFERROR(__xludf.DUMMYFUNCTION("""COMPUTED_VALUE"""),"Handgun")</f>
        <v>Handgun</v>
      </c>
    </row>
    <row r="1739" spans="1:2" ht="12.75">
      <c r="A1739" s="8" t="str">
        <f ca="1">IFERROR(__xludf.DUMMYFUNCTION("""COMPUTED_VALUE"""),"19920206OKDOO")</f>
        <v>19920206OKDOO</v>
      </c>
      <c r="B1739" s="8" t="str">
        <f ca="1">IFERROR(__xludf.DUMMYFUNCTION("""COMPUTED_VALUE"""),"No Data")</f>
        <v>No Data</v>
      </c>
    </row>
    <row r="1740" spans="1:2" ht="12.75">
      <c r="A1740" s="8" t="str">
        <f ca="1">IFERROR(__xludf.DUMMYFUNCTION("""COMPUTED_VALUE"""),"19920131LAFRG")</f>
        <v>19920131LAFRG</v>
      </c>
      <c r="B1740" s="8" t="str">
        <f ca="1">IFERROR(__xludf.DUMMYFUNCTION("""COMPUTED_VALUE"""),"Handgun")</f>
        <v>Handgun</v>
      </c>
    </row>
    <row r="1741" spans="1:2" ht="12.75">
      <c r="A1741" s="8" t="str">
        <f ca="1">IFERROR(__xludf.DUMMYFUNCTION("""COMPUTED_VALUE"""),"19920128LAFRG")</f>
        <v>19920128LAFRG</v>
      </c>
      <c r="B1741" s="8" t="str">
        <f ca="1">IFERROR(__xludf.DUMMYFUNCTION("""COMPUTED_VALUE"""),"Handgun")</f>
        <v>Handgun</v>
      </c>
    </row>
    <row r="1742" spans="1:2" ht="12.75">
      <c r="A1742" s="8" t="str">
        <f ca="1">IFERROR(__xludf.DUMMYFUNCTION("""COMPUTED_VALUE"""),"19920117SCGRG")</f>
        <v>19920117SCGRG</v>
      </c>
      <c r="B1742" s="8" t="str">
        <f ca="1">IFERROR(__xludf.DUMMYFUNCTION("""COMPUTED_VALUE"""),"Handgun")</f>
        <v>Handgun</v>
      </c>
    </row>
    <row r="1743" spans="1:2" ht="12.75">
      <c r="A1743" s="8" t="str">
        <f ca="1">IFERROR(__xludf.DUMMYFUNCTION("""COMPUTED_VALUE"""),"19911226NCWHW")</f>
        <v>19911226NCWHW</v>
      </c>
      <c r="B1743" s="8" t="str">
        <f ca="1">IFERROR(__xludf.DUMMYFUNCTION("""COMPUTED_VALUE"""),"Handgun")</f>
        <v>Handgun</v>
      </c>
    </row>
    <row r="1744" spans="1:2" ht="12.75">
      <c r="A1744" s="8" t="str">
        <f ca="1">IFERROR(__xludf.DUMMYFUNCTION("""COMPUTED_VALUE"""),"19911125NYTHB")</f>
        <v>19911125NYTHB</v>
      </c>
      <c r="B1744" s="8" t="str">
        <f ca="1">IFERROR(__xludf.DUMMYFUNCTION("""COMPUTED_VALUE"""),"Handgun")</f>
        <v>Handgun</v>
      </c>
    </row>
    <row r="1745" spans="1:2" ht="12.75">
      <c r="A1745" s="8" t="str">
        <f ca="1">IFERROR(__xludf.DUMMYFUNCTION("""COMPUTED_VALUE"""),"19911114TXMIH")</f>
        <v>19911114TXMIH</v>
      </c>
      <c r="B1745" s="8" t="str">
        <f ca="1">IFERROR(__xludf.DUMMYFUNCTION("""COMPUTED_VALUE"""),"Handgun")</f>
        <v>Handgun</v>
      </c>
    </row>
    <row r="1746" spans="1:2" ht="12.75">
      <c r="A1746" s="8" t="str">
        <f ca="1">IFERROR(__xludf.DUMMYFUNCTION("""COMPUTED_VALUE"""),"19911111TXYSE")</f>
        <v>19911111TXYSE</v>
      </c>
      <c r="B1746" s="8" t="str">
        <f ca="1">IFERROR(__xludf.DUMMYFUNCTION("""COMPUTED_VALUE"""),"Handgun")</f>
        <v>Handgun</v>
      </c>
    </row>
    <row r="1747" spans="1:2" ht="12.75">
      <c r="A1747" s="8" t="str">
        <f ca="1">IFERROR(__xludf.DUMMYFUNCTION("""COMPUTED_VALUE"""),"19911106LAWAN")</f>
        <v>19911106LAWAN</v>
      </c>
      <c r="B1747" s="8" t="str">
        <f ca="1">IFERROR(__xludf.DUMMYFUNCTION("""COMPUTED_VALUE"""),"Handgun")</f>
        <v>Handgun</v>
      </c>
    </row>
    <row r="1748" spans="1:2" ht="12.75">
      <c r="A1748" s="8" t="str">
        <f ca="1">IFERROR(__xludf.DUMMYFUNCTION("""COMPUTED_VALUE"""),"19911023TXOAD")</f>
        <v>19911023TXOAD</v>
      </c>
      <c r="B1748" s="8" t="str">
        <f ca="1">IFERROR(__xludf.DUMMYFUNCTION("""COMPUTED_VALUE"""),"Handgun")</f>
        <v>Handgun</v>
      </c>
    </row>
    <row r="1749" spans="1:2" ht="12.75">
      <c r="A1749" s="8" t="str">
        <f ca="1">IFERROR(__xludf.DUMMYFUNCTION("""COMPUTED_VALUE"""),"19911015TXGEP")</f>
        <v>19911015TXGEP</v>
      </c>
      <c r="B1749" s="8" t="str">
        <f ca="1">IFERROR(__xludf.DUMMYFUNCTION("""COMPUTED_VALUE"""),"Rifle")</f>
        <v>Rifle</v>
      </c>
    </row>
    <row r="1750" spans="1:2" ht="12.75">
      <c r="A1750" s="8" t="str">
        <f ca="1">IFERROR(__xludf.DUMMYFUNCTION("""COMPUTED_VALUE"""),"19911015SCWOW")</f>
        <v>19911015SCWOW</v>
      </c>
      <c r="B1750" s="8" t="str">
        <f ca="1">IFERROR(__xludf.DUMMYFUNCTION("""COMPUTED_VALUE"""),"Handgun")</f>
        <v>Handgun</v>
      </c>
    </row>
    <row r="1751" spans="1:2" ht="12.75">
      <c r="A1751" s="8" t="str">
        <f ca="1">IFERROR(__xludf.DUMMYFUNCTION("""COMPUTED_VALUE"""),"19911015NHMOS")</f>
        <v>19911015NHMOS</v>
      </c>
      <c r="B1751" s="8" t="str">
        <f ca="1">IFERROR(__xludf.DUMMYFUNCTION("""COMPUTED_VALUE"""),"Rifle")</f>
        <v>Rifle</v>
      </c>
    </row>
    <row r="1752" spans="1:2" ht="12.75">
      <c r="A1752" s="8" t="str">
        <f ca="1">IFERROR(__xludf.DUMMYFUNCTION("""COMPUTED_VALUE"""),"19911011MAMAR")</f>
        <v>19911011MAMAR</v>
      </c>
      <c r="B1752" s="8" t="str">
        <f ca="1">IFERROR(__xludf.DUMMYFUNCTION("""COMPUTED_VALUE"""),"Handgun")</f>
        <v>Handgun</v>
      </c>
    </row>
    <row r="1753" spans="1:2" ht="12.75">
      <c r="A1753" s="8" t="str">
        <f ca="1">IFERROR(__xludf.DUMMYFUNCTION("""COMPUTED_VALUE"""),"19911009NYJAB")</f>
        <v>19911009NYJAB</v>
      </c>
      <c r="B1753" s="8" t="str">
        <f ca="1">IFERROR(__xludf.DUMMYFUNCTION("""COMPUTED_VALUE"""),"Handgun")</f>
        <v>Handgun</v>
      </c>
    </row>
    <row r="1754" spans="1:2" ht="12.75">
      <c r="A1754" s="8" t="str">
        <f ca="1">IFERROR(__xludf.DUMMYFUNCTION("""COMPUTED_VALUE"""),"19911004CAROL")</f>
        <v>19911004CAROL</v>
      </c>
      <c r="B1754" s="8" t="str">
        <f ca="1">IFERROR(__xludf.DUMMYFUNCTION("""COMPUTED_VALUE"""),"Handgun")</f>
        <v>Handgun</v>
      </c>
    </row>
    <row r="1755" spans="1:2" ht="12.75">
      <c r="A1755" s="8" t="str">
        <f ca="1">IFERROR(__xludf.DUMMYFUNCTION("""COMPUTED_VALUE"""),"19911004CADOL")</f>
        <v>19911004CADOL</v>
      </c>
      <c r="B1755" s="8" t="str">
        <f ca="1">IFERROR(__xludf.DUMMYFUNCTION("""COMPUTED_VALUE"""),"Handgun")</f>
        <v>Handgun</v>
      </c>
    </row>
    <row r="1756" spans="1:2" ht="12.75">
      <c r="A1756" s="8" t="str">
        <f ca="1">IFERROR(__xludf.DUMMYFUNCTION("""COMPUTED_VALUE"""),"19911002TXSPH")</f>
        <v>19911002TXSPH</v>
      </c>
      <c r="B1756" s="8" t="str">
        <f ca="1">IFERROR(__xludf.DUMMYFUNCTION("""COMPUTED_VALUE"""),"Handgun")</f>
        <v>Handgun</v>
      </c>
    </row>
    <row r="1757" spans="1:2" ht="12.75">
      <c r="A1757" s="8" t="str">
        <f ca="1">IFERROR(__xludf.DUMMYFUNCTION("""COMPUTED_VALUE"""),"19910918TXCRC")</f>
        <v>19910918TXCRC</v>
      </c>
      <c r="B1757" s="8" t="str">
        <f ca="1">IFERROR(__xludf.DUMMYFUNCTION("""COMPUTED_VALUE"""),"Handgun")</f>
        <v>Handgun</v>
      </c>
    </row>
    <row r="1758" spans="1:2" ht="12.75">
      <c r="A1758" s="8" t="str">
        <f ca="1">IFERROR(__xludf.DUMMYFUNCTION("""COMPUTED_VALUE"""),"19910917ILWOC")</f>
        <v>19910917ILWOC</v>
      </c>
      <c r="B1758" s="8" t="str">
        <f ca="1">IFERROR(__xludf.DUMMYFUNCTION("""COMPUTED_VALUE"""),"Handgun")</f>
        <v>Handgun</v>
      </c>
    </row>
    <row r="1759" spans="1:2" ht="12.75">
      <c r="A1759" s="8" t="str">
        <f ca="1">IFERROR(__xludf.DUMMYFUNCTION("""COMPUTED_VALUE"""),"19910913TXMAH")</f>
        <v>19910913TXMAH</v>
      </c>
      <c r="B1759" s="8" t="str">
        <f ca="1">IFERROR(__xludf.DUMMYFUNCTION("""COMPUTED_VALUE"""),"Handgun")</f>
        <v>Handgun</v>
      </c>
    </row>
    <row r="1760" spans="1:2" ht="12.75">
      <c r="A1760" s="8" t="str">
        <f ca="1">IFERROR(__xludf.DUMMYFUNCTION("""COMPUTED_VALUE"""),"19910730CAENC")</f>
        <v>19910730CAENC</v>
      </c>
      <c r="B1760" s="8" t="str">
        <f ca="1">IFERROR(__xludf.DUMMYFUNCTION("""COMPUTED_VALUE"""),"Handgun")</f>
        <v>Handgun</v>
      </c>
    </row>
    <row r="1761" spans="1:2" ht="12.75">
      <c r="A1761" s="8" t="str">
        <f ca="1">IFERROR(__xludf.DUMMYFUNCTION("""COMPUTED_VALUE"""),"19910722CAWEL")</f>
        <v>19910722CAWEL</v>
      </c>
      <c r="B1761" s="8" t="str">
        <f ca="1">IFERROR(__xludf.DUMMYFUNCTION("""COMPUTED_VALUE"""),"Handgun")</f>
        <v>Handgun</v>
      </c>
    </row>
    <row r="1762" spans="1:2" ht="12.75">
      <c r="A1762" s="8" t="str">
        <f ca="1">IFERROR(__xludf.DUMMYFUNCTION("""COMPUTED_VALUE"""),"19910521FLSCP")</f>
        <v>19910521FLSCP</v>
      </c>
      <c r="B1762" s="8" t="str">
        <f ca="1">IFERROR(__xludf.DUMMYFUNCTION("""COMPUTED_VALUE"""),"Handgun")</f>
        <v>Handgun</v>
      </c>
    </row>
    <row r="1763" spans="1:2" ht="12.75">
      <c r="A1763" s="8" t="str">
        <f ca="1">IFERROR(__xludf.DUMMYFUNCTION("""COMPUTED_VALUE"""),"19910521CAROS")</f>
        <v>19910521CAROS</v>
      </c>
      <c r="B1763" s="8" t="str">
        <f ca="1">IFERROR(__xludf.DUMMYFUNCTION("""COMPUTED_VALUE"""),"Handgun")</f>
        <v>Handgun</v>
      </c>
    </row>
    <row r="1764" spans="1:2" ht="12.75">
      <c r="A1764" s="8" t="str">
        <f ca="1">IFERROR(__xludf.DUMMYFUNCTION("""COMPUTED_VALUE"""),"19910516KSCOK")</f>
        <v>19910516KSCOK</v>
      </c>
      <c r="B1764" s="8" t="str">
        <f ca="1">IFERROR(__xludf.DUMMYFUNCTION("""COMPUTED_VALUE"""),"Rifle")</f>
        <v>Rifle</v>
      </c>
    </row>
    <row r="1765" spans="1:2" ht="12.75">
      <c r="A1765" s="8" t="str">
        <f ca="1">IFERROR(__xludf.DUMMYFUNCTION("""COMPUTED_VALUE"""),"19910510OHFRC")</f>
        <v>19910510OHFRC</v>
      </c>
      <c r="B1765" s="8" t="str">
        <f ca="1">IFERROR(__xludf.DUMMYFUNCTION("""COMPUTED_VALUE"""),"Handgun")</f>
        <v>Handgun</v>
      </c>
    </row>
    <row r="1766" spans="1:2" ht="12.75">
      <c r="A1766" s="8" t="str">
        <f ca="1">IFERROR(__xludf.DUMMYFUNCTION("""COMPUTED_VALUE"""),"19910423MSHUB")</f>
        <v>19910423MSHUB</v>
      </c>
      <c r="B1766" s="8" t="str">
        <f ca="1">IFERROR(__xludf.DUMMYFUNCTION("""COMPUTED_VALUE"""),"Handgun")</f>
        <v>Handgun</v>
      </c>
    </row>
    <row r="1767" spans="1:2" ht="12.75">
      <c r="A1767" s="8" t="str">
        <f ca="1">IFERROR(__xludf.DUMMYFUNCTION("""COMPUTED_VALUE"""),"19910423CARAC")</f>
        <v>19910423CARAC</v>
      </c>
      <c r="B1767" s="8" t="str">
        <f ca="1">IFERROR(__xludf.DUMMYFUNCTION("""COMPUTED_VALUE"""),"No Data")</f>
        <v>No Data</v>
      </c>
    </row>
    <row r="1768" spans="1:2" ht="12.75">
      <c r="A1768" s="8" t="str">
        <f ca="1">IFERROR(__xludf.DUMMYFUNCTION("""COMPUTED_VALUE"""),"19910411SCNOR")</f>
        <v>19910411SCNOR</v>
      </c>
      <c r="B1768" s="8" t="str">
        <f ca="1">IFERROR(__xludf.DUMMYFUNCTION("""COMPUTED_VALUE"""),"Handgun")</f>
        <v>Handgun</v>
      </c>
    </row>
    <row r="1769" spans="1:2" ht="12.75">
      <c r="A1769" s="8" t="str">
        <f ca="1">IFERROR(__xludf.DUMMYFUNCTION("""COMPUTED_VALUE"""),"19910325NCGAC")</f>
        <v>19910325NCGAC</v>
      </c>
      <c r="B1769" s="8" t="str">
        <f ca="1">IFERROR(__xludf.DUMMYFUNCTION("""COMPUTED_VALUE"""),"No Data")</f>
        <v>No Data</v>
      </c>
    </row>
    <row r="1770" spans="1:2" ht="12.75">
      <c r="A1770" s="8" t="str">
        <f ca="1">IFERROR(__xludf.DUMMYFUNCTION("""COMPUTED_VALUE"""),"19910314SCWOP")</f>
        <v>19910314SCWOP</v>
      </c>
      <c r="B1770" s="8" t="str">
        <f ca="1">IFERROR(__xludf.DUMMYFUNCTION("""COMPUTED_VALUE"""),"No Data")</f>
        <v>No Data</v>
      </c>
    </row>
    <row r="1771" spans="1:2" ht="12.75">
      <c r="A1771" s="8" t="str">
        <f ca="1">IFERROR(__xludf.DUMMYFUNCTION("""COMPUTED_VALUE"""),"19910313ALSES")</f>
        <v>19910313ALSES</v>
      </c>
      <c r="B1771" s="8" t="str">
        <f ca="1">IFERROR(__xludf.DUMMYFUNCTION("""COMPUTED_VALUE"""),"Handgun")</f>
        <v>Handgun</v>
      </c>
    </row>
    <row r="1772" spans="1:2" ht="12.75">
      <c r="A1772" s="8" t="str">
        <f ca="1">IFERROR(__xludf.DUMMYFUNCTION("""COMPUTED_VALUE"""),"19910219LABON")</f>
        <v>19910219LABON</v>
      </c>
      <c r="B1772" s="8" t="str">
        <f ca="1">IFERROR(__xludf.DUMMYFUNCTION("""COMPUTED_VALUE"""),"Handgun")</f>
        <v>Handgun</v>
      </c>
    </row>
    <row r="1773" spans="1:2" ht="12.75">
      <c r="A1773" s="8" t="str">
        <f ca="1">IFERROR(__xludf.DUMMYFUNCTION("""COMPUTED_VALUE"""),"19910117TXHOD")</f>
        <v>19910117TXHOD</v>
      </c>
      <c r="B1773" s="8" t="str">
        <f ca="1">IFERROR(__xludf.DUMMYFUNCTION("""COMPUTED_VALUE"""),"Handgun")</f>
        <v>Handgun</v>
      </c>
    </row>
    <row r="1774" spans="1:2" ht="12.75">
      <c r="A1774" s="8" t="str">
        <f ca="1">IFERROR(__xludf.DUMMYFUNCTION("""COMPUTED_VALUE"""),"19910108TXRIR")</f>
        <v>19910108TXRIR</v>
      </c>
      <c r="B1774" s="8" t="str">
        <f ca="1">IFERROR(__xludf.DUMMYFUNCTION("""COMPUTED_VALUE"""),"Handgun")</f>
        <v>Handgun</v>
      </c>
    </row>
    <row r="1775" spans="1:2" ht="12.75">
      <c r="A1775" s="8" t="str">
        <f ca="1">IFERROR(__xludf.DUMMYFUNCTION("""COMPUTED_VALUE"""),"19901213LASAS")</f>
        <v>19901213LASAS</v>
      </c>
      <c r="B1775" s="8" t="str">
        <f ca="1">IFERROR(__xludf.DUMMYFUNCTION("""COMPUTED_VALUE"""),"No Data")</f>
        <v>No Data</v>
      </c>
    </row>
    <row r="1776" spans="1:2" ht="12.75">
      <c r="A1776" s="8" t="str">
        <f ca="1">IFERROR(__xludf.DUMMYFUNCTION("""COMPUTED_VALUE"""),"19901110TXJUD")</f>
        <v>19901110TXJUD</v>
      </c>
      <c r="B1776" s="8" t="str">
        <f ca="1">IFERROR(__xludf.DUMMYFUNCTION("""COMPUTED_VALUE"""),"Handgun")</f>
        <v>Handgun</v>
      </c>
    </row>
    <row r="1777" spans="1:2" ht="12.75">
      <c r="A1777" s="8" t="str">
        <f ca="1">IFERROR(__xludf.DUMMYFUNCTION("""COMPUTED_VALUE"""),"19901030TXNAG")</f>
        <v>19901030TXNAG</v>
      </c>
      <c r="B1777" s="8" t="str">
        <f ca="1">IFERROR(__xludf.DUMMYFUNCTION("""COMPUTED_VALUE"""),"Handgun")</f>
        <v>Handgun</v>
      </c>
    </row>
    <row r="1778" spans="1:2" ht="12.75">
      <c r="A1778" s="8" t="str">
        <f ca="1">IFERROR(__xludf.DUMMYFUNCTION("""COMPUTED_VALUE"""),"19901029INCHC")</f>
        <v>19901029INCHC</v>
      </c>
      <c r="B1778" s="8" t="str">
        <f ca="1">IFERROR(__xludf.DUMMYFUNCTION("""COMPUTED_VALUE"""),"Handgun")</f>
        <v>Handgun</v>
      </c>
    </row>
    <row r="1779" spans="1:2" ht="12.75">
      <c r="A1779" s="8" t="str">
        <f ca="1">IFERROR(__xludf.DUMMYFUNCTION("""COMPUTED_VALUE"""),"19901002TXWHD")</f>
        <v>19901002TXWHD</v>
      </c>
      <c r="B1779" s="8" t="str">
        <f ca="1">IFERROR(__xludf.DUMMYFUNCTION("""COMPUTED_VALUE"""),"Handgun")</f>
        <v>Handgun</v>
      </c>
    </row>
    <row r="1780" spans="1:2" ht="12.75">
      <c r="A1780" s="8" t="str">
        <f ca="1">IFERROR(__xludf.DUMMYFUNCTION("""COMPUTED_VALUE"""),"19900922ALLEB")</f>
        <v>19900922ALLEB</v>
      </c>
      <c r="B1780" s="8" t="str">
        <f ca="1">IFERROR(__xludf.DUMMYFUNCTION("""COMPUTED_VALUE"""),"Handgun")</f>
        <v>Handgun</v>
      </c>
    </row>
    <row r="1781" spans="1:2" ht="12.75">
      <c r="A1781" s="8" t="str">
        <f ca="1">IFERROR(__xludf.DUMMYFUNCTION("""COMPUTED_VALUE"""),"19900911TXSAS")</f>
        <v>19900911TXSAS</v>
      </c>
      <c r="B1781" s="8" t="str">
        <f ca="1">IFERROR(__xludf.DUMMYFUNCTION("""COMPUTED_VALUE"""),"Handgun")</f>
        <v>Handgun</v>
      </c>
    </row>
    <row r="1782" spans="1:2" ht="12.75">
      <c r="A1782" s="8" t="str">
        <f ca="1">IFERROR(__xludf.DUMMYFUNCTION("""COMPUTED_VALUE"""),"19900906GASOC")</f>
        <v>19900906GASOC</v>
      </c>
      <c r="B1782" s="8" t="str">
        <f ca="1">IFERROR(__xludf.DUMMYFUNCTION("""COMPUTED_VALUE"""),"Rifle")</f>
        <v>Rifle</v>
      </c>
    </row>
    <row r="1783" spans="1:2" ht="12.75">
      <c r="A1783" s="8" t="str">
        <f ca="1">IFERROR(__xludf.DUMMYFUNCTION("""COMPUTED_VALUE"""),"19900906GASOC")</f>
        <v>19900906GASOC</v>
      </c>
      <c r="B1783" s="8" t="str">
        <f ca="1">IFERROR(__xludf.DUMMYFUNCTION("""COMPUTED_VALUE"""),"Shotgun")</f>
        <v>Shotgun</v>
      </c>
    </row>
    <row r="1784" spans="1:2" ht="12.75">
      <c r="A1784" s="8" t="str">
        <f ca="1">IFERROR(__xludf.DUMMYFUNCTION("""COMPUTED_VALUE"""),"19900906GASOC")</f>
        <v>19900906GASOC</v>
      </c>
      <c r="B1784" s="8" t="str">
        <f ca="1">IFERROR(__xludf.DUMMYFUNCTION("""COMPUTED_VALUE"""),"Handgun")</f>
        <v>Handgun</v>
      </c>
    </row>
    <row r="1785" spans="1:2" ht="12.75">
      <c r="A1785" s="8" t="str">
        <f ca="1">IFERROR(__xludf.DUMMYFUNCTION("""COMPUTED_VALUE"""),"19900827TXWHD")</f>
        <v>19900827TXWHD</v>
      </c>
      <c r="B1785" s="8" t="str">
        <f ca="1">IFERROR(__xludf.DUMMYFUNCTION("""COMPUTED_VALUE"""),"Handgun")</f>
        <v>Handgun</v>
      </c>
    </row>
    <row r="1786" spans="1:2" ht="12.75">
      <c r="A1786" s="8" t="str">
        <f ca="1">IFERROR(__xludf.DUMMYFUNCTION("""COMPUTED_VALUE"""),"19900827NVELL")</f>
        <v>19900827NVELL</v>
      </c>
      <c r="B1786" s="8" t="str">
        <f ca="1">IFERROR(__xludf.DUMMYFUNCTION("""COMPUTED_VALUE"""),"Handgun")</f>
        <v>Handgun</v>
      </c>
    </row>
    <row r="1787" spans="1:2" ht="12.75">
      <c r="A1787" s="8" t="str">
        <f ca="1">IFERROR(__xludf.DUMMYFUNCTION("""COMPUTED_VALUE"""),"19900824NCMYC")</f>
        <v>19900824NCMYC</v>
      </c>
      <c r="B1787" s="8" t="str">
        <f ca="1">IFERROR(__xludf.DUMMYFUNCTION("""COMPUTED_VALUE"""),"Handgun")</f>
        <v>Handgun</v>
      </c>
    </row>
    <row r="1788" spans="1:2" ht="12.75">
      <c r="A1788" s="8" t="str">
        <f ca="1">IFERROR(__xludf.DUMMYFUNCTION("""COMPUTED_VALUE"""),"19900531TXSUF")</f>
        <v>19900531TXSUF</v>
      </c>
      <c r="B1788" s="8" t="str">
        <f ca="1">IFERROR(__xludf.DUMMYFUNCTION("""COMPUTED_VALUE"""),"Handgun")</f>
        <v>Handgun</v>
      </c>
    </row>
    <row r="1789" spans="1:2" ht="12.75">
      <c r="A1789" s="8" t="str">
        <f ca="1">IFERROR(__xludf.DUMMYFUNCTION("""COMPUTED_VALUE"""),"19900520TNHIC")</f>
        <v>19900520TNHIC</v>
      </c>
      <c r="B1789" s="8" t="str">
        <f ca="1">IFERROR(__xludf.DUMMYFUNCTION("""COMPUTED_VALUE"""),"No Data")</f>
        <v>No Data</v>
      </c>
    </row>
    <row r="1790" spans="1:2" ht="12.75">
      <c r="A1790" s="8" t="str">
        <f ca="1">IFERROR(__xludf.DUMMYFUNCTION("""COMPUTED_VALUE"""),"19900504CAMOE")</f>
        <v>19900504CAMOE</v>
      </c>
      <c r="B1790" s="8" t="str">
        <f ca="1">IFERROR(__xludf.DUMMYFUNCTION("""COMPUTED_VALUE"""),"Handgun")</f>
        <v>Handgun</v>
      </c>
    </row>
    <row r="1791" spans="1:2" ht="12.75">
      <c r="A1791" s="8" t="str">
        <f ca="1">IFERROR(__xludf.DUMMYFUNCTION("""COMPUTED_VALUE"""),"19900403TXSKD")</f>
        <v>19900403TXSKD</v>
      </c>
      <c r="B1791" s="8" t="str">
        <f ca="1">IFERROR(__xludf.DUMMYFUNCTION("""COMPUTED_VALUE"""),"Handgun")</f>
        <v>Handgun</v>
      </c>
    </row>
    <row r="1792" spans="1:2" ht="12.75">
      <c r="A1792" s="8" t="str">
        <f ca="1">IFERROR(__xludf.DUMMYFUNCTION("""COMPUTED_VALUE"""),"19900327NYNEB")</f>
        <v>19900327NYNEB</v>
      </c>
      <c r="B1792" s="8" t="str">
        <f ca="1">IFERROR(__xludf.DUMMYFUNCTION("""COMPUTED_VALUE"""),"Handgun")</f>
        <v>Handgun</v>
      </c>
    </row>
    <row r="1793" spans="1:2" ht="12.75">
      <c r="A1793" s="8" t="str">
        <f ca="1">IFERROR(__xludf.DUMMYFUNCTION("""COMPUTED_VALUE"""),"19900220OHTAC")</f>
        <v>19900220OHTAC</v>
      </c>
      <c r="B1793" s="8" t="str">
        <f ca="1">IFERROR(__xludf.DUMMYFUNCTION("""COMPUTED_VALUE"""),"Handgun")</f>
        <v>Handgun</v>
      </c>
    </row>
    <row r="1794" spans="1:2" ht="12.75">
      <c r="A1794" s="8" t="str">
        <f ca="1">IFERROR(__xludf.DUMMYFUNCTION("""COMPUTED_VALUE"""),"19900116RICEP")</f>
        <v>19900116RICEP</v>
      </c>
      <c r="B1794" s="8" t="str">
        <f ca="1">IFERROR(__xludf.DUMMYFUNCTION("""COMPUTED_VALUE"""),"No Data")</f>
        <v>No Data</v>
      </c>
    </row>
    <row r="1795" spans="1:2" ht="12.75">
      <c r="A1795" s="8" t="str">
        <f ca="1">IFERROR(__xludf.DUMMYFUNCTION("""COMPUTED_VALUE"""),"19891212SCCHC")</f>
        <v>19891212SCCHC</v>
      </c>
      <c r="B1795" s="8" t="str">
        <f ca="1">IFERROR(__xludf.DUMMYFUNCTION("""COMPUTED_VALUE"""),"Handgun")</f>
        <v>Handgun</v>
      </c>
    </row>
    <row r="1796" spans="1:2" ht="12.75">
      <c r="A1796" s="8" t="str">
        <f ca="1">IFERROR(__xludf.DUMMYFUNCTION("""COMPUTED_VALUE"""),"19891205TXWWD")</f>
        <v>19891205TXWWD</v>
      </c>
      <c r="B1796" s="8" t="str">
        <f ca="1">IFERROR(__xludf.DUMMYFUNCTION("""COMPUTED_VALUE"""),"Handgun")</f>
        <v>Handgun</v>
      </c>
    </row>
    <row r="1797" spans="1:2" ht="12.75">
      <c r="A1797" s="8" t="str">
        <f ca="1">IFERROR(__xludf.DUMMYFUNCTION("""COMPUTED_VALUE"""),"19891205PASEM")</f>
        <v>19891205PASEM</v>
      </c>
      <c r="B1797" s="8" t="str">
        <f ca="1">IFERROR(__xludf.DUMMYFUNCTION("""COMPUTED_VALUE"""),"Handgun")</f>
        <v>Handgun</v>
      </c>
    </row>
    <row r="1798" spans="1:2" ht="12.75">
      <c r="A1798" s="8" t="str">
        <f ca="1">IFERROR(__xludf.DUMMYFUNCTION("""COMPUTED_VALUE"""),"19891204LACAS")</f>
        <v>19891204LACAS</v>
      </c>
      <c r="B1798" s="8" t="str">
        <f ca="1">IFERROR(__xludf.DUMMYFUNCTION("""COMPUTED_VALUE"""),"No Data")</f>
        <v>No Data</v>
      </c>
    </row>
    <row r="1799" spans="1:2" ht="12.75">
      <c r="A1799" s="8" t="str">
        <f ca="1">IFERROR(__xludf.DUMMYFUNCTION("""COMPUTED_VALUE"""),"19891122CACHO")</f>
        <v>19891122CACHO</v>
      </c>
      <c r="B1799" s="8" t="str">
        <f ca="1">IFERROR(__xludf.DUMMYFUNCTION("""COMPUTED_VALUE"""),"Handgun")</f>
        <v>Handgun</v>
      </c>
    </row>
    <row r="1800" spans="1:2" ht="12.75">
      <c r="A1800" s="8" t="str">
        <f ca="1">IFERROR(__xludf.DUMMYFUNCTION("""COMPUTED_VALUE"""),"19891115TXWOA")</f>
        <v>19891115TXWOA</v>
      </c>
      <c r="B1800" s="8" t="str">
        <f ca="1">IFERROR(__xludf.DUMMYFUNCTION("""COMPUTED_VALUE"""),"Handgun")</f>
        <v>Handgun</v>
      </c>
    </row>
    <row r="1801" spans="1:2" ht="12.75">
      <c r="A1801" s="8" t="str">
        <f ca="1">IFERROR(__xludf.DUMMYFUNCTION("""COMPUTED_VALUE"""),"19891113NYALN")</f>
        <v>19891113NYALN</v>
      </c>
      <c r="B1801" s="8" t="str">
        <f ca="1">IFERROR(__xludf.DUMMYFUNCTION("""COMPUTED_VALUE"""),"Handgun")</f>
        <v>Handgun</v>
      </c>
    </row>
    <row r="1802" spans="1:2" ht="12.75">
      <c r="A1802" s="8" t="str">
        <f ca="1">IFERROR(__xludf.DUMMYFUNCTION("""COMPUTED_VALUE"""),"19891031TXOLD")</f>
        <v>19891031TXOLD</v>
      </c>
      <c r="B1802" s="8" t="str">
        <f ca="1">IFERROR(__xludf.DUMMYFUNCTION("""COMPUTED_VALUE"""),"Other")</f>
        <v>Other</v>
      </c>
    </row>
    <row r="1803" spans="1:2" ht="12.75">
      <c r="A1803" s="8" t="str">
        <f ca="1">IFERROR(__xludf.DUMMYFUNCTION("""COMPUTED_VALUE"""),"19891005CALOA")</f>
        <v>19891005CALOA</v>
      </c>
      <c r="B1803" s="8" t="str">
        <f ca="1">IFERROR(__xludf.DUMMYFUNCTION("""COMPUTED_VALUE"""),"Handgun")</f>
        <v>Handgun</v>
      </c>
    </row>
    <row r="1804" spans="1:2" ht="12.75">
      <c r="A1804" s="8" t="str">
        <f ca="1">IFERROR(__xludf.DUMMYFUNCTION("""COMPUTED_VALUE"""),"19891005CALOA")</f>
        <v>19891005CALOA</v>
      </c>
      <c r="B1804" s="8" t="str">
        <f ca="1">IFERROR(__xludf.DUMMYFUNCTION("""COMPUTED_VALUE"""),"Shotgun")</f>
        <v>Shotgun</v>
      </c>
    </row>
    <row r="1805" spans="1:2" ht="12.75">
      <c r="A1805" s="8" t="str">
        <f ca="1">IFERROR(__xludf.DUMMYFUNCTION("""COMPUTED_VALUE"""),"19890918KYJAM")</f>
        <v>19890918KYJAM</v>
      </c>
      <c r="B1805" s="8" t="str">
        <f ca="1">IFERROR(__xludf.DUMMYFUNCTION("""COMPUTED_VALUE"""),"Shotgun")</f>
        <v>Shotgun</v>
      </c>
    </row>
    <row r="1806" spans="1:2" ht="12.75">
      <c r="A1806" s="8" t="str">
        <f ca="1">IFERROR(__xludf.DUMMYFUNCTION("""COMPUTED_VALUE"""),"19890911AZDYE")</f>
        <v>19890911AZDYE</v>
      </c>
      <c r="B1806" s="8" t="str">
        <f ca="1">IFERROR(__xludf.DUMMYFUNCTION("""COMPUTED_VALUE"""),"Handgun")</f>
        <v>Handgun</v>
      </c>
    </row>
    <row r="1807" spans="1:2" ht="12.75">
      <c r="A1807" s="8" t="str">
        <f ca="1">IFERROR(__xludf.DUMMYFUNCTION("""COMPUTED_VALUE"""),"19890901VASAV")</f>
        <v>19890901VASAV</v>
      </c>
      <c r="B1807" s="8" t="str">
        <f ca="1">IFERROR(__xludf.DUMMYFUNCTION("""COMPUTED_VALUE"""),"Multiple Handguns")</f>
        <v>Multiple Handguns</v>
      </c>
    </row>
    <row r="1808" spans="1:2" ht="12.75">
      <c r="A1808" s="8" t="str">
        <f ca="1">IFERROR(__xludf.DUMMYFUNCTION("""COMPUTED_VALUE"""),"19890426TXAMD")</f>
        <v>19890426TXAMD</v>
      </c>
      <c r="B1808" s="8" t="str">
        <f ca="1">IFERROR(__xludf.DUMMYFUNCTION("""COMPUTED_VALUE"""),"Handgun")</f>
        <v>Handgun</v>
      </c>
    </row>
    <row r="1809" spans="1:2" ht="12.75">
      <c r="A1809" s="8" t="str">
        <f ca="1">IFERROR(__xludf.DUMMYFUNCTION("""COMPUTED_VALUE"""),"19890303INWIG")</f>
        <v>19890303INWIG</v>
      </c>
      <c r="B1809" s="8" t="str">
        <f ca="1">IFERROR(__xludf.DUMMYFUNCTION("""COMPUTED_VALUE"""),"Handgun")</f>
        <v>Handgun</v>
      </c>
    </row>
    <row r="1810" spans="1:2" ht="12.75">
      <c r="A1810" s="8" t="str">
        <f ca="1">IFERROR(__xludf.DUMMYFUNCTION("""COMPUTED_VALUE"""),"19890210UTTHK")</f>
        <v>19890210UTTHK</v>
      </c>
      <c r="B1810" s="8" t="str">
        <f ca="1">IFERROR(__xludf.DUMMYFUNCTION("""COMPUTED_VALUE"""),"Handgun")</f>
        <v>Handgun</v>
      </c>
    </row>
    <row r="1811" spans="1:2" ht="12.75">
      <c r="A1811" s="8" t="str">
        <f ca="1">IFERROR(__xludf.DUMMYFUNCTION("""COMPUTED_VALUE"""),"19890209IDRIR")</f>
        <v>19890209IDRIR</v>
      </c>
      <c r="B1811" s="8" t="str">
        <f ca="1">IFERROR(__xludf.DUMMYFUNCTION("""COMPUTED_VALUE"""),"Handgun")</f>
        <v>Handgun</v>
      </c>
    </row>
    <row r="1812" spans="1:2" ht="12.75">
      <c r="A1812" s="8" t="str">
        <f ca="1">IFERROR(__xludf.DUMMYFUNCTION("""COMPUTED_VALUE"""),"19890126DCWOW")</f>
        <v>19890126DCWOW</v>
      </c>
      <c r="B1812" s="8" t="str">
        <f ca="1">IFERROR(__xludf.DUMMYFUNCTION("""COMPUTED_VALUE"""),"Handgun")</f>
        <v>Handgun</v>
      </c>
    </row>
    <row r="1813" spans="1:2" ht="12.75">
      <c r="A1813" s="8" t="str">
        <f ca="1">IFERROR(__xludf.DUMMYFUNCTION("""COMPUTED_VALUE"""),"19890117CACLS")</f>
        <v>19890117CACLS</v>
      </c>
      <c r="B1813" s="8" t="str">
        <f ca="1">IFERROR(__xludf.DUMMYFUNCTION("""COMPUTED_VALUE"""),"Handgun")</f>
        <v>Handgun</v>
      </c>
    </row>
    <row r="1814" spans="1:2" ht="12.75">
      <c r="A1814" s="8" t="str">
        <f ca="1">IFERROR(__xludf.DUMMYFUNCTION("""COMPUTED_VALUE"""),"19890117CACLS")</f>
        <v>19890117CACLS</v>
      </c>
      <c r="B1814" s="8" t="str">
        <f ca="1">IFERROR(__xludf.DUMMYFUNCTION("""COMPUTED_VALUE"""),"Rifle")</f>
        <v>Rifle</v>
      </c>
    </row>
    <row r="1815" spans="1:2" ht="12.75">
      <c r="A1815" s="8" t="str">
        <f ca="1">IFERROR(__xludf.DUMMYFUNCTION("""COMPUTED_VALUE"""),"19890105ARHEL")</f>
        <v>19890105ARHEL</v>
      </c>
      <c r="B1815" s="8" t="str">
        <f ca="1">IFERROR(__xludf.DUMMYFUNCTION("""COMPUTED_VALUE"""),"Handgun")</f>
        <v>Handgun</v>
      </c>
    </row>
    <row r="1816" spans="1:2" ht="12.75">
      <c r="A1816" s="8" t="str">
        <f ca="1">IFERROR(__xludf.DUMMYFUNCTION("""COMPUTED_VALUE"""),"19881216VAATV")</f>
        <v>19881216VAATV</v>
      </c>
      <c r="B1816" s="8" t="str">
        <f ca="1">IFERROR(__xludf.DUMMYFUNCTION("""COMPUTED_VALUE"""),"Handgun")</f>
        <v>Handgun</v>
      </c>
    </row>
    <row r="1817" spans="1:2" ht="12.75">
      <c r="A1817" s="8" t="str">
        <f ca="1">IFERROR(__xludf.DUMMYFUNCTION("""COMPUTED_VALUE"""),"19881122TXABA")</f>
        <v>19881122TXABA</v>
      </c>
      <c r="B1817" s="8" t="str">
        <f ca="1">IFERROR(__xludf.DUMMYFUNCTION("""COMPUTED_VALUE"""),"Handgun")</f>
        <v>Handgun</v>
      </c>
    </row>
    <row r="1818" spans="1:2" ht="12.75">
      <c r="A1818" s="8" t="str">
        <f ca="1">IFERROR(__xludf.DUMMYFUNCTION("""COMPUTED_VALUE"""),"19881107UTGLS")</f>
        <v>19881107UTGLS</v>
      </c>
      <c r="B1818" s="8" t="str">
        <f ca="1">IFERROR(__xludf.DUMMYFUNCTION("""COMPUTED_VALUE"""),"Handgun")</f>
        <v>Handgun</v>
      </c>
    </row>
    <row r="1819" spans="1:2" ht="12.75">
      <c r="A1819" s="8" t="str">
        <f ca="1">IFERROR(__xludf.DUMMYFUNCTION("""COMPUTED_VALUE"""),"19881101FLPAJ")</f>
        <v>19881101FLPAJ</v>
      </c>
      <c r="B1819" s="8" t="str">
        <f ca="1">IFERROR(__xludf.DUMMYFUNCTION("""COMPUTED_VALUE"""),"Handgun")</f>
        <v>Handgun</v>
      </c>
    </row>
    <row r="1820" spans="1:2" ht="12.75">
      <c r="A1820" s="8" t="str">
        <f ca="1">IFERROR(__xludf.DUMMYFUNCTION("""COMPUTED_VALUE"""),"19881007TXDIP")</f>
        <v>19881007TXDIP</v>
      </c>
      <c r="B1820" s="8" t="str">
        <f ca="1">IFERROR(__xludf.DUMMYFUNCTION("""COMPUTED_VALUE"""),"Handgun")</f>
        <v>Handgun</v>
      </c>
    </row>
    <row r="1821" spans="1:2" ht="12.75">
      <c r="A1821" s="8" t="str">
        <f ca="1">IFERROR(__xludf.DUMMYFUNCTION("""COMPUTED_VALUE"""),"19881007MDSOB")</f>
        <v>19881007MDSOB</v>
      </c>
      <c r="B1821" s="8" t="str">
        <f ca="1">IFERROR(__xludf.DUMMYFUNCTION("""COMPUTED_VALUE"""),"Handgun")</f>
        <v>Handgun</v>
      </c>
    </row>
    <row r="1822" spans="1:2" ht="12.75">
      <c r="A1822" s="8" t="str">
        <f ca="1">IFERROR(__xludf.DUMMYFUNCTION("""COMPUTED_VALUE"""),"19881006ALMOM")</f>
        <v>19881006ALMOM</v>
      </c>
      <c r="B1822" s="8" t="str">
        <f ca="1">IFERROR(__xludf.DUMMYFUNCTION("""COMPUTED_VALUE"""),"Handgun")</f>
        <v>Handgun</v>
      </c>
    </row>
    <row r="1823" spans="1:2" ht="12.75">
      <c r="A1823" s="8" t="str">
        <f ca="1">IFERROR(__xludf.DUMMYFUNCTION("""COMPUTED_VALUE"""),"19881005MDEDB")</f>
        <v>19881005MDEDB</v>
      </c>
      <c r="B1823" s="8" t="str">
        <f ca="1">IFERROR(__xludf.DUMMYFUNCTION("""COMPUTED_VALUE"""),"Handgun")</f>
        <v>Handgun</v>
      </c>
    </row>
    <row r="1824" spans="1:2" ht="12.75">
      <c r="A1824" s="8" t="str">
        <f ca="1">IFERROR(__xludf.DUMMYFUNCTION("""COMPUTED_VALUE"""),"19881004LAISB")</f>
        <v>19881004LAISB</v>
      </c>
      <c r="B1824" s="8" t="str">
        <f ca="1">IFERROR(__xludf.DUMMYFUNCTION("""COMPUTED_VALUE"""),"No Data")</f>
        <v>No Data</v>
      </c>
    </row>
    <row r="1825" spans="1:2" ht="12.75">
      <c r="A1825" s="8" t="str">
        <f ca="1">IFERROR(__xludf.DUMMYFUNCTION("""COMPUTED_VALUE"""),"19881004FLJEJ")</f>
        <v>19881004FLJEJ</v>
      </c>
      <c r="B1825" s="8" t="str">
        <f ca="1">IFERROR(__xludf.DUMMYFUNCTION("""COMPUTED_VALUE"""),"Handgun")</f>
        <v>Handgun</v>
      </c>
    </row>
    <row r="1826" spans="1:2" ht="12.75">
      <c r="A1826" s="8" t="str">
        <f ca="1">IFERROR(__xludf.DUMMYFUNCTION("""COMPUTED_VALUE"""),"19881003FLMAM")</f>
        <v>19881003FLMAM</v>
      </c>
      <c r="B1826" s="8" t="str">
        <f ca="1">IFERROR(__xludf.DUMMYFUNCTION("""COMPUTED_VALUE"""),"Rifle")</f>
        <v>Rifle</v>
      </c>
    </row>
    <row r="1827" spans="1:2" ht="12.75">
      <c r="A1827" s="8" t="str">
        <f ca="1">IFERROR(__xludf.DUMMYFUNCTION("""COMPUTED_VALUE"""),"19880926SCOAG")</f>
        <v>19880926SCOAG</v>
      </c>
      <c r="B1827" s="8" t="str">
        <f ca="1">IFERROR(__xludf.DUMMYFUNCTION("""COMPUTED_VALUE"""),"Handgun")</f>
        <v>Handgun</v>
      </c>
    </row>
    <row r="1828" spans="1:2" ht="12.75">
      <c r="A1828" s="8" t="str">
        <f ca="1">IFERROR(__xludf.DUMMYFUNCTION("""COMPUTED_VALUE"""),"19880922ILMOC")</f>
        <v>19880922ILMOC</v>
      </c>
      <c r="B1828" s="8" t="str">
        <f ca="1">IFERROR(__xludf.DUMMYFUNCTION("""COMPUTED_VALUE"""),"Handgun")</f>
        <v>Handgun</v>
      </c>
    </row>
    <row r="1829" spans="1:2" ht="12.75">
      <c r="A1829" s="8" t="str">
        <f ca="1">IFERROR(__xludf.DUMMYFUNCTION("""COMPUTED_VALUE"""),"19880903TXLID")</f>
        <v>19880903TXLID</v>
      </c>
      <c r="B1829" s="8" t="str">
        <f ca="1">IFERROR(__xludf.DUMMYFUNCTION("""COMPUTED_VALUE"""),"Handgun")</f>
        <v>Handgun</v>
      </c>
    </row>
    <row r="1830" spans="1:2" ht="12.75">
      <c r="A1830" s="8" t="str">
        <f ca="1">IFERROR(__xludf.DUMMYFUNCTION("""COMPUTED_VALUE"""),"19880902NCGAC")</f>
        <v>19880902NCGAC</v>
      </c>
      <c r="B1830" s="8" t="str">
        <f ca="1">IFERROR(__xludf.DUMMYFUNCTION("""COMPUTED_VALUE"""),"Handgun")</f>
        <v>Handgun</v>
      </c>
    </row>
    <row r="1831" spans="1:2" ht="12.75">
      <c r="A1831" s="8" t="str">
        <f ca="1">IFERROR(__xludf.DUMMYFUNCTION("""COMPUTED_VALUE"""),"19880902GAGLA")</f>
        <v>19880902GAGLA</v>
      </c>
      <c r="B1831" s="8" t="str">
        <f ca="1">IFERROR(__xludf.DUMMYFUNCTION("""COMPUTED_VALUE"""),"Handgun")</f>
        <v>Handgun</v>
      </c>
    </row>
    <row r="1832" spans="1:2" ht="12.75">
      <c r="A1832" s="8" t="str">
        <f ca="1">IFERROR(__xludf.DUMMYFUNCTION("""COMPUTED_VALUE"""),"19880831SCWEA")</f>
        <v>19880831SCWEA</v>
      </c>
      <c r="B1832" s="8" t="str">
        <f ca="1">IFERROR(__xludf.DUMMYFUNCTION("""COMPUTED_VALUE"""),"Handgun")</f>
        <v>Handgun</v>
      </c>
    </row>
    <row r="1833" spans="1:2" ht="12.75">
      <c r="A1833" s="8" t="str">
        <f ca="1">IFERROR(__xludf.DUMMYFUNCTION("""COMPUTED_VALUE"""),"19880831MICED")</f>
        <v>19880831MICED</v>
      </c>
      <c r="B1833" s="8" t="str">
        <f ca="1">IFERROR(__xludf.DUMMYFUNCTION("""COMPUTED_VALUE"""),"Multiple Handguns")</f>
        <v>Multiple Handguns</v>
      </c>
    </row>
    <row r="1834" spans="1:2" ht="12.75">
      <c r="A1834" s="8" t="str">
        <f ca="1">IFERROR(__xludf.DUMMYFUNCTION("""COMPUTED_VALUE"""),"19880711MSLAJ")</f>
        <v>19880711MSLAJ</v>
      </c>
      <c r="B1834" s="8" t="str">
        <f ca="1">IFERROR(__xludf.DUMMYFUNCTION("""COMPUTED_VALUE"""),"Handgun")</f>
        <v>Handgun</v>
      </c>
    </row>
    <row r="1835" spans="1:2" ht="12.75">
      <c r="A1835" s="8" t="str">
        <f ca="1">IFERROR(__xludf.DUMMYFUNCTION("""COMPUTED_VALUE"""),"19880710WISIM")</f>
        <v>19880710WISIM</v>
      </c>
      <c r="B1835" s="8" t="str">
        <f ca="1">IFERROR(__xludf.DUMMYFUNCTION("""COMPUTED_VALUE"""),"Other")</f>
        <v>Other</v>
      </c>
    </row>
    <row r="1836" spans="1:2" ht="12.75">
      <c r="A1836" s="8" t="str">
        <f ca="1">IFERROR(__xludf.DUMMYFUNCTION("""COMPUTED_VALUE"""),"19880630HIAIO")</f>
        <v>19880630HIAIO</v>
      </c>
      <c r="B1836" s="8" t="str">
        <f ca="1">IFERROR(__xludf.DUMMYFUNCTION("""COMPUTED_VALUE"""),"Handgun")</f>
        <v>Handgun</v>
      </c>
    </row>
    <row r="1837" spans="1:2" ht="12.75">
      <c r="A1837" s="8" t="str">
        <f ca="1">IFERROR(__xludf.DUMMYFUNCTION("""COMPUTED_VALUE"""),"19880617MIJOD")</f>
        <v>19880617MIJOD</v>
      </c>
      <c r="B1837" s="8" t="str">
        <f ca="1">IFERROR(__xludf.DUMMYFUNCTION("""COMPUTED_VALUE"""),"Handgun")</f>
        <v>Handgun</v>
      </c>
    </row>
    <row r="1838" spans="1:2" ht="12.75">
      <c r="A1838" s="8" t="str">
        <f ca="1">IFERROR(__xludf.DUMMYFUNCTION("""COMPUTED_VALUE"""),"19880602MSWIJ")</f>
        <v>19880602MSWIJ</v>
      </c>
      <c r="B1838" s="8" t="str">
        <f ca="1">IFERROR(__xludf.DUMMYFUNCTION("""COMPUTED_VALUE"""),"Handgun")</f>
        <v>Handgun</v>
      </c>
    </row>
    <row r="1839" spans="1:2" ht="12.75">
      <c r="A1839" s="8" t="str">
        <f ca="1">IFERROR(__xludf.DUMMYFUNCTION("""COMPUTED_VALUE"""),"19880531NYPUB")</f>
        <v>19880531NYPUB</v>
      </c>
      <c r="B1839" s="8" t="str">
        <f ca="1">IFERROR(__xludf.DUMMYFUNCTION("""COMPUTED_VALUE"""),"No Data")</f>
        <v>No Data</v>
      </c>
    </row>
    <row r="1840" spans="1:2" ht="12.75">
      <c r="A1840" s="8" t="str">
        <f ca="1">IFERROR(__xludf.DUMMYFUNCTION("""COMPUTED_VALUE"""),"19880520ILHUW")</f>
        <v>19880520ILHUW</v>
      </c>
      <c r="B1840" s="8" t="str">
        <f ca="1">IFERROR(__xludf.DUMMYFUNCTION("""COMPUTED_VALUE"""),"Handgun")</f>
        <v>Handgun</v>
      </c>
    </row>
    <row r="1841" spans="1:2" ht="12.75">
      <c r="A1841" s="8" t="str">
        <f ca="1">IFERROR(__xludf.DUMMYFUNCTION("""COMPUTED_VALUE"""),"19880520ILHUW")</f>
        <v>19880520ILHUW</v>
      </c>
      <c r="B1841" s="8" t="str">
        <f ca="1">IFERROR(__xludf.DUMMYFUNCTION("""COMPUTED_VALUE"""),"Handgun")</f>
        <v>Handgun</v>
      </c>
    </row>
    <row r="1842" spans="1:2" ht="12.75">
      <c r="A1842" s="8" t="str">
        <f ca="1">IFERROR(__xludf.DUMMYFUNCTION("""COMPUTED_VALUE"""),"19880520ILHUW")</f>
        <v>19880520ILHUW</v>
      </c>
      <c r="B1842" s="8" t="str">
        <f ca="1">IFERROR(__xludf.DUMMYFUNCTION("""COMPUTED_VALUE"""),"Handgun")</f>
        <v>Handgun</v>
      </c>
    </row>
    <row r="1843" spans="1:2" ht="12.75">
      <c r="A1843" s="8" t="str">
        <f ca="1">IFERROR(__xludf.DUMMYFUNCTION("""COMPUTED_VALUE"""),"19880516FLFOF")</f>
        <v>19880516FLFOF</v>
      </c>
      <c r="B1843" s="8" t="str">
        <f ca="1">IFERROR(__xludf.DUMMYFUNCTION("""COMPUTED_VALUE"""),"Handgun")</f>
        <v>Handgun</v>
      </c>
    </row>
    <row r="1844" spans="1:2" ht="12.75">
      <c r="A1844" s="8" t="str">
        <f ca="1">IFERROR(__xludf.DUMMYFUNCTION("""COMPUTED_VALUE"""),"19880505ILMAC")</f>
        <v>19880505ILMAC</v>
      </c>
      <c r="B1844" s="8" t="str">
        <f ca="1">IFERROR(__xludf.DUMMYFUNCTION("""COMPUTED_VALUE"""),"Handgun")</f>
        <v>Handgun</v>
      </c>
    </row>
    <row r="1845" spans="1:2" ht="12.75">
      <c r="A1845" s="8" t="str">
        <f ca="1">IFERROR(__xludf.DUMMYFUNCTION("""COMPUTED_VALUE"""),"19880324TXTRA")</f>
        <v>19880324TXTRA</v>
      </c>
      <c r="B1845" s="8" t="str">
        <f ca="1">IFERROR(__xludf.DUMMYFUNCTION("""COMPUTED_VALUE"""),"Other")</f>
        <v>Other</v>
      </c>
    </row>
    <row r="1846" spans="1:2" ht="12.75">
      <c r="A1846" s="8" t="str">
        <f ca="1">IFERROR(__xludf.DUMMYFUNCTION("""COMPUTED_VALUE"""),"19880323CACAS")</f>
        <v>19880323CACAS</v>
      </c>
      <c r="B1846" s="8" t="str">
        <f ca="1">IFERROR(__xludf.DUMMYFUNCTION("""COMPUTED_VALUE"""),"No Data")</f>
        <v>No Data</v>
      </c>
    </row>
    <row r="1847" spans="1:2" ht="12.75">
      <c r="A1847" s="8" t="str">
        <f ca="1">IFERROR(__xludf.DUMMYFUNCTION("""COMPUTED_VALUE"""),"19880304MILED")</f>
        <v>19880304MILED</v>
      </c>
      <c r="B1847" s="8" t="str">
        <f ca="1">IFERROR(__xludf.DUMMYFUNCTION("""COMPUTED_VALUE"""),"No Data")</f>
        <v>No Data</v>
      </c>
    </row>
    <row r="1848" spans="1:2" ht="12.75">
      <c r="A1848" s="8" t="str">
        <f ca="1">IFERROR(__xludf.DUMMYFUNCTION("""COMPUTED_VALUE"""),"19880226RIBRB")</f>
        <v>19880226RIBRB</v>
      </c>
      <c r="B1848" s="8" t="str">
        <f ca="1">IFERROR(__xludf.DUMMYFUNCTION("""COMPUTED_VALUE"""),"Handgun")</f>
        <v>Handgun</v>
      </c>
    </row>
    <row r="1849" spans="1:2" ht="12.75">
      <c r="A1849" s="8" t="str">
        <f ca="1">IFERROR(__xludf.DUMMYFUNCTION("""COMPUTED_VALUE"""),"19880211FLPIL")</f>
        <v>19880211FLPIL</v>
      </c>
      <c r="B1849" s="8" t="str">
        <f ca="1">IFERROR(__xludf.DUMMYFUNCTION("""COMPUTED_VALUE"""),"Handgun")</f>
        <v>Handgun</v>
      </c>
    </row>
    <row r="1850" spans="1:2" ht="12.75">
      <c r="A1850" s="8" t="str">
        <f ca="1">IFERROR(__xludf.DUMMYFUNCTION("""COMPUTED_VALUE"""),"19880211FLPIL")</f>
        <v>19880211FLPIL</v>
      </c>
      <c r="B1850" s="8" t="str">
        <f ca="1">IFERROR(__xludf.DUMMYFUNCTION("""COMPUTED_VALUE"""),"Handgun")</f>
        <v>Handgun</v>
      </c>
    </row>
    <row r="1851" spans="1:2" ht="12.75">
      <c r="A1851" s="8" t="str">
        <f ca="1">IFERROR(__xludf.DUMMYFUNCTION("""COMPUTED_VALUE"""),"19880202ALWET")</f>
        <v>19880202ALWET</v>
      </c>
      <c r="B1851" s="8" t="str">
        <f ca="1">IFERROR(__xludf.DUMMYFUNCTION("""COMPUTED_VALUE"""),"Multiple Unknown")</f>
        <v>Multiple Unknown</v>
      </c>
    </row>
    <row r="1852" spans="1:2" ht="12.75">
      <c r="A1852" s="8" t="str">
        <f ca="1">IFERROR(__xludf.DUMMYFUNCTION("""COMPUTED_VALUE"""),"19880129TXREA")</f>
        <v>19880129TXREA</v>
      </c>
      <c r="B1852" s="8" t="str">
        <f ca="1">IFERROR(__xludf.DUMMYFUNCTION("""COMPUTED_VALUE"""),"No Data")</f>
        <v>No Data</v>
      </c>
    </row>
    <row r="1853" spans="1:2" ht="12.75">
      <c r="A1853" s="8" t="str">
        <f ca="1">IFERROR(__xludf.DUMMYFUNCTION("""COMPUTED_VALUE"""),"19880120LASIR")</f>
        <v>19880120LASIR</v>
      </c>
      <c r="B1853" s="8" t="str">
        <f ca="1">IFERROR(__xludf.DUMMYFUNCTION("""COMPUTED_VALUE"""),"Handgun")</f>
        <v>Handgun</v>
      </c>
    </row>
    <row r="1854" spans="1:2" ht="12.75">
      <c r="A1854" s="8" t="str">
        <f ca="1">IFERROR(__xludf.DUMMYFUNCTION("""COMPUTED_VALUE"""),"19880108PACRM")</f>
        <v>19880108PACRM</v>
      </c>
      <c r="B1854" s="8" t="str">
        <f ca="1">IFERROR(__xludf.DUMMYFUNCTION("""COMPUTED_VALUE"""),"Handgun")</f>
        <v>Handgun</v>
      </c>
    </row>
    <row r="1855" spans="1:2" ht="12.75">
      <c r="A1855" s="8" t="str">
        <f ca="1">IFERROR(__xludf.DUMMYFUNCTION("""COMPUTED_VALUE"""),"19880106FLGAT")</f>
        <v>19880106FLGAT</v>
      </c>
      <c r="B1855" s="8" t="str">
        <f ca="1">IFERROR(__xludf.DUMMYFUNCTION("""COMPUTED_VALUE"""),"Handgun")</f>
        <v>Handgun</v>
      </c>
    </row>
    <row r="1856" spans="1:2" ht="12.75">
      <c r="A1856" s="8" t="str">
        <f ca="1">IFERROR(__xludf.DUMMYFUNCTION("""COMPUTED_VALUE"""),"19880105PASPS")</f>
        <v>19880105PASPS</v>
      </c>
      <c r="B1856" s="8" t="str">
        <f ca="1">IFERROR(__xludf.DUMMYFUNCTION("""COMPUTED_VALUE"""),"Handgun")</f>
        <v>Handgun</v>
      </c>
    </row>
    <row r="1857" spans="1:2" ht="12.75">
      <c r="A1857" s="8" t="str">
        <f ca="1">IFERROR(__xludf.DUMMYFUNCTION("""COMPUTED_VALUE"""),"19871216TXMAK")</f>
        <v>19871216TXMAK</v>
      </c>
      <c r="B1857" s="8" t="str">
        <f ca="1">IFERROR(__xludf.DUMMYFUNCTION("""COMPUTED_VALUE"""),"Handgun")</f>
        <v>Handgun</v>
      </c>
    </row>
    <row r="1858" spans="1:2" ht="12.75">
      <c r="A1858" s="8" t="str">
        <f ca="1">IFERROR(__xludf.DUMMYFUNCTION("""COMPUTED_VALUE"""),"19871215NYGRB")</f>
        <v>19871215NYGRB</v>
      </c>
      <c r="B1858" s="8" t="str">
        <f ca="1">IFERROR(__xludf.DUMMYFUNCTION("""COMPUTED_VALUE"""),"No Data")</f>
        <v>No Data</v>
      </c>
    </row>
    <row r="1859" spans="1:2" ht="12.75">
      <c r="A1859" s="8" t="str">
        <f ca="1">IFERROR(__xludf.DUMMYFUNCTION("""COMPUTED_VALUE"""),"19871204NYEAN")</f>
        <v>19871204NYEAN</v>
      </c>
      <c r="B1859" s="8" t="str">
        <f ca="1">IFERROR(__xludf.DUMMYFUNCTION("""COMPUTED_VALUE"""),"Handgun")</f>
        <v>Handgun</v>
      </c>
    </row>
    <row r="1860" spans="1:2" ht="12.75">
      <c r="A1860" s="8" t="str">
        <f ca="1">IFERROR(__xludf.DUMMYFUNCTION("""COMPUTED_VALUE"""),"19871202FLENJ")</f>
        <v>19871202FLENJ</v>
      </c>
      <c r="B1860" s="8" t="str">
        <f ca="1">IFERROR(__xludf.DUMMYFUNCTION("""COMPUTED_VALUE"""),"Handgun")</f>
        <v>Handgun</v>
      </c>
    </row>
    <row r="1861" spans="1:2" ht="12.75">
      <c r="A1861" s="8" t="str">
        <f ca="1">IFERROR(__xludf.DUMMYFUNCTION("""COMPUTED_VALUE"""),"19871130TXPES")</f>
        <v>19871130TXPES</v>
      </c>
      <c r="B1861" s="8" t="str">
        <f ca="1">IFERROR(__xludf.DUMMYFUNCTION("""COMPUTED_VALUE"""),"Handgun")</f>
        <v>Handgun</v>
      </c>
    </row>
    <row r="1862" spans="1:2" ht="12.75">
      <c r="A1862" s="8" t="str">
        <f ca="1">IFERROR(__xludf.DUMMYFUNCTION("""COMPUTED_VALUE"""),"19871114FLCLC")</f>
        <v>19871114FLCLC</v>
      </c>
      <c r="B1862" s="8" t="str">
        <f ca="1">IFERROR(__xludf.DUMMYFUNCTION("""COMPUTED_VALUE"""),"Handgun")</f>
        <v>Handgun</v>
      </c>
    </row>
    <row r="1863" spans="1:2" ht="12.75">
      <c r="A1863" s="8" t="str">
        <f ca="1">IFERROR(__xludf.DUMMYFUNCTION("""COMPUTED_VALUE"""),"19871104MISOD")</f>
        <v>19871104MISOD</v>
      </c>
      <c r="B1863" s="8" t="str">
        <f ca="1">IFERROR(__xludf.DUMMYFUNCTION("""COMPUTED_VALUE"""),"Handgun")</f>
        <v>Handgun</v>
      </c>
    </row>
    <row r="1864" spans="1:2" ht="12.75">
      <c r="A1864" s="8" t="str">
        <f ca="1">IFERROR(__xludf.DUMMYFUNCTION("""COMPUTED_VALUE"""),"19871030NCSOK")</f>
        <v>19871030NCSOK</v>
      </c>
      <c r="B1864" s="8" t="str">
        <f ca="1">IFERROR(__xludf.DUMMYFUNCTION("""COMPUTED_VALUE"""),"Handgun")</f>
        <v>Handgun</v>
      </c>
    </row>
    <row r="1865" spans="1:2" ht="12.75">
      <c r="A1865" s="8" t="str">
        <f ca="1">IFERROR(__xludf.DUMMYFUNCTION("""COMPUTED_VALUE"""),"19871014ILDUC")</f>
        <v>19871014ILDUC</v>
      </c>
      <c r="B1865" s="8" t="str">
        <f ca="1">IFERROR(__xludf.DUMMYFUNCTION("""COMPUTED_VALUE"""),"Handgun")</f>
        <v>Handgun</v>
      </c>
    </row>
    <row r="1866" spans="1:2" ht="12.75">
      <c r="A1866" s="8" t="str">
        <f ca="1">IFERROR(__xludf.DUMMYFUNCTION("""COMPUTED_VALUE"""),"19870928ILILL")</f>
        <v>19870928ILILL</v>
      </c>
      <c r="B1866" s="8" t="str">
        <f ca="1">IFERROR(__xludf.DUMMYFUNCTION("""COMPUTED_VALUE"""),"Handgun")</f>
        <v>Handgun</v>
      </c>
    </row>
    <row r="1867" spans="1:2" ht="12.75">
      <c r="A1867" s="8" t="str">
        <f ca="1">IFERROR(__xludf.DUMMYFUNCTION("""COMPUTED_VALUE"""),"19870513ILOAO")</f>
        <v>19870513ILOAO</v>
      </c>
      <c r="B1867" s="8" t="str">
        <f ca="1">IFERROR(__xludf.DUMMYFUNCTION("""COMPUTED_VALUE"""),"Handgun")</f>
        <v>Handgun</v>
      </c>
    </row>
    <row r="1868" spans="1:2" ht="12.75">
      <c r="A1868" s="8" t="str">
        <f ca="1">IFERROR(__xludf.DUMMYFUNCTION("""COMPUTED_VALUE"""),"19870506FLLET")</f>
        <v>19870506FLLET</v>
      </c>
      <c r="B1868" s="8" t="str">
        <f ca="1">IFERROR(__xludf.DUMMYFUNCTION("""COMPUTED_VALUE"""),"Handgun")</f>
        <v>Handgun</v>
      </c>
    </row>
    <row r="1869" spans="1:2" ht="12.75">
      <c r="A1869" s="8" t="str">
        <f ca="1">IFERROR(__xludf.DUMMYFUNCTION("""COMPUTED_VALUE"""),"19870506ARMAJ")</f>
        <v>19870506ARMAJ</v>
      </c>
      <c r="B1869" s="8" t="str">
        <f ca="1">IFERROR(__xludf.DUMMYFUNCTION("""COMPUTED_VALUE"""),"Handgun")</f>
        <v>Handgun</v>
      </c>
    </row>
    <row r="1870" spans="1:2" ht="12.75">
      <c r="A1870" s="8" t="str">
        <f ca="1">IFERROR(__xludf.DUMMYFUNCTION("""COMPUTED_VALUE"""),"19870503INPII")</f>
        <v>19870503INPII</v>
      </c>
      <c r="B1870" s="8" t="str">
        <f ca="1">IFERROR(__xludf.DUMMYFUNCTION("""COMPUTED_VALUE"""),"Handgun")</f>
        <v>Handgun</v>
      </c>
    </row>
    <row r="1871" spans="1:2" ht="12.75">
      <c r="A1871" s="8" t="str">
        <f ca="1">IFERROR(__xludf.DUMMYFUNCTION("""COMPUTED_VALUE"""),"19870430ORGRP")</f>
        <v>19870430ORGRP</v>
      </c>
      <c r="B1871" s="8" t="str">
        <f ca="1">IFERROR(__xludf.DUMMYFUNCTION("""COMPUTED_VALUE"""),"Handgun")</f>
        <v>Handgun</v>
      </c>
    </row>
    <row r="1872" spans="1:2" ht="12.75">
      <c r="A1872" s="8" t="str">
        <f ca="1">IFERROR(__xludf.DUMMYFUNCTION("""COMPUTED_VALUE"""),"19870416MIMUD")</f>
        <v>19870416MIMUD</v>
      </c>
      <c r="B1872" s="8" t="str">
        <f ca="1">IFERROR(__xludf.DUMMYFUNCTION("""COMPUTED_VALUE"""),"Handgun")</f>
        <v>Handgun</v>
      </c>
    </row>
    <row r="1873" spans="1:2" ht="12.75">
      <c r="A1873" s="8" t="str">
        <f ca="1">IFERROR(__xludf.DUMMYFUNCTION("""COMPUTED_VALUE"""),"19870330CAPAS")</f>
        <v>19870330CAPAS</v>
      </c>
      <c r="B1873" s="8" t="str">
        <f ca="1">IFERROR(__xludf.DUMMYFUNCTION("""COMPUTED_VALUE"""),"Handgun")</f>
        <v>Handgun</v>
      </c>
    </row>
    <row r="1874" spans="1:2" ht="12.75">
      <c r="A1874" s="8" t="str">
        <f ca="1">IFERROR(__xludf.DUMMYFUNCTION("""COMPUTED_VALUE"""),"19870306TXRIE")</f>
        <v>19870306TXRIE</v>
      </c>
      <c r="B1874" s="8" t="str">
        <f ca="1">IFERROR(__xludf.DUMMYFUNCTION("""COMPUTED_VALUE"""),"No Data")</f>
        <v>No Data</v>
      </c>
    </row>
    <row r="1875" spans="1:2" ht="12.75">
      <c r="A1875" s="8" t="str">
        <f ca="1">IFERROR(__xludf.DUMMYFUNCTION("""COMPUTED_VALUE"""),"19870302MODED")</f>
        <v>19870302MODED</v>
      </c>
      <c r="B1875" s="8" t="str">
        <f ca="1">IFERROR(__xludf.DUMMYFUNCTION("""COMPUTED_VALUE"""),"Handgun")</f>
        <v>Handgun</v>
      </c>
    </row>
    <row r="1876" spans="1:2" ht="12.75">
      <c r="A1876" s="8" t="str">
        <f ca="1">IFERROR(__xludf.DUMMYFUNCTION("""COMPUTED_VALUE"""),"19870224NYMON")</f>
        <v>19870224NYMON</v>
      </c>
      <c r="B1876" s="8" t="str">
        <f ca="1">IFERROR(__xludf.DUMMYFUNCTION("""COMPUTED_VALUE"""),"Handgun")</f>
        <v>Handgun</v>
      </c>
    </row>
    <row r="1877" spans="1:2" ht="12.75">
      <c r="A1877" s="8" t="str">
        <f ca="1">IFERROR(__xludf.DUMMYFUNCTION("""COMPUTED_VALUE"""),"19870213AZORM")</f>
        <v>19870213AZORM</v>
      </c>
      <c r="B1877" s="8" t="str">
        <f ca="1">IFERROR(__xludf.DUMMYFUNCTION("""COMPUTED_VALUE"""),"Multiple Unknown")</f>
        <v>Multiple Unknown</v>
      </c>
    </row>
    <row r="1878" spans="1:2" ht="12.75">
      <c r="A1878" s="8" t="str">
        <f ca="1">IFERROR(__xludf.DUMMYFUNCTION("""COMPUTED_VALUE"""),"19870210ARDAD")</f>
        <v>19870210ARDAD</v>
      </c>
      <c r="B1878" s="8" t="str">
        <f ca="1">IFERROR(__xludf.DUMMYFUNCTION("""COMPUTED_VALUE"""),"Rifle")</f>
        <v>Rifle</v>
      </c>
    </row>
    <row r="1879" spans="1:2" ht="12.75">
      <c r="A1879" s="8" t="str">
        <f ca="1">IFERROR(__xludf.DUMMYFUNCTION("""COMPUTED_VALUE"""),"19870123MIRED")</f>
        <v>19870123MIRED</v>
      </c>
      <c r="B1879" s="8" t="str">
        <f ca="1">IFERROR(__xludf.DUMMYFUNCTION("""COMPUTED_VALUE"""),"No Data")</f>
        <v>No Data</v>
      </c>
    </row>
    <row r="1880" spans="1:2" ht="12.75">
      <c r="A1880" s="8" t="str">
        <f ca="1">IFERROR(__xludf.DUMMYFUNCTION("""COMPUTED_VALUE"""),"19870114CALOL")</f>
        <v>19870114CALOL</v>
      </c>
      <c r="B1880" s="8" t="str">
        <f ca="1">IFERROR(__xludf.DUMMYFUNCTION("""COMPUTED_VALUE"""),"Handgun")</f>
        <v>Handgun</v>
      </c>
    </row>
    <row r="1881" spans="1:2" ht="12.75">
      <c r="A1881" s="8" t="str">
        <f ca="1">IFERROR(__xludf.DUMMYFUNCTION("""COMPUTED_VALUE"""),"19861204MTFEL")</f>
        <v>19861204MTFEL</v>
      </c>
      <c r="B1881" s="8" t="str">
        <f ca="1">IFERROR(__xludf.DUMMYFUNCTION("""COMPUTED_VALUE"""),"No Data")</f>
        <v>No Data</v>
      </c>
    </row>
    <row r="1882" spans="1:2" ht="12.75">
      <c r="A1882" s="8" t="str">
        <f ca="1">IFERROR(__xludf.DUMMYFUNCTION("""COMPUTED_VALUE"""),"19861008TXSOD")</f>
        <v>19861008TXSOD</v>
      </c>
      <c r="B1882" s="8" t="str">
        <f ca="1">IFERROR(__xludf.DUMMYFUNCTION("""COMPUTED_VALUE"""),"Handgun")</f>
        <v>Handgun</v>
      </c>
    </row>
    <row r="1883" spans="1:2" ht="12.75">
      <c r="A1883" s="8" t="str">
        <f ca="1">IFERROR(__xludf.DUMMYFUNCTION("""COMPUTED_VALUE"""),"19861003CAMOM")</f>
        <v>19861003CAMOM</v>
      </c>
      <c r="B1883" s="8" t="str">
        <f ca="1">IFERROR(__xludf.DUMMYFUNCTION("""COMPUTED_VALUE"""),"Handgun")</f>
        <v>Handgun</v>
      </c>
    </row>
    <row r="1884" spans="1:2" ht="12.75">
      <c r="A1884" s="8" t="str">
        <f ca="1">IFERROR(__xludf.DUMMYFUNCTION("""COMPUTED_VALUE"""),"19860918CABEB")</f>
        <v>19860918CABEB</v>
      </c>
      <c r="B1884" s="8" t="str">
        <f ca="1">IFERROR(__xludf.DUMMYFUNCTION("""COMPUTED_VALUE"""),"Handgun")</f>
        <v>Handgun</v>
      </c>
    </row>
    <row r="1885" spans="1:2" ht="12.75">
      <c r="A1885" s="8" t="str">
        <f ca="1">IFERROR(__xludf.DUMMYFUNCTION("""COMPUTED_VALUE"""),"19860912CAFAL")</f>
        <v>19860912CAFAL</v>
      </c>
      <c r="B1885" s="8" t="str">
        <f ca="1">IFERROR(__xludf.DUMMYFUNCTION("""COMPUTED_VALUE"""),"Handgun")</f>
        <v>Handgun</v>
      </c>
    </row>
    <row r="1886" spans="1:2" ht="12.75">
      <c r="A1886" s="8" t="str">
        <f ca="1">IFERROR(__xludf.DUMMYFUNCTION("""COMPUTED_VALUE"""),"19860517TNMAN")</f>
        <v>19860517TNMAN</v>
      </c>
      <c r="B1886" s="8" t="str">
        <f ca="1">IFERROR(__xludf.DUMMYFUNCTION("""COMPUTED_VALUE"""),"Handgun")</f>
        <v>Handgun</v>
      </c>
    </row>
    <row r="1887" spans="1:2" ht="12.75">
      <c r="A1887" s="8" t="str">
        <f ca="1">IFERROR(__xludf.DUMMYFUNCTION("""COMPUTED_VALUE"""),"19860515GACAA")</f>
        <v>19860515GACAA</v>
      </c>
      <c r="B1887" s="8" t="str">
        <f ca="1">IFERROR(__xludf.DUMMYFUNCTION("""COMPUTED_VALUE"""),"Rifle")</f>
        <v>Rifle</v>
      </c>
    </row>
    <row r="1888" spans="1:2" ht="12.75">
      <c r="A1888" s="8" t="str">
        <f ca="1">IFERROR(__xludf.DUMMYFUNCTION("""COMPUTED_VALUE"""),"19860509NCPIF")</f>
        <v>19860509NCPIF</v>
      </c>
      <c r="B1888" s="8" t="str">
        <f ca="1">IFERROR(__xludf.DUMMYFUNCTION("""COMPUTED_VALUE"""),"Handgun")</f>
        <v>Handgun</v>
      </c>
    </row>
    <row r="1889" spans="1:2" ht="12.75">
      <c r="A1889" s="8" t="str">
        <f ca="1">IFERROR(__xludf.DUMMYFUNCTION("""COMPUTED_VALUE"""),"19860429MOSES")</f>
        <v>19860429MOSES</v>
      </c>
      <c r="B1889" s="8" t="str">
        <f ca="1">IFERROR(__xludf.DUMMYFUNCTION("""COMPUTED_VALUE"""),"Shotgun")</f>
        <v>Shotgun</v>
      </c>
    </row>
    <row r="1890" spans="1:2" ht="12.75">
      <c r="A1890" s="8" t="str">
        <f ca="1">IFERROR(__xludf.DUMMYFUNCTION("""COMPUTED_VALUE"""),"19860423FLCHM")</f>
        <v>19860423FLCHM</v>
      </c>
      <c r="B1890" s="8" t="str">
        <f ca="1">IFERROR(__xludf.DUMMYFUNCTION("""COMPUTED_VALUE"""),"Handgun")</f>
        <v>Handgun</v>
      </c>
    </row>
    <row r="1891" spans="1:2" ht="12.75">
      <c r="A1891" s="8" t="str">
        <f ca="1">IFERROR(__xludf.DUMMYFUNCTION("""COMPUTED_VALUE"""),"19860306ILTHD")</f>
        <v>19860306ILTHD</v>
      </c>
      <c r="B1891" s="8" t="str">
        <f ca="1">IFERROR(__xludf.DUMMYFUNCTION("""COMPUTED_VALUE"""),"Handgun")</f>
        <v>Handgun</v>
      </c>
    </row>
    <row r="1892" spans="1:2" ht="12.75">
      <c r="A1892" s="8" t="str">
        <f ca="1">IFERROR(__xludf.DUMMYFUNCTION("""COMPUTED_VALUE"""),"19860224LABOS")</f>
        <v>19860224LABOS</v>
      </c>
      <c r="B1892" s="8" t="str">
        <f ca="1">IFERROR(__xludf.DUMMYFUNCTION("""COMPUTED_VALUE"""),"Handgun")</f>
        <v>Handgun</v>
      </c>
    </row>
    <row r="1893" spans="1:2" ht="12.75">
      <c r="A1893" s="8" t="str">
        <f ca="1">IFERROR(__xludf.DUMMYFUNCTION("""COMPUTED_VALUE"""),"19860129MDLAB")</f>
        <v>19860129MDLAB</v>
      </c>
      <c r="B1893" s="8" t="str">
        <f ca="1">IFERROR(__xludf.DUMMYFUNCTION("""COMPUTED_VALUE"""),"Handgun")</f>
        <v>Handgun</v>
      </c>
    </row>
    <row r="1894" spans="1:2" ht="12.75">
      <c r="A1894" s="8" t="str">
        <f ca="1">IFERROR(__xludf.DUMMYFUNCTION("""COMPUTED_VALUE"""),"19860117CAVAL")</f>
        <v>19860117CAVAL</v>
      </c>
      <c r="B1894" s="8" t="str">
        <f ca="1">IFERROR(__xludf.DUMMYFUNCTION("""COMPUTED_VALUE"""),"Handgun")</f>
        <v>Handgun</v>
      </c>
    </row>
    <row r="1895" spans="1:2" ht="12.75">
      <c r="A1895" s="8" t="str">
        <f ca="1">IFERROR(__xludf.DUMMYFUNCTION("""COMPUTED_VALUE"""),"19860109NCNOD")</f>
        <v>19860109NCNOD</v>
      </c>
      <c r="B1895" s="8" t="str">
        <f ca="1">IFERROR(__xludf.DUMMYFUNCTION("""COMPUTED_VALUE"""),"Handgun")</f>
        <v>Handgun</v>
      </c>
    </row>
    <row r="1896" spans="1:2" ht="12.75">
      <c r="A1896" s="8" t="str">
        <f ca="1">IFERROR(__xludf.DUMMYFUNCTION("""COMPUTED_VALUE"""),"19851210CTPOP")</f>
        <v>19851210CTPOP</v>
      </c>
      <c r="B1896" s="8" t="str">
        <f ca="1">IFERROR(__xludf.DUMMYFUNCTION("""COMPUTED_VALUE"""),"Handgun")</f>
        <v>Handgun</v>
      </c>
    </row>
    <row r="1897" spans="1:2" ht="12.75">
      <c r="A1897" s="8" t="str">
        <f ca="1">IFERROR(__xludf.DUMMYFUNCTION("""COMPUTED_VALUE"""),"19851209PAARP")</f>
        <v>19851209PAARP</v>
      </c>
      <c r="B1897" s="8" t="str">
        <f ca="1">IFERROR(__xludf.DUMMYFUNCTION("""COMPUTED_VALUE"""),"Other")</f>
        <v>Other</v>
      </c>
    </row>
    <row r="1898" spans="1:2" ht="12.75">
      <c r="A1898" s="8" t="str">
        <f ca="1">IFERROR(__xludf.DUMMYFUNCTION("""COMPUTED_VALUE"""),"19851203NHCOC")</f>
        <v>19851203NHCOC</v>
      </c>
      <c r="B1898" s="8" t="str">
        <f ca="1">IFERROR(__xludf.DUMMYFUNCTION("""COMPUTED_VALUE"""),"Shotgun")</f>
        <v>Shotgun</v>
      </c>
    </row>
    <row r="1899" spans="1:2" ht="12.75">
      <c r="A1899" s="8" t="str">
        <f ca="1">IFERROR(__xludf.DUMMYFUNCTION("""COMPUTED_VALUE"""),"19851127ALCHB")</f>
        <v>19851127ALCHB</v>
      </c>
      <c r="B1899" s="8" t="str">
        <f ca="1">IFERROR(__xludf.DUMMYFUNCTION("""COMPUTED_VALUE"""),"Handgun")</f>
        <v>Handgun</v>
      </c>
    </row>
    <row r="1900" spans="1:2" ht="12.75">
      <c r="A1900" s="8" t="str">
        <f ca="1">IFERROR(__xludf.DUMMYFUNCTION("""COMPUTED_VALUE"""),"19851126WASPS")</f>
        <v>19851126WASPS</v>
      </c>
      <c r="B1900" s="8" t="str">
        <f ca="1">IFERROR(__xludf.DUMMYFUNCTION("""COMPUTED_VALUE"""),"Rifle")</f>
        <v>Rifle</v>
      </c>
    </row>
    <row r="1901" spans="1:2" ht="12.75">
      <c r="A1901" s="8" t="str">
        <f ca="1">IFERROR(__xludf.DUMMYFUNCTION("""COMPUTED_VALUE"""),"19851022OHSOG")</f>
        <v>19851022OHSOG</v>
      </c>
      <c r="B1901" s="8" t="str">
        <f ca="1">IFERROR(__xludf.DUMMYFUNCTION("""COMPUTED_VALUE"""),"Handgun")</f>
        <v>Handgun</v>
      </c>
    </row>
    <row r="1902" spans="1:2" ht="12.75">
      <c r="A1902" s="8" t="str">
        <f ca="1">IFERROR(__xludf.DUMMYFUNCTION("""COMPUTED_VALUE"""),"19851018MIMUD")</f>
        <v>19851018MIMUD</v>
      </c>
      <c r="B1902" s="8" t="str">
        <f ca="1">IFERROR(__xludf.DUMMYFUNCTION("""COMPUTED_VALUE"""),"Shotgun")</f>
        <v>Shotgun</v>
      </c>
    </row>
    <row r="1903" spans="1:2" ht="12.75">
      <c r="A1903" s="8" t="str">
        <f ca="1">IFERROR(__xludf.DUMMYFUNCTION("""COMPUTED_VALUE"""),"19851008MDLAB")</f>
        <v>19851008MDLAB</v>
      </c>
      <c r="B1903" s="8" t="str">
        <f ca="1">IFERROR(__xludf.DUMMYFUNCTION("""COMPUTED_VALUE"""),"Handgun")</f>
        <v>Handgun</v>
      </c>
    </row>
    <row r="1904" spans="1:2" ht="12.75">
      <c r="A1904" s="8" t="str">
        <f ca="1">IFERROR(__xludf.DUMMYFUNCTION("""COMPUTED_VALUE"""),"19850925OHTRT")</f>
        <v>19850925OHTRT</v>
      </c>
      <c r="B1904" s="8" t="str">
        <f ca="1">IFERROR(__xludf.DUMMYFUNCTION("""COMPUTED_VALUE"""),"Handgun")</f>
        <v>Handgun</v>
      </c>
    </row>
    <row r="1905" spans="1:2" ht="12.75">
      <c r="A1905" s="8" t="str">
        <f ca="1">IFERROR(__xludf.DUMMYFUNCTION("""COMPUTED_VALUE"""),"19850920TXLAC")</f>
        <v>19850920TXLAC</v>
      </c>
      <c r="B1905" s="8" t="str">
        <f ca="1">IFERROR(__xludf.DUMMYFUNCTION("""COMPUTED_VALUE"""),"Handgun")</f>
        <v>Handgun</v>
      </c>
    </row>
    <row r="1906" spans="1:2" ht="12.75">
      <c r="A1906" s="8" t="str">
        <f ca="1">IFERROR(__xludf.DUMMYFUNCTION("""COMPUTED_VALUE"""),"19850909TXWHH")</f>
        <v>19850909TXWHH</v>
      </c>
      <c r="B1906" s="8" t="str">
        <f ca="1">IFERROR(__xludf.DUMMYFUNCTION("""COMPUTED_VALUE"""),"Handgun")</f>
        <v>Handgun</v>
      </c>
    </row>
    <row r="1907" spans="1:2" ht="12.75">
      <c r="A1907" s="8" t="str">
        <f ca="1">IFERROR(__xludf.DUMMYFUNCTION("""COMPUTED_VALUE"""),"19850904VAEAR")</f>
        <v>19850904VAEAR</v>
      </c>
      <c r="B1907" s="8" t="str">
        <f ca="1">IFERROR(__xludf.DUMMYFUNCTION("""COMPUTED_VALUE"""),"Handgun")</f>
        <v>Handgun</v>
      </c>
    </row>
    <row r="1908" spans="1:2" ht="12.75">
      <c r="A1908" s="8" t="str">
        <f ca="1">IFERROR(__xludf.DUMMYFUNCTION("""COMPUTED_VALUE"""),"19850724TXHIH")</f>
        <v>19850724TXHIH</v>
      </c>
      <c r="B1908" s="8" t="str">
        <f ca="1">IFERROR(__xludf.DUMMYFUNCTION("""COMPUTED_VALUE"""),"Handgun")</f>
        <v>Handgun</v>
      </c>
    </row>
    <row r="1909" spans="1:2" ht="12.75">
      <c r="A1909" s="8" t="str">
        <f ca="1">IFERROR(__xludf.DUMMYFUNCTION("""COMPUTED_VALUE"""),"19850516FLPAB")</f>
        <v>19850516FLPAB</v>
      </c>
      <c r="B1909" s="8" t="str">
        <f ca="1">IFERROR(__xludf.DUMMYFUNCTION("""COMPUTED_VALUE"""),"Handgun")</f>
        <v>Handgun</v>
      </c>
    </row>
    <row r="1910" spans="1:2" ht="12.75">
      <c r="A1910" s="8" t="str">
        <f ca="1">IFERROR(__xludf.DUMMYFUNCTION("""COMPUTED_VALUE"""),"19850418TNSOS")</f>
        <v>19850418TNSOS</v>
      </c>
      <c r="B1910" s="8" t="str">
        <f ca="1">IFERROR(__xludf.DUMMYFUNCTION("""COMPUTED_VALUE"""),"Handgun")</f>
        <v>Handgun</v>
      </c>
    </row>
    <row r="1911" spans="1:2" ht="12.75">
      <c r="A1911" s="8" t="str">
        <f ca="1">IFERROR(__xludf.DUMMYFUNCTION("""COMPUTED_VALUE"""),"19850416TXMAA")</f>
        <v>19850416TXMAA</v>
      </c>
      <c r="B1911" s="8" t="str">
        <f ca="1">IFERROR(__xludf.DUMMYFUNCTION("""COMPUTED_VALUE"""),"Handgun")</f>
        <v>Handgun</v>
      </c>
    </row>
    <row r="1912" spans="1:2" ht="12.75">
      <c r="A1912" s="8" t="str">
        <f ca="1">IFERROR(__xludf.DUMMYFUNCTION("""COMPUTED_VALUE"""),"19850205CTAIH")</f>
        <v>19850205CTAIH</v>
      </c>
      <c r="B1912" s="8" t="str">
        <f ca="1">IFERROR(__xludf.DUMMYFUNCTION("""COMPUTED_VALUE"""),"Handgun")</f>
        <v>Handgun</v>
      </c>
    </row>
    <row r="1913" spans="1:2" ht="12.75">
      <c r="A1913" s="8" t="str">
        <f ca="1">IFERROR(__xludf.DUMMYFUNCTION("""COMPUTED_VALUE"""),"19850126MASTB")</f>
        <v>19850126MASTB</v>
      </c>
      <c r="B1913" s="8" t="str">
        <f ca="1">IFERROR(__xludf.DUMMYFUNCTION("""COMPUTED_VALUE"""),"Handgun")</f>
        <v>Handgun</v>
      </c>
    </row>
    <row r="1914" spans="1:2" ht="12.75">
      <c r="A1914" s="8" t="str">
        <f ca="1">IFERROR(__xludf.DUMMYFUNCTION("""COMPUTED_VALUE"""),"19850121KSGOG")</f>
        <v>19850121KSGOG</v>
      </c>
      <c r="B1914" s="8" t="str">
        <f ca="1">IFERROR(__xludf.DUMMYFUNCTION("""COMPUTED_VALUE"""),"Handgun")</f>
        <v>Handgun</v>
      </c>
    </row>
    <row r="1915" spans="1:2" ht="12.75">
      <c r="A1915" s="8" t="str">
        <f ca="1">IFERROR(__xludf.DUMMYFUNCTION("""COMPUTED_VALUE"""),"19850121KSGOG")</f>
        <v>19850121KSGOG</v>
      </c>
      <c r="B1915" s="8" t="str">
        <f ca="1">IFERROR(__xludf.DUMMYFUNCTION("""COMPUTED_VALUE"""),"Rifle")</f>
        <v>Rifle</v>
      </c>
    </row>
    <row r="1916" spans="1:2" ht="12.75">
      <c r="A1916" s="8" t="str">
        <f ca="1">IFERROR(__xludf.DUMMYFUNCTION("""COMPUTED_VALUE"""),"19850118TXARA")</f>
        <v>19850118TXARA</v>
      </c>
      <c r="B1916" s="8" t="str">
        <f ca="1">IFERROR(__xludf.DUMMYFUNCTION("""COMPUTED_VALUE"""),"Shotgun")</f>
        <v>Shotgun</v>
      </c>
    </row>
    <row r="1917" spans="1:2" ht="12.75">
      <c r="A1917" s="8" t="str">
        <f ca="1">IFERROR(__xludf.DUMMYFUNCTION("""COMPUTED_VALUE"""),"19841207MOEDS")</f>
        <v>19841207MOEDS</v>
      </c>
      <c r="B1917" s="8" t="str">
        <f ca="1">IFERROR(__xludf.DUMMYFUNCTION("""COMPUTED_VALUE"""),"Multiple Unknown")</f>
        <v>Multiple Unknown</v>
      </c>
    </row>
    <row r="1918" spans="1:2" ht="12.75">
      <c r="A1918" s="8" t="str">
        <f ca="1">IFERROR(__xludf.DUMMYFUNCTION("""COMPUTED_VALUE"""),"19841126MDMIR")</f>
        <v>19841126MDMIR</v>
      </c>
      <c r="B1918" s="8" t="str">
        <f ca="1">IFERROR(__xludf.DUMMYFUNCTION("""COMPUTED_VALUE"""),"Handgun")</f>
        <v>Handgun</v>
      </c>
    </row>
    <row r="1919" spans="1:2" ht="12.75">
      <c r="A1919" s="8" t="str">
        <f ca="1">IFERROR(__xludf.DUMMYFUNCTION("""COMPUTED_VALUE"""),"19841109CTWIN")</f>
        <v>19841109CTWIN</v>
      </c>
      <c r="B1919" s="8" t="str">
        <f ca="1">IFERROR(__xludf.DUMMYFUNCTION("""COMPUTED_VALUE"""),"Handgun")</f>
        <v>Handgun</v>
      </c>
    </row>
    <row r="1920" spans="1:2" ht="12.75">
      <c r="A1920" s="8" t="str">
        <f ca="1">IFERROR(__xludf.DUMMYFUNCTION("""COMPUTED_VALUE"""),"19841031LAEAG")</f>
        <v>19841031LAEAG</v>
      </c>
      <c r="B1920" s="8" t="str">
        <f ca="1">IFERROR(__xludf.DUMMYFUNCTION("""COMPUTED_VALUE"""),"Handgun")</f>
        <v>Handgun</v>
      </c>
    </row>
    <row r="1921" spans="1:2" ht="12.75">
      <c r="A1921" s="8" t="str">
        <f ca="1">IFERROR(__xludf.DUMMYFUNCTION("""COMPUTED_VALUE"""),"19841030SCPEP")</f>
        <v>19841030SCPEP</v>
      </c>
      <c r="B1921" s="8" t="str">
        <f ca="1">IFERROR(__xludf.DUMMYFUNCTION("""COMPUTED_VALUE"""),"Handgun")</f>
        <v>Handgun</v>
      </c>
    </row>
    <row r="1922" spans="1:2" ht="12.75">
      <c r="A1922" s="8" t="str">
        <f ca="1">IFERROR(__xludf.DUMMYFUNCTION("""COMPUTED_VALUE"""),"19841024OHWEC")</f>
        <v>19841024OHWEC</v>
      </c>
      <c r="B1922" s="8" t="str">
        <f ca="1">IFERROR(__xludf.DUMMYFUNCTION("""COMPUTED_VALUE"""),"Handgun")</f>
        <v>Handgun</v>
      </c>
    </row>
    <row r="1923" spans="1:2" ht="12.75">
      <c r="A1923" s="8" t="str">
        <f ca="1">IFERROR(__xludf.DUMMYFUNCTION("""COMPUTED_VALUE"""),"19841024MISOD")</f>
        <v>19841024MISOD</v>
      </c>
      <c r="B1923" s="8" t="str">
        <f ca="1">IFERROR(__xludf.DUMMYFUNCTION("""COMPUTED_VALUE"""),"Handgun")</f>
        <v>Handgun</v>
      </c>
    </row>
    <row r="1924" spans="1:2" ht="12.75">
      <c r="A1924" s="8" t="str">
        <f ca="1">IFERROR(__xludf.DUMMYFUNCTION("""COMPUTED_VALUE"""),"19841022MICED")</f>
        <v>19841022MICED</v>
      </c>
      <c r="B1924" s="8" t="str">
        <f ca="1">IFERROR(__xludf.DUMMYFUNCTION("""COMPUTED_VALUE"""),"Handgun")</f>
        <v>Handgun</v>
      </c>
    </row>
    <row r="1925" spans="1:2" ht="12.75">
      <c r="A1925" s="8" t="str">
        <f ca="1">IFERROR(__xludf.DUMMYFUNCTION("""COMPUTED_VALUE"""),"19841021PAWYE")</f>
        <v>19841021PAWYE</v>
      </c>
      <c r="B1925" s="8" t="str">
        <f ca="1">IFERROR(__xludf.DUMMYFUNCTION("""COMPUTED_VALUE"""),"Other")</f>
        <v>Other</v>
      </c>
    </row>
    <row r="1926" spans="1:2" ht="12.75">
      <c r="A1926" s="8" t="str">
        <f ca="1">IFERROR(__xludf.DUMMYFUNCTION("""COMPUTED_VALUE"""),"19840928TXRIN")</f>
        <v>19840928TXRIN</v>
      </c>
      <c r="B1926" s="8" t="str">
        <f ca="1">IFERROR(__xludf.DUMMYFUNCTION("""COMPUTED_VALUE"""),"Multiple Unknown")</f>
        <v>Multiple Unknown</v>
      </c>
    </row>
    <row r="1927" spans="1:2" ht="12.75">
      <c r="A1927" s="8" t="str">
        <f ca="1">IFERROR(__xludf.DUMMYFUNCTION("""COMPUTED_VALUE"""),"19840928TXMIH")</f>
        <v>19840928TXMIH</v>
      </c>
      <c r="B1927" s="8" t="str">
        <f ca="1">IFERROR(__xludf.DUMMYFUNCTION("""COMPUTED_VALUE"""),"Rifle")</f>
        <v>Rifle</v>
      </c>
    </row>
    <row r="1928" spans="1:2" ht="12.75">
      <c r="A1928" s="8" t="str">
        <f ca="1">IFERROR(__xludf.DUMMYFUNCTION("""COMPUTED_VALUE"""),"19840831LABOS")</f>
        <v>19840831LABOS</v>
      </c>
      <c r="B1928" s="8" t="str">
        <f ca="1">IFERROR(__xludf.DUMMYFUNCTION("""COMPUTED_VALUE"""),"Handgun")</f>
        <v>Handgun</v>
      </c>
    </row>
    <row r="1929" spans="1:2" ht="12.75">
      <c r="A1929" s="8" t="str">
        <f ca="1">IFERROR(__xludf.DUMMYFUNCTION("""COMPUTED_VALUE"""),"19840710MIMUD")</f>
        <v>19840710MIMUD</v>
      </c>
      <c r="B1929" s="8" t="str">
        <f ca="1">IFERROR(__xludf.DUMMYFUNCTION("""COMPUTED_VALUE"""),"No Data")</f>
        <v>No Data</v>
      </c>
    </row>
    <row r="1930" spans="1:2" ht="12.75">
      <c r="A1930" s="8" t="str">
        <f ca="1">IFERROR(__xludf.DUMMYFUNCTION("""COMPUTED_VALUE"""),"19840522OHCLC")</f>
        <v>19840522OHCLC</v>
      </c>
      <c r="B1930" s="8" t="str">
        <f ca="1">IFERROR(__xludf.DUMMYFUNCTION("""COMPUTED_VALUE"""),"Handgun")</f>
        <v>Handgun</v>
      </c>
    </row>
    <row r="1931" spans="1:2" ht="12.75">
      <c r="A1931" s="8" t="str">
        <f ca="1">IFERROR(__xludf.DUMMYFUNCTION("""COMPUTED_VALUE"""),"19840518CANON")</f>
        <v>19840518CANON</v>
      </c>
      <c r="B1931" s="8" t="str">
        <f ca="1">IFERROR(__xludf.DUMMYFUNCTION("""COMPUTED_VALUE"""),"Shotgun")</f>
        <v>Shotgun</v>
      </c>
    </row>
    <row r="1932" spans="1:2" ht="12.75">
      <c r="A1932" s="8" t="str">
        <f ca="1">IFERROR(__xludf.DUMMYFUNCTION("""COMPUTED_VALUE"""),"19840517TXBOH")</f>
        <v>19840517TXBOH</v>
      </c>
      <c r="B1932" s="8" t="str">
        <f ca="1">IFERROR(__xludf.DUMMYFUNCTION("""COMPUTED_VALUE"""),"Handgun")</f>
        <v>Handgun</v>
      </c>
    </row>
    <row r="1933" spans="1:2" ht="12.75">
      <c r="A1933" s="8" t="str">
        <f ca="1">IFERROR(__xludf.DUMMYFUNCTION("""COMPUTED_VALUE"""),"19840517IASOP")</f>
        <v>19840517IASOP</v>
      </c>
      <c r="B1933" s="8" t="str">
        <f ca="1">IFERROR(__xludf.DUMMYFUNCTION("""COMPUTED_VALUE"""),"Handgun")</f>
        <v>Handgun</v>
      </c>
    </row>
    <row r="1934" spans="1:2" ht="12.75">
      <c r="A1934" s="8" t="str">
        <f ca="1">IFERROR(__xludf.DUMMYFUNCTION("""COMPUTED_VALUE"""),"19840515MTCMG")</f>
        <v>19840515MTCMG</v>
      </c>
      <c r="B1934" s="8" t="str">
        <f ca="1">IFERROR(__xludf.DUMMYFUNCTION("""COMPUTED_VALUE"""),"Rifle")</f>
        <v>Rifle</v>
      </c>
    </row>
    <row r="1935" spans="1:2" ht="12.75">
      <c r="A1935" s="8" t="str">
        <f ca="1">IFERROR(__xludf.DUMMYFUNCTION("""COMPUTED_VALUE"""),"19840426NCROW")</f>
        <v>19840426NCROW</v>
      </c>
      <c r="B1935" s="8" t="str">
        <f ca="1">IFERROR(__xludf.DUMMYFUNCTION("""COMPUTED_VALUE"""),"Handgun")</f>
        <v>Handgun</v>
      </c>
    </row>
    <row r="1936" spans="1:2" ht="12.75">
      <c r="A1936" s="8" t="str">
        <f ca="1">IFERROR(__xludf.DUMMYFUNCTION("""COMPUTED_VALUE"""),"19840420MIPRD")</f>
        <v>19840420MIPRD</v>
      </c>
      <c r="B1936" s="8" t="str">
        <f ca="1">IFERROR(__xludf.DUMMYFUNCTION("""COMPUTED_VALUE"""),"Handgun")</f>
        <v>Handgun</v>
      </c>
    </row>
    <row r="1937" spans="1:2" ht="12.75">
      <c r="A1937" s="8" t="str">
        <f ca="1">IFERROR(__xludf.DUMMYFUNCTION("""COMPUTED_VALUE"""),"19840405LACLC")</f>
        <v>19840405LACLC</v>
      </c>
      <c r="B1937" s="8" t="str">
        <f ca="1">IFERROR(__xludf.DUMMYFUNCTION("""COMPUTED_VALUE"""),"Handgun")</f>
        <v>Handgun</v>
      </c>
    </row>
    <row r="1938" spans="1:2" ht="12.75">
      <c r="A1938" s="8" t="str">
        <f ca="1">IFERROR(__xludf.DUMMYFUNCTION("""COMPUTED_VALUE"""),"19840224CA49L")</f>
        <v>19840224CA49L</v>
      </c>
      <c r="B1938" s="8" t="str">
        <f ca="1">IFERROR(__xludf.DUMMYFUNCTION("""COMPUTED_VALUE"""),"Rifle")</f>
        <v>Rifle</v>
      </c>
    </row>
    <row r="1939" spans="1:2" ht="12.75">
      <c r="A1939" s="8" t="str">
        <f ca="1">IFERROR(__xludf.DUMMYFUNCTION("""COMPUTED_VALUE"""),"19840224CA49L")</f>
        <v>19840224CA49L</v>
      </c>
      <c r="B1939" s="8" t="str">
        <f ca="1">IFERROR(__xludf.DUMMYFUNCTION("""COMPUTED_VALUE"""),"Shotgun")</f>
        <v>Shotgun</v>
      </c>
    </row>
    <row r="1940" spans="1:2" ht="12.75">
      <c r="A1940" s="8" t="str">
        <f ca="1">IFERROR(__xludf.DUMMYFUNCTION("""COMPUTED_VALUE"""),"19840224CA49L")</f>
        <v>19840224CA49L</v>
      </c>
      <c r="B1940" s="8" t="str">
        <f ca="1">IFERROR(__xludf.DUMMYFUNCTION("""COMPUTED_VALUE"""),"Shotgun")</f>
        <v>Shotgun</v>
      </c>
    </row>
    <row r="1941" spans="1:2" ht="12.75">
      <c r="A1941" s="8" t="str">
        <f ca="1">IFERROR(__xludf.DUMMYFUNCTION("""COMPUTED_VALUE"""),"19840221TXSHH")</f>
        <v>19840221TXSHH</v>
      </c>
      <c r="B1941" s="8" t="str">
        <f ca="1">IFERROR(__xludf.DUMMYFUNCTION("""COMPUTED_VALUE"""),"Handgun")</f>
        <v>Handgun</v>
      </c>
    </row>
    <row r="1942" spans="1:2" ht="12.75">
      <c r="A1942" s="8" t="str">
        <f ca="1">IFERROR(__xludf.DUMMYFUNCTION("""COMPUTED_VALUE"""),"19840206KYCEL")</f>
        <v>19840206KYCEL</v>
      </c>
      <c r="B1942" s="8" t="str">
        <f ca="1">IFERROR(__xludf.DUMMYFUNCTION("""COMPUTED_VALUE"""),"Handgun")</f>
        <v>Handgun</v>
      </c>
    </row>
    <row r="1943" spans="1:2" ht="12.75">
      <c r="A1943" s="8" t="str">
        <f ca="1">IFERROR(__xludf.DUMMYFUNCTION("""COMPUTED_VALUE"""),"19840105MDLAB")</f>
        <v>19840105MDLAB</v>
      </c>
      <c r="B1943" s="8" t="str">
        <f ca="1">IFERROR(__xludf.DUMMYFUNCTION("""COMPUTED_VALUE"""),"Handgun")</f>
        <v>Handgun</v>
      </c>
    </row>
    <row r="1944" spans="1:2" ht="12.75">
      <c r="A1944" s="8" t="str">
        <f ca="1">IFERROR(__xludf.DUMMYFUNCTION("""COMPUTED_VALUE"""),"19831216ILBOR")</f>
        <v>19831216ILBOR</v>
      </c>
      <c r="B1944" s="8" t="str">
        <f ca="1">IFERROR(__xludf.DUMMYFUNCTION("""COMPUTED_VALUE"""),"Handgun")</f>
        <v>Handgun</v>
      </c>
    </row>
    <row r="1945" spans="1:2" ht="12.75">
      <c r="A1945" s="8" t="str">
        <f ca="1">IFERROR(__xludf.DUMMYFUNCTION("""COMPUTED_VALUE"""),"19831202INCRC")</f>
        <v>19831202INCRC</v>
      </c>
      <c r="B1945" s="8" t="str">
        <f ca="1">IFERROR(__xludf.DUMMYFUNCTION("""COMPUTED_VALUE"""),"Handgun")</f>
        <v>Handgun</v>
      </c>
    </row>
    <row r="1946" spans="1:2" ht="12.75">
      <c r="A1946" s="8" t="str">
        <f ca="1">IFERROR(__xludf.DUMMYFUNCTION("""COMPUTED_VALUE"""),"19831118MDHAB")</f>
        <v>19831118MDHAB</v>
      </c>
      <c r="B1946" s="8" t="str">
        <f ca="1">IFERROR(__xludf.DUMMYFUNCTION("""COMPUTED_VALUE"""),"Handgun")</f>
        <v>Handgun</v>
      </c>
    </row>
    <row r="1947" spans="1:2" ht="12.75">
      <c r="A1947" s="8" t="str">
        <f ca="1">IFERROR(__xludf.DUMMYFUNCTION("""COMPUTED_VALUE"""),"19831117ILJAC")</f>
        <v>19831117ILJAC</v>
      </c>
      <c r="B1947" s="8" t="str">
        <f ca="1">IFERROR(__xludf.DUMMYFUNCTION("""COMPUTED_VALUE"""),"Handgun")</f>
        <v>Handgun</v>
      </c>
    </row>
    <row r="1948" spans="1:2" ht="12.75">
      <c r="A1948" s="8" t="str">
        <f ca="1">IFERROR(__xludf.DUMMYFUNCTION("""COMPUTED_VALUE"""),"19831108MIHIH")</f>
        <v>19831108MIHIH</v>
      </c>
      <c r="B1948" s="8" t="str">
        <f ca="1">IFERROR(__xludf.DUMMYFUNCTION("""COMPUTED_VALUE"""),"Handgun")</f>
        <v>Handgun</v>
      </c>
    </row>
    <row r="1949" spans="1:2" ht="12.75">
      <c r="A1949" s="8" t="str">
        <f ca="1">IFERROR(__xludf.DUMMYFUNCTION("""COMPUTED_VALUE"""),"19831022MDCAB")</f>
        <v>19831022MDCAB</v>
      </c>
      <c r="B1949" s="8" t="str">
        <f ca="1">IFERROR(__xludf.DUMMYFUNCTION("""COMPUTED_VALUE"""),"Other")</f>
        <v>Other</v>
      </c>
    </row>
    <row r="1950" spans="1:2" ht="12.75">
      <c r="A1950" s="8" t="str">
        <f ca="1">IFERROR(__xludf.DUMMYFUNCTION("""COMPUTED_VALUE"""),"19831007CACOL")</f>
        <v>19831007CACOL</v>
      </c>
      <c r="B1950" s="8" t="str">
        <f ca="1">IFERROR(__xludf.DUMMYFUNCTION("""COMPUTED_VALUE"""),"Handgun")</f>
        <v>Handgun</v>
      </c>
    </row>
    <row r="1951" spans="1:2" ht="12.75">
      <c r="A1951" s="8" t="str">
        <f ca="1">IFERROR(__xludf.DUMMYFUNCTION("""COMPUTED_VALUE"""),"19830930TXTET")</f>
        <v>19830930TXTET</v>
      </c>
      <c r="B1951" s="8" t="str">
        <f ca="1">IFERROR(__xludf.DUMMYFUNCTION("""COMPUTED_VALUE"""),"No Data")</f>
        <v>No Data</v>
      </c>
    </row>
    <row r="1952" spans="1:2" ht="12.75">
      <c r="A1952" s="8" t="str">
        <f ca="1">IFERROR(__xludf.DUMMYFUNCTION("""COMPUTED_VALUE"""),"19830921MDWAB")</f>
        <v>19830921MDWAB</v>
      </c>
      <c r="B1952" s="8" t="str">
        <f ca="1">IFERROR(__xludf.DUMMYFUNCTION("""COMPUTED_VALUE"""),"Handgun")</f>
        <v>Handgun</v>
      </c>
    </row>
    <row r="1953" spans="1:2" ht="12.75">
      <c r="A1953" s="8" t="str">
        <f ca="1">IFERROR(__xludf.DUMMYFUNCTION("""COMPUTED_VALUE"""),"19830912MIHED")</f>
        <v>19830912MIHED</v>
      </c>
      <c r="B1953" s="8" t="str">
        <f ca="1">IFERROR(__xludf.DUMMYFUNCTION("""COMPUTED_VALUE"""),"Handgun")</f>
        <v>Handgun</v>
      </c>
    </row>
    <row r="1954" spans="1:2" ht="12.75">
      <c r="A1954" s="8" t="str">
        <f ca="1">IFERROR(__xludf.DUMMYFUNCTION("""COMPUTED_VALUE"""),"19830912CAMAC")</f>
        <v>19830912CAMAC</v>
      </c>
      <c r="B1954" s="8" t="str">
        <f ca="1">IFERROR(__xludf.DUMMYFUNCTION("""COMPUTED_VALUE"""),"Multiple Handguns")</f>
        <v>Multiple Handguns</v>
      </c>
    </row>
    <row r="1955" spans="1:2" ht="12.75">
      <c r="A1955" s="8" t="str">
        <f ca="1">IFERROR(__xludf.DUMMYFUNCTION("""COMPUTED_VALUE"""),"19830526PAGRJ")</f>
        <v>19830526PAGRJ</v>
      </c>
      <c r="B1955" s="8" t="str">
        <f ca="1">IFERROR(__xludf.DUMMYFUNCTION("""COMPUTED_VALUE"""),"Handgun")</f>
        <v>Handgun</v>
      </c>
    </row>
    <row r="1956" spans="1:2" ht="12.75">
      <c r="A1956" s="8" t="str">
        <f ca="1">IFERROR(__xludf.DUMMYFUNCTION("""COMPUTED_VALUE"""),"19830523OHMAM")</f>
        <v>19830523OHMAM</v>
      </c>
      <c r="B1956" s="8" t="str">
        <f ca="1">IFERROR(__xludf.DUMMYFUNCTION("""COMPUTED_VALUE"""),"Handgun")</f>
        <v>Handgun</v>
      </c>
    </row>
    <row r="1957" spans="1:2" ht="12.75">
      <c r="A1957" s="8" t="str">
        <f ca="1">IFERROR(__xludf.DUMMYFUNCTION("""COMPUTED_VALUE"""),"19830518FLNOM")</f>
        <v>19830518FLNOM</v>
      </c>
      <c r="B1957" s="8" t="str">
        <f ca="1">IFERROR(__xludf.DUMMYFUNCTION("""COMPUTED_VALUE"""),"Handgun")</f>
        <v>Handgun</v>
      </c>
    </row>
    <row r="1958" spans="1:2" ht="12.75">
      <c r="A1958" s="8" t="str">
        <f ca="1">IFERROR(__xludf.DUMMYFUNCTION("""COMPUTED_VALUE"""),"19830516TXLAD")</f>
        <v>19830516TXLAD</v>
      </c>
      <c r="B1958" s="8" t="str">
        <f ca="1">IFERROR(__xludf.DUMMYFUNCTION("""COMPUTED_VALUE"""),"Handgun")</f>
        <v>Handgun</v>
      </c>
    </row>
    <row r="1959" spans="1:2" ht="12.75">
      <c r="A1959" s="8" t="str">
        <f ca="1">IFERROR(__xludf.DUMMYFUNCTION("""COMPUTED_VALUE"""),"19830516NYBRN")</f>
        <v>19830516NYBRN</v>
      </c>
      <c r="B1959" s="8" t="str">
        <f ca="1">IFERROR(__xludf.DUMMYFUNCTION("""COMPUTED_VALUE"""),"Rifle")</f>
        <v>Rifle</v>
      </c>
    </row>
    <row r="1960" spans="1:2" ht="12.75">
      <c r="A1960" s="8" t="str">
        <f ca="1">IFERROR(__xludf.DUMMYFUNCTION("""COMPUTED_VALUE"""),"19830421MOBES")</f>
        <v>19830421MOBES</v>
      </c>
      <c r="B1960" s="8" t="str">
        <f ca="1">IFERROR(__xludf.DUMMYFUNCTION("""COMPUTED_VALUE"""),"No Data")</f>
        <v>No Data</v>
      </c>
    </row>
    <row r="1961" spans="1:2" ht="12.75">
      <c r="A1961" s="8" t="str">
        <f ca="1">IFERROR(__xludf.DUMMYFUNCTION("""COMPUTED_VALUE"""),"19830331ILSAC")</f>
        <v>19830331ILSAC</v>
      </c>
      <c r="B1961" s="8" t="str">
        <f ca="1">IFERROR(__xludf.DUMMYFUNCTION("""COMPUTED_VALUE"""),"Handgun")</f>
        <v>Handgun</v>
      </c>
    </row>
    <row r="1962" spans="1:2" ht="12.75">
      <c r="A1962" s="8" t="str">
        <f ca="1">IFERROR(__xludf.DUMMYFUNCTION("""COMPUTED_VALUE"""),"19830202NMALA")</f>
        <v>19830202NMALA</v>
      </c>
      <c r="B1962" s="8" t="str">
        <f ca="1">IFERROR(__xludf.DUMMYFUNCTION("""COMPUTED_VALUE"""),"No Data")</f>
        <v>No Data</v>
      </c>
    </row>
    <row r="1963" spans="1:2" ht="12.75">
      <c r="A1963" s="8" t="str">
        <f ca="1">IFERROR(__xludf.DUMMYFUNCTION("""COMPUTED_VALUE"""),"19830201TNRIM")</f>
        <v>19830201TNRIM</v>
      </c>
      <c r="B1963" s="8" t="str">
        <f ca="1">IFERROR(__xludf.DUMMYFUNCTION("""COMPUTED_VALUE"""),"Handgun")</f>
        <v>Handgun</v>
      </c>
    </row>
    <row r="1964" spans="1:2" ht="12.75">
      <c r="A1964" s="8" t="str">
        <f ca="1">IFERROR(__xludf.DUMMYFUNCTION("""COMPUTED_VALUE"""),"19830131FLDED")</f>
        <v>19830131FLDED</v>
      </c>
      <c r="B1964" s="8" t="str">
        <f ca="1">IFERROR(__xludf.DUMMYFUNCTION("""COMPUTED_VALUE"""),"Handgun")</f>
        <v>Handgun</v>
      </c>
    </row>
    <row r="1965" spans="1:2" ht="12.75">
      <c r="A1965" s="8" t="str">
        <f ca="1">IFERROR(__xludf.DUMMYFUNCTION("""COMPUTED_VALUE"""),"19830130TXWEC")</f>
        <v>19830130TXWEC</v>
      </c>
      <c r="B1965" s="8" t="str">
        <f ca="1">IFERROR(__xludf.DUMMYFUNCTION("""COMPUTED_VALUE"""),"Handgun")</f>
        <v>Handgun</v>
      </c>
    </row>
    <row r="1966" spans="1:2" ht="12.75">
      <c r="A1966" s="8" t="str">
        <f ca="1">IFERROR(__xludf.DUMMYFUNCTION("""COMPUTED_VALUE"""),"19830128MDWIB")</f>
        <v>19830128MDWIB</v>
      </c>
      <c r="B1966" s="8" t="str">
        <f ca="1">IFERROR(__xludf.DUMMYFUNCTION("""COMPUTED_VALUE"""),"Handgun")</f>
        <v>Handgun</v>
      </c>
    </row>
    <row r="1967" spans="1:2" ht="12.75">
      <c r="A1967" s="8" t="str">
        <f ca="1">IFERROR(__xludf.DUMMYFUNCTION("""COMPUTED_VALUE"""),"19830120MOPAB")</f>
        <v>19830120MOPAB</v>
      </c>
      <c r="B1967" s="8" t="str">
        <f ca="1">IFERROR(__xludf.DUMMYFUNCTION("""COMPUTED_VALUE"""),"Handgun")</f>
        <v>Handgun</v>
      </c>
    </row>
    <row r="1968" spans="1:2" ht="12.75">
      <c r="A1968" s="8" t="str">
        <f ca="1">IFERROR(__xludf.DUMMYFUNCTION("""COMPUTED_VALUE"""),"19830120MOPAB")</f>
        <v>19830120MOPAB</v>
      </c>
      <c r="B1968" s="8" t="str">
        <f ca="1">IFERROR(__xludf.DUMMYFUNCTION("""COMPUTED_VALUE"""),"Handgun")</f>
        <v>Handgun</v>
      </c>
    </row>
    <row r="1969" spans="1:2" ht="12.75">
      <c r="A1969" s="8" t="str">
        <f ca="1">IFERROR(__xludf.DUMMYFUNCTION("""COMPUTED_VALUE"""),"19830118TXJOH")</f>
        <v>19830118TXJOH</v>
      </c>
      <c r="B1969" s="8" t="str">
        <f ca="1">IFERROR(__xludf.DUMMYFUNCTION("""COMPUTED_VALUE"""),"Handgun")</f>
        <v>Handgun</v>
      </c>
    </row>
    <row r="1970" spans="1:2" ht="12.75">
      <c r="A1970" s="8" t="str">
        <f ca="1">IFERROR(__xludf.DUMMYFUNCTION("""COMPUTED_VALUE"""),"19821220MIFID")</f>
        <v>19821220MIFID</v>
      </c>
      <c r="B1970" s="8" t="str">
        <f ca="1">IFERROR(__xludf.DUMMYFUNCTION("""COMPUTED_VALUE"""),"Handgun")</f>
        <v>Handgun</v>
      </c>
    </row>
    <row r="1971" spans="1:2" ht="12.75">
      <c r="A1971" s="8" t="str">
        <f ca="1">IFERROR(__xludf.DUMMYFUNCTION("""COMPUTED_VALUE"""),"19821206ALHUH")</f>
        <v>19821206ALHUH</v>
      </c>
      <c r="B1971" s="8" t="str">
        <f ca="1">IFERROR(__xludf.DUMMYFUNCTION("""COMPUTED_VALUE"""),"Handgun")</f>
        <v>Handgun</v>
      </c>
    </row>
    <row r="1972" spans="1:2" ht="12.75">
      <c r="A1972" s="8" t="str">
        <f ca="1">IFERROR(__xludf.DUMMYFUNCTION("""COMPUTED_VALUE"""),"19821112MSWIJ")</f>
        <v>19821112MSWIJ</v>
      </c>
      <c r="B1972" s="8" t="str">
        <f ca="1">IFERROR(__xludf.DUMMYFUNCTION("""COMPUTED_VALUE"""),"Shotgun")</f>
        <v>Shotgun</v>
      </c>
    </row>
    <row r="1973" spans="1:2" ht="12.75">
      <c r="A1973" s="8" t="str">
        <f ca="1">IFERROR(__xludf.DUMMYFUNCTION("""COMPUTED_VALUE"""),"19821108MICOD")</f>
        <v>19821108MICOD</v>
      </c>
      <c r="B1973" s="8" t="str">
        <f ca="1">IFERROR(__xludf.DUMMYFUNCTION("""COMPUTED_VALUE"""),"Handgun")</f>
        <v>Handgun</v>
      </c>
    </row>
    <row r="1974" spans="1:2" ht="12.75">
      <c r="A1974" s="8" t="str">
        <f ca="1">IFERROR(__xludf.DUMMYFUNCTION("""COMPUTED_VALUE"""),"19821101NYELE")</f>
        <v>19821101NYELE</v>
      </c>
      <c r="B1974" s="8" t="str">
        <f ca="1">IFERROR(__xludf.DUMMYFUNCTION("""COMPUTED_VALUE"""),"Handgun")</f>
        <v>Handgun</v>
      </c>
    </row>
    <row r="1975" spans="1:2" ht="12.75">
      <c r="A1975" s="8" t="str">
        <f ca="1">IFERROR(__xludf.DUMMYFUNCTION("""COMPUTED_VALUE"""),"19820915ARSOP")</f>
        <v>19820915ARSOP</v>
      </c>
      <c r="B1975" s="8" t="str">
        <f ca="1">IFERROR(__xludf.DUMMYFUNCTION("""COMPUTED_VALUE"""),"Handgun")</f>
        <v>Handgun</v>
      </c>
    </row>
    <row r="1976" spans="1:2" ht="12.75">
      <c r="A1976" s="8" t="str">
        <f ca="1">IFERROR(__xludf.DUMMYFUNCTION("""COMPUTED_VALUE"""),"19820910VALAB")</f>
        <v>19820910VALAB</v>
      </c>
      <c r="B1976" s="8" t="str">
        <f ca="1">IFERROR(__xludf.DUMMYFUNCTION("""COMPUTED_VALUE"""),"No Data")</f>
        <v>No Data</v>
      </c>
    </row>
    <row r="1977" spans="1:2" ht="12.75">
      <c r="A1977" s="8" t="str">
        <f ca="1">IFERROR(__xludf.DUMMYFUNCTION("""COMPUTED_VALUE"""),"19820527NVGAL")</f>
        <v>19820527NVGAL</v>
      </c>
      <c r="B1977" s="8" t="str">
        <f ca="1">IFERROR(__xludf.DUMMYFUNCTION("""COMPUTED_VALUE"""),"Other")</f>
        <v>Other</v>
      </c>
    </row>
    <row r="1978" spans="1:2" ht="12.75">
      <c r="A1978" s="8" t="str">
        <f ca="1">IFERROR(__xludf.DUMMYFUNCTION("""COMPUTED_VALUE"""),"19820430FLANA")</f>
        <v>19820430FLANA</v>
      </c>
      <c r="B1978" s="8" t="str">
        <f ca="1">IFERROR(__xludf.DUMMYFUNCTION("""COMPUTED_VALUE"""),"Handgun")</f>
        <v>Handgun</v>
      </c>
    </row>
    <row r="1979" spans="1:2" ht="12.75">
      <c r="A1979" s="8" t="str">
        <f ca="1">IFERROR(__xludf.DUMMYFUNCTION("""COMPUTED_VALUE"""),"19820429GARUE")</f>
        <v>19820429GARUE</v>
      </c>
      <c r="B1979" s="8" t="str">
        <f ca="1">IFERROR(__xludf.DUMMYFUNCTION("""COMPUTED_VALUE"""),"Rifle")</f>
        <v>Rifle</v>
      </c>
    </row>
    <row r="1980" spans="1:2" ht="12.75">
      <c r="A1980" s="8" t="str">
        <f ca="1">IFERROR(__xludf.DUMMYFUNCTION("""COMPUTED_VALUE"""),"19820415MDFOB")</f>
        <v>19820415MDFOB</v>
      </c>
      <c r="B1980" s="8" t="str">
        <f ca="1">IFERROR(__xludf.DUMMYFUNCTION("""COMPUTED_VALUE"""),"Handgun")</f>
        <v>Handgun</v>
      </c>
    </row>
    <row r="1981" spans="1:2" ht="12.75">
      <c r="A1981" s="8" t="str">
        <f ca="1">IFERROR(__xludf.DUMMYFUNCTION("""COMPUTED_VALUE"""),"19820407CODEL")</f>
        <v>19820407CODEL</v>
      </c>
      <c r="B1981" s="8" t="str">
        <f ca="1">IFERROR(__xludf.DUMMYFUNCTION("""COMPUTED_VALUE"""),"Handgun")</f>
        <v>Handgun</v>
      </c>
    </row>
    <row r="1982" spans="1:2" ht="12.75">
      <c r="A1982" s="8" t="str">
        <f ca="1">IFERROR(__xludf.DUMMYFUNCTION("""COMPUTED_VALUE"""),"19820319NVVAL")</f>
        <v>19820319NVVAL</v>
      </c>
      <c r="B1982" s="8" t="str">
        <f ca="1">IFERROR(__xludf.DUMMYFUNCTION("""COMPUTED_VALUE"""),"Handgun")</f>
        <v>Handgun</v>
      </c>
    </row>
    <row r="1983" spans="1:2" ht="12.75">
      <c r="A1983" s="8" t="str">
        <f ca="1">IFERROR(__xludf.DUMMYFUNCTION("""COMPUTED_VALUE"""),"19820317OHLOL")</f>
        <v>19820317OHLOL</v>
      </c>
      <c r="B1983" s="8" t="str">
        <f ca="1">IFERROR(__xludf.DUMMYFUNCTION("""COMPUTED_VALUE"""),"Handgun")</f>
        <v>Handgun</v>
      </c>
    </row>
    <row r="1984" spans="1:2" ht="12.75">
      <c r="A1984" s="8" t="str">
        <f ca="1">IFERROR(__xludf.DUMMYFUNCTION("""COMPUTED_VALUE"""),"19820315ORSPS")</f>
        <v>19820315ORSPS</v>
      </c>
      <c r="B1984" s="8" t="str">
        <f ca="1">IFERROR(__xludf.DUMMYFUNCTION("""COMPUTED_VALUE"""),"Handgun")</f>
        <v>Handgun</v>
      </c>
    </row>
    <row r="1985" spans="1:2" ht="12.75">
      <c r="A1985" s="8" t="str">
        <f ca="1">IFERROR(__xludf.DUMMYFUNCTION("""COMPUTED_VALUE"""),"19820209LAJON")</f>
        <v>19820209LAJON</v>
      </c>
      <c r="B1985" s="8" t="str">
        <f ca="1">IFERROR(__xludf.DUMMYFUNCTION("""COMPUTED_VALUE"""),"No Data")</f>
        <v>No Data</v>
      </c>
    </row>
    <row r="1986" spans="1:2" ht="12.75">
      <c r="A1986" s="8" t="str">
        <f ca="1">IFERROR(__xludf.DUMMYFUNCTION("""COMPUTED_VALUE"""),"19820208MADOD")</f>
        <v>19820208MADOD</v>
      </c>
      <c r="B1986" s="8" t="str">
        <f ca="1">IFERROR(__xludf.DUMMYFUNCTION("""COMPUTED_VALUE"""),"Handgun")</f>
        <v>Handgun</v>
      </c>
    </row>
    <row r="1987" spans="1:2" ht="12.75">
      <c r="A1987" s="8" t="str">
        <f ca="1">IFERROR(__xludf.DUMMYFUNCTION("""COMPUTED_VALUE"""),"19820205TNHAM")</f>
        <v>19820205TNHAM</v>
      </c>
      <c r="B1987" s="8" t="str">
        <f ca="1">IFERROR(__xludf.DUMMYFUNCTION("""COMPUTED_VALUE"""),"Handgun")</f>
        <v>Handgun</v>
      </c>
    </row>
    <row r="1988" spans="1:2" ht="12.75">
      <c r="A1988" s="8" t="str">
        <f ca="1">IFERROR(__xludf.DUMMYFUNCTION("""COMPUTED_VALUE"""),"19811223NYJAB")</f>
        <v>19811223NYJAB</v>
      </c>
      <c r="B1988" s="8" t="str">
        <f ca="1">IFERROR(__xludf.DUMMYFUNCTION("""COMPUTED_VALUE"""),"Handgun")</f>
        <v>Handgun</v>
      </c>
    </row>
    <row r="1989" spans="1:2" ht="12.75">
      <c r="A1989" s="8" t="str">
        <f ca="1">IFERROR(__xludf.DUMMYFUNCTION("""COMPUTED_VALUE"""),"19811216TXUNH")</f>
        <v>19811216TXUNH</v>
      </c>
      <c r="B1989" s="8" t="str">
        <f ca="1">IFERROR(__xludf.DUMMYFUNCTION("""COMPUTED_VALUE"""),"Handgun")</f>
        <v>Handgun</v>
      </c>
    </row>
    <row r="1990" spans="1:2" ht="12.75">
      <c r="A1990" s="8" t="str">
        <f ca="1">IFERROR(__xludf.DUMMYFUNCTION("""COMPUTED_VALUE"""),"19811209NYGEB")</f>
        <v>19811209NYGEB</v>
      </c>
      <c r="B1990" s="8" t="str">
        <f ca="1">IFERROR(__xludf.DUMMYFUNCTION("""COMPUTED_VALUE"""),"Handgun")</f>
        <v>Handgun</v>
      </c>
    </row>
    <row r="1991" spans="1:2" ht="12.75">
      <c r="A1991" s="8" t="str">
        <f ca="1">IFERROR(__xludf.DUMMYFUNCTION("""COMPUTED_VALUE"""),"19811013CTHAH")</f>
        <v>19811013CTHAH</v>
      </c>
      <c r="B1991" s="8" t="str">
        <f ca="1">IFERROR(__xludf.DUMMYFUNCTION("""COMPUTED_VALUE"""),"Handgun")</f>
        <v>Handgun</v>
      </c>
    </row>
    <row r="1992" spans="1:2" ht="12.75">
      <c r="A1992" s="8" t="str">
        <f ca="1">IFERROR(__xludf.DUMMYFUNCTION("""COMPUTED_VALUE"""),"19810913MDABA")</f>
        <v>19810913MDABA</v>
      </c>
      <c r="B1992" s="8" t="str">
        <f ca="1">IFERROR(__xludf.DUMMYFUNCTION("""COMPUTED_VALUE"""),"Handgun")</f>
        <v>Handgun</v>
      </c>
    </row>
    <row r="1993" spans="1:2" ht="12.75">
      <c r="A1993" s="8" t="str">
        <f ca="1">IFERROR(__xludf.DUMMYFUNCTION("""COMPUTED_VALUE"""),"19810908FLSTW")</f>
        <v>19810908FLSTW</v>
      </c>
      <c r="B1993" s="8" t="str">
        <f ca="1">IFERROR(__xludf.DUMMYFUNCTION("""COMPUTED_VALUE"""),"Handgun")</f>
        <v>Handgun</v>
      </c>
    </row>
    <row r="1994" spans="1:2" ht="12.75">
      <c r="A1994" s="8" t="str">
        <f ca="1">IFERROR(__xludf.DUMMYFUNCTION("""COMPUTED_VALUE"""),"19810904NMHOS")</f>
        <v>19810904NMHOS</v>
      </c>
      <c r="B1994" s="8" t="str">
        <f ca="1">IFERROR(__xludf.DUMMYFUNCTION("""COMPUTED_VALUE"""),"Handgun")</f>
        <v>Handgun</v>
      </c>
    </row>
    <row r="1995" spans="1:2" ht="12.75">
      <c r="A1995" s="8" t="str">
        <f ca="1">IFERROR(__xludf.DUMMYFUNCTION("""COMPUTED_VALUE"""),"19810901PAWIP")</f>
        <v>19810901PAWIP</v>
      </c>
      <c r="B1995" s="8" t="str">
        <f ca="1">IFERROR(__xludf.DUMMYFUNCTION("""COMPUTED_VALUE"""),"Handgun")</f>
        <v>Handgun</v>
      </c>
    </row>
    <row r="1996" spans="1:2" ht="12.75">
      <c r="A1996" s="8" t="str">
        <f ca="1">IFERROR(__xludf.DUMMYFUNCTION("""COMPUTED_VALUE"""),"19810515LANEN")</f>
        <v>19810515LANEN</v>
      </c>
      <c r="B1996" s="8" t="str">
        <f ca="1">IFERROR(__xludf.DUMMYFUNCTION("""COMPUTED_VALUE"""),"Handgun")</f>
        <v>Handgun</v>
      </c>
    </row>
    <row r="1997" spans="1:2" ht="12.75">
      <c r="A1997" s="8" t="str">
        <f ca="1">IFERROR(__xludf.DUMMYFUNCTION("""COMPUTED_VALUE"""),"19810407MSPOP")</f>
        <v>19810407MSPOP</v>
      </c>
      <c r="B1997" s="8" t="str">
        <f ca="1">IFERROR(__xludf.DUMMYFUNCTION("""COMPUTED_VALUE"""),"No Data")</f>
        <v>No Data</v>
      </c>
    </row>
    <row r="1998" spans="1:2" ht="12.75">
      <c r="A1998" s="8" t="str">
        <f ca="1">IFERROR(__xludf.DUMMYFUNCTION("""COMPUTED_VALUE"""),"19810402OHALC")</f>
        <v>19810402OHALC</v>
      </c>
      <c r="B1998" s="8" t="str">
        <f ca="1">IFERROR(__xludf.DUMMYFUNCTION("""COMPUTED_VALUE"""),"Handgun")</f>
        <v>Handgun</v>
      </c>
    </row>
    <row r="1999" spans="1:2" ht="12.75">
      <c r="A1999" s="8" t="str">
        <f ca="1">IFERROR(__xludf.DUMMYFUNCTION("""COMPUTED_VALUE"""),"19810328FLDIF")</f>
        <v>19810328FLDIF</v>
      </c>
      <c r="B1999" s="8" t="str">
        <f ca="1">IFERROR(__xludf.DUMMYFUNCTION("""COMPUTED_VALUE"""),"Handgun")</f>
        <v>Handgun</v>
      </c>
    </row>
    <row r="2000" spans="1:2" ht="12.75">
      <c r="A2000" s="8" t="str">
        <f ca="1">IFERROR(__xludf.DUMMYFUNCTION("""COMPUTED_VALUE"""),"19810303INMAI")</f>
        <v>19810303INMAI</v>
      </c>
      <c r="B2000" s="8" t="str">
        <f ca="1">IFERROR(__xludf.DUMMYFUNCTION("""COMPUTED_VALUE"""),"Handgun")</f>
        <v>Handgun</v>
      </c>
    </row>
    <row r="2001" spans="1:2" ht="12.75">
      <c r="A2001" s="8" t="str">
        <f ca="1">IFERROR(__xludf.DUMMYFUNCTION("""COMPUTED_VALUE"""),"19810210CAMAL")</f>
        <v>19810210CAMAL</v>
      </c>
      <c r="B2001" s="8" t="str">
        <f ca="1">IFERROR(__xludf.DUMMYFUNCTION("""COMPUTED_VALUE"""),"Shotgun")</f>
        <v>Shotgun</v>
      </c>
    </row>
    <row r="2002" spans="1:2" ht="12.75">
      <c r="A2002" s="8" t="str">
        <f ca="1">IFERROR(__xludf.DUMMYFUNCTION("""COMPUTED_VALUE"""),"19810210ARLIL")</f>
        <v>19810210ARLIL</v>
      </c>
      <c r="B2002" s="8" t="str">
        <f ca="1">IFERROR(__xludf.DUMMYFUNCTION("""COMPUTED_VALUE"""),"Handgun")</f>
        <v>Handgun</v>
      </c>
    </row>
    <row r="2003" spans="1:2" ht="12.75">
      <c r="A2003" s="8" t="str">
        <f ca="1">IFERROR(__xludf.DUMMYFUNCTION("""COMPUTED_VALUE"""),"19810122MDFRB")</f>
        <v>19810122MDFRB</v>
      </c>
      <c r="B2003" s="8" t="str">
        <f ca="1">IFERROR(__xludf.DUMMYFUNCTION("""COMPUTED_VALUE"""),"Handgun")</f>
        <v>Handgun</v>
      </c>
    </row>
    <row r="2004" spans="1:2" ht="12.75">
      <c r="A2004" s="8" t="str">
        <f ca="1">IFERROR(__xludf.DUMMYFUNCTION("""COMPUTED_VALUE"""),"19810121OHWIB")</f>
        <v>19810121OHWIB</v>
      </c>
      <c r="B2004" s="8" t="str">
        <f ca="1">IFERROR(__xludf.DUMMYFUNCTION("""COMPUTED_VALUE"""),"Handgun")</f>
        <v>Handgun</v>
      </c>
    </row>
    <row r="2005" spans="1:2" ht="12.75">
      <c r="A2005" s="8" t="str">
        <f ca="1">IFERROR(__xludf.DUMMYFUNCTION("""COMPUTED_VALUE"""),"19801212OHLOL")</f>
        <v>19801212OHLOL</v>
      </c>
      <c r="B2005" s="8" t="str">
        <f ca="1">IFERROR(__xludf.DUMMYFUNCTION("""COMPUTED_VALUE"""),"Handgun")</f>
        <v>Handgun</v>
      </c>
    </row>
    <row r="2006" spans="1:2" ht="12.75">
      <c r="A2006" s="8" t="str">
        <f ca="1">IFERROR(__xludf.DUMMYFUNCTION("""COMPUTED_VALUE"""),"19801212ALPAB")</f>
        <v>19801212ALPAB</v>
      </c>
      <c r="B2006" s="8" t="str">
        <f ca="1">IFERROR(__xludf.DUMMYFUNCTION("""COMPUTED_VALUE"""),"Handgun")</f>
        <v>Handgun</v>
      </c>
    </row>
    <row r="2007" spans="1:2" ht="12.75">
      <c r="A2007" s="8" t="str">
        <f ca="1">IFERROR(__xludf.DUMMYFUNCTION("""COMPUTED_VALUE"""),"19801117TXEAF")</f>
        <v>19801117TXEAF</v>
      </c>
      <c r="B2007" s="8" t="str">
        <f ca="1">IFERROR(__xludf.DUMMYFUNCTION("""COMPUTED_VALUE"""),"Handgun")</f>
        <v>Handgun</v>
      </c>
    </row>
    <row r="2008" spans="1:2" ht="12.75">
      <c r="A2008" s="8" t="str">
        <f ca="1">IFERROR(__xludf.DUMMYFUNCTION("""COMPUTED_VALUE"""),"19801031ALHUH")</f>
        <v>19801031ALHUH</v>
      </c>
      <c r="B2008" s="8" t="str">
        <f ca="1">IFERROR(__xludf.DUMMYFUNCTION("""COMPUTED_VALUE"""),"Handgun")</f>
        <v>Handgun</v>
      </c>
    </row>
    <row r="2009" spans="1:2" ht="12.75">
      <c r="A2009" s="8" t="str">
        <f ca="1">IFERROR(__xludf.DUMMYFUNCTION("""COMPUTED_VALUE"""),"19801013ALCET")</f>
        <v>19801013ALCET</v>
      </c>
      <c r="B2009" s="8" t="str">
        <f ca="1">IFERROR(__xludf.DUMMYFUNCTION("""COMPUTED_VALUE"""),"Handgun")</f>
        <v>Handgun</v>
      </c>
    </row>
    <row r="2010" spans="1:2" ht="12.75">
      <c r="A2010" s="8" t="str">
        <f ca="1">IFERROR(__xludf.DUMMYFUNCTION("""COMPUTED_VALUE"""),"19800926CTBRB")</f>
        <v>19800926CTBRB</v>
      </c>
      <c r="B2010" s="8" t="str">
        <f ca="1">IFERROR(__xludf.DUMMYFUNCTION("""COMPUTED_VALUE"""),"Rifle")</f>
        <v>Rifle</v>
      </c>
    </row>
    <row r="2011" spans="1:2" ht="12.75">
      <c r="A2011" s="8" t="str">
        <f ca="1">IFERROR(__xludf.DUMMYFUNCTION("""COMPUTED_VALUE"""),"19800911ALJOM")</f>
        <v>19800911ALJOM</v>
      </c>
      <c r="B2011" s="8" t="str">
        <f ca="1">IFERROR(__xludf.DUMMYFUNCTION("""COMPUTED_VALUE"""),"Handgun")</f>
        <v>Handgun</v>
      </c>
    </row>
    <row r="2012" spans="1:2" ht="12.75">
      <c r="A2012" s="8" t="str">
        <f ca="1">IFERROR(__xludf.DUMMYFUNCTION("""COMPUTED_VALUE"""),"19800910DCSPW")</f>
        <v>19800910DCSPW</v>
      </c>
      <c r="B2012" s="8" t="str">
        <f ca="1">IFERROR(__xludf.DUMMYFUNCTION("""COMPUTED_VALUE"""),"Handgun")</f>
        <v>Handgun</v>
      </c>
    </row>
    <row r="2013" spans="1:2" ht="12.75">
      <c r="A2013" s="8" t="str">
        <f ca="1">IFERROR(__xludf.DUMMYFUNCTION("""COMPUTED_VALUE"""),"19800908FLFOJ")</f>
        <v>19800908FLFOJ</v>
      </c>
      <c r="B2013" s="8" t="str">
        <f ca="1">IFERROR(__xludf.DUMMYFUNCTION("""COMPUTED_VALUE"""),"Handgun")</f>
        <v>Handgun</v>
      </c>
    </row>
    <row r="2014" spans="1:2" ht="12.75">
      <c r="A2014" s="8" t="str">
        <f ca="1">IFERROR(__xludf.DUMMYFUNCTION("""COMPUTED_VALUE"""),"19800902CAWHL")</f>
        <v>19800902CAWHL</v>
      </c>
      <c r="B2014" s="8" t="str">
        <f ca="1">IFERROR(__xludf.DUMMYFUNCTION("""COMPUTED_VALUE"""),"Shotgun")</f>
        <v>Shotgun</v>
      </c>
    </row>
    <row r="2015" spans="1:2" ht="12.75">
      <c r="A2015" s="8" t="str">
        <f ca="1">IFERROR(__xludf.DUMMYFUNCTION("""COMPUTED_VALUE"""),"19800530NYCLB")</f>
        <v>19800530NYCLB</v>
      </c>
      <c r="B2015" s="8" t="str">
        <f ca="1">IFERROR(__xludf.DUMMYFUNCTION("""COMPUTED_VALUE"""),"Handgun")</f>
        <v>Handgun</v>
      </c>
    </row>
    <row r="2016" spans="1:2" ht="12.75">
      <c r="A2016" s="8" t="str">
        <f ca="1">IFERROR(__xludf.DUMMYFUNCTION("""COMPUTED_VALUE"""),"19800417VACAC")</f>
        <v>19800417VACAC</v>
      </c>
      <c r="B2016" s="8" t="str">
        <f ca="1">IFERROR(__xludf.DUMMYFUNCTION("""COMPUTED_VALUE"""),"Handgun")</f>
        <v>Handgun</v>
      </c>
    </row>
    <row r="2017" spans="1:2" ht="12.75">
      <c r="A2017" s="8" t="str">
        <f ca="1">IFERROR(__xludf.DUMMYFUNCTION("""COMPUTED_VALUE"""),"19800331MDFRB")</f>
        <v>19800331MDFRB</v>
      </c>
      <c r="B2017" s="8" t="str">
        <f ca="1">IFERROR(__xludf.DUMMYFUNCTION("""COMPUTED_VALUE"""),"Handgun")</f>
        <v>Handgun</v>
      </c>
    </row>
    <row r="2018" spans="1:2" ht="12.75">
      <c r="A2018" s="8" t="str">
        <f ca="1">IFERROR(__xludf.DUMMYFUNCTION("""COMPUTED_VALUE"""),"19800320TXJLD")</f>
        <v>19800320TXJLD</v>
      </c>
      <c r="B2018" s="8" t="str">
        <f ca="1">IFERROR(__xludf.DUMMYFUNCTION("""COMPUTED_VALUE"""),"Handgun")</f>
        <v>Handgun</v>
      </c>
    </row>
    <row r="2019" spans="1:2" ht="12.75">
      <c r="A2019" s="8" t="str">
        <f ca="1">IFERROR(__xludf.DUMMYFUNCTION("""COMPUTED_VALUE"""),"19800215MSHUM")</f>
        <v>19800215MSHUM</v>
      </c>
      <c r="B2019" s="8" t="str">
        <f ca="1">IFERROR(__xludf.DUMMYFUNCTION("""COMPUTED_VALUE"""),"Handgun")</f>
        <v>Handgun</v>
      </c>
    </row>
    <row r="2020" spans="1:2" ht="12.75">
      <c r="A2020" s="8" t="str">
        <f ca="1">IFERROR(__xludf.DUMMYFUNCTION("""COMPUTED_VALUE"""),"19800211INARI")</f>
        <v>19800211INARI</v>
      </c>
      <c r="B2020" s="8" t="str">
        <f ca="1">IFERROR(__xludf.DUMMYFUNCTION("""COMPUTED_VALUE"""),"Handgun")</f>
        <v>Handgun</v>
      </c>
    </row>
    <row r="2021" spans="1:2" ht="12.75">
      <c r="A2021" s="8" t="str">
        <f ca="1">IFERROR(__xludf.DUMMYFUNCTION("""COMPUTED_VALUE"""),"19800207TXVAL")</f>
        <v>19800207TXVAL</v>
      </c>
      <c r="B2021" s="8" t="str">
        <f ca="1">IFERROR(__xludf.DUMMYFUNCTION("""COMPUTED_VALUE"""),"Handgun")</f>
        <v>Handgun</v>
      </c>
    </row>
    <row r="2022" spans="1:2" ht="12.75">
      <c r="A2022" s="8" t="str">
        <f ca="1">IFERROR(__xludf.DUMMYFUNCTION("""COMPUTED_VALUE"""),"19800201DCLAW")</f>
        <v>19800201DCLAW</v>
      </c>
      <c r="B2022" s="8" t="str">
        <f ca="1">IFERROR(__xludf.DUMMYFUNCTION("""COMPUTED_VALUE"""),"Handgun")</f>
        <v>Handgun</v>
      </c>
    </row>
    <row r="2023" spans="1:2" ht="12.75">
      <c r="A2023" s="8" t="str">
        <f ca="1">IFERROR(__xludf.DUMMYFUNCTION("""COMPUTED_VALUE"""),"19800129VALAW")</f>
        <v>19800129VALAW</v>
      </c>
      <c r="B2023" s="8" t="str">
        <f ca="1">IFERROR(__xludf.DUMMYFUNCTION("""COMPUTED_VALUE"""),"Handgun")</f>
        <v>Handgun</v>
      </c>
    </row>
    <row r="2024" spans="1:2" ht="12.75">
      <c r="A2024" s="8" t="str">
        <f ca="1">IFERROR(__xludf.DUMMYFUNCTION("""COMPUTED_VALUE"""),"19800107ARSTS")</f>
        <v>19800107ARSTS</v>
      </c>
      <c r="B2024" s="8" t="str">
        <f ca="1">IFERROR(__xludf.DUMMYFUNCTION("""COMPUTED_VALUE"""),"Handgun")</f>
        <v>Handgun</v>
      </c>
    </row>
    <row r="2025" spans="1:2" ht="12.75">
      <c r="A2025" s="8" t="str">
        <f ca="1">IFERROR(__xludf.DUMMYFUNCTION("""COMPUTED_VALUE"""),"19791221MOBLS")</f>
        <v>19791221MOBLS</v>
      </c>
      <c r="B2025" s="8" t="str">
        <f ca="1">IFERROR(__xludf.DUMMYFUNCTION("""COMPUTED_VALUE"""),"Handgun")</f>
        <v>Handgun</v>
      </c>
    </row>
    <row r="2026" spans="1:2" ht="12.75">
      <c r="A2026" s="8" t="str">
        <f ca="1">IFERROR(__xludf.DUMMYFUNCTION("""COMPUTED_VALUE"""),"19791203MDEAB")</f>
        <v>19791203MDEAB</v>
      </c>
      <c r="B2026" s="8" t="str">
        <f ca="1">IFERROR(__xludf.DUMMYFUNCTION("""COMPUTED_VALUE"""),"Handgun")</f>
        <v>Handgun</v>
      </c>
    </row>
    <row r="2027" spans="1:2" ht="12.75">
      <c r="A2027" s="8" t="str">
        <f ca="1">IFERROR(__xludf.DUMMYFUNCTION("""COMPUTED_VALUE"""),"19791130TXUNL")</f>
        <v>19791130TXUNL</v>
      </c>
      <c r="B2027" s="8" t="str">
        <f ca="1">IFERROR(__xludf.DUMMYFUNCTION("""COMPUTED_VALUE"""),"Handgun")</f>
        <v>Handgun</v>
      </c>
    </row>
    <row r="2028" spans="1:2" ht="12.75">
      <c r="A2028" s="8" t="str">
        <f ca="1">IFERROR(__xludf.DUMMYFUNCTION("""COMPUTED_VALUE"""),"19791105INWAI")</f>
        <v>19791105INWAI</v>
      </c>
      <c r="B2028" s="8" t="str">
        <f ca="1">IFERROR(__xludf.DUMMYFUNCTION("""COMPUTED_VALUE"""),"Handgun")</f>
        <v>Handgun</v>
      </c>
    </row>
    <row r="2029" spans="1:2" ht="12.75">
      <c r="A2029" s="8" t="str">
        <f ca="1">IFERROR(__xludf.DUMMYFUNCTION("""COMPUTED_VALUE"""),"19791023MOOFS")</f>
        <v>19791023MOOFS</v>
      </c>
      <c r="B2029" s="8" t="str">
        <f ca="1">IFERROR(__xludf.DUMMYFUNCTION("""COMPUTED_VALUE"""),"Handgun")</f>
        <v>Handgun</v>
      </c>
    </row>
    <row r="2030" spans="1:2" ht="12.75">
      <c r="A2030" s="8" t="str">
        <f ca="1">IFERROR(__xludf.DUMMYFUNCTION("""COMPUTED_VALUE"""),"19790928MACHC")</f>
        <v>19790928MACHC</v>
      </c>
      <c r="B2030" s="8" t="str">
        <f ca="1">IFERROR(__xludf.DUMMYFUNCTION("""COMPUTED_VALUE"""),"Rifle")</f>
        <v>Rifle</v>
      </c>
    </row>
    <row r="2031" spans="1:2" ht="12.75">
      <c r="A2031" s="8" t="str">
        <f ca="1">IFERROR(__xludf.DUMMYFUNCTION("""COMPUTED_VALUE"""),"19790926LACAN")</f>
        <v>19790926LACAN</v>
      </c>
      <c r="B2031" s="8" t="str">
        <f ca="1">IFERROR(__xludf.DUMMYFUNCTION("""COMPUTED_VALUE"""),"Handgun")</f>
        <v>Handgun</v>
      </c>
    </row>
    <row r="2032" spans="1:2" ht="12.75">
      <c r="A2032" s="8" t="str">
        <f ca="1">IFERROR(__xludf.DUMMYFUNCTION("""COMPUTED_VALUE"""),"19790614OHNEN")</f>
        <v>19790614OHNEN</v>
      </c>
      <c r="B2032" s="8" t="str">
        <f ca="1">IFERROR(__xludf.DUMMYFUNCTION("""COMPUTED_VALUE"""),"Handgun")</f>
        <v>Handgun</v>
      </c>
    </row>
    <row r="2033" spans="1:2" ht="12.75">
      <c r="A2033" s="8" t="str">
        <f ca="1">IFERROR(__xludf.DUMMYFUNCTION("""COMPUTED_VALUE"""),"19790426TXAZA")</f>
        <v>19790426TXAZA</v>
      </c>
      <c r="B2033" s="8" t="str">
        <f ca="1">IFERROR(__xludf.DUMMYFUNCTION("""COMPUTED_VALUE"""),"Handgun")</f>
        <v>Handgun</v>
      </c>
    </row>
    <row r="2034" spans="1:2" ht="12.75">
      <c r="A2034" s="8" t="str">
        <f ca="1">IFERROR(__xludf.DUMMYFUNCTION("""COMPUTED_VALUE"""),"19790425PAMAH")</f>
        <v>19790425PAMAH</v>
      </c>
      <c r="B2034" s="8" t="str">
        <f ca="1">IFERROR(__xludf.DUMMYFUNCTION("""COMPUTED_VALUE"""),"Rifle")</f>
        <v>Rifle</v>
      </c>
    </row>
    <row r="2035" spans="1:2" ht="12.75">
      <c r="A2035" s="8" t="str">
        <f ca="1">IFERROR(__xludf.DUMMYFUNCTION("""COMPUTED_VALUE"""),"19790416WIWIM")</f>
        <v>19790416WIWIM</v>
      </c>
      <c r="B2035" s="8" t="str">
        <f ca="1">IFERROR(__xludf.DUMMYFUNCTION("""COMPUTED_VALUE"""),"Shotgun")</f>
        <v>Shotgun</v>
      </c>
    </row>
    <row r="2036" spans="1:2" ht="12.75">
      <c r="A2036" s="8" t="str">
        <f ca="1">IFERROR(__xludf.DUMMYFUNCTION("""COMPUTED_VALUE"""),"19790328CALOL")</f>
        <v>19790328CALOL</v>
      </c>
      <c r="B2036" s="8" t="str">
        <f ca="1">IFERROR(__xludf.DUMMYFUNCTION("""COMPUTED_VALUE"""),"Handgun")</f>
        <v>Handgun</v>
      </c>
    </row>
    <row r="2037" spans="1:2" ht="12.75">
      <c r="A2037" s="8" t="str">
        <f ca="1">IFERROR(__xludf.DUMMYFUNCTION("""COMPUTED_VALUE"""),"19790314FLMCM")</f>
        <v>19790314FLMCM</v>
      </c>
      <c r="B2037" s="8" t="str">
        <f ca="1">IFERROR(__xludf.DUMMYFUNCTION("""COMPUTED_VALUE"""),"Handgun")</f>
        <v>Handgun</v>
      </c>
    </row>
    <row r="2038" spans="1:2" ht="12.75">
      <c r="A2038" s="8" t="str">
        <f ca="1">IFERROR(__xludf.DUMMYFUNCTION("""COMPUTED_VALUE"""),"19790226CABAB")</f>
        <v>19790226CABAB</v>
      </c>
      <c r="B2038" s="8" t="str">
        <f ca="1">IFERROR(__xludf.DUMMYFUNCTION("""COMPUTED_VALUE"""),"Handgun")</f>
        <v>Handgun</v>
      </c>
    </row>
    <row r="2039" spans="1:2" ht="12.75">
      <c r="A2039" s="8" t="str">
        <f ca="1">IFERROR(__xludf.DUMMYFUNCTION("""COMPUTED_VALUE"""),"19790129CAGRS")</f>
        <v>19790129CAGRS</v>
      </c>
      <c r="B2039" s="8" t="str">
        <f ca="1">IFERROR(__xludf.DUMMYFUNCTION("""COMPUTED_VALUE"""),"Rifle")</f>
        <v>Rifle</v>
      </c>
    </row>
    <row r="2040" spans="1:2" ht="12.75">
      <c r="A2040" s="8" t="str">
        <f ca="1">IFERROR(__xludf.DUMMYFUNCTION("""COMPUTED_VALUE"""),"19781214CTWIN")</f>
        <v>19781214CTWIN</v>
      </c>
      <c r="B2040" s="8" t="str">
        <f ca="1">IFERROR(__xludf.DUMMYFUNCTION("""COMPUTED_VALUE"""),"Handgun")</f>
        <v>Handgun</v>
      </c>
    </row>
    <row r="2041" spans="1:2" ht="12.75">
      <c r="A2041" s="8" t="str">
        <f ca="1">IFERROR(__xludf.DUMMYFUNCTION("""COMPUTED_VALUE"""),"19781129NYPAN")</f>
        <v>19781129NYPAN</v>
      </c>
      <c r="B2041" s="8" t="str">
        <f ca="1">IFERROR(__xludf.DUMMYFUNCTION("""COMPUTED_VALUE"""),"Handgun")</f>
        <v>Handgun</v>
      </c>
    </row>
    <row r="2042" spans="1:2" ht="12.75">
      <c r="A2042" s="8" t="str">
        <f ca="1">IFERROR(__xludf.DUMMYFUNCTION("""COMPUTED_VALUE"""),"19781017MOUNU")</f>
        <v>19781017MOUNU</v>
      </c>
      <c r="B2042" s="8" t="str">
        <f ca="1">IFERROR(__xludf.DUMMYFUNCTION("""COMPUTED_VALUE"""),"Handgun")</f>
        <v>Handgun</v>
      </c>
    </row>
    <row r="2043" spans="1:2" ht="12.75">
      <c r="A2043" s="8" t="str">
        <f ca="1">IFERROR(__xludf.DUMMYFUNCTION("""COMPUTED_VALUE"""),"19781017ALLAL")</f>
        <v>19781017ALLAL</v>
      </c>
      <c r="B2043" s="8" t="str">
        <f ca="1">IFERROR(__xludf.DUMMYFUNCTION("""COMPUTED_VALUE"""),"Handgun")</f>
        <v>Handgun</v>
      </c>
    </row>
    <row r="2044" spans="1:2" ht="12.75">
      <c r="A2044" s="8" t="str">
        <f ca="1">IFERROR(__xludf.DUMMYFUNCTION("""COMPUTED_VALUE"""),"19780610MAWEW")</f>
        <v>19780610MAWEW</v>
      </c>
      <c r="B2044" s="8" t="str">
        <f ca="1">IFERROR(__xludf.DUMMYFUNCTION("""COMPUTED_VALUE"""),"Handgun")</f>
        <v>Handgun</v>
      </c>
    </row>
    <row r="2045" spans="1:2" ht="12.75">
      <c r="A2045" s="8" t="str">
        <f ca="1">IFERROR(__xludf.DUMMYFUNCTION("""COMPUTED_VALUE"""),"19780607DEDOD")</f>
        <v>19780607DEDOD</v>
      </c>
      <c r="B2045" s="8" t="str">
        <f ca="1">IFERROR(__xludf.DUMMYFUNCTION("""COMPUTED_VALUE"""),"Handgun")</f>
        <v>Handgun</v>
      </c>
    </row>
    <row r="2046" spans="1:2" ht="12.75">
      <c r="A2046" s="8" t="str">
        <f ca="1">IFERROR(__xludf.DUMMYFUNCTION("""COMPUTED_VALUE"""),"19780519PADOP")</f>
        <v>19780519PADOP</v>
      </c>
      <c r="B2046" s="8" t="str">
        <f ca="1">IFERROR(__xludf.DUMMYFUNCTION("""COMPUTED_VALUE"""),"Multiple Rifles")</f>
        <v>Multiple Rifles</v>
      </c>
    </row>
    <row r="2047" spans="1:2" ht="12.75">
      <c r="A2047" s="8" t="str">
        <f ca="1">IFERROR(__xludf.DUMMYFUNCTION("""COMPUTED_VALUE"""),"19780518TXMUA")</f>
        <v>19780518TXMUA</v>
      </c>
      <c r="B2047" s="8" t="str">
        <f ca="1">IFERROR(__xludf.DUMMYFUNCTION("""COMPUTED_VALUE"""),"Rifle")</f>
        <v>Rifle</v>
      </c>
    </row>
    <row r="2048" spans="1:2" ht="12.75">
      <c r="A2048" s="8" t="str">
        <f ca="1">IFERROR(__xludf.DUMMYFUNCTION("""COMPUTED_VALUE"""),"19780428ILRIN")</f>
        <v>19780428ILRIN</v>
      </c>
      <c r="B2048" s="8" t="str">
        <f ca="1">IFERROR(__xludf.DUMMYFUNCTION("""COMPUTED_VALUE"""),"Handgun")</f>
        <v>Handgun</v>
      </c>
    </row>
    <row r="2049" spans="1:2" ht="12.75">
      <c r="A2049" s="8" t="str">
        <f ca="1">IFERROR(__xludf.DUMMYFUNCTION("""COMPUTED_VALUE"""),"19780426TXPAD")</f>
        <v>19780426TXPAD</v>
      </c>
      <c r="B2049" s="8" t="str">
        <f ca="1">IFERROR(__xludf.DUMMYFUNCTION("""COMPUTED_VALUE"""),"Handgun")</f>
        <v>Handgun</v>
      </c>
    </row>
    <row r="2050" spans="1:2" ht="12.75">
      <c r="A2050" s="8" t="str">
        <f ca="1">IFERROR(__xludf.DUMMYFUNCTION("""COMPUTED_VALUE"""),"19780414MIFOD")</f>
        <v>19780414MIFOD</v>
      </c>
      <c r="B2050" s="8" t="str">
        <f ca="1">IFERROR(__xludf.DUMMYFUNCTION("""COMPUTED_VALUE"""),"Handgun")</f>
        <v>Handgun</v>
      </c>
    </row>
    <row r="2051" spans="1:2" ht="12.75">
      <c r="A2051" s="8" t="str">
        <f ca="1">IFERROR(__xludf.DUMMYFUNCTION("""COMPUTED_VALUE"""),"19780329TNGAN")</f>
        <v>19780329TNGAN</v>
      </c>
      <c r="B2051" s="8" t="str">
        <f ca="1">IFERROR(__xludf.DUMMYFUNCTION("""COMPUTED_VALUE"""),"Handgun")</f>
        <v>Handgun</v>
      </c>
    </row>
    <row r="2052" spans="1:2" ht="12.75">
      <c r="A2052" s="8" t="str">
        <f ca="1">IFERROR(__xludf.DUMMYFUNCTION("""COMPUTED_VALUE"""),"19780309CAMOS")</f>
        <v>19780309CAMOS</v>
      </c>
      <c r="B2052" s="8" t="str">
        <f ca="1">IFERROR(__xludf.DUMMYFUNCTION("""COMPUTED_VALUE"""),"Rifle")</f>
        <v>Rifle</v>
      </c>
    </row>
    <row r="2053" spans="1:2" ht="12.75">
      <c r="A2053" s="8" t="str">
        <f ca="1">IFERROR(__xludf.DUMMYFUNCTION("""COMPUTED_VALUE"""),"19780222MIEVL")</f>
        <v>19780222MIEVL</v>
      </c>
      <c r="B2053" s="8" t="str">
        <f ca="1">IFERROR(__xludf.DUMMYFUNCTION("""COMPUTED_VALUE"""),"Handgun")</f>
        <v>Handgun</v>
      </c>
    </row>
    <row r="2054" spans="1:2" ht="12.75">
      <c r="A2054" s="8" t="str">
        <f ca="1">IFERROR(__xludf.DUMMYFUNCTION("""COMPUTED_VALUE"""),"19780209WVHAS")</f>
        <v>19780209WVHAS</v>
      </c>
      <c r="B2054" s="8" t="str">
        <f ca="1">IFERROR(__xludf.DUMMYFUNCTION("""COMPUTED_VALUE"""),"Handgun")</f>
        <v>Handgun</v>
      </c>
    </row>
    <row r="2055" spans="1:2" ht="12.75">
      <c r="A2055" s="8" t="str">
        <f ca="1">IFERROR(__xludf.DUMMYFUNCTION("""COMPUTED_VALUE"""),"19780111KYCHH")</f>
        <v>19780111KYCHH</v>
      </c>
      <c r="B2055" s="8" t="str">
        <f ca="1">IFERROR(__xludf.DUMMYFUNCTION("""COMPUTED_VALUE"""),"Handgun")</f>
        <v>Handgun</v>
      </c>
    </row>
    <row r="2056" spans="1:2" ht="12.75">
      <c r="A2056" s="8" t="str">
        <f ca="1">IFERROR(__xludf.DUMMYFUNCTION("""COMPUTED_VALUE"""),"19771215MABLC")</f>
        <v>19771215MABLC</v>
      </c>
      <c r="B2056" s="8" t="str">
        <f ca="1">IFERROR(__xludf.DUMMYFUNCTION("""COMPUTED_VALUE"""),"No Data")</f>
        <v>No Data</v>
      </c>
    </row>
    <row r="2057" spans="1:2" ht="12.75">
      <c r="A2057" s="8" t="str">
        <f ca="1">IFERROR(__xludf.DUMMYFUNCTION("""COMPUTED_VALUE"""),"19771212FLWEW")</f>
        <v>19771212FLWEW</v>
      </c>
      <c r="B2057" s="8" t="str">
        <f ca="1">IFERROR(__xludf.DUMMYFUNCTION("""COMPUTED_VALUE"""),"Handgun")</f>
        <v>Handgun</v>
      </c>
    </row>
    <row r="2058" spans="1:2" ht="12.75">
      <c r="A2058" s="8" t="str">
        <f ca="1">IFERROR(__xludf.DUMMYFUNCTION("""COMPUTED_VALUE"""),"19771209CAPES")</f>
        <v>19771209CAPES</v>
      </c>
      <c r="B2058" s="8" t="str">
        <f ca="1">IFERROR(__xludf.DUMMYFUNCTION("""COMPUTED_VALUE"""),"Handgun")</f>
        <v>Handgun</v>
      </c>
    </row>
    <row r="2059" spans="1:2" ht="12.75">
      <c r="A2059" s="8" t="str">
        <f ca="1">IFERROR(__xludf.DUMMYFUNCTION("""COMPUTED_VALUE"""),"19771129MOVAS")</f>
        <v>19771129MOVAS</v>
      </c>
      <c r="B2059" s="8" t="str">
        <f ca="1">IFERROR(__xludf.DUMMYFUNCTION("""COMPUTED_VALUE"""),"No Data")</f>
        <v>No Data</v>
      </c>
    </row>
    <row r="2060" spans="1:2" ht="12.75">
      <c r="A2060" s="8" t="str">
        <f ca="1">IFERROR(__xludf.DUMMYFUNCTION("""COMPUTED_VALUE"""),"19771129MOHAS")</f>
        <v>19771129MOHAS</v>
      </c>
      <c r="B2060" s="8" t="str">
        <f ca="1">IFERROR(__xludf.DUMMYFUNCTION("""COMPUTED_VALUE"""),"Rifle")</f>
        <v>Rifle</v>
      </c>
    </row>
    <row r="2061" spans="1:2" ht="12.75">
      <c r="A2061" s="8" t="str">
        <f ca="1">IFERROR(__xludf.DUMMYFUNCTION("""COMPUTED_VALUE"""),"19770711COSOC")</f>
        <v>19770711COSOC</v>
      </c>
      <c r="B2061" s="8" t="str">
        <f ca="1">IFERROR(__xludf.DUMMYFUNCTION("""COMPUTED_VALUE"""),"Handgun")</f>
        <v>Handgun</v>
      </c>
    </row>
    <row r="2062" spans="1:2" ht="12.75">
      <c r="A2062" s="8" t="str">
        <f ca="1">IFERROR(__xludf.DUMMYFUNCTION("""COMPUTED_VALUE"""),"19770622ILHOC")</f>
        <v>19770622ILHOC</v>
      </c>
      <c r="B2062" s="8" t="str">
        <f ca="1">IFERROR(__xludf.DUMMYFUNCTION("""COMPUTED_VALUE"""),"No Data")</f>
        <v>No Data</v>
      </c>
    </row>
    <row r="2063" spans="1:2" ht="12.75">
      <c r="A2063" s="8" t="str">
        <f ca="1">IFERROR(__xludf.DUMMYFUNCTION("""COMPUTED_VALUE"""),"19770517FLSTC")</f>
        <v>19770517FLSTC</v>
      </c>
      <c r="B2063" s="8" t="str">
        <f ca="1">IFERROR(__xludf.DUMMYFUNCTION("""COMPUTED_VALUE"""),"Rifle")</f>
        <v>Rifle</v>
      </c>
    </row>
    <row r="2064" spans="1:2" ht="12.75">
      <c r="A2064" s="8" t="str">
        <f ca="1">IFERROR(__xludf.DUMMYFUNCTION("""COMPUTED_VALUE"""),"19770418TNPIN")</f>
        <v>19770418TNPIN</v>
      </c>
      <c r="B2064" s="8" t="str">
        <f ca="1">IFERROR(__xludf.DUMMYFUNCTION("""COMPUTED_VALUE"""),"Handgun")</f>
        <v>Handgun</v>
      </c>
    </row>
    <row r="2065" spans="1:2" ht="12.75">
      <c r="A2065" s="8" t="str">
        <f ca="1">IFERROR(__xludf.DUMMYFUNCTION("""COMPUTED_VALUE"""),"19770407TXWHW")</f>
        <v>19770407TXWHW</v>
      </c>
      <c r="B2065" s="8" t="str">
        <f ca="1">IFERROR(__xludf.DUMMYFUNCTION("""COMPUTED_VALUE"""),"Handgun")</f>
        <v>Handgun</v>
      </c>
    </row>
    <row r="2066" spans="1:2" ht="12.75">
      <c r="A2066" s="8" t="str">
        <f ca="1">IFERROR(__xludf.DUMMYFUNCTION("""COMPUTED_VALUE"""),"19770321NYPAH")</f>
        <v>19770321NYPAH</v>
      </c>
      <c r="B2066" s="8" t="str">
        <f ca="1">IFERROR(__xludf.DUMMYFUNCTION("""COMPUTED_VALUE"""),"Rifle")</f>
        <v>Rifle</v>
      </c>
    </row>
    <row r="2067" spans="1:2" ht="12.75">
      <c r="A2067" s="8" t="str">
        <f ca="1">IFERROR(__xludf.DUMMYFUNCTION("""COMPUTED_VALUE"""),"19770308ILCOE")</f>
        <v>19770308ILCOE</v>
      </c>
      <c r="B2067" s="8" t="str">
        <f ca="1">IFERROR(__xludf.DUMMYFUNCTION("""COMPUTED_VALUE"""),"Handgun")</f>
        <v>Handgun</v>
      </c>
    </row>
    <row r="2068" spans="1:2" ht="12.75">
      <c r="A2068" s="8" t="str">
        <f ca="1">IFERROR(__xludf.DUMMYFUNCTION("""COMPUTED_VALUE"""),"19770228TXHOA")</f>
        <v>19770228TXHOA</v>
      </c>
      <c r="B2068" s="8" t="str">
        <f ca="1">IFERROR(__xludf.DUMMYFUNCTION("""COMPUTED_VALUE"""),"Handgun")</f>
        <v>Handgun</v>
      </c>
    </row>
    <row r="2069" spans="1:2" ht="12.75">
      <c r="A2069" s="8" t="str">
        <f ca="1">IFERROR(__xludf.DUMMYFUNCTION("""COMPUTED_VALUE"""),"19770228MOROS")</f>
        <v>19770228MOROS</v>
      </c>
      <c r="B2069" s="8" t="str">
        <f ca="1">IFERROR(__xludf.DUMMYFUNCTION("""COMPUTED_VALUE"""),"No Data")</f>
        <v>No Data</v>
      </c>
    </row>
    <row r="2070" spans="1:2" ht="12.75">
      <c r="A2070" s="8" t="str">
        <f ca="1">IFERROR(__xludf.DUMMYFUNCTION("""COMPUTED_VALUE"""),"19770209ILFEC")</f>
        <v>19770209ILFEC</v>
      </c>
      <c r="B2070" s="8" t="str">
        <f ca="1">IFERROR(__xludf.DUMMYFUNCTION("""COMPUTED_VALUE"""),"Handgun")</f>
        <v>Handgun</v>
      </c>
    </row>
    <row r="2071" spans="1:2" ht="12.75">
      <c r="A2071" s="8" t="str">
        <f ca="1">IFERROR(__xludf.DUMMYFUNCTION("""COMPUTED_VALUE"""),"19770113ILOLB")</f>
        <v>19770113ILOLB</v>
      </c>
      <c r="B2071" s="8" t="str">
        <f ca="1">IFERROR(__xludf.DUMMYFUNCTION("""COMPUTED_VALUE"""),"Handgun")</f>
        <v>Handgun</v>
      </c>
    </row>
    <row r="2072" spans="1:2" ht="12.75">
      <c r="A2072" s="8" t="str">
        <f ca="1">IFERROR(__xludf.DUMMYFUNCTION("""COMPUTED_VALUE"""),"19761210MOFRS")</f>
        <v>19761210MOFRS</v>
      </c>
      <c r="B2072" s="8" t="str">
        <f ca="1">IFERROR(__xludf.DUMMYFUNCTION("""COMPUTED_VALUE"""),"Handgun")</f>
        <v>Handgun</v>
      </c>
    </row>
    <row r="2073" spans="1:2" ht="12.75">
      <c r="A2073" s="8" t="str">
        <f ca="1">IFERROR(__xludf.DUMMYFUNCTION("""COMPUTED_VALUE"""),"19761110MIBUD")</f>
        <v>19761110MIBUD</v>
      </c>
      <c r="B2073" s="8" t="str">
        <f ca="1">IFERROR(__xludf.DUMMYFUNCTION("""COMPUTED_VALUE"""),"Handgun")</f>
        <v>Handgun</v>
      </c>
    </row>
    <row r="2074" spans="1:2" ht="12.75">
      <c r="A2074" s="8" t="str">
        <f ca="1">IFERROR(__xludf.DUMMYFUNCTION("""COMPUTED_VALUE"""),"19760920NCGUG")</f>
        <v>19760920NCGUG</v>
      </c>
      <c r="B2074" s="8" t="str">
        <f ca="1">IFERROR(__xludf.DUMMYFUNCTION("""COMPUTED_VALUE"""),"Shotgun")</f>
        <v>Shotgun</v>
      </c>
    </row>
    <row r="2075" spans="1:2" ht="12.75">
      <c r="A2075" s="8" t="str">
        <f ca="1">IFERROR(__xludf.DUMMYFUNCTION("""COMPUTED_VALUE"""),"19760602MDMTC")</f>
        <v>19760602MDMTC</v>
      </c>
      <c r="B2075" s="8" t="str">
        <f ca="1">IFERROR(__xludf.DUMMYFUNCTION("""COMPUTED_VALUE"""),"No Data")</f>
        <v>No Data</v>
      </c>
    </row>
    <row r="2076" spans="1:2" ht="12.75">
      <c r="A2076" s="8" t="str">
        <f ca="1">IFERROR(__xludf.DUMMYFUNCTION("""COMPUTED_VALUE"""),"19760514FLPAW")</f>
        <v>19760514FLPAW</v>
      </c>
      <c r="B2076" s="8" t="str">
        <f ca="1">IFERROR(__xludf.DUMMYFUNCTION("""COMPUTED_VALUE"""),"Handgun")</f>
        <v>Handgun</v>
      </c>
    </row>
    <row r="2077" spans="1:2" ht="12.75">
      <c r="A2077" s="8" t="str">
        <f ca="1">IFERROR(__xludf.DUMMYFUNCTION("""COMPUTED_VALUE"""),"19760513MOMAS")</f>
        <v>19760513MOMAS</v>
      </c>
      <c r="B2077" s="8" t="str">
        <f ca="1">IFERROR(__xludf.DUMMYFUNCTION("""COMPUTED_VALUE"""),"Handgun")</f>
        <v>Handgun</v>
      </c>
    </row>
    <row r="2078" spans="1:2" ht="12.75">
      <c r="A2078" s="8" t="str">
        <f ca="1">IFERROR(__xludf.DUMMYFUNCTION("""COMPUTED_VALUE"""),"19760412TXODF")</f>
        <v>19760412TXODF</v>
      </c>
      <c r="B2078" s="8" t="str">
        <f ca="1">IFERROR(__xludf.DUMMYFUNCTION("""COMPUTED_VALUE"""),"Handgun")</f>
        <v>Handgun</v>
      </c>
    </row>
    <row r="2079" spans="1:2" ht="12.75">
      <c r="A2079" s="8" t="str">
        <f ca="1">IFERROR(__xludf.DUMMYFUNCTION("""COMPUTED_VALUE"""),"19760212MIMUD")</f>
        <v>19760212MIMUD</v>
      </c>
      <c r="B2079" s="8" t="str">
        <f ca="1">IFERROR(__xludf.DUMMYFUNCTION("""COMPUTED_VALUE"""),"Handgun")</f>
        <v>Handgun</v>
      </c>
    </row>
    <row r="2080" spans="1:2" ht="12.75">
      <c r="A2080" s="8" t="str">
        <f ca="1">IFERROR(__xludf.DUMMYFUNCTION("""COMPUTED_VALUE"""),"19760206FLESP")</f>
        <v>19760206FLESP</v>
      </c>
      <c r="B2080" s="8" t="str">
        <f ca="1">IFERROR(__xludf.DUMMYFUNCTION("""COMPUTED_VALUE"""),"No Data")</f>
        <v>No Data</v>
      </c>
    </row>
    <row r="2081" spans="1:2" ht="12.75">
      <c r="A2081" s="8" t="str">
        <f ca="1">IFERROR(__xludf.DUMMYFUNCTION("""COMPUTED_VALUE"""),"19760123OHCOC")</f>
        <v>19760123OHCOC</v>
      </c>
      <c r="B2081" s="8" t="str">
        <f ca="1">IFERROR(__xludf.DUMMYFUNCTION("""COMPUTED_VALUE"""),"Handgun")</f>
        <v>Handgun</v>
      </c>
    </row>
    <row r="2082" spans="1:2" ht="12.75">
      <c r="A2082" s="8" t="str">
        <f ca="1">IFERROR(__xludf.DUMMYFUNCTION("""COMPUTED_VALUE"""),"19760101AZCAP")</f>
        <v>19760101AZCAP</v>
      </c>
      <c r="B2082" s="8" t="str">
        <f ca="1">IFERROR(__xludf.DUMMYFUNCTION("""COMPUTED_VALUE"""),"Rifle")</f>
        <v>Rifle</v>
      </c>
    </row>
    <row r="2083" spans="1:2" ht="12.75">
      <c r="A2083" s="8" t="str">
        <f ca="1">IFERROR(__xludf.DUMMYFUNCTION("""COMPUTED_VALUE"""),"19751218CAORS")</f>
        <v>19751218CAORS</v>
      </c>
      <c r="B2083" s="8" t="str">
        <f ca="1">IFERROR(__xludf.DUMMYFUNCTION("""COMPUTED_VALUE"""),"Rifle")</f>
        <v>Rifle</v>
      </c>
    </row>
    <row r="2084" spans="1:2" ht="12.75">
      <c r="A2084" s="8" t="str">
        <f ca="1">IFERROR(__xludf.DUMMYFUNCTION("""COMPUTED_VALUE"""),"19751024GAMUA")</f>
        <v>19751024GAMUA</v>
      </c>
      <c r="B2084" s="8" t="str">
        <f ca="1">IFERROR(__xludf.DUMMYFUNCTION("""COMPUTED_VALUE"""),"Handgun")</f>
        <v>Handgun</v>
      </c>
    </row>
    <row r="2085" spans="1:2" ht="12.75">
      <c r="A2085" s="8" t="str">
        <f ca="1">IFERROR(__xludf.DUMMYFUNCTION("""COMPUTED_VALUE"""),"19751001NMHEA")</f>
        <v>19751001NMHEA</v>
      </c>
      <c r="B2085" s="8" t="str">
        <f ca="1">IFERROR(__xludf.DUMMYFUNCTION("""COMPUTED_VALUE"""),"Handgun")</f>
        <v>Handgun</v>
      </c>
    </row>
    <row r="2086" spans="1:2" ht="12.75">
      <c r="A2086" s="8" t="str">
        <f ca="1">IFERROR(__xludf.DUMMYFUNCTION("""COMPUTED_VALUE"""),"19750911OKGRO")</f>
        <v>19750911OKGRO</v>
      </c>
      <c r="B2086" s="8" t="str">
        <f ca="1">IFERROR(__xludf.DUMMYFUNCTION("""COMPUTED_VALUE"""),"Unknown")</f>
        <v>Unknown</v>
      </c>
    </row>
    <row r="2087" spans="1:2" ht="12.75">
      <c r="A2087" s="8" t="str">
        <f ca="1">IFERROR(__xludf.DUMMYFUNCTION("""COMPUTED_VALUE"""),"19750711MOCES")</f>
        <v>19750711MOCES</v>
      </c>
      <c r="B2087" s="8" t="str">
        <f ca="1">IFERROR(__xludf.DUMMYFUNCTION("""COMPUTED_VALUE"""),"Handgun")</f>
        <v>Handgun</v>
      </c>
    </row>
    <row r="2088" spans="1:2" ht="12.75">
      <c r="A2088" s="8" t="str">
        <f ca="1">IFERROR(__xludf.DUMMYFUNCTION("""COMPUTED_VALUE"""),"19750709ILDEC")</f>
        <v>19750709ILDEC</v>
      </c>
      <c r="B2088" s="8" t="str">
        <f ca="1">IFERROR(__xludf.DUMMYFUNCTION("""COMPUTED_VALUE"""),"No Data")</f>
        <v>No Data</v>
      </c>
    </row>
    <row r="2089" spans="1:2" ht="12.75">
      <c r="A2089" s="8" t="str">
        <f ca="1">IFERROR(__xludf.DUMMYFUNCTION("""COMPUTED_VALUE"""),"19750527MIPID")</f>
        <v>19750527MIPID</v>
      </c>
      <c r="B2089" s="8" t="str">
        <f ca="1">IFERROR(__xludf.DUMMYFUNCTION("""COMPUTED_VALUE"""),"Rifle")</f>
        <v>Rifle</v>
      </c>
    </row>
    <row r="2090" spans="1:2" ht="12.75">
      <c r="A2090" s="8" t="str">
        <f ca="1">IFERROR(__xludf.DUMMYFUNCTION("""COMPUTED_VALUE"""),"19750515MOROS")</f>
        <v>19750515MOROS</v>
      </c>
      <c r="B2090" s="8" t="str">
        <f ca="1">IFERROR(__xludf.DUMMYFUNCTION("""COMPUTED_VALUE"""),"Handgun")</f>
        <v>Handgun</v>
      </c>
    </row>
    <row r="2091" spans="1:2" ht="12.75">
      <c r="A2091" s="8" t="str">
        <f ca="1">IFERROR(__xludf.DUMMYFUNCTION("""COMPUTED_VALUE"""),"19750321VAFAR")</f>
        <v>19750321VAFAR</v>
      </c>
      <c r="B2091" s="8" t="str">
        <f ca="1">IFERROR(__xludf.DUMMYFUNCTION("""COMPUTED_VALUE"""),"Rifle")</f>
        <v>Rifle</v>
      </c>
    </row>
    <row r="2092" spans="1:2" ht="12.75">
      <c r="A2092" s="8" t="str">
        <f ca="1">IFERROR(__xludf.DUMMYFUNCTION("""COMPUTED_VALUE"""),"19750321OHPAD")</f>
        <v>19750321OHPAD</v>
      </c>
      <c r="B2092" s="8" t="str">
        <f ca="1">IFERROR(__xludf.DUMMYFUNCTION("""COMPUTED_VALUE"""),"Handgun")</f>
        <v>Handgun</v>
      </c>
    </row>
    <row r="2093" spans="1:2" ht="12.75">
      <c r="A2093" s="8" t="str">
        <f ca="1">IFERROR(__xludf.DUMMYFUNCTION("""COMPUTED_VALUE"""),"19750318MOSUS")</f>
        <v>19750318MOSUS</v>
      </c>
      <c r="B2093" s="8" t="str">
        <f ca="1">IFERROR(__xludf.DUMMYFUNCTION("""COMPUTED_VALUE"""),"Unknown")</f>
        <v>Unknown</v>
      </c>
    </row>
    <row r="2094" spans="1:2" ht="12.75">
      <c r="A2094" s="8" t="str">
        <f ca="1">IFERROR(__xludf.DUMMYFUNCTION("""COMPUTED_VALUE"""),"19750312TXJOH")</f>
        <v>19750312TXJOH</v>
      </c>
      <c r="B2094" s="8" t="str">
        <f ca="1">IFERROR(__xludf.DUMMYFUNCTION("""COMPUTED_VALUE"""),"Handgun")</f>
        <v>Handgun</v>
      </c>
    </row>
    <row r="2095" spans="1:2" ht="12.75">
      <c r="A2095" s="8" t="str">
        <f ca="1">IFERROR(__xludf.DUMMYFUNCTION("""COMPUTED_VALUE"""),"19750224NJSTP")</f>
        <v>19750224NJSTP</v>
      </c>
      <c r="B2095" s="8" t="str">
        <f ca="1">IFERROR(__xludf.DUMMYFUNCTION("""COMPUTED_VALUE"""),"Shotgun")</f>
        <v>Shotgun</v>
      </c>
    </row>
    <row r="2096" spans="1:2" ht="12.75">
      <c r="A2096" s="8" t="str">
        <f ca="1">IFERROR(__xludf.DUMMYFUNCTION("""COMPUTED_VALUE"""),"19750207NYBOM")</f>
        <v>19750207NYBOM</v>
      </c>
      <c r="B2096" s="8" t="str">
        <f ca="1">IFERROR(__xludf.DUMMYFUNCTION("""COMPUTED_VALUE"""),"Handgun")</f>
        <v>Handgun</v>
      </c>
    </row>
    <row r="2097" spans="1:2" ht="12.75">
      <c r="A2097" s="8" t="str">
        <f ca="1">IFERROR(__xludf.DUMMYFUNCTION("""COMPUTED_VALUE"""),"19741230NYOLO")</f>
        <v>19741230NYOLO</v>
      </c>
      <c r="B2097" s="8" t="str">
        <f ca="1">IFERROR(__xludf.DUMMYFUNCTION("""COMPUTED_VALUE"""),"Multiple Unknown")</f>
        <v>Multiple Unknown</v>
      </c>
    </row>
    <row r="2098" spans="1:2" ht="12.75">
      <c r="A2098" s="8" t="str">
        <f ca="1">IFERROR(__xludf.DUMMYFUNCTION("""COMPUTED_VALUE"""),"19741218CAMAL")</f>
        <v>19741218CAMAL</v>
      </c>
      <c r="B2098" s="8" t="str">
        <f ca="1">IFERROR(__xludf.DUMMYFUNCTION("""COMPUTED_VALUE"""),"Handgun")</f>
        <v>Handgun</v>
      </c>
    </row>
    <row r="2099" spans="1:2" ht="12.75">
      <c r="A2099" s="8" t="str">
        <f ca="1">IFERROR(__xludf.DUMMYFUNCTION("""COMPUTED_VALUE"""),"19741125SCCAC")</f>
        <v>19741125SCCAC</v>
      </c>
      <c r="B2099" s="8" t="str">
        <f ca="1">IFERROR(__xludf.DUMMYFUNCTION("""COMPUTED_VALUE"""),"Handgun")</f>
        <v>Handgun</v>
      </c>
    </row>
    <row r="2100" spans="1:2" ht="12.75">
      <c r="A2100" s="8" t="str">
        <f ca="1">IFERROR(__xludf.DUMMYFUNCTION("""COMPUTED_VALUE"""),"19741121ARBOL")</f>
        <v>19741121ARBOL</v>
      </c>
      <c r="B2100" s="8" t="str">
        <f ca="1">IFERROR(__xludf.DUMMYFUNCTION("""COMPUTED_VALUE"""),"Handgun")</f>
        <v>Handgun</v>
      </c>
    </row>
    <row r="2101" spans="1:2" ht="12.75">
      <c r="A2101" s="8" t="str">
        <f ca="1">IFERROR(__xludf.DUMMYFUNCTION("""COMPUTED_VALUE"""),"19741118SCCAC")</f>
        <v>19741118SCCAC</v>
      </c>
      <c r="B2101" s="8" t="str">
        <f ca="1">IFERROR(__xludf.DUMMYFUNCTION("""COMPUTED_VALUE"""),"No Data")</f>
        <v>No Data</v>
      </c>
    </row>
    <row r="2102" spans="1:2" ht="12.75">
      <c r="A2102" s="8" t="str">
        <f ca="1">IFERROR(__xludf.DUMMYFUNCTION("""COMPUTED_VALUE"""),"19741021MDDOB")</f>
        <v>19741021MDDOB</v>
      </c>
      <c r="B2102" s="8" t="str">
        <f ca="1">IFERROR(__xludf.DUMMYFUNCTION("""COMPUTED_VALUE"""),"Handgun")</f>
        <v>Handgun</v>
      </c>
    </row>
    <row r="2103" spans="1:2" ht="12.75">
      <c r="A2103" s="8" t="str">
        <f ca="1">IFERROR(__xludf.DUMMYFUNCTION("""COMPUTED_VALUE"""),"19741007LADEH")</f>
        <v>19741007LADEH</v>
      </c>
      <c r="B2103" s="8" t="str">
        <f ca="1">IFERROR(__xludf.DUMMYFUNCTION("""COMPUTED_VALUE"""),"Handgun")</f>
        <v>Handgun</v>
      </c>
    </row>
    <row r="2104" spans="1:2" ht="12.75">
      <c r="A2104" s="8" t="str">
        <f ca="1">IFERROR(__xludf.DUMMYFUNCTION("""COMPUTED_VALUE"""),"19740925CASAL")</f>
        <v>19740925CASAL</v>
      </c>
      <c r="B2104" s="8" t="str">
        <f ca="1">IFERROR(__xludf.DUMMYFUNCTION("""COMPUTED_VALUE"""),"Handgun")</f>
        <v>Handgun</v>
      </c>
    </row>
    <row r="2105" spans="1:2" ht="12.75">
      <c r="A2105" s="8" t="str">
        <f ca="1">IFERROR(__xludf.DUMMYFUNCTION("""COMPUTED_VALUE"""),"19740923CAJED")</f>
        <v>19740923CAJED</v>
      </c>
      <c r="B2105" s="8" t="str">
        <f ca="1">IFERROR(__xludf.DUMMYFUNCTION("""COMPUTED_VALUE"""),"Handgun")</f>
        <v>Handgun</v>
      </c>
    </row>
    <row r="2106" spans="1:2" ht="12.75">
      <c r="A2106" s="8" t="str">
        <f ca="1">IFERROR(__xludf.DUMMYFUNCTION("""COMPUTED_VALUE"""),"19740519FLHIO")</f>
        <v>19740519FLHIO</v>
      </c>
      <c r="B2106" s="8" t="str">
        <f ca="1">IFERROR(__xludf.DUMMYFUNCTION("""COMPUTED_VALUE"""),"Rifle")</f>
        <v>Rifle</v>
      </c>
    </row>
    <row r="2107" spans="1:2" ht="12.75">
      <c r="A2107" s="8" t="str">
        <f ca="1">IFERROR(__xludf.DUMMYFUNCTION("""COMPUTED_VALUE"""),"19740510TNCHR")</f>
        <v>19740510TNCHR</v>
      </c>
      <c r="B2107" s="8" t="str">
        <f ca="1">IFERROR(__xludf.DUMMYFUNCTION("""COMPUTED_VALUE"""),"Handgun")</f>
        <v>Handgun</v>
      </c>
    </row>
    <row r="2108" spans="1:2" ht="12.75">
      <c r="A2108" s="8" t="str">
        <f ca="1">IFERROR(__xludf.DUMMYFUNCTION("""COMPUTED_VALUE"""),"19740402CTSTB")</f>
        <v>19740402CTSTB</v>
      </c>
      <c r="B2108" s="8" t="str">
        <f ca="1">IFERROR(__xludf.DUMMYFUNCTION("""COMPUTED_VALUE"""),"Other")</f>
        <v>Other</v>
      </c>
    </row>
    <row r="2109" spans="1:2" ht="12.75">
      <c r="A2109" s="8" t="str">
        <f ca="1">IFERROR(__xludf.DUMMYFUNCTION("""COMPUTED_VALUE"""),"19740322INBRB")</f>
        <v>19740322INBRB</v>
      </c>
      <c r="B2109" s="8" t="str">
        <f ca="1">IFERROR(__xludf.DUMMYFUNCTION("""COMPUTED_VALUE"""),"Rifle")</f>
        <v>Rifle</v>
      </c>
    </row>
    <row r="2110" spans="1:2" ht="12.75">
      <c r="A2110" s="8" t="str">
        <f ca="1">IFERROR(__xludf.DUMMYFUNCTION("""COMPUTED_VALUE"""),"19740207CAJAO")</f>
        <v>19740207CAJAO</v>
      </c>
      <c r="B2110" s="8" t="str">
        <f ca="1">IFERROR(__xludf.DUMMYFUNCTION("""COMPUTED_VALUE"""),"Handgun")</f>
        <v>Handgun</v>
      </c>
    </row>
    <row r="2111" spans="1:2" ht="12.75">
      <c r="A2111" s="8" t="str">
        <f ca="1">IFERROR(__xludf.DUMMYFUNCTION("""COMPUTED_VALUE"""),"19740122CALOL")</f>
        <v>19740122CALOL</v>
      </c>
      <c r="B2111" s="8" t="str">
        <f ca="1">IFERROR(__xludf.DUMMYFUNCTION("""COMPUTED_VALUE"""),"No Data")</f>
        <v>No Data</v>
      </c>
    </row>
    <row r="2112" spans="1:2" ht="12.75">
      <c r="A2112" s="8" t="str">
        <f ca="1">IFERROR(__xludf.DUMMYFUNCTION("""COMPUTED_VALUE"""),"19740117ILBAC")</f>
        <v>19740117ILBAC</v>
      </c>
      <c r="B2112" s="8" t="str">
        <f ca="1">IFERROR(__xludf.DUMMYFUNCTION("""COMPUTED_VALUE"""),"Handgun")</f>
        <v>Handgun</v>
      </c>
    </row>
    <row r="2113" spans="1:2" ht="12.75">
      <c r="A2113" s="8" t="str">
        <f ca="1">IFERROR(__xludf.DUMMYFUNCTION("""COMPUTED_VALUE"""),"19740117ILBAC")</f>
        <v>19740117ILBAC</v>
      </c>
      <c r="B2113" s="8" t="str">
        <f ca="1">IFERROR(__xludf.DUMMYFUNCTION("""COMPUTED_VALUE"""),"Handgun")</f>
        <v>Handgun</v>
      </c>
    </row>
    <row r="2114" spans="1:2" ht="12.75">
      <c r="A2114" s="8" t="str">
        <f ca="1">IFERROR(__xludf.DUMMYFUNCTION("""COMPUTED_VALUE"""),"19731213OHHUC")</f>
        <v>19731213OHHUC</v>
      </c>
      <c r="B2114" s="8" t="str">
        <f ca="1">IFERROR(__xludf.DUMMYFUNCTION("""COMPUTED_VALUE"""),"Handgun")</f>
        <v>Handgun</v>
      </c>
    </row>
    <row r="2115" spans="1:2" ht="12.75">
      <c r="A2115" s="8" t="str">
        <f ca="1">IFERROR(__xludf.DUMMYFUNCTION("""COMPUTED_VALUE"""),"19731206CAFRL")</f>
        <v>19731206CAFRL</v>
      </c>
      <c r="B2115" s="8" t="str">
        <f ca="1">IFERROR(__xludf.DUMMYFUNCTION("""COMPUTED_VALUE"""),"Handgun")</f>
        <v>Handgun</v>
      </c>
    </row>
    <row r="2116" spans="1:2" ht="12.75">
      <c r="A2116" s="8" t="str">
        <f ca="1">IFERROR(__xludf.DUMMYFUNCTION("""COMPUTED_VALUE"""),"19731109CALOL")</f>
        <v>19731109CALOL</v>
      </c>
      <c r="B2116" s="8" t="str">
        <f ca="1">IFERROR(__xludf.DUMMYFUNCTION("""COMPUTED_VALUE"""),"No Data")</f>
        <v>No Data</v>
      </c>
    </row>
    <row r="2117" spans="1:2" ht="12.75">
      <c r="A2117" s="8" t="str">
        <f ca="1">IFERROR(__xludf.DUMMYFUNCTION("""COMPUTED_VALUE"""),"19731108ILWOC")</f>
        <v>19731108ILWOC</v>
      </c>
      <c r="B2117" s="8" t="str">
        <f ca="1">IFERROR(__xludf.DUMMYFUNCTION("""COMPUTED_VALUE"""),"Handgun")</f>
        <v>Handgun</v>
      </c>
    </row>
    <row r="2118" spans="1:2" ht="12.75">
      <c r="A2118" s="8" t="str">
        <f ca="1">IFERROR(__xludf.DUMMYFUNCTION("""COMPUTED_VALUE"""),"19731031MONOS")</f>
        <v>19731031MONOS</v>
      </c>
      <c r="B2118" s="8" t="str">
        <f ca="1">IFERROR(__xludf.DUMMYFUNCTION("""COMPUTED_VALUE"""),"Shotgun")</f>
        <v>Shotgun</v>
      </c>
    </row>
    <row r="2119" spans="1:2" ht="12.75">
      <c r="A2119" s="8" t="str">
        <f ca="1">IFERROR(__xludf.DUMMYFUNCTION("""COMPUTED_VALUE"""),"19731024MNCEM")</f>
        <v>19731024MNCEM</v>
      </c>
      <c r="B2119" s="8" t="str">
        <f ca="1">IFERROR(__xludf.DUMMYFUNCTION("""COMPUTED_VALUE"""),"Shotgun")</f>
        <v>Shotgun</v>
      </c>
    </row>
    <row r="2120" spans="1:2" ht="12.75">
      <c r="A2120" s="8" t="str">
        <f ca="1">IFERROR(__xludf.DUMMYFUNCTION("""COMPUTED_VALUE"""),"19731023OHBAB")</f>
        <v>19731023OHBAB</v>
      </c>
      <c r="B2120" s="8" t="str">
        <f ca="1">IFERROR(__xludf.DUMMYFUNCTION("""COMPUTED_VALUE"""),"Handgun")</f>
        <v>Handgun</v>
      </c>
    </row>
    <row r="2121" spans="1:2" ht="12.75">
      <c r="A2121" s="8" t="str">
        <f ca="1">IFERROR(__xludf.DUMMYFUNCTION("""COMPUTED_VALUE"""),"19731023MOSUS")</f>
        <v>19731023MOSUS</v>
      </c>
      <c r="B2121" s="8" t="str">
        <f ca="1">IFERROR(__xludf.DUMMYFUNCTION("""COMPUTED_VALUE"""),"Multiple Unknown")</f>
        <v>Multiple Unknown</v>
      </c>
    </row>
    <row r="2122" spans="1:2" ht="12.75">
      <c r="A2122" s="8" t="str">
        <f ca="1">IFERROR(__xludf.DUMMYFUNCTION("""COMPUTED_VALUE"""),"19731019MOBES")</f>
        <v>19731019MOBES</v>
      </c>
      <c r="B2122" s="8" t="str">
        <f ca="1">IFERROR(__xludf.DUMMYFUNCTION("""COMPUTED_VALUE"""),"No Data")</f>
        <v>No Data</v>
      </c>
    </row>
    <row r="2123" spans="1:2" ht="12.75">
      <c r="A2123" s="8" t="str">
        <f ca="1">IFERROR(__xludf.DUMMYFUNCTION("""COMPUTED_VALUE"""),"19731002ILELA")</f>
        <v>19731002ILELA</v>
      </c>
      <c r="B2123" s="8" t="str">
        <f ca="1">IFERROR(__xludf.DUMMYFUNCTION("""COMPUTED_VALUE"""),"Handgun")</f>
        <v>Handgun</v>
      </c>
    </row>
    <row r="2124" spans="1:2" ht="12.75">
      <c r="A2124" s="8" t="str">
        <f ca="1">IFERROR(__xludf.DUMMYFUNCTION("""COMPUTED_VALUE"""),"19730928CAWIL")</f>
        <v>19730928CAWIL</v>
      </c>
      <c r="B2124" s="8" t="str">
        <f ca="1">IFERROR(__xludf.DUMMYFUNCTION("""COMPUTED_VALUE"""),"Handgun")</f>
        <v>Handgun</v>
      </c>
    </row>
    <row r="2125" spans="1:2" ht="12.75">
      <c r="A2125" s="8" t="str">
        <f ca="1">IFERROR(__xludf.DUMMYFUNCTION("""COMPUTED_VALUE"""),"19730501OHRAY")</f>
        <v>19730501OHRAY</v>
      </c>
      <c r="B2125" s="8" t="str">
        <f ca="1">IFERROR(__xludf.DUMMYFUNCTION("""COMPUTED_VALUE"""),"Handgun")</f>
        <v>Handgun</v>
      </c>
    </row>
    <row r="2126" spans="1:2" ht="12.75">
      <c r="A2126" s="8" t="str">
        <f ca="1">IFERROR(__xludf.DUMMYFUNCTION("""COMPUTED_VALUE"""),"19730405CALOL")</f>
        <v>19730405CALOL</v>
      </c>
      <c r="B2126" s="8" t="str">
        <f ca="1">IFERROR(__xludf.DUMMYFUNCTION("""COMPUTED_VALUE"""),"Handgun")</f>
        <v>Handgun</v>
      </c>
    </row>
    <row r="2127" spans="1:2" ht="12.75">
      <c r="A2127" s="8" t="str">
        <f ca="1">IFERROR(__xludf.DUMMYFUNCTION("""COMPUTED_VALUE"""),"19730226VAARR")</f>
        <v>19730226VAARR</v>
      </c>
      <c r="B2127" s="8" t="str">
        <f ca="1">IFERROR(__xludf.DUMMYFUNCTION("""COMPUTED_VALUE"""),"Handgun")</f>
        <v>Handgun</v>
      </c>
    </row>
    <row r="2128" spans="1:2" ht="12.75">
      <c r="A2128" s="8" t="str">
        <f ca="1">IFERROR(__xludf.DUMMYFUNCTION("""COMPUTED_VALUE"""),"19730212ALBOM")</f>
        <v>19730212ALBOM</v>
      </c>
      <c r="B2128" s="8" t="str">
        <f ca="1">IFERROR(__xludf.DUMMYFUNCTION("""COMPUTED_VALUE"""),"Handgun")</f>
        <v>Handgun</v>
      </c>
    </row>
    <row r="2129" spans="1:2" ht="12.75">
      <c r="A2129" s="8" t="str">
        <f ca="1">IFERROR(__xludf.DUMMYFUNCTION("""COMPUTED_VALUE"""),"19730131NCCUB")</f>
        <v>19730131NCCUB</v>
      </c>
      <c r="B2129" s="8" t="str">
        <f ca="1">IFERROR(__xludf.DUMMYFUNCTION("""COMPUTED_VALUE"""),"Handgun")</f>
        <v>Handgun</v>
      </c>
    </row>
    <row r="2130" spans="1:2" ht="12.75">
      <c r="A2130" s="8" t="str">
        <f ca="1">IFERROR(__xludf.DUMMYFUNCTION("""COMPUTED_VALUE"""),"19730118CAJOL")</f>
        <v>19730118CAJOL</v>
      </c>
      <c r="B2130" s="8" t="str">
        <f ca="1">IFERROR(__xludf.DUMMYFUNCTION("""COMPUTED_VALUE"""),"Handgun")</f>
        <v>Handgun</v>
      </c>
    </row>
    <row r="2131" spans="1:2" ht="12.75">
      <c r="A2131" s="8" t="str">
        <f ca="1">IFERROR(__xludf.DUMMYFUNCTION("""COMPUTED_VALUE"""),"19730105NCSOS")</f>
        <v>19730105NCSOS</v>
      </c>
      <c r="B2131" s="8" t="str">
        <f ca="1">IFERROR(__xludf.DUMMYFUNCTION("""COMPUTED_VALUE"""),"Handgun")</f>
        <v>Handgun</v>
      </c>
    </row>
    <row r="2132" spans="1:2" ht="12.75">
      <c r="A2132" s="8" t="str">
        <f ca="1">IFERROR(__xludf.DUMMYFUNCTION("""COMPUTED_VALUE"""),"19721129FLMIM")</f>
        <v>19721129FLMIM</v>
      </c>
      <c r="B2132" s="8" t="str">
        <f ca="1">IFERROR(__xludf.DUMMYFUNCTION("""COMPUTED_VALUE"""),"No Data")</f>
        <v>No Data</v>
      </c>
    </row>
    <row r="2133" spans="1:2" ht="12.75">
      <c r="A2133" s="8" t="str">
        <f ca="1">IFERROR(__xludf.DUMMYFUNCTION("""COMPUTED_VALUE"""),"19721127MIPOP")</f>
        <v>19721127MIPOP</v>
      </c>
      <c r="B2133" s="8" t="str">
        <f ca="1">IFERROR(__xludf.DUMMYFUNCTION("""COMPUTED_VALUE"""),"No Data")</f>
        <v>No Data</v>
      </c>
    </row>
    <row r="2134" spans="1:2" ht="12.75">
      <c r="A2134" s="8" t="str">
        <f ca="1">IFERROR(__xludf.DUMMYFUNCTION("""COMPUTED_VALUE"""),"19721111CAJEL")</f>
        <v>19721111CAJEL</v>
      </c>
      <c r="B2134" s="8" t="str">
        <f ca="1">IFERROR(__xludf.DUMMYFUNCTION("""COMPUTED_VALUE"""),"No Data")</f>
        <v>No Data</v>
      </c>
    </row>
    <row r="2135" spans="1:2" ht="12.75">
      <c r="A2135" s="8" t="str">
        <f ca="1">IFERROR(__xludf.DUMMYFUNCTION("""COMPUTED_VALUE"""),"19720921OHTHA")</f>
        <v>19720921OHTHA</v>
      </c>
      <c r="B2135" s="8" t="str">
        <f ca="1">IFERROR(__xludf.DUMMYFUNCTION("""COMPUTED_VALUE"""),"Handgun")</f>
        <v>Handgun</v>
      </c>
    </row>
    <row r="2136" spans="1:2" ht="12.75">
      <c r="A2136" s="8" t="str">
        <f ca="1">IFERROR(__xludf.DUMMYFUNCTION("""COMPUTED_VALUE"""),"19720919TXCUH")</f>
        <v>19720919TXCUH</v>
      </c>
      <c r="B2136" s="8" t="str">
        <f ca="1">IFERROR(__xludf.DUMMYFUNCTION("""COMPUTED_VALUE"""),"Handgun")</f>
        <v>Handgun</v>
      </c>
    </row>
    <row r="2137" spans="1:2" ht="12.75">
      <c r="A2137" s="8" t="str">
        <f ca="1">IFERROR(__xludf.DUMMYFUNCTION("""COMPUTED_VALUE"""),"19720915MISAS")</f>
        <v>19720915MISAS</v>
      </c>
      <c r="B2137" s="8" t="str">
        <f ca="1">IFERROR(__xludf.DUMMYFUNCTION("""COMPUTED_VALUE"""),"No Data")</f>
        <v>No Data</v>
      </c>
    </row>
    <row r="2138" spans="1:2" ht="12.75">
      <c r="A2138" s="8" t="str">
        <f ca="1">IFERROR(__xludf.DUMMYFUNCTION("""COMPUTED_VALUE"""),"19720914TXFRH")</f>
        <v>19720914TXFRH</v>
      </c>
      <c r="B2138" s="8" t="str">
        <f ca="1">IFERROR(__xludf.DUMMYFUNCTION("""COMPUTED_VALUE"""),"Handgun")</f>
        <v>Handgun</v>
      </c>
    </row>
    <row r="2139" spans="1:2" ht="12.75">
      <c r="A2139" s="8" t="str">
        <f ca="1">IFERROR(__xludf.DUMMYFUNCTION("""COMPUTED_VALUE"""),"19720505INDEI")</f>
        <v>19720505INDEI</v>
      </c>
      <c r="B2139" s="8" t="str">
        <f ca="1">IFERROR(__xludf.DUMMYFUNCTION("""COMPUTED_VALUE"""),"Handgun")</f>
        <v>Handgun</v>
      </c>
    </row>
    <row r="2140" spans="1:2" ht="12.75">
      <c r="A2140" s="8" t="str">
        <f ca="1">IFERROR(__xludf.DUMMYFUNCTION("""COMPUTED_VALUE"""),"19720504NVLIR")</f>
        <v>19720504NVLIR</v>
      </c>
      <c r="B2140" s="8" t="str">
        <f ca="1">IFERROR(__xludf.DUMMYFUNCTION("""COMPUTED_VALUE"""),"Handgun")</f>
        <v>Handgun</v>
      </c>
    </row>
    <row r="2141" spans="1:2" ht="12.75">
      <c r="A2141" s="8" t="str">
        <f ca="1">IFERROR(__xludf.DUMMYFUNCTION("""COMPUTED_VALUE"""),"19720412LAEAG")</f>
        <v>19720412LAEAG</v>
      </c>
      <c r="B2141" s="8" t="str">
        <f ca="1">IFERROR(__xludf.DUMMYFUNCTION("""COMPUTED_VALUE"""),"No Data")</f>
        <v>No Data</v>
      </c>
    </row>
    <row r="2142" spans="1:2" ht="12.75">
      <c r="A2142" s="8" t="str">
        <f ca="1">IFERROR(__xludf.DUMMYFUNCTION("""COMPUTED_VALUE"""),"19720313TXUNH")</f>
        <v>19720313TXUNH</v>
      </c>
      <c r="B2142" s="8" t="str">
        <f ca="1">IFERROR(__xludf.DUMMYFUNCTION("""COMPUTED_VALUE"""),"Handgun")</f>
        <v>Handgun</v>
      </c>
    </row>
    <row r="2143" spans="1:2" ht="12.75">
      <c r="A2143" s="8" t="str">
        <f ca="1">IFERROR(__xludf.DUMMYFUNCTION("""COMPUTED_VALUE"""),"19720228CAMAL")</f>
        <v>19720228CAMAL</v>
      </c>
      <c r="B2143" s="8" t="str">
        <f ca="1">IFERROR(__xludf.DUMMYFUNCTION("""COMPUTED_VALUE"""),"Handgun")</f>
        <v>Handgun</v>
      </c>
    </row>
    <row r="2144" spans="1:2" ht="12.75">
      <c r="A2144" s="8" t="str">
        <f ca="1">IFERROR(__xludf.DUMMYFUNCTION("""COMPUTED_VALUE"""),"19720215ILKEC")</f>
        <v>19720215ILKEC</v>
      </c>
      <c r="B2144" s="8" t="str">
        <f ca="1">IFERROR(__xludf.DUMMYFUNCTION("""COMPUTED_VALUE"""),"Handgun")</f>
        <v>Handgun</v>
      </c>
    </row>
    <row r="2145" spans="1:2" ht="12.75">
      <c r="A2145" s="8" t="str">
        <f ca="1">IFERROR(__xludf.DUMMYFUNCTION("""COMPUTED_VALUE"""),"19720214ILCAC")</f>
        <v>19720214ILCAC</v>
      </c>
      <c r="B2145" s="8" t="str">
        <f ca="1">IFERROR(__xludf.DUMMYFUNCTION("""COMPUTED_VALUE"""),"Handgun")</f>
        <v>Handgun</v>
      </c>
    </row>
    <row r="2146" spans="1:2" ht="12.75">
      <c r="A2146" s="8" t="str">
        <f ca="1">IFERROR(__xludf.DUMMYFUNCTION("""COMPUTED_VALUE"""),"19720126MDHAB")</f>
        <v>19720126MDHAB</v>
      </c>
      <c r="B2146" s="8" t="str">
        <f ca="1">IFERROR(__xludf.DUMMYFUNCTION("""COMPUTED_VALUE"""),"Rifle")</f>
        <v>Rifle</v>
      </c>
    </row>
    <row r="2147" spans="1:2" ht="12.75">
      <c r="A2147" s="8" t="str">
        <f ca="1">IFERROR(__xludf.DUMMYFUNCTION("""COMPUTED_VALUE"""),"19720126MDGWB")</f>
        <v>19720126MDGWB</v>
      </c>
      <c r="B2147" s="8" t="str">
        <f ca="1">IFERROR(__xludf.DUMMYFUNCTION("""COMPUTED_VALUE"""),"Handgun")</f>
        <v>Handgun</v>
      </c>
    </row>
    <row r="2148" spans="1:2" ht="12.75">
      <c r="A2148" s="8" t="str">
        <f ca="1">IFERROR(__xludf.DUMMYFUNCTION("""COMPUTED_VALUE"""),"19720124OHSTS")</f>
        <v>19720124OHSTS</v>
      </c>
      <c r="B2148" s="8" t="str">
        <f ca="1">IFERROR(__xludf.DUMMYFUNCTION("""COMPUTED_VALUE"""),"Handgun")</f>
        <v>Handgun</v>
      </c>
    </row>
    <row r="2149" spans="1:2" ht="12.75">
      <c r="A2149" s="8" t="str">
        <f ca="1">IFERROR(__xludf.DUMMYFUNCTION("""COMPUTED_VALUE"""),"19720105DCPAW")</f>
        <v>19720105DCPAW</v>
      </c>
      <c r="B2149" s="8" t="str">
        <f ca="1">IFERROR(__xludf.DUMMYFUNCTION("""COMPUTED_VALUE"""),"Handgun")</f>
        <v>Handgun</v>
      </c>
    </row>
    <row r="2150" spans="1:2" ht="12.75">
      <c r="A2150" s="8" t="str">
        <f ca="1">IFERROR(__xludf.DUMMYFUNCTION("""COMPUTED_VALUE"""),"19711213MDCAB")</f>
        <v>19711213MDCAB</v>
      </c>
      <c r="B2150" s="8" t="str">
        <f ca="1">IFERROR(__xludf.DUMMYFUNCTION("""COMPUTED_VALUE"""),"Handgun")</f>
        <v>Handgun</v>
      </c>
    </row>
    <row r="2151" spans="1:2" ht="12.75">
      <c r="A2151" s="8" t="str">
        <f ca="1">IFERROR(__xludf.DUMMYFUNCTION("""COMPUTED_VALUE"""),"19711206CALOL")</f>
        <v>19711206CALOL</v>
      </c>
      <c r="B2151" s="8" t="str">
        <f ca="1">IFERROR(__xludf.DUMMYFUNCTION("""COMPUTED_VALUE"""),"Handgun")</f>
        <v>Handgun</v>
      </c>
    </row>
    <row r="2152" spans="1:2" ht="12.75">
      <c r="A2152" s="8" t="str">
        <f ca="1">IFERROR(__xludf.DUMMYFUNCTION("""COMPUTED_VALUE"""),"19711124MDEDB")</f>
        <v>19711124MDEDB</v>
      </c>
      <c r="B2152" s="8" t="str">
        <f ca="1">IFERROR(__xludf.DUMMYFUNCTION("""COMPUTED_VALUE"""),"Handgun")</f>
        <v>Handgun</v>
      </c>
    </row>
    <row r="2153" spans="1:2" ht="12.75">
      <c r="A2153" s="8" t="str">
        <f ca="1">IFERROR(__xludf.DUMMYFUNCTION("""COMPUTED_VALUE"""),"19711108OKGRT")</f>
        <v>19711108OKGRT</v>
      </c>
      <c r="B2153" s="8" t="str">
        <f ca="1">IFERROR(__xludf.DUMMYFUNCTION("""COMPUTED_VALUE"""),"Handgun")</f>
        <v>Handgun</v>
      </c>
    </row>
    <row r="2154" spans="1:2" ht="12.75">
      <c r="A2154" s="8" t="str">
        <f ca="1">IFERROR(__xludf.DUMMYFUNCTION("""COMPUTED_VALUE"""),"19711103NMCAC")</f>
        <v>19711103NMCAC</v>
      </c>
      <c r="B2154" s="8" t="str">
        <f ca="1">IFERROR(__xludf.DUMMYFUNCTION("""COMPUTED_VALUE"""),"Rifle")</f>
        <v>Rifle</v>
      </c>
    </row>
    <row r="2155" spans="1:2" ht="12.75">
      <c r="A2155" s="8" t="str">
        <f ca="1">IFERROR(__xludf.DUMMYFUNCTION("""COMPUTED_VALUE"""),"19711029MDFRB")</f>
        <v>19711029MDFRB</v>
      </c>
      <c r="B2155" s="8" t="str">
        <f ca="1">IFERROR(__xludf.DUMMYFUNCTION("""COMPUTED_VALUE"""),"Handgun")</f>
        <v>Handgun</v>
      </c>
    </row>
    <row r="2156" spans="1:2" ht="12.75">
      <c r="A2156" s="8" t="str">
        <f ca="1">IFERROR(__xludf.DUMMYFUNCTION("""COMPUTED_VALUE"""),"19711029MDFOB")</f>
        <v>19711029MDFOB</v>
      </c>
      <c r="B2156" s="8" t="str">
        <f ca="1">IFERROR(__xludf.DUMMYFUNCTION("""COMPUTED_VALUE"""),"Rifle")</f>
        <v>Rifle</v>
      </c>
    </row>
    <row r="2157" spans="1:2" ht="12.75">
      <c r="A2157" s="8" t="str">
        <f ca="1">IFERROR(__xludf.DUMMYFUNCTION("""COMPUTED_VALUE"""),"19711028MDCIB")</f>
        <v>19711028MDCIB</v>
      </c>
      <c r="B2157" s="8" t="str">
        <f ca="1">IFERROR(__xludf.DUMMYFUNCTION("""COMPUTED_VALUE"""),"Handgun")</f>
        <v>Handgun</v>
      </c>
    </row>
    <row r="2158" spans="1:2" ht="12.75">
      <c r="A2158" s="8" t="str">
        <f ca="1">IFERROR(__xludf.DUMMYFUNCTION("""COMPUTED_VALUE"""),"19710929VAPEP")</f>
        <v>19710929VAPEP</v>
      </c>
      <c r="B2158" s="8" t="str">
        <f ca="1">IFERROR(__xludf.DUMMYFUNCTION("""COMPUTED_VALUE"""),"Handgun")</f>
        <v>Handgun</v>
      </c>
    </row>
    <row r="2159" spans="1:2" ht="12.75">
      <c r="A2159" s="8" t="str">
        <f ca="1">IFERROR(__xludf.DUMMYFUNCTION("""COMPUTED_VALUE"""),"19710928MNCEM")</f>
        <v>19710928MNCEM</v>
      </c>
      <c r="B2159" s="8" t="str">
        <f ca="1">IFERROR(__xludf.DUMMYFUNCTION("""COMPUTED_VALUE"""),"No Data")</f>
        <v>No Data</v>
      </c>
    </row>
    <row r="2160" spans="1:2" ht="12.75">
      <c r="A2160" s="8" t="str">
        <f ca="1">IFERROR(__xludf.DUMMYFUNCTION("""COMPUTED_VALUE"""),"19710924NYMCB")</f>
        <v>19710924NYMCB</v>
      </c>
      <c r="B2160" s="8" t="str">
        <f ca="1">IFERROR(__xludf.DUMMYFUNCTION("""COMPUTED_VALUE"""),"Handgun")</f>
        <v>Handgun</v>
      </c>
    </row>
    <row r="2161" spans="1:2" ht="12.75">
      <c r="A2161" s="8" t="str">
        <f ca="1">IFERROR(__xludf.DUMMYFUNCTION("""COMPUTED_VALUE"""),"19710909TXDUL")</f>
        <v>19710909TXDUL</v>
      </c>
      <c r="B2161" s="8" t="str">
        <f ca="1">IFERROR(__xludf.DUMMYFUNCTION("""COMPUTED_VALUE"""),"Handgun")</f>
        <v>Handgun</v>
      </c>
    </row>
    <row r="2162" spans="1:2" ht="12.75">
      <c r="A2162" s="8" t="str">
        <f ca="1">IFERROR(__xludf.DUMMYFUNCTION("""COMPUTED_VALUE"""),"19710820PAMOM")</f>
        <v>19710820PAMOM</v>
      </c>
      <c r="B2162" s="8" t="str">
        <f ca="1">IFERROR(__xludf.DUMMYFUNCTION("""COMPUTED_VALUE"""),"Handgun")</f>
        <v>Handgun</v>
      </c>
    </row>
    <row r="2163" spans="1:2" ht="12.75">
      <c r="A2163" s="8" t="str">
        <f ca="1">IFERROR(__xludf.DUMMYFUNCTION("""COMPUTED_VALUE"""),"19710602NYEAE")</f>
        <v>19710602NYEAE</v>
      </c>
      <c r="B2163" s="8" t="str">
        <f ca="1">IFERROR(__xludf.DUMMYFUNCTION("""COMPUTED_VALUE"""),"Handgun")</f>
        <v>Handgun</v>
      </c>
    </row>
    <row r="2164" spans="1:2" ht="12.75">
      <c r="A2164" s="8" t="str">
        <f ca="1">IFERROR(__xludf.DUMMYFUNCTION("""COMPUTED_VALUE"""),"19710527MIBES")</f>
        <v>19710527MIBES</v>
      </c>
      <c r="B2164" s="8" t="str">
        <f ca="1">IFERROR(__xludf.DUMMYFUNCTION("""COMPUTED_VALUE"""),"Handgun")</f>
        <v>Handgun</v>
      </c>
    </row>
    <row r="2165" spans="1:2" ht="12.75">
      <c r="A2165" s="8" t="str">
        <f ca="1">IFERROR(__xludf.DUMMYFUNCTION("""COMPUTED_VALUE"""),"19710405PAWIH")</f>
        <v>19710405PAWIH</v>
      </c>
      <c r="B2165" s="8" t="str">
        <f ca="1">IFERROR(__xludf.DUMMYFUNCTION("""COMPUTED_VALUE"""),"Handgun")</f>
        <v>Handgun</v>
      </c>
    </row>
    <row r="2166" spans="1:2" ht="12.75">
      <c r="A2166" s="8" t="str">
        <f ca="1">IFERROR(__xludf.DUMMYFUNCTION("""COMPUTED_VALUE"""),"19710309AZROT")</f>
        <v>19710309AZROT</v>
      </c>
      <c r="B2166" s="8" t="str">
        <f ca="1">IFERROR(__xludf.DUMMYFUNCTION("""COMPUTED_VALUE"""),"Handgun")</f>
        <v>Handgun</v>
      </c>
    </row>
    <row r="2167" spans="1:2" ht="12.75">
      <c r="A2167" s="8" t="str">
        <f ca="1">IFERROR(__xludf.DUMMYFUNCTION("""COMPUTED_VALUE"""),"19710225OHFRC")</f>
        <v>19710225OHFRC</v>
      </c>
      <c r="B2167" s="8" t="str">
        <f ca="1">IFERROR(__xludf.DUMMYFUNCTION("""COMPUTED_VALUE"""),"Rifle")</f>
        <v>Rifle</v>
      </c>
    </row>
    <row r="2168" spans="1:2" ht="12.75">
      <c r="A2168" s="8" t="str">
        <f ca="1">IFERROR(__xludf.DUMMYFUNCTION("""COMPUTED_VALUE"""),"19710210TXOAD")</f>
        <v>19710210TXOAD</v>
      </c>
      <c r="B2168" s="8" t="str">
        <f ca="1">IFERROR(__xludf.DUMMYFUNCTION("""COMPUTED_VALUE"""),"Shotgun")</f>
        <v>Shotgun</v>
      </c>
    </row>
    <row r="2169" spans="1:2" ht="12.75">
      <c r="A2169" s="8" t="str">
        <f ca="1">IFERROR(__xludf.DUMMYFUNCTION("""COMPUTED_VALUE"""),"19710205PAJOW")</f>
        <v>19710205PAJOW</v>
      </c>
      <c r="B2169" s="8" t="str">
        <f ca="1">IFERROR(__xludf.DUMMYFUNCTION("""COMPUTED_VALUE"""),"Handgun")</f>
        <v>Handgun</v>
      </c>
    </row>
    <row r="2170" spans="1:2" ht="12.75">
      <c r="A2170" s="8" t="str">
        <f ca="1">IFERROR(__xludf.DUMMYFUNCTION("""COMPUTED_VALUE"""),"19710202PAMOP")</f>
        <v>19710202PAMOP</v>
      </c>
      <c r="B2170" s="8" t="str">
        <f ca="1">IFERROR(__xludf.DUMMYFUNCTION("""COMPUTED_VALUE"""),"Handgun")</f>
        <v>Handgun</v>
      </c>
    </row>
    <row r="2171" spans="1:2" ht="12.75">
      <c r="A2171" s="8" t="str">
        <f ca="1">IFERROR(__xludf.DUMMYFUNCTION("""COMPUTED_VALUE"""),"19701212WIXAA")</f>
        <v>19701212WIXAA</v>
      </c>
      <c r="B2171" s="8" t="str">
        <f ca="1">IFERROR(__xludf.DUMMYFUNCTION("""COMPUTED_VALUE"""),"Handgun")</f>
        <v>Handgun</v>
      </c>
    </row>
    <row r="2172" spans="1:2" ht="12.75">
      <c r="A2172" s="8" t="str">
        <f ca="1">IFERROR(__xludf.DUMMYFUNCTION("""COMPUTED_VALUE"""),"19701120ILHAC")</f>
        <v>19701120ILHAC</v>
      </c>
      <c r="B2172" s="8" t="str">
        <f ca="1">IFERROR(__xludf.DUMMYFUNCTION("""COMPUTED_VALUE"""),"Handgun")</f>
        <v>Handgun</v>
      </c>
    </row>
    <row r="2173" spans="1:2" ht="12.75">
      <c r="A2173" s="8" t="str">
        <f ca="1">IFERROR(__xludf.DUMMYFUNCTION("""COMPUTED_VALUE"""),"19701027OHAPM")</f>
        <v>19701027OHAPM</v>
      </c>
      <c r="B2173" s="8" t="str">
        <f ca="1">IFERROR(__xludf.DUMMYFUNCTION("""COMPUTED_VALUE"""),"Handgun")</f>
        <v>Handgun</v>
      </c>
    </row>
    <row r="2174" spans="1:2" ht="12.75">
      <c r="A2174" s="8" t="str">
        <f ca="1">IFERROR(__xludf.DUMMYFUNCTION("""COMPUTED_VALUE"""),"19701020TNWAN")</f>
        <v>19701020TNWAN</v>
      </c>
      <c r="B2174" s="8" t="str">
        <f ca="1">IFERROR(__xludf.DUMMYFUNCTION("""COMPUTED_VALUE"""),"Handgun")</f>
        <v>Handgun</v>
      </c>
    </row>
    <row r="2175" spans="1:2" ht="12.75">
      <c r="A2175" s="8" t="str">
        <f ca="1">IFERROR(__xludf.DUMMYFUNCTION("""COMPUTED_VALUE"""),"19701019TNBOM")</f>
        <v>19701019TNBOM</v>
      </c>
      <c r="B2175" s="8" t="str">
        <f ca="1">IFERROR(__xludf.DUMMYFUNCTION("""COMPUTED_VALUE"""),"Handgun")</f>
        <v>Handgun</v>
      </c>
    </row>
    <row r="2176" spans="1:2" ht="12.75">
      <c r="A2176" s="8" t="str">
        <f ca="1">IFERROR(__xludf.DUMMYFUNCTION("""COMPUTED_VALUE"""),"19701005MIPOD")</f>
        <v>19701005MIPOD</v>
      </c>
      <c r="B2176" s="8" t="str">
        <f ca="1">IFERROR(__xludf.DUMMYFUNCTION("""COMPUTED_VALUE"""),"Handgun")</f>
        <v>Handgun</v>
      </c>
    </row>
    <row r="2177" spans="1:2" ht="12.75">
      <c r="A2177" s="8" t="str">
        <f ca="1">IFERROR(__xludf.DUMMYFUNCTION("""COMPUTED_VALUE"""),"19700928IACED")</f>
        <v>19700928IACED</v>
      </c>
      <c r="B2177" s="8" t="str">
        <f ca="1">IFERROR(__xludf.DUMMYFUNCTION("""COMPUTED_VALUE"""),"No Data")</f>
        <v>No Data</v>
      </c>
    </row>
    <row r="2178" spans="1:2" ht="12.75">
      <c r="A2178" s="8" t="str">
        <f ca="1">IFERROR(__xludf.DUMMYFUNCTION("""COMPUTED_VALUE"""),"19700924IDMEM")</f>
        <v>19700924IDMEM</v>
      </c>
      <c r="B2178" s="8" t="str">
        <f ca="1">IFERROR(__xludf.DUMMYFUNCTION("""COMPUTED_VALUE"""),"Handgun")</f>
        <v>Handgun</v>
      </c>
    </row>
    <row r="2179" spans="1:2" ht="12.75">
      <c r="A2179" s="8" t="str">
        <f ca="1">IFERROR(__xludf.DUMMYFUNCTION("""COMPUTED_VALUE"""),"19700914TNHAN")</f>
        <v>19700914TNHAN</v>
      </c>
      <c r="B2179" s="8" t="str">
        <f ca="1">IFERROR(__xludf.DUMMYFUNCTION("""COMPUTED_VALUE"""),"Rifle")</f>
        <v>Rifle</v>
      </c>
    </row>
    <row r="2180" spans="1:2" ht="12.75">
      <c r="A2180" s="8" t="str">
        <f ca="1">IFERROR(__xludf.DUMMYFUNCTION("""COMPUTED_VALUE"""),"19700831FLALM")</f>
        <v>19700831FLALM</v>
      </c>
      <c r="B2180" s="8" t="str">
        <f ca="1">IFERROR(__xludf.DUMMYFUNCTION("""COMPUTED_VALUE"""),"Rifle")</f>
        <v>Rifle</v>
      </c>
    </row>
    <row r="2181" spans="1:2" ht="12.75">
      <c r="A2181" s="8" t="str">
        <f ca="1">IFERROR(__xludf.DUMMYFUNCTION("""COMPUTED_VALUE"""),"19700828TXRIE")</f>
        <v>19700828TXRIE</v>
      </c>
      <c r="B2181" s="8" t="str">
        <f ca="1">IFERROR(__xludf.DUMMYFUNCTION("""COMPUTED_VALUE"""),"Handgun")</f>
        <v>Handgun</v>
      </c>
    </row>
    <row r="2182" spans="1:2" ht="12.75">
      <c r="A2182" s="8" t="str">
        <f ca="1">IFERROR(__xludf.DUMMYFUNCTION("""COMPUTED_VALUE"""),"19700515UTBEO")</f>
        <v>19700515UTBEO</v>
      </c>
      <c r="B2182" s="8" t="str">
        <f ca="1">IFERROR(__xludf.DUMMYFUNCTION("""COMPUTED_VALUE"""),"Handgun")</f>
        <v>Handgun</v>
      </c>
    </row>
    <row r="2183" spans="1:2" ht="12.75">
      <c r="A2183" s="8" t="str">
        <f ca="1">IFERROR(__xludf.DUMMYFUNCTION("""COMPUTED_VALUE"""),"19700508FLCAD")</f>
        <v>19700508FLCAD</v>
      </c>
      <c r="B2183" s="8" t="str">
        <f ca="1">IFERROR(__xludf.DUMMYFUNCTION("""COMPUTED_VALUE"""),"Handgun")</f>
        <v>Handgun</v>
      </c>
    </row>
    <row r="2184" spans="1:2" ht="12.75">
      <c r="A2184" s="8" t="str">
        <f ca="1">IFERROR(__xludf.DUMMYFUNCTION("""COMPUTED_VALUE"""),"19700422DEPIW")</f>
        <v>19700422DEPIW</v>
      </c>
      <c r="B2184" s="8" t="str">
        <f ca="1">IFERROR(__xludf.DUMMYFUNCTION("""COMPUTED_VALUE"""),"Handgun")</f>
        <v>Handgun</v>
      </c>
    </row>
    <row r="2185" spans="1:2" ht="12.75">
      <c r="A2185" s="8" t="str">
        <f ca="1">IFERROR(__xludf.DUMMYFUNCTION("""COMPUTED_VALUE"""),"19700415ARPIP")</f>
        <v>19700415ARPIP</v>
      </c>
      <c r="B2185" s="8" t="str">
        <f ca="1">IFERROR(__xludf.DUMMYFUNCTION("""COMPUTED_VALUE"""),"Multiple Handguns")</f>
        <v>Multiple Handguns</v>
      </c>
    </row>
    <row r="2186" spans="1:2" ht="12.75">
      <c r="A2186" s="8" t="str">
        <f ca="1">IFERROR(__xludf.DUMMYFUNCTION("""COMPUTED_VALUE"""),"19700323CADAL")</f>
        <v>19700323CADAL</v>
      </c>
      <c r="B2186" s="8" t="str">
        <f ca="1">IFERROR(__xludf.DUMMYFUNCTION("""COMPUTED_VALUE"""),"Handgun")</f>
        <v>Handgun</v>
      </c>
    </row>
    <row r="2187" spans="1:2" ht="12.75">
      <c r="A2187" s="8" t="str">
        <f ca="1">IFERROR(__xludf.DUMMYFUNCTION("""COMPUTED_VALUE"""),"19700206OHJOC")</f>
        <v>19700206OHJOC</v>
      </c>
      <c r="B2187" s="8" t="str">
        <f ca="1">IFERROR(__xludf.DUMMYFUNCTION("""COMPUTED_VALUE"""),"Handgun")</f>
        <v>Handgun</v>
      </c>
    </row>
    <row r="2188" spans="1:2" ht="12.75">
      <c r="A2188" s="8" t="str">
        <f ca="1">IFERROR(__xludf.DUMMYFUNCTION("""COMPUTED_VALUE"""),"19700105DCUNW")</f>
        <v>19700105DCUNW</v>
      </c>
      <c r="B2188" s="8" t="str">
        <f ca="1">IFERROR(__xludf.DUMMYFUNCTION("""COMPUTED_VALUE"""),"Handgun")</f>
        <v>Handgun</v>
      </c>
    </row>
    <row r="2189" spans="1:2" ht="12.75">
      <c r="A2189" s="8" t="str">
        <f ca="1">IFERROR(__xludf.DUMMYFUNCTION("""COMPUTED_VALUE"""),"19700105DCSOW")</f>
        <v>19700105DCSOW</v>
      </c>
      <c r="B2189" s="8" t="str">
        <f ca="1">IFERROR(__xludf.DUMMYFUNCTION("""COMPUTED_VALUE"""),"Handgun")</f>
        <v>Handgun</v>
      </c>
    </row>
    <row r="2190" spans="1:2" ht="12.75">
      <c r="A2190" s="8" t="str">
        <f ca="1">IFERROR(__xludf.DUMMYFUNCTION("""COMPUTED_VALUE"""),"19700105DCHIW")</f>
        <v>19700105DCHIW</v>
      </c>
      <c r="B2190" s="8" t="str">
        <f ca="1">IFERROR(__xludf.DUMMYFUNCTION("""COMPUTED_VALUE"""),"Handgun")</f>
        <v>Handgun</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Incident</vt:lpstr>
      <vt:lpstr>Shooter</vt:lpstr>
      <vt:lpstr>Victim</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陈唯一</cp:lastModifiedBy>
  <dcterms:modified xsi:type="dcterms:W3CDTF">2023-02-01T23:34:08Z</dcterms:modified>
</cp:coreProperties>
</file>